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hidePivotFieldList="1" defaultThemeVersion="164011"/>
  <bookViews>
    <workbookView xWindow="0" yWindow="0" windowWidth="28800" windowHeight="12300" firstSheet="7" activeTab="12"/>
  </bookViews>
  <sheets>
    <sheet name="Index" sheetId="5" r:id="rId1"/>
    <sheet name="DataInput" sheetId="7" r:id="rId2"/>
    <sheet name="Calculations" sheetId="8" r:id="rId3"/>
    <sheet name="Report" sheetId="9" r:id="rId4"/>
    <sheet name="Scenario Summary " sheetId="27" r:id="rId5"/>
    <sheet name="Chart 1" sheetId="24" r:id="rId6"/>
    <sheet name="Chart 2" sheetId="25" r:id="rId7"/>
    <sheet name="Chart 3" sheetId="26" r:id="rId8"/>
    <sheet name="CustomersTable" sheetId="1" r:id="rId9"/>
    <sheet name="ItemsTable" sheetId="2" r:id="rId10"/>
    <sheet name="OrdersTable" sheetId="4" r:id="rId11"/>
    <sheet name="SuppliersTable" sheetId="3" r:id="rId12"/>
    <sheet name="Documentation " sheetId="19" r:id="rId13"/>
  </sheets>
  <definedNames>
    <definedName name="_xlnm._FilterDatabase" localSheetId="3" hidden="1">Report!$A$3</definedName>
    <definedName name="_xlchart.0" hidden="1">'Scenario Summary '!$B$6:$C$18</definedName>
    <definedName name="_xlchart.1" hidden="1">'Scenario Summary '!$D$3:$D$5</definedName>
    <definedName name="_xlchart.10" hidden="1">'Scenario Summary '!$H$6:$H$18</definedName>
    <definedName name="_xlchart.11" hidden="1">'Scenario Summary '!$I$3:$I$5</definedName>
    <definedName name="_xlchart.12" hidden="1">'Scenario Summary '!$I$6:$I$18</definedName>
    <definedName name="_xlchart.13" hidden="1">'Scenario Summary '!$J$3:$J$5</definedName>
    <definedName name="_xlchart.14" hidden="1">'Scenario Summary '!$J$6:$J$18</definedName>
    <definedName name="_xlchart.15" hidden="1">'Scenario Summary '!$K$3:$K$5</definedName>
    <definedName name="_xlchart.16" hidden="1">'Scenario Summary '!$K$6:$K$18</definedName>
    <definedName name="_xlchart.17" hidden="1">'Scenario Summary '!$L$3:$L$5</definedName>
    <definedName name="_xlchart.18" hidden="1">'Scenario Summary '!$L$6:$L$18</definedName>
    <definedName name="_xlchart.19" hidden="1">'Scenario Summary '!$M$3:$M$5</definedName>
    <definedName name="_xlchart.2" hidden="1">'Scenario Summary '!$D$6:$D$18</definedName>
    <definedName name="_xlchart.20" hidden="1">'Scenario Summary '!$M$6:$M$18</definedName>
    <definedName name="_xlchart.21" hidden="1">'Scenario Summary '!$N$3:$N$5</definedName>
    <definedName name="_xlchart.22" hidden="1">'Scenario Summary '!$N$6:$N$18</definedName>
    <definedName name="_xlchart.3" hidden="1">'Scenario Summary '!$E$3:$E$5</definedName>
    <definedName name="_xlchart.4" hidden="1">'Scenario Summary '!$E$6:$E$18</definedName>
    <definedName name="_xlchart.5" hidden="1">'Scenario Summary '!$F$3:$F$5</definedName>
    <definedName name="_xlchart.6" hidden="1">'Scenario Summary '!$F$6:$F$18</definedName>
    <definedName name="_xlchart.7" hidden="1">'Scenario Summary '!$G$3:$G$5</definedName>
    <definedName name="_xlchart.8" hidden="1">'Scenario Summary '!$G$6:$G$18</definedName>
    <definedName name="_xlchart.9" hidden="1">'Scenario Summary '!$H$3:$H$5</definedName>
    <definedName name="BankCharges">DataInput!$D$15</definedName>
    <definedName name="Cust">Table4[#All]</definedName>
    <definedName name="CustID">Table4[]</definedName>
    <definedName name="ElectrictyExpenses">DataInput!$D$16</definedName>
    <definedName name="ExchRateCA">DataInput!$D$9</definedName>
    <definedName name="ExchRateIR">DataInput!$D$8</definedName>
    <definedName name="ExchRateType">DataInput!$D$7</definedName>
    <definedName name="Fixed_and_Varaible_expenses">DataInput!$D$29</definedName>
    <definedName name="FreightInwardExpenses">DataInput!$D$17</definedName>
    <definedName name="FreightOutwardExpenses">DataInput!$D$26</definedName>
    <definedName name="FreightType">DataInput!$D$5</definedName>
    <definedName name="HalfYearExpenses">DataInput!$D$22</definedName>
    <definedName name="InternetExpenses">DataInput!$D$18</definedName>
    <definedName name="Itms">Table3[#All]</definedName>
    <definedName name="MarkupType">DataInput!$D$4</definedName>
    <definedName name="order">Table1[#All]</definedName>
    <definedName name="PercentageFreightOutward_Sales">DataInput!$D$27</definedName>
    <definedName name="StoreMarkup">DataInput!$D$6</definedName>
    <definedName name="Supp">Table2[#All]</definedName>
    <definedName name="Total_discount_for_Orders">DataInput!$D$32</definedName>
    <definedName name="Total_Number_of_Order_discount">DataInput!$D$34</definedName>
    <definedName name="Total_Profit">DataInput!$D$31</definedName>
    <definedName name="TOtal_sales_discount_Percentage">DataInput!$D$33</definedName>
    <definedName name="TotalPurchaseExpenses">DataInput!$D$25</definedName>
    <definedName name="TotalSales">DataInput!$D$12</definedName>
    <definedName name="WagesExpenses">DataInput!$D$20</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7" i="8" l="1"/>
  <c r="D2545" i="9" l="1"/>
  <c r="C2545" i="9"/>
  <c r="C2544" i="9" l="1"/>
  <c r="C2541" i="9"/>
  <c r="C2538" i="9"/>
  <c r="C2522" i="9"/>
  <c r="A2519" i="9"/>
  <c r="C2514" i="9"/>
  <c r="A4" i="9"/>
  <c r="B4" i="9" s="1"/>
  <c r="J4" i="9"/>
  <c r="M4" i="9" s="1"/>
  <c r="R4" i="9"/>
  <c r="S4" i="9"/>
  <c r="G4" i="9" l="1"/>
  <c r="E4" i="9"/>
  <c r="D4" i="9"/>
  <c r="H4" i="9"/>
  <c r="C4" i="9"/>
  <c r="N4" i="9"/>
  <c r="L4" i="9"/>
  <c r="F4" i="9"/>
  <c r="O4" i="9"/>
  <c r="P4" i="9" s="1"/>
  <c r="K4" i="9"/>
  <c r="U4" i="9"/>
  <c r="T4" i="9"/>
  <c r="V4" i="9" l="1"/>
  <c r="E2522" i="9" s="1"/>
  <c r="E2513" i="9"/>
  <c r="D2513" i="9"/>
  <c r="C2513" i="9"/>
  <c r="A2526" i="9" s="1"/>
  <c r="C2542" i="9"/>
  <c r="D2542" i="9"/>
  <c r="F2540" i="9"/>
  <c r="Q4" i="9"/>
  <c r="J2503" i="9"/>
  <c r="J5" i="9"/>
  <c r="J6" i="9"/>
  <c r="J7" i="9"/>
  <c r="J8" i="9"/>
  <c r="J9" i="9"/>
  <c r="J10" i="9"/>
  <c r="J11" i="9"/>
  <c r="J12" i="9"/>
  <c r="J13" i="9"/>
  <c r="J14" i="9"/>
  <c r="J15" i="9"/>
  <c r="J16" i="9"/>
  <c r="J17" i="9"/>
  <c r="J18" i="9"/>
  <c r="J19" i="9"/>
  <c r="J20" i="9"/>
  <c r="J21" i="9"/>
  <c r="J22" i="9"/>
  <c r="J23" i="9"/>
  <c r="J24" i="9"/>
  <c r="J25" i="9"/>
  <c r="J26" i="9"/>
  <c r="J27" i="9"/>
  <c r="J28" i="9"/>
  <c r="J29" i="9"/>
  <c r="J30" i="9"/>
  <c r="J31" i="9"/>
  <c r="J32" i="9"/>
  <c r="J33" i="9"/>
  <c r="J34" i="9"/>
  <c r="J35" i="9"/>
  <c r="J36" i="9"/>
  <c r="J37" i="9"/>
  <c r="J38" i="9"/>
  <c r="J39" i="9"/>
  <c r="J40" i="9"/>
  <c r="J41" i="9"/>
  <c r="J42" i="9"/>
  <c r="J43" i="9"/>
  <c r="J44" i="9"/>
  <c r="J45" i="9"/>
  <c r="J46" i="9"/>
  <c r="J47" i="9"/>
  <c r="J48" i="9"/>
  <c r="J49" i="9"/>
  <c r="J50" i="9"/>
  <c r="J51" i="9"/>
  <c r="J52" i="9"/>
  <c r="J53" i="9"/>
  <c r="J54" i="9"/>
  <c r="J55" i="9"/>
  <c r="J56" i="9"/>
  <c r="J57" i="9"/>
  <c r="J58" i="9"/>
  <c r="J59" i="9"/>
  <c r="J60" i="9"/>
  <c r="J61" i="9"/>
  <c r="J62" i="9"/>
  <c r="J63" i="9"/>
  <c r="J64" i="9"/>
  <c r="J65" i="9"/>
  <c r="J66" i="9"/>
  <c r="J67" i="9"/>
  <c r="J68" i="9"/>
  <c r="J69" i="9"/>
  <c r="J70" i="9"/>
  <c r="J71" i="9"/>
  <c r="J72" i="9"/>
  <c r="J73" i="9"/>
  <c r="J74" i="9"/>
  <c r="J75" i="9"/>
  <c r="J76" i="9"/>
  <c r="J77" i="9"/>
  <c r="J78" i="9"/>
  <c r="J79" i="9"/>
  <c r="J80" i="9"/>
  <c r="J81" i="9"/>
  <c r="J82" i="9"/>
  <c r="J83" i="9"/>
  <c r="J84" i="9"/>
  <c r="J85" i="9"/>
  <c r="J86" i="9"/>
  <c r="J87" i="9"/>
  <c r="J88" i="9"/>
  <c r="J89" i="9"/>
  <c r="J90" i="9"/>
  <c r="J91" i="9"/>
  <c r="J92" i="9"/>
  <c r="J93" i="9"/>
  <c r="J94" i="9"/>
  <c r="J95" i="9"/>
  <c r="J96" i="9"/>
  <c r="J97" i="9"/>
  <c r="J98" i="9"/>
  <c r="J99" i="9"/>
  <c r="J100" i="9"/>
  <c r="J101" i="9"/>
  <c r="J102" i="9"/>
  <c r="J103" i="9"/>
  <c r="J104" i="9"/>
  <c r="J105" i="9"/>
  <c r="J106" i="9"/>
  <c r="J107" i="9"/>
  <c r="J108" i="9"/>
  <c r="J109" i="9"/>
  <c r="J110" i="9"/>
  <c r="J111" i="9"/>
  <c r="J112" i="9"/>
  <c r="J113" i="9"/>
  <c r="J114" i="9"/>
  <c r="J115" i="9"/>
  <c r="J116" i="9"/>
  <c r="J117" i="9"/>
  <c r="J118" i="9"/>
  <c r="J119" i="9"/>
  <c r="J120" i="9"/>
  <c r="J121" i="9"/>
  <c r="J122" i="9"/>
  <c r="J123" i="9"/>
  <c r="J124" i="9"/>
  <c r="J125" i="9"/>
  <c r="J126" i="9"/>
  <c r="J127" i="9"/>
  <c r="J128" i="9"/>
  <c r="J129" i="9"/>
  <c r="J130" i="9"/>
  <c r="J131" i="9"/>
  <c r="J132" i="9"/>
  <c r="J133" i="9"/>
  <c r="J134" i="9"/>
  <c r="J135" i="9"/>
  <c r="J136" i="9"/>
  <c r="J137" i="9"/>
  <c r="J138" i="9"/>
  <c r="J139" i="9"/>
  <c r="J140" i="9"/>
  <c r="J141" i="9"/>
  <c r="J142" i="9"/>
  <c r="J143" i="9"/>
  <c r="J144" i="9"/>
  <c r="J145" i="9"/>
  <c r="J146" i="9"/>
  <c r="J147" i="9"/>
  <c r="J148" i="9"/>
  <c r="J149" i="9"/>
  <c r="J150" i="9"/>
  <c r="J151" i="9"/>
  <c r="J152" i="9"/>
  <c r="J153" i="9"/>
  <c r="J154" i="9"/>
  <c r="J155" i="9"/>
  <c r="J156" i="9"/>
  <c r="J157" i="9"/>
  <c r="J158" i="9"/>
  <c r="J159" i="9"/>
  <c r="J160" i="9"/>
  <c r="J161" i="9"/>
  <c r="J162" i="9"/>
  <c r="J163" i="9"/>
  <c r="J164" i="9"/>
  <c r="J165" i="9"/>
  <c r="J166" i="9"/>
  <c r="J167" i="9"/>
  <c r="J168" i="9"/>
  <c r="J169" i="9"/>
  <c r="J170" i="9"/>
  <c r="J171" i="9"/>
  <c r="J172" i="9"/>
  <c r="J173" i="9"/>
  <c r="J174" i="9"/>
  <c r="J175" i="9"/>
  <c r="J176" i="9"/>
  <c r="J177" i="9"/>
  <c r="J178" i="9"/>
  <c r="J179" i="9"/>
  <c r="J180" i="9"/>
  <c r="J181" i="9"/>
  <c r="J182" i="9"/>
  <c r="J183" i="9"/>
  <c r="J184" i="9"/>
  <c r="J185" i="9"/>
  <c r="J186" i="9"/>
  <c r="J187" i="9"/>
  <c r="J188" i="9"/>
  <c r="J189" i="9"/>
  <c r="J190" i="9"/>
  <c r="J191" i="9"/>
  <c r="J192" i="9"/>
  <c r="J193" i="9"/>
  <c r="J194" i="9"/>
  <c r="J195" i="9"/>
  <c r="J196" i="9"/>
  <c r="J197" i="9"/>
  <c r="J198" i="9"/>
  <c r="J199" i="9"/>
  <c r="J200" i="9"/>
  <c r="J201" i="9"/>
  <c r="J202" i="9"/>
  <c r="J203" i="9"/>
  <c r="J204" i="9"/>
  <c r="J205" i="9"/>
  <c r="J206" i="9"/>
  <c r="J207" i="9"/>
  <c r="J208" i="9"/>
  <c r="J209" i="9"/>
  <c r="J210" i="9"/>
  <c r="J211" i="9"/>
  <c r="J212" i="9"/>
  <c r="J213" i="9"/>
  <c r="J214" i="9"/>
  <c r="J215" i="9"/>
  <c r="J216" i="9"/>
  <c r="J217" i="9"/>
  <c r="J218" i="9"/>
  <c r="J219" i="9"/>
  <c r="J220" i="9"/>
  <c r="J221" i="9"/>
  <c r="J222" i="9"/>
  <c r="J223" i="9"/>
  <c r="J224" i="9"/>
  <c r="J225" i="9"/>
  <c r="J226" i="9"/>
  <c r="J227" i="9"/>
  <c r="J228" i="9"/>
  <c r="J229" i="9"/>
  <c r="J230" i="9"/>
  <c r="J231" i="9"/>
  <c r="J232" i="9"/>
  <c r="J233" i="9"/>
  <c r="J234" i="9"/>
  <c r="J235" i="9"/>
  <c r="J236" i="9"/>
  <c r="J237" i="9"/>
  <c r="J238" i="9"/>
  <c r="J239" i="9"/>
  <c r="J240" i="9"/>
  <c r="J241" i="9"/>
  <c r="J242" i="9"/>
  <c r="J243" i="9"/>
  <c r="J244" i="9"/>
  <c r="J245" i="9"/>
  <c r="J246" i="9"/>
  <c r="J247" i="9"/>
  <c r="J248" i="9"/>
  <c r="J249" i="9"/>
  <c r="J250" i="9"/>
  <c r="J251" i="9"/>
  <c r="J252" i="9"/>
  <c r="J253" i="9"/>
  <c r="J254" i="9"/>
  <c r="J255" i="9"/>
  <c r="J256" i="9"/>
  <c r="J257" i="9"/>
  <c r="J258" i="9"/>
  <c r="J259" i="9"/>
  <c r="J260" i="9"/>
  <c r="J261" i="9"/>
  <c r="J262" i="9"/>
  <c r="J263" i="9"/>
  <c r="J264" i="9"/>
  <c r="J265" i="9"/>
  <c r="J266" i="9"/>
  <c r="J267" i="9"/>
  <c r="J268" i="9"/>
  <c r="J269" i="9"/>
  <c r="J270" i="9"/>
  <c r="J271" i="9"/>
  <c r="J272" i="9"/>
  <c r="J273" i="9"/>
  <c r="J274" i="9"/>
  <c r="J275" i="9"/>
  <c r="J276" i="9"/>
  <c r="J277" i="9"/>
  <c r="J278" i="9"/>
  <c r="J279" i="9"/>
  <c r="J280" i="9"/>
  <c r="J281" i="9"/>
  <c r="J282" i="9"/>
  <c r="J283" i="9"/>
  <c r="J284" i="9"/>
  <c r="J285" i="9"/>
  <c r="J286" i="9"/>
  <c r="J287" i="9"/>
  <c r="J288" i="9"/>
  <c r="J289" i="9"/>
  <c r="J290" i="9"/>
  <c r="J291" i="9"/>
  <c r="J292" i="9"/>
  <c r="J293" i="9"/>
  <c r="J294" i="9"/>
  <c r="J295" i="9"/>
  <c r="J296" i="9"/>
  <c r="J297" i="9"/>
  <c r="J298" i="9"/>
  <c r="J299" i="9"/>
  <c r="J300" i="9"/>
  <c r="J301" i="9"/>
  <c r="J302" i="9"/>
  <c r="J303" i="9"/>
  <c r="J304" i="9"/>
  <c r="J305" i="9"/>
  <c r="J306" i="9"/>
  <c r="J307" i="9"/>
  <c r="J308" i="9"/>
  <c r="J309" i="9"/>
  <c r="J310" i="9"/>
  <c r="J311" i="9"/>
  <c r="J312" i="9"/>
  <c r="J313" i="9"/>
  <c r="J314" i="9"/>
  <c r="J315" i="9"/>
  <c r="J316" i="9"/>
  <c r="J317" i="9"/>
  <c r="J318" i="9"/>
  <c r="J319" i="9"/>
  <c r="J320" i="9"/>
  <c r="J321" i="9"/>
  <c r="J322" i="9"/>
  <c r="J323" i="9"/>
  <c r="J324" i="9"/>
  <c r="J325" i="9"/>
  <c r="J326" i="9"/>
  <c r="J327" i="9"/>
  <c r="J328" i="9"/>
  <c r="J329" i="9"/>
  <c r="J330" i="9"/>
  <c r="J331" i="9"/>
  <c r="J332" i="9"/>
  <c r="J333" i="9"/>
  <c r="J334" i="9"/>
  <c r="J335" i="9"/>
  <c r="J336" i="9"/>
  <c r="J337" i="9"/>
  <c r="J338" i="9"/>
  <c r="J339" i="9"/>
  <c r="J340" i="9"/>
  <c r="J341" i="9"/>
  <c r="J342" i="9"/>
  <c r="J343" i="9"/>
  <c r="J344" i="9"/>
  <c r="J345" i="9"/>
  <c r="J346" i="9"/>
  <c r="J347" i="9"/>
  <c r="J348" i="9"/>
  <c r="J349" i="9"/>
  <c r="J350" i="9"/>
  <c r="J351" i="9"/>
  <c r="J352" i="9"/>
  <c r="J353" i="9"/>
  <c r="J354" i="9"/>
  <c r="J355" i="9"/>
  <c r="J356" i="9"/>
  <c r="J357" i="9"/>
  <c r="J358" i="9"/>
  <c r="J359" i="9"/>
  <c r="J360" i="9"/>
  <c r="J361" i="9"/>
  <c r="J362" i="9"/>
  <c r="J363" i="9"/>
  <c r="J364" i="9"/>
  <c r="J365" i="9"/>
  <c r="J366" i="9"/>
  <c r="J367" i="9"/>
  <c r="J368" i="9"/>
  <c r="J369" i="9"/>
  <c r="J370" i="9"/>
  <c r="J371" i="9"/>
  <c r="J372" i="9"/>
  <c r="J373" i="9"/>
  <c r="J374" i="9"/>
  <c r="J375" i="9"/>
  <c r="J376" i="9"/>
  <c r="J377" i="9"/>
  <c r="J378" i="9"/>
  <c r="J379" i="9"/>
  <c r="J380" i="9"/>
  <c r="J381" i="9"/>
  <c r="J382" i="9"/>
  <c r="J383" i="9"/>
  <c r="J384" i="9"/>
  <c r="J385" i="9"/>
  <c r="J386" i="9"/>
  <c r="J387" i="9"/>
  <c r="J388" i="9"/>
  <c r="J389" i="9"/>
  <c r="J390" i="9"/>
  <c r="J391" i="9"/>
  <c r="J392" i="9"/>
  <c r="J393" i="9"/>
  <c r="J394" i="9"/>
  <c r="J395" i="9"/>
  <c r="J396" i="9"/>
  <c r="J397" i="9"/>
  <c r="J398" i="9"/>
  <c r="J399" i="9"/>
  <c r="J400" i="9"/>
  <c r="J401" i="9"/>
  <c r="J402" i="9"/>
  <c r="J403" i="9"/>
  <c r="J404" i="9"/>
  <c r="J405" i="9"/>
  <c r="J406" i="9"/>
  <c r="J407" i="9"/>
  <c r="J408" i="9"/>
  <c r="J409" i="9"/>
  <c r="J410" i="9"/>
  <c r="J411" i="9"/>
  <c r="J412" i="9"/>
  <c r="J413" i="9"/>
  <c r="J414" i="9"/>
  <c r="J415" i="9"/>
  <c r="J416" i="9"/>
  <c r="J417" i="9"/>
  <c r="J418" i="9"/>
  <c r="J419" i="9"/>
  <c r="J420" i="9"/>
  <c r="J421" i="9"/>
  <c r="J422" i="9"/>
  <c r="J423" i="9"/>
  <c r="J424" i="9"/>
  <c r="J425" i="9"/>
  <c r="J426" i="9"/>
  <c r="J427" i="9"/>
  <c r="J428" i="9"/>
  <c r="J429" i="9"/>
  <c r="J430" i="9"/>
  <c r="J431" i="9"/>
  <c r="J432" i="9"/>
  <c r="J433" i="9"/>
  <c r="J434" i="9"/>
  <c r="J435" i="9"/>
  <c r="J436" i="9"/>
  <c r="J437" i="9"/>
  <c r="J438" i="9"/>
  <c r="J439" i="9"/>
  <c r="J440" i="9"/>
  <c r="J441" i="9"/>
  <c r="J442" i="9"/>
  <c r="J443" i="9"/>
  <c r="J444" i="9"/>
  <c r="J445" i="9"/>
  <c r="J446" i="9"/>
  <c r="J447" i="9"/>
  <c r="J448" i="9"/>
  <c r="J449" i="9"/>
  <c r="J450" i="9"/>
  <c r="J451" i="9"/>
  <c r="J452" i="9"/>
  <c r="J453" i="9"/>
  <c r="J454" i="9"/>
  <c r="J455" i="9"/>
  <c r="J456" i="9"/>
  <c r="J457" i="9"/>
  <c r="J458" i="9"/>
  <c r="J459" i="9"/>
  <c r="J460" i="9"/>
  <c r="J461" i="9"/>
  <c r="J462" i="9"/>
  <c r="J463" i="9"/>
  <c r="J464" i="9"/>
  <c r="J465" i="9"/>
  <c r="J466" i="9"/>
  <c r="J467" i="9"/>
  <c r="J468" i="9"/>
  <c r="J469" i="9"/>
  <c r="J470" i="9"/>
  <c r="J471" i="9"/>
  <c r="J472" i="9"/>
  <c r="J473" i="9"/>
  <c r="J474" i="9"/>
  <c r="J475" i="9"/>
  <c r="J476" i="9"/>
  <c r="J477" i="9"/>
  <c r="J478" i="9"/>
  <c r="J479" i="9"/>
  <c r="J480" i="9"/>
  <c r="J481" i="9"/>
  <c r="J482" i="9"/>
  <c r="J483" i="9"/>
  <c r="J484" i="9"/>
  <c r="J485" i="9"/>
  <c r="J486" i="9"/>
  <c r="J487" i="9"/>
  <c r="J488" i="9"/>
  <c r="J489" i="9"/>
  <c r="J490" i="9"/>
  <c r="J491" i="9"/>
  <c r="J492" i="9"/>
  <c r="J493" i="9"/>
  <c r="J494" i="9"/>
  <c r="J495" i="9"/>
  <c r="J496" i="9"/>
  <c r="J497" i="9"/>
  <c r="J498" i="9"/>
  <c r="J499" i="9"/>
  <c r="J500" i="9"/>
  <c r="J501" i="9"/>
  <c r="J502" i="9"/>
  <c r="J503" i="9"/>
  <c r="J504" i="9"/>
  <c r="J505" i="9"/>
  <c r="J506" i="9"/>
  <c r="J507" i="9"/>
  <c r="J508" i="9"/>
  <c r="J509" i="9"/>
  <c r="J510" i="9"/>
  <c r="J511" i="9"/>
  <c r="J512" i="9"/>
  <c r="J513" i="9"/>
  <c r="J514" i="9"/>
  <c r="J515" i="9"/>
  <c r="J516" i="9"/>
  <c r="J517" i="9"/>
  <c r="J518" i="9"/>
  <c r="J519" i="9"/>
  <c r="J520" i="9"/>
  <c r="J521" i="9"/>
  <c r="J522" i="9"/>
  <c r="J523" i="9"/>
  <c r="J524" i="9"/>
  <c r="J525" i="9"/>
  <c r="J526" i="9"/>
  <c r="J527" i="9"/>
  <c r="J528" i="9"/>
  <c r="J529" i="9"/>
  <c r="J530" i="9"/>
  <c r="J531" i="9"/>
  <c r="J532" i="9"/>
  <c r="J533" i="9"/>
  <c r="J534" i="9"/>
  <c r="J535" i="9"/>
  <c r="J536" i="9"/>
  <c r="J537" i="9"/>
  <c r="J538" i="9"/>
  <c r="J539" i="9"/>
  <c r="J540" i="9"/>
  <c r="J541" i="9"/>
  <c r="J542" i="9"/>
  <c r="J543" i="9"/>
  <c r="J544" i="9"/>
  <c r="J545" i="9"/>
  <c r="J546" i="9"/>
  <c r="J547" i="9"/>
  <c r="J548" i="9"/>
  <c r="J549" i="9"/>
  <c r="J550" i="9"/>
  <c r="J551" i="9"/>
  <c r="J552" i="9"/>
  <c r="J553" i="9"/>
  <c r="J554" i="9"/>
  <c r="J555" i="9"/>
  <c r="J556" i="9"/>
  <c r="J557" i="9"/>
  <c r="J558" i="9"/>
  <c r="J559" i="9"/>
  <c r="J560" i="9"/>
  <c r="J561" i="9"/>
  <c r="J562" i="9"/>
  <c r="J563" i="9"/>
  <c r="J564" i="9"/>
  <c r="J565" i="9"/>
  <c r="J566" i="9"/>
  <c r="J567" i="9"/>
  <c r="J568" i="9"/>
  <c r="J569" i="9"/>
  <c r="J570" i="9"/>
  <c r="J571" i="9"/>
  <c r="J572" i="9"/>
  <c r="J573" i="9"/>
  <c r="J574" i="9"/>
  <c r="J575" i="9"/>
  <c r="J576" i="9"/>
  <c r="J577" i="9"/>
  <c r="J578" i="9"/>
  <c r="J579" i="9"/>
  <c r="J580" i="9"/>
  <c r="J581" i="9"/>
  <c r="J582" i="9"/>
  <c r="J583" i="9"/>
  <c r="J584" i="9"/>
  <c r="J585" i="9"/>
  <c r="J586" i="9"/>
  <c r="J587" i="9"/>
  <c r="J588" i="9"/>
  <c r="J589" i="9"/>
  <c r="J590" i="9"/>
  <c r="J591" i="9"/>
  <c r="J592" i="9"/>
  <c r="J593" i="9"/>
  <c r="J594" i="9"/>
  <c r="J595" i="9"/>
  <c r="J596" i="9"/>
  <c r="J597" i="9"/>
  <c r="J598" i="9"/>
  <c r="J599" i="9"/>
  <c r="J600" i="9"/>
  <c r="J601" i="9"/>
  <c r="J602" i="9"/>
  <c r="J603" i="9"/>
  <c r="J604" i="9"/>
  <c r="J605" i="9"/>
  <c r="J606" i="9"/>
  <c r="J607" i="9"/>
  <c r="J608" i="9"/>
  <c r="J609" i="9"/>
  <c r="J610" i="9"/>
  <c r="J611" i="9"/>
  <c r="J612" i="9"/>
  <c r="J613" i="9"/>
  <c r="J614" i="9"/>
  <c r="J615" i="9"/>
  <c r="J616" i="9"/>
  <c r="J617" i="9"/>
  <c r="J618" i="9"/>
  <c r="J619" i="9"/>
  <c r="J620" i="9"/>
  <c r="J621" i="9"/>
  <c r="J622" i="9"/>
  <c r="J623" i="9"/>
  <c r="J624" i="9"/>
  <c r="J625" i="9"/>
  <c r="J626" i="9"/>
  <c r="J627" i="9"/>
  <c r="J628" i="9"/>
  <c r="J629" i="9"/>
  <c r="J630" i="9"/>
  <c r="J631" i="9"/>
  <c r="J632" i="9"/>
  <c r="J633" i="9"/>
  <c r="J634" i="9"/>
  <c r="J635" i="9"/>
  <c r="J636" i="9"/>
  <c r="J637" i="9"/>
  <c r="J638" i="9"/>
  <c r="J639" i="9"/>
  <c r="J640" i="9"/>
  <c r="J641" i="9"/>
  <c r="J642" i="9"/>
  <c r="J643" i="9"/>
  <c r="J644" i="9"/>
  <c r="J645" i="9"/>
  <c r="J646" i="9"/>
  <c r="J647" i="9"/>
  <c r="J648" i="9"/>
  <c r="J649" i="9"/>
  <c r="J650" i="9"/>
  <c r="J651" i="9"/>
  <c r="J652" i="9"/>
  <c r="J653" i="9"/>
  <c r="J654" i="9"/>
  <c r="J655" i="9"/>
  <c r="J656" i="9"/>
  <c r="J657" i="9"/>
  <c r="J658" i="9"/>
  <c r="J659" i="9"/>
  <c r="J660" i="9"/>
  <c r="J661" i="9"/>
  <c r="J662" i="9"/>
  <c r="J663" i="9"/>
  <c r="J664" i="9"/>
  <c r="J665" i="9"/>
  <c r="J666" i="9"/>
  <c r="J667" i="9"/>
  <c r="J668" i="9"/>
  <c r="J669" i="9"/>
  <c r="J670" i="9"/>
  <c r="J671" i="9"/>
  <c r="J672" i="9"/>
  <c r="J673" i="9"/>
  <c r="J674" i="9"/>
  <c r="J675" i="9"/>
  <c r="J676" i="9"/>
  <c r="J677" i="9"/>
  <c r="J678" i="9"/>
  <c r="J679" i="9"/>
  <c r="J680" i="9"/>
  <c r="J681" i="9"/>
  <c r="J682" i="9"/>
  <c r="J683" i="9"/>
  <c r="J684" i="9"/>
  <c r="J685" i="9"/>
  <c r="J686" i="9"/>
  <c r="J687" i="9"/>
  <c r="J688" i="9"/>
  <c r="J689" i="9"/>
  <c r="J690" i="9"/>
  <c r="J691" i="9"/>
  <c r="J692" i="9"/>
  <c r="J693" i="9"/>
  <c r="J694" i="9"/>
  <c r="J695" i="9"/>
  <c r="J696" i="9"/>
  <c r="J697" i="9"/>
  <c r="J698" i="9"/>
  <c r="J699" i="9"/>
  <c r="J700" i="9"/>
  <c r="J701" i="9"/>
  <c r="J702" i="9"/>
  <c r="J703" i="9"/>
  <c r="J704" i="9"/>
  <c r="J705" i="9"/>
  <c r="J706" i="9"/>
  <c r="J707" i="9"/>
  <c r="J708" i="9"/>
  <c r="J709" i="9"/>
  <c r="J710" i="9"/>
  <c r="J711" i="9"/>
  <c r="J712" i="9"/>
  <c r="J713" i="9"/>
  <c r="J714" i="9"/>
  <c r="J715" i="9"/>
  <c r="J716" i="9"/>
  <c r="J717" i="9"/>
  <c r="J718" i="9"/>
  <c r="J719" i="9"/>
  <c r="J720" i="9"/>
  <c r="J721" i="9"/>
  <c r="J722" i="9"/>
  <c r="J723" i="9"/>
  <c r="J724" i="9"/>
  <c r="J725" i="9"/>
  <c r="J726" i="9"/>
  <c r="J727" i="9"/>
  <c r="J728" i="9"/>
  <c r="J729" i="9"/>
  <c r="J730" i="9"/>
  <c r="J731" i="9"/>
  <c r="J732" i="9"/>
  <c r="J733" i="9"/>
  <c r="J734" i="9"/>
  <c r="J735" i="9"/>
  <c r="J736" i="9"/>
  <c r="J737" i="9"/>
  <c r="J738" i="9"/>
  <c r="J739" i="9"/>
  <c r="J740" i="9"/>
  <c r="J741" i="9"/>
  <c r="J742" i="9"/>
  <c r="J743" i="9"/>
  <c r="J744" i="9"/>
  <c r="J745" i="9"/>
  <c r="J746" i="9"/>
  <c r="J747" i="9"/>
  <c r="J748" i="9"/>
  <c r="J749" i="9"/>
  <c r="J750" i="9"/>
  <c r="J751" i="9"/>
  <c r="J752" i="9"/>
  <c r="J753" i="9"/>
  <c r="J754" i="9"/>
  <c r="J755" i="9"/>
  <c r="J756" i="9"/>
  <c r="J757" i="9"/>
  <c r="J758" i="9"/>
  <c r="J759" i="9"/>
  <c r="J760" i="9"/>
  <c r="J761" i="9"/>
  <c r="J762" i="9"/>
  <c r="J763" i="9"/>
  <c r="J764" i="9"/>
  <c r="J765" i="9"/>
  <c r="J766" i="9"/>
  <c r="J767" i="9"/>
  <c r="J768" i="9"/>
  <c r="J769" i="9"/>
  <c r="J770" i="9"/>
  <c r="J771" i="9"/>
  <c r="J772" i="9"/>
  <c r="J773" i="9"/>
  <c r="J774" i="9"/>
  <c r="J775" i="9"/>
  <c r="J776" i="9"/>
  <c r="J777" i="9"/>
  <c r="J778" i="9"/>
  <c r="J779" i="9"/>
  <c r="J780" i="9"/>
  <c r="J781" i="9"/>
  <c r="J782" i="9"/>
  <c r="J783" i="9"/>
  <c r="J784" i="9"/>
  <c r="J785" i="9"/>
  <c r="J786" i="9"/>
  <c r="J787" i="9"/>
  <c r="J788" i="9"/>
  <c r="J789" i="9"/>
  <c r="J790" i="9"/>
  <c r="J791" i="9"/>
  <c r="J792" i="9"/>
  <c r="J793" i="9"/>
  <c r="J794" i="9"/>
  <c r="J795" i="9"/>
  <c r="J796" i="9"/>
  <c r="J797" i="9"/>
  <c r="J798" i="9"/>
  <c r="J799" i="9"/>
  <c r="J800" i="9"/>
  <c r="J801" i="9"/>
  <c r="J802" i="9"/>
  <c r="J803" i="9"/>
  <c r="J804" i="9"/>
  <c r="J805" i="9"/>
  <c r="J806" i="9"/>
  <c r="J807" i="9"/>
  <c r="J808" i="9"/>
  <c r="J809" i="9"/>
  <c r="J810" i="9"/>
  <c r="J811" i="9"/>
  <c r="J812" i="9"/>
  <c r="J813" i="9"/>
  <c r="J814" i="9"/>
  <c r="J815" i="9"/>
  <c r="J816" i="9"/>
  <c r="J817" i="9"/>
  <c r="J818" i="9"/>
  <c r="J819" i="9"/>
  <c r="J820" i="9"/>
  <c r="J821" i="9"/>
  <c r="J822" i="9"/>
  <c r="J823" i="9"/>
  <c r="J824" i="9"/>
  <c r="J825" i="9"/>
  <c r="J826" i="9"/>
  <c r="J827" i="9"/>
  <c r="J828" i="9"/>
  <c r="J829" i="9"/>
  <c r="J830" i="9"/>
  <c r="J831" i="9"/>
  <c r="J832" i="9"/>
  <c r="J833" i="9"/>
  <c r="J834" i="9"/>
  <c r="J835" i="9"/>
  <c r="J836" i="9"/>
  <c r="J837" i="9"/>
  <c r="J838" i="9"/>
  <c r="J839" i="9"/>
  <c r="J840" i="9"/>
  <c r="J841" i="9"/>
  <c r="J842" i="9"/>
  <c r="J843" i="9"/>
  <c r="J844" i="9"/>
  <c r="J845" i="9"/>
  <c r="J846" i="9"/>
  <c r="J847" i="9"/>
  <c r="J848" i="9"/>
  <c r="J849" i="9"/>
  <c r="J850" i="9"/>
  <c r="J851" i="9"/>
  <c r="J852" i="9"/>
  <c r="J853" i="9"/>
  <c r="J854" i="9"/>
  <c r="J855" i="9"/>
  <c r="J856" i="9"/>
  <c r="J857" i="9"/>
  <c r="J858" i="9"/>
  <c r="J859" i="9"/>
  <c r="J860" i="9"/>
  <c r="J861" i="9"/>
  <c r="J862" i="9"/>
  <c r="J863" i="9"/>
  <c r="J864" i="9"/>
  <c r="J865" i="9"/>
  <c r="J866" i="9"/>
  <c r="J867" i="9"/>
  <c r="J868" i="9"/>
  <c r="J869" i="9"/>
  <c r="J870" i="9"/>
  <c r="J871" i="9"/>
  <c r="J872" i="9"/>
  <c r="J873" i="9"/>
  <c r="J874" i="9"/>
  <c r="J875" i="9"/>
  <c r="J876" i="9"/>
  <c r="J877" i="9"/>
  <c r="J878" i="9"/>
  <c r="J879" i="9"/>
  <c r="J880" i="9"/>
  <c r="J881" i="9"/>
  <c r="J882" i="9"/>
  <c r="J883" i="9"/>
  <c r="J884" i="9"/>
  <c r="J885" i="9"/>
  <c r="J886" i="9"/>
  <c r="J887" i="9"/>
  <c r="J888" i="9"/>
  <c r="J889" i="9"/>
  <c r="J890" i="9"/>
  <c r="J891" i="9"/>
  <c r="J892" i="9"/>
  <c r="J893" i="9"/>
  <c r="J894" i="9"/>
  <c r="J895" i="9"/>
  <c r="J896" i="9"/>
  <c r="J897" i="9"/>
  <c r="J898" i="9"/>
  <c r="J899" i="9"/>
  <c r="J900" i="9"/>
  <c r="J901" i="9"/>
  <c r="J902" i="9"/>
  <c r="J903" i="9"/>
  <c r="J904" i="9"/>
  <c r="J905" i="9"/>
  <c r="J906" i="9"/>
  <c r="J907" i="9"/>
  <c r="J908" i="9"/>
  <c r="J909" i="9"/>
  <c r="J910" i="9"/>
  <c r="J911" i="9"/>
  <c r="J912" i="9"/>
  <c r="J913" i="9"/>
  <c r="J914" i="9"/>
  <c r="J915" i="9"/>
  <c r="J916" i="9"/>
  <c r="J917" i="9"/>
  <c r="J918" i="9"/>
  <c r="J919" i="9"/>
  <c r="J920" i="9"/>
  <c r="J921" i="9"/>
  <c r="J922" i="9"/>
  <c r="J923" i="9"/>
  <c r="J924" i="9"/>
  <c r="J925" i="9"/>
  <c r="J926" i="9"/>
  <c r="J927" i="9"/>
  <c r="J928" i="9"/>
  <c r="J929" i="9"/>
  <c r="J930" i="9"/>
  <c r="J931" i="9"/>
  <c r="J932" i="9"/>
  <c r="J933" i="9"/>
  <c r="J934" i="9"/>
  <c r="J935" i="9"/>
  <c r="J936" i="9"/>
  <c r="J937" i="9"/>
  <c r="J938" i="9"/>
  <c r="J939" i="9"/>
  <c r="J940" i="9"/>
  <c r="J941" i="9"/>
  <c r="J942" i="9"/>
  <c r="J943" i="9"/>
  <c r="J944" i="9"/>
  <c r="J945" i="9"/>
  <c r="J946" i="9"/>
  <c r="J947" i="9"/>
  <c r="J948" i="9"/>
  <c r="J949" i="9"/>
  <c r="J950" i="9"/>
  <c r="J951" i="9"/>
  <c r="J952" i="9"/>
  <c r="J953" i="9"/>
  <c r="J954" i="9"/>
  <c r="J955" i="9"/>
  <c r="J956" i="9"/>
  <c r="J957" i="9"/>
  <c r="J958" i="9"/>
  <c r="J959" i="9"/>
  <c r="J960" i="9"/>
  <c r="J961" i="9"/>
  <c r="J962" i="9"/>
  <c r="J963" i="9"/>
  <c r="J964" i="9"/>
  <c r="J965" i="9"/>
  <c r="J966" i="9"/>
  <c r="J967" i="9"/>
  <c r="J968" i="9"/>
  <c r="J969" i="9"/>
  <c r="J970" i="9"/>
  <c r="J971" i="9"/>
  <c r="J972" i="9"/>
  <c r="J973" i="9"/>
  <c r="J974" i="9"/>
  <c r="J975" i="9"/>
  <c r="J976" i="9"/>
  <c r="J977" i="9"/>
  <c r="J978" i="9"/>
  <c r="J979" i="9"/>
  <c r="J980" i="9"/>
  <c r="J981" i="9"/>
  <c r="J982" i="9"/>
  <c r="J983" i="9"/>
  <c r="J984" i="9"/>
  <c r="J985" i="9"/>
  <c r="J986" i="9"/>
  <c r="J987" i="9"/>
  <c r="J988" i="9"/>
  <c r="J989" i="9"/>
  <c r="J990" i="9"/>
  <c r="J991" i="9"/>
  <c r="J992" i="9"/>
  <c r="J993" i="9"/>
  <c r="J994" i="9"/>
  <c r="J995" i="9"/>
  <c r="J996" i="9"/>
  <c r="J997" i="9"/>
  <c r="J998" i="9"/>
  <c r="J999" i="9"/>
  <c r="J1000" i="9"/>
  <c r="J1001" i="9"/>
  <c r="J1002" i="9"/>
  <c r="J1003" i="9"/>
  <c r="J1004" i="9"/>
  <c r="J1005" i="9"/>
  <c r="J1006" i="9"/>
  <c r="J1007" i="9"/>
  <c r="J1008" i="9"/>
  <c r="J1009" i="9"/>
  <c r="J1010" i="9"/>
  <c r="J1011" i="9"/>
  <c r="J1012" i="9"/>
  <c r="J1013" i="9"/>
  <c r="J1014" i="9"/>
  <c r="J1015" i="9"/>
  <c r="J1016" i="9"/>
  <c r="J1017" i="9"/>
  <c r="J1018" i="9"/>
  <c r="J1019" i="9"/>
  <c r="J1020" i="9"/>
  <c r="J1021" i="9"/>
  <c r="J1022" i="9"/>
  <c r="J1023" i="9"/>
  <c r="J1024" i="9"/>
  <c r="J1025" i="9"/>
  <c r="J1026" i="9"/>
  <c r="J1027" i="9"/>
  <c r="J1028" i="9"/>
  <c r="J1029" i="9"/>
  <c r="J1030" i="9"/>
  <c r="J1031" i="9"/>
  <c r="J1032" i="9"/>
  <c r="J1033" i="9"/>
  <c r="J1034" i="9"/>
  <c r="J1035" i="9"/>
  <c r="J1036" i="9"/>
  <c r="J1037" i="9"/>
  <c r="J1038" i="9"/>
  <c r="J1039" i="9"/>
  <c r="J1040" i="9"/>
  <c r="J1041" i="9"/>
  <c r="J1042" i="9"/>
  <c r="J1043" i="9"/>
  <c r="J1044" i="9"/>
  <c r="J1045" i="9"/>
  <c r="J1046" i="9"/>
  <c r="J1047" i="9"/>
  <c r="J1048" i="9"/>
  <c r="J1049" i="9"/>
  <c r="J1050" i="9"/>
  <c r="J1051" i="9"/>
  <c r="J1052" i="9"/>
  <c r="J1053" i="9"/>
  <c r="J1054" i="9"/>
  <c r="J1055" i="9"/>
  <c r="J1056" i="9"/>
  <c r="J1057" i="9"/>
  <c r="J1058" i="9"/>
  <c r="J1059" i="9"/>
  <c r="J1060" i="9"/>
  <c r="J1061" i="9"/>
  <c r="J1062" i="9"/>
  <c r="J1063" i="9"/>
  <c r="J1064" i="9"/>
  <c r="J1065" i="9"/>
  <c r="J1066" i="9"/>
  <c r="J1067" i="9"/>
  <c r="J1068" i="9"/>
  <c r="J1069" i="9"/>
  <c r="J1070" i="9"/>
  <c r="J1071" i="9"/>
  <c r="J1072" i="9"/>
  <c r="J1073" i="9"/>
  <c r="J1074" i="9"/>
  <c r="J1075" i="9"/>
  <c r="J1076" i="9"/>
  <c r="J1077" i="9"/>
  <c r="J1078" i="9"/>
  <c r="J1079" i="9"/>
  <c r="J1080" i="9"/>
  <c r="J1081" i="9"/>
  <c r="J1082" i="9"/>
  <c r="J1083" i="9"/>
  <c r="J1084" i="9"/>
  <c r="J1085" i="9"/>
  <c r="J1086" i="9"/>
  <c r="J1087" i="9"/>
  <c r="J1088" i="9"/>
  <c r="J1089" i="9"/>
  <c r="J1090" i="9"/>
  <c r="J1091" i="9"/>
  <c r="J1092" i="9"/>
  <c r="J1093" i="9"/>
  <c r="J1094" i="9"/>
  <c r="J1095" i="9"/>
  <c r="J1096" i="9"/>
  <c r="J1097" i="9"/>
  <c r="J1098" i="9"/>
  <c r="J1099" i="9"/>
  <c r="J1100" i="9"/>
  <c r="J1101" i="9"/>
  <c r="J1102" i="9"/>
  <c r="J1103" i="9"/>
  <c r="J1104" i="9"/>
  <c r="J1105" i="9"/>
  <c r="J1106" i="9"/>
  <c r="J1107" i="9"/>
  <c r="J1108" i="9"/>
  <c r="J1109" i="9"/>
  <c r="J1110" i="9"/>
  <c r="J1111" i="9"/>
  <c r="J1112" i="9"/>
  <c r="J1113" i="9"/>
  <c r="J1114" i="9"/>
  <c r="J1115" i="9"/>
  <c r="J1116" i="9"/>
  <c r="J1117" i="9"/>
  <c r="J1118" i="9"/>
  <c r="J1119" i="9"/>
  <c r="J1120" i="9"/>
  <c r="J1121" i="9"/>
  <c r="J1122" i="9"/>
  <c r="J1123" i="9"/>
  <c r="J1124" i="9"/>
  <c r="J1125" i="9"/>
  <c r="J1126" i="9"/>
  <c r="J1127" i="9"/>
  <c r="J1128" i="9"/>
  <c r="J1129" i="9"/>
  <c r="J1130" i="9"/>
  <c r="J1131" i="9"/>
  <c r="J1132" i="9"/>
  <c r="J1133" i="9"/>
  <c r="J1134" i="9"/>
  <c r="J1135" i="9"/>
  <c r="J1136" i="9"/>
  <c r="J1137" i="9"/>
  <c r="J1138" i="9"/>
  <c r="J1139" i="9"/>
  <c r="J1140" i="9"/>
  <c r="J1141" i="9"/>
  <c r="J1142" i="9"/>
  <c r="J1143" i="9"/>
  <c r="J1144" i="9"/>
  <c r="J1145" i="9"/>
  <c r="J1146" i="9"/>
  <c r="J1147" i="9"/>
  <c r="J1148" i="9"/>
  <c r="J1149" i="9"/>
  <c r="J1150" i="9"/>
  <c r="J1151" i="9"/>
  <c r="J1152" i="9"/>
  <c r="J1153" i="9"/>
  <c r="J1154" i="9"/>
  <c r="J1155" i="9"/>
  <c r="J1156" i="9"/>
  <c r="J1157" i="9"/>
  <c r="J1158" i="9"/>
  <c r="J1159" i="9"/>
  <c r="J1160" i="9"/>
  <c r="J1161" i="9"/>
  <c r="J1162" i="9"/>
  <c r="J1163" i="9"/>
  <c r="J1164" i="9"/>
  <c r="J1165" i="9"/>
  <c r="J1166" i="9"/>
  <c r="J1167" i="9"/>
  <c r="J1168" i="9"/>
  <c r="J1169" i="9"/>
  <c r="J1170" i="9"/>
  <c r="J1171" i="9"/>
  <c r="J1172" i="9"/>
  <c r="J1173" i="9"/>
  <c r="J1174" i="9"/>
  <c r="J1175" i="9"/>
  <c r="J1176" i="9"/>
  <c r="J1177" i="9"/>
  <c r="J1178" i="9"/>
  <c r="J1179" i="9"/>
  <c r="J1180" i="9"/>
  <c r="J1181" i="9"/>
  <c r="J1182" i="9"/>
  <c r="J1183" i="9"/>
  <c r="J1184" i="9"/>
  <c r="J1185" i="9"/>
  <c r="J1186" i="9"/>
  <c r="J1187" i="9"/>
  <c r="J1188" i="9"/>
  <c r="J1189" i="9"/>
  <c r="J1190" i="9"/>
  <c r="J1191" i="9"/>
  <c r="J1192" i="9"/>
  <c r="J1193" i="9"/>
  <c r="J1194" i="9"/>
  <c r="J1195" i="9"/>
  <c r="J1196" i="9"/>
  <c r="J1197" i="9"/>
  <c r="J1198" i="9"/>
  <c r="J1199" i="9"/>
  <c r="J1200" i="9"/>
  <c r="J1201" i="9"/>
  <c r="J1202" i="9"/>
  <c r="J1203" i="9"/>
  <c r="J1204" i="9"/>
  <c r="J1205" i="9"/>
  <c r="J1206" i="9"/>
  <c r="J1207" i="9"/>
  <c r="J1208" i="9"/>
  <c r="J1209" i="9"/>
  <c r="J1210" i="9"/>
  <c r="J1211" i="9"/>
  <c r="J1212" i="9"/>
  <c r="J1213" i="9"/>
  <c r="J1214" i="9"/>
  <c r="J1215" i="9"/>
  <c r="J1216" i="9"/>
  <c r="J1217" i="9"/>
  <c r="J1218" i="9"/>
  <c r="J1219" i="9"/>
  <c r="J1220" i="9"/>
  <c r="J1221" i="9"/>
  <c r="J1222" i="9"/>
  <c r="J1223" i="9"/>
  <c r="J1224" i="9"/>
  <c r="J1225" i="9"/>
  <c r="J1226" i="9"/>
  <c r="J1227" i="9"/>
  <c r="J1228" i="9"/>
  <c r="J1229" i="9"/>
  <c r="J1230" i="9"/>
  <c r="J1231" i="9"/>
  <c r="J1232" i="9"/>
  <c r="J1233" i="9"/>
  <c r="J1234" i="9"/>
  <c r="J1235" i="9"/>
  <c r="J1236" i="9"/>
  <c r="J1237" i="9"/>
  <c r="J1238" i="9"/>
  <c r="J1239" i="9"/>
  <c r="J1240" i="9"/>
  <c r="J1241" i="9"/>
  <c r="J1242" i="9"/>
  <c r="J1243" i="9"/>
  <c r="J1244" i="9"/>
  <c r="J1245" i="9"/>
  <c r="J1246" i="9"/>
  <c r="J1247" i="9"/>
  <c r="J1248" i="9"/>
  <c r="J1249" i="9"/>
  <c r="J1250" i="9"/>
  <c r="J1251" i="9"/>
  <c r="J1252" i="9"/>
  <c r="J1253" i="9"/>
  <c r="J1254" i="9"/>
  <c r="J1255" i="9"/>
  <c r="J1256" i="9"/>
  <c r="J1257" i="9"/>
  <c r="J1258" i="9"/>
  <c r="J1259" i="9"/>
  <c r="J1260" i="9"/>
  <c r="J1261" i="9"/>
  <c r="J1262" i="9"/>
  <c r="J1263" i="9"/>
  <c r="J1264" i="9"/>
  <c r="J1265" i="9"/>
  <c r="J1266" i="9"/>
  <c r="J1267" i="9"/>
  <c r="J1268" i="9"/>
  <c r="J1269" i="9"/>
  <c r="J1270" i="9"/>
  <c r="J1271" i="9"/>
  <c r="J1272" i="9"/>
  <c r="J1273" i="9"/>
  <c r="J1274" i="9"/>
  <c r="J1275" i="9"/>
  <c r="J1276" i="9"/>
  <c r="J1277" i="9"/>
  <c r="J1278" i="9"/>
  <c r="J1279" i="9"/>
  <c r="J1280" i="9"/>
  <c r="J1281" i="9"/>
  <c r="J1282" i="9"/>
  <c r="J1283" i="9"/>
  <c r="J1284" i="9"/>
  <c r="J1285" i="9"/>
  <c r="J1286" i="9"/>
  <c r="J1287" i="9"/>
  <c r="J1288" i="9"/>
  <c r="J1289" i="9"/>
  <c r="J1290" i="9"/>
  <c r="J1291" i="9"/>
  <c r="J1292" i="9"/>
  <c r="J1293" i="9"/>
  <c r="J1294" i="9"/>
  <c r="J1295" i="9"/>
  <c r="J1296" i="9"/>
  <c r="J1297" i="9"/>
  <c r="J1298" i="9"/>
  <c r="J1299" i="9"/>
  <c r="J1300" i="9"/>
  <c r="J1301" i="9"/>
  <c r="J1302" i="9"/>
  <c r="J1303" i="9"/>
  <c r="J1304" i="9"/>
  <c r="J1305" i="9"/>
  <c r="J1306" i="9"/>
  <c r="J1307" i="9"/>
  <c r="J1308" i="9"/>
  <c r="J1309" i="9"/>
  <c r="J1310" i="9"/>
  <c r="J1311" i="9"/>
  <c r="J1312" i="9"/>
  <c r="J1313" i="9"/>
  <c r="J1314" i="9"/>
  <c r="J1315" i="9"/>
  <c r="J1316" i="9"/>
  <c r="J1317" i="9"/>
  <c r="J1318" i="9"/>
  <c r="J1319" i="9"/>
  <c r="J1320" i="9"/>
  <c r="J1321" i="9"/>
  <c r="J1322" i="9"/>
  <c r="J1323" i="9"/>
  <c r="J1324" i="9"/>
  <c r="J1325" i="9"/>
  <c r="J1326" i="9"/>
  <c r="J1327" i="9"/>
  <c r="J1328" i="9"/>
  <c r="J1329" i="9"/>
  <c r="J1330" i="9"/>
  <c r="J1331" i="9"/>
  <c r="J1332" i="9"/>
  <c r="J1333" i="9"/>
  <c r="J1334" i="9"/>
  <c r="J1335" i="9"/>
  <c r="J1336" i="9"/>
  <c r="J1337" i="9"/>
  <c r="J1338" i="9"/>
  <c r="J1339" i="9"/>
  <c r="J1340" i="9"/>
  <c r="J1341" i="9"/>
  <c r="J1342" i="9"/>
  <c r="J1343" i="9"/>
  <c r="J1344" i="9"/>
  <c r="J1345" i="9"/>
  <c r="J1346" i="9"/>
  <c r="J1347" i="9"/>
  <c r="J1348" i="9"/>
  <c r="J1349" i="9"/>
  <c r="J1350" i="9"/>
  <c r="J1351" i="9"/>
  <c r="J1352" i="9"/>
  <c r="J1353" i="9"/>
  <c r="J1354" i="9"/>
  <c r="J1355" i="9"/>
  <c r="J1356" i="9"/>
  <c r="J1357" i="9"/>
  <c r="J1358" i="9"/>
  <c r="J1359" i="9"/>
  <c r="J1360" i="9"/>
  <c r="J1361" i="9"/>
  <c r="J1362" i="9"/>
  <c r="J1363" i="9"/>
  <c r="J1364" i="9"/>
  <c r="J1365" i="9"/>
  <c r="J1366" i="9"/>
  <c r="J1367" i="9"/>
  <c r="J1368" i="9"/>
  <c r="J1369" i="9"/>
  <c r="J1370" i="9"/>
  <c r="J1371" i="9"/>
  <c r="J1372" i="9"/>
  <c r="J1373" i="9"/>
  <c r="J1374" i="9"/>
  <c r="J1375" i="9"/>
  <c r="J1376" i="9"/>
  <c r="J1377" i="9"/>
  <c r="J1378" i="9"/>
  <c r="J1379" i="9"/>
  <c r="J1380" i="9"/>
  <c r="J1381" i="9"/>
  <c r="J1382" i="9"/>
  <c r="J1383" i="9"/>
  <c r="J1384" i="9"/>
  <c r="J1385" i="9"/>
  <c r="J1386" i="9"/>
  <c r="J1387" i="9"/>
  <c r="J1388" i="9"/>
  <c r="J1389" i="9"/>
  <c r="J1390" i="9"/>
  <c r="J1391" i="9"/>
  <c r="J1392" i="9"/>
  <c r="J1393" i="9"/>
  <c r="J1394" i="9"/>
  <c r="J1395" i="9"/>
  <c r="J1396" i="9"/>
  <c r="J1397" i="9"/>
  <c r="J1398" i="9"/>
  <c r="J1399" i="9"/>
  <c r="J1400" i="9"/>
  <c r="J1401" i="9"/>
  <c r="J1402" i="9"/>
  <c r="J1403" i="9"/>
  <c r="J1404" i="9"/>
  <c r="J1405" i="9"/>
  <c r="J1406" i="9"/>
  <c r="J1407" i="9"/>
  <c r="J1408" i="9"/>
  <c r="J1409" i="9"/>
  <c r="J1410" i="9"/>
  <c r="J1411" i="9"/>
  <c r="J1412" i="9"/>
  <c r="J1413" i="9"/>
  <c r="J1414" i="9"/>
  <c r="J1415" i="9"/>
  <c r="J1416" i="9"/>
  <c r="J1417" i="9"/>
  <c r="J1418" i="9"/>
  <c r="J1419" i="9"/>
  <c r="J1420" i="9"/>
  <c r="J1421" i="9"/>
  <c r="J1422" i="9"/>
  <c r="J1423" i="9"/>
  <c r="J1424" i="9"/>
  <c r="J1425" i="9"/>
  <c r="J1426" i="9"/>
  <c r="J1427" i="9"/>
  <c r="J1428" i="9"/>
  <c r="J1429" i="9"/>
  <c r="J1430" i="9"/>
  <c r="J1431" i="9"/>
  <c r="J1432" i="9"/>
  <c r="J1433" i="9"/>
  <c r="J1434" i="9"/>
  <c r="J1435" i="9"/>
  <c r="J1436" i="9"/>
  <c r="J1437" i="9"/>
  <c r="J1438" i="9"/>
  <c r="J1439" i="9"/>
  <c r="J1440" i="9"/>
  <c r="J1441" i="9"/>
  <c r="J1442" i="9"/>
  <c r="J1443" i="9"/>
  <c r="J1444" i="9"/>
  <c r="J1445" i="9"/>
  <c r="J1446" i="9"/>
  <c r="J1447" i="9"/>
  <c r="J1448" i="9"/>
  <c r="J1449" i="9"/>
  <c r="J1450" i="9"/>
  <c r="J1451" i="9"/>
  <c r="J1452" i="9"/>
  <c r="J1453" i="9"/>
  <c r="J1454" i="9"/>
  <c r="J1455" i="9"/>
  <c r="J1456" i="9"/>
  <c r="J1457" i="9"/>
  <c r="J1458" i="9"/>
  <c r="J1459" i="9"/>
  <c r="J1460" i="9"/>
  <c r="J1461" i="9"/>
  <c r="J1462" i="9"/>
  <c r="J1463" i="9"/>
  <c r="J1464" i="9"/>
  <c r="J1465" i="9"/>
  <c r="J1466" i="9"/>
  <c r="J1467" i="9"/>
  <c r="J1468" i="9"/>
  <c r="J1469" i="9"/>
  <c r="J1470" i="9"/>
  <c r="J1471" i="9"/>
  <c r="J1472" i="9"/>
  <c r="J1473" i="9"/>
  <c r="J1474" i="9"/>
  <c r="J1475" i="9"/>
  <c r="J1476" i="9"/>
  <c r="J1477" i="9"/>
  <c r="J1478" i="9"/>
  <c r="J1479" i="9"/>
  <c r="J1480" i="9"/>
  <c r="J1481" i="9"/>
  <c r="J1482" i="9"/>
  <c r="J1483" i="9"/>
  <c r="J1484" i="9"/>
  <c r="J1485" i="9"/>
  <c r="J1486" i="9"/>
  <c r="J1487" i="9"/>
  <c r="J1488" i="9"/>
  <c r="J1489" i="9"/>
  <c r="J1490" i="9"/>
  <c r="J1491" i="9"/>
  <c r="J1492" i="9"/>
  <c r="J1493" i="9"/>
  <c r="J1494" i="9"/>
  <c r="J1495" i="9"/>
  <c r="J1496" i="9"/>
  <c r="J1497" i="9"/>
  <c r="J1498" i="9"/>
  <c r="J1499" i="9"/>
  <c r="J1500" i="9"/>
  <c r="J1501" i="9"/>
  <c r="J1502" i="9"/>
  <c r="J1503" i="9"/>
  <c r="J1504" i="9"/>
  <c r="J1505" i="9"/>
  <c r="J1506" i="9"/>
  <c r="J1507" i="9"/>
  <c r="J1508" i="9"/>
  <c r="J1509" i="9"/>
  <c r="J1510" i="9"/>
  <c r="J1511" i="9"/>
  <c r="J1512" i="9"/>
  <c r="J1513" i="9"/>
  <c r="J1514" i="9"/>
  <c r="J1515" i="9"/>
  <c r="J1516" i="9"/>
  <c r="J1517" i="9"/>
  <c r="J1518" i="9"/>
  <c r="J1519" i="9"/>
  <c r="J1520" i="9"/>
  <c r="J1521" i="9"/>
  <c r="J1522" i="9"/>
  <c r="J1523" i="9"/>
  <c r="J1524" i="9"/>
  <c r="J1525" i="9"/>
  <c r="J1526" i="9"/>
  <c r="J1527" i="9"/>
  <c r="J1528" i="9"/>
  <c r="J1529" i="9"/>
  <c r="J1530" i="9"/>
  <c r="J1531" i="9"/>
  <c r="J1532" i="9"/>
  <c r="J1533" i="9"/>
  <c r="J1534" i="9"/>
  <c r="J1535" i="9"/>
  <c r="J1536" i="9"/>
  <c r="J1537" i="9"/>
  <c r="J1538" i="9"/>
  <c r="J1539" i="9"/>
  <c r="J1540" i="9"/>
  <c r="J1541" i="9"/>
  <c r="J1542" i="9"/>
  <c r="J1543" i="9"/>
  <c r="J1544" i="9"/>
  <c r="J1545" i="9"/>
  <c r="J1546" i="9"/>
  <c r="J1547" i="9"/>
  <c r="J1548" i="9"/>
  <c r="J1549" i="9"/>
  <c r="J1550" i="9"/>
  <c r="J1551" i="9"/>
  <c r="J1552" i="9"/>
  <c r="J1553" i="9"/>
  <c r="J1554" i="9"/>
  <c r="J1555" i="9"/>
  <c r="J1556" i="9"/>
  <c r="J1557" i="9"/>
  <c r="J1558" i="9"/>
  <c r="J1559" i="9"/>
  <c r="J1560" i="9"/>
  <c r="J1561" i="9"/>
  <c r="J1562" i="9"/>
  <c r="J1563" i="9"/>
  <c r="J1564" i="9"/>
  <c r="J1565" i="9"/>
  <c r="J1566" i="9"/>
  <c r="J1567" i="9"/>
  <c r="J1568" i="9"/>
  <c r="J1569" i="9"/>
  <c r="J1570" i="9"/>
  <c r="J1571" i="9"/>
  <c r="J1572" i="9"/>
  <c r="J1573" i="9"/>
  <c r="J1574" i="9"/>
  <c r="J1575" i="9"/>
  <c r="J1576" i="9"/>
  <c r="J1577" i="9"/>
  <c r="J1578" i="9"/>
  <c r="J1579" i="9"/>
  <c r="J1580" i="9"/>
  <c r="J1581" i="9"/>
  <c r="J1582" i="9"/>
  <c r="J1583" i="9"/>
  <c r="J1584" i="9"/>
  <c r="J1585" i="9"/>
  <c r="J1586" i="9"/>
  <c r="J1587" i="9"/>
  <c r="J1588" i="9"/>
  <c r="J1589" i="9"/>
  <c r="J1590" i="9"/>
  <c r="J1591" i="9"/>
  <c r="J1592" i="9"/>
  <c r="J1593" i="9"/>
  <c r="J1594" i="9"/>
  <c r="J1595" i="9"/>
  <c r="J1596" i="9"/>
  <c r="J1597" i="9"/>
  <c r="J1598" i="9"/>
  <c r="J1599" i="9"/>
  <c r="J1600" i="9"/>
  <c r="J1601" i="9"/>
  <c r="J1602" i="9"/>
  <c r="J1603" i="9"/>
  <c r="J1604" i="9"/>
  <c r="J1605" i="9"/>
  <c r="J1606" i="9"/>
  <c r="J1607" i="9"/>
  <c r="J1608" i="9"/>
  <c r="J1609" i="9"/>
  <c r="J1610" i="9"/>
  <c r="J1611" i="9"/>
  <c r="J1612" i="9"/>
  <c r="J1613" i="9"/>
  <c r="J1614" i="9"/>
  <c r="J1615" i="9"/>
  <c r="J1616" i="9"/>
  <c r="J1617" i="9"/>
  <c r="J1618" i="9"/>
  <c r="J1619" i="9"/>
  <c r="J1620" i="9"/>
  <c r="J1621" i="9"/>
  <c r="J1622" i="9"/>
  <c r="J1623" i="9"/>
  <c r="J1624" i="9"/>
  <c r="J1625" i="9"/>
  <c r="J1626" i="9"/>
  <c r="J1627" i="9"/>
  <c r="J1628" i="9"/>
  <c r="J1629" i="9"/>
  <c r="J1630" i="9"/>
  <c r="J1631" i="9"/>
  <c r="J1632" i="9"/>
  <c r="J1633" i="9"/>
  <c r="J1634" i="9"/>
  <c r="J1635" i="9"/>
  <c r="J1636" i="9"/>
  <c r="J1637" i="9"/>
  <c r="J1638" i="9"/>
  <c r="J1639" i="9"/>
  <c r="J1640" i="9"/>
  <c r="J1641" i="9"/>
  <c r="J1642" i="9"/>
  <c r="J1643" i="9"/>
  <c r="J1644" i="9"/>
  <c r="J1645" i="9"/>
  <c r="J1646" i="9"/>
  <c r="J1647" i="9"/>
  <c r="J1648" i="9"/>
  <c r="J1649" i="9"/>
  <c r="J1650" i="9"/>
  <c r="J1651" i="9"/>
  <c r="J1652" i="9"/>
  <c r="J1653" i="9"/>
  <c r="J1654" i="9"/>
  <c r="J1655" i="9"/>
  <c r="J1656" i="9"/>
  <c r="J1657" i="9"/>
  <c r="J1658" i="9"/>
  <c r="J1659" i="9"/>
  <c r="J1660" i="9"/>
  <c r="J1661" i="9"/>
  <c r="J1662" i="9"/>
  <c r="J1663" i="9"/>
  <c r="J1664" i="9"/>
  <c r="J1665" i="9"/>
  <c r="J1666" i="9"/>
  <c r="J1667" i="9"/>
  <c r="J1668" i="9"/>
  <c r="J1669" i="9"/>
  <c r="J1670" i="9"/>
  <c r="J1671" i="9"/>
  <c r="J1672" i="9"/>
  <c r="J1673" i="9"/>
  <c r="J1674" i="9"/>
  <c r="J1675" i="9"/>
  <c r="J1676" i="9"/>
  <c r="J1677" i="9"/>
  <c r="J1678" i="9"/>
  <c r="J1679" i="9"/>
  <c r="J1680" i="9"/>
  <c r="J1681" i="9"/>
  <c r="J1682" i="9"/>
  <c r="J1683" i="9"/>
  <c r="J1684" i="9"/>
  <c r="J1685" i="9"/>
  <c r="J1686" i="9"/>
  <c r="J1687" i="9"/>
  <c r="J1688" i="9"/>
  <c r="J1689" i="9"/>
  <c r="J1690" i="9"/>
  <c r="J1691" i="9"/>
  <c r="J1692" i="9"/>
  <c r="J1693" i="9"/>
  <c r="J1694" i="9"/>
  <c r="J1695" i="9"/>
  <c r="J1696" i="9"/>
  <c r="J1697" i="9"/>
  <c r="J1698" i="9"/>
  <c r="J1699" i="9"/>
  <c r="J1700" i="9"/>
  <c r="J1701" i="9"/>
  <c r="J1702" i="9"/>
  <c r="J1703" i="9"/>
  <c r="J1704" i="9"/>
  <c r="J1705" i="9"/>
  <c r="J1706" i="9"/>
  <c r="J1707" i="9"/>
  <c r="J1708" i="9"/>
  <c r="J1709" i="9"/>
  <c r="J1710" i="9"/>
  <c r="J1711" i="9"/>
  <c r="J1712" i="9"/>
  <c r="J1713" i="9"/>
  <c r="J1714" i="9"/>
  <c r="J1715" i="9"/>
  <c r="J1716" i="9"/>
  <c r="J1717" i="9"/>
  <c r="J1718" i="9"/>
  <c r="J1719" i="9"/>
  <c r="J1720" i="9"/>
  <c r="J1721" i="9"/>
  <c r="J1722" i="9"/>
  <c r="J1723" i="9"/>
  <c r="J1724" i="9"/>
  <c r="J1725" i="9"/>
  <c r="J1726" i="9"/>
  <c r="J1727" i="9"/>
  <c r="J1728" i="9"/>
  <c r="J1729" i="9"/>
  <c r="J1730" i="9"/>
  <c r="J1731" i="9"/>
  <c r="J1732" i="9"/>
  <c r="J1733" i="9"/>
  <c r="J1734" i="9"/>
  <c r="J1735" i="9"/>
  <c r="J1736" i="9"/>
  <c r="J1737" i="9"/>
  <c r="J1738" i="9"/>
  <c r="J1739" i="9"/>
  <c r="J1740" i="9"/>
  <c r="J1741" i="9"/>
  <c r="J1742" i="9"/>
  <c r="J1743" i="9"/>
  <c r="J1744" i="9"/>
  <c r="J1745" i="9"/>
  <c r="J1746" i="9"/>
  <c r="J1747" i="9"/>
  <c r="J1748" i="9"/>
  <c r="J1749" i="9"/>
  <c r="J1750" i="9"/>
  <c r="J1751" i="9"/>
  <c r="J1752" i="9"/>
  <c r="J1753" i="9"/>
  <c r="J1754" i="9"/>
  <c r="J1755" i="9"/>
  <c r="J1756" i="9"/>
  <c r="J1757" i="9"/>
  <c r="J1758" i="9"/>
  <c r="J1759" i="9"/>
  <c r="J1760" i="9"/>
  <c r="J1761" i="9"/>
  <c r="J1762" i="9"/>
  <c r="J1763" i="9"/>
  <c r="J1764" i="9"/>
  <c r="J1765" i="9"/>
  <c r="J1766" i="9"/>
  <c r="J1767" i="9"/>
  <c r="J1768" i="9"/>
  <c r="J1769" i="9"/>
  <c r="J1770" i="9"/>
  <c r="J1771" i="9"/>
  <c r="J1772" i="9"/>
  <c r="J1773" i="9"/>
  <c r="J1774" i="9"/>
  <c r="J1775" i="9"/>
  <c r="J1776" i="9"/>
  <c r="J1777" i="9"/>
  <c r="J1778" i="9"/>
  <c r="J1779" i="9"/>
  <c r="J1780" i="9"/>
  <c r="J1781" i="9"/>
  <c r="J1782" i="9"/>
  <c r="J1783" i="9"/>
  <c r="J1784" i="9"/>
  <c r="J1785" i="9"/>
  <c r="J1786" i="9"/>
  <c r="J1787" i="9"/>
  <c r="J1788" i="9"/>
  <c r="J1789" i="9"/>
  <c r="J1790" i="9"/>
  <c r="J1791" i="9"/>
  <c r="J1792" i="9"/>
  <c r="J1793" i="9"/>
  <c r="J1794" i="9"/>
  <c r="J1795" i="9"/>
  <c r="J1796" i="9"/>
  <c r="J1797" i="9"/>
  <c r="J1798" i="9"/>
  <c r="J1799" i="9"/>
  <c r="J1800" i="9"/>
  <c r="J1801" i="9"/>
  <c r="J1802" i="9"/>
  <c r="J1803" i="9"/>
  <c r="J1804" i="9"/>
  <c r="J1805" i="9"/>
  <c r="J1806" i="9"/>
  <c r="J1807" i="9"/>
  <c r="J1808" i="9"/>
  <c r="J1809" i="9"/>
  <c r="J1810" i="9"/>
  <c r="J1811" i="9"/>
  <c r="J1812" i="9"/>
  <c r="J1813" i="9"/>
  <c r="J1814" i="9"/>
  <c r="J1815" i="9"/>
  <c r="J1816" i="9"/>
  <c r="J1817" i="9"/>
  <c r="J1818" i="9"/>
  <c r="J1819" i="9"/>
  <c r="J1820" i="9"/>
  <c r="J1821" i="9"/>
  <c r="J1822" i="9"/>
  <c r="J1823" i="9"/>
  <c r="J1824" i="9"/>
  <c r="J1825" i="9"/>
  <c r="J1826" i="9"/>
  <c r="J1827" i="9"/>
  <c r="J1828" i="9"/>
  <c r="J1829" i="9"/>
  <c r="J1830" i="9"/>
  <c r="J1831" i="9"/>
  <c r="J1832" i="9"/>
  <c r="J1833" i="9"/>
  <c r="J1834" i="9"/>
  <c r="J1835" i="9"/>
  <c r="J1836" i="9"/>
  <c r="J1837" i="9"/>
  <c r="J1838" i="9"/>
  <c r="J1839" i="9"/>
  <c r="J1840" i="9"/>
  <c r="J1841" i="9"/>
  <c r="J1842" i="9"/>
  <c r="J1843" i="9"/>
  <c r="J1844" i="9"/>
  <c r="J1845" i="9"/>
  <c r="J1846" i="9"/>
  <c r="J1847" i="9"/>
  <c r="J1848" i="9"/>
  <c r="J1849" i="9"/>
  <c r="J1850" i="9"/>
  <c r="J1851" i="9"/>
  <c r="J1852" i="9"/>
  <c r="J1853" i="9"/>
  <c r="J1854" i="9"/>
  <c r="J1855" i="9"/>
  <c r="J1856" i="9"/>
  <c r="J1857" i="9"/>
  <c r="J1858" i="9"/>
  <c r="J1859" i="9"/>
  <c r="J1860" i="9"/>
  <c r="J1861" i="9"/>
  <c r="J1862" i="9"/>
  <c r="J1863" i="9"/>
  <c r="J1864" i="9"/>
  <c r="J1865" i="9"/>
  <c r="J1866" i="9"/>
  <c r="J1867" i="9"/>
  <c r="J1868" i="9"/>
  <c r="J1869" i="9"/>
  <c r="J1870" i="9"/>
  <c r="J1871" i="9"/>
  <c r="J1872" i="9"/>
  <c r="J1873" i="9"/>
  <c r="J1874" i="9"/>
  <c r="J1875" i="9"/>
  <c r="J1876" i="9"/>
  <c r="J1877" i="9"/>
  <c r="J1878" i="9"/>
  <c r="J1879" i="9"/>
  <c r="J1880" i="9"/>
  <c r="J1881" i="9"/>
  <c r="J1882" i="9"/>
  <c r="J1883" i="9"/>
  <c r="J1884" i="9"/>
  <c r="J1885" i="9"/>
  <c r="J1886" i="9"/>
  <c r="J1887" i="9"/>
  <c r="J1888" i="9"/>
  <c r="J1889" i="9"/>
  <c r="J1890" i="9"/>
  <c r="J1891" i="9"/>
  <c r="J1892" i="9"/>
  <c r="J1893" i="9"/>
  <c r="J1894" i="9"/>
  <c r="J1895" i="9"/>
  <c r="J1896" i="9"/>
  <c r="J1897" i="9"/>
  <c r="J1898" i="9"/>
  <c r="J1899" i="9"/>
  <c r="J1900" i="9"/>
  <c r="J1901" i="9"/>
  <c r="J1902" i="9"/>
  <c r="J1903" i="9"/>
  <c r="J1904" i="9"/>
  <c r="J1905" i="9"/>
  <c r="J1906" i="9"/>
  <c r="J1907" i="9"/>
  <c r="J1908" i="9"/>
  <c r="J1909" i="9"/>
  <c r="J1910" i="9"/>
  <c r="J1911" i="9"/>
  <c r="J1912" i="9"/>
  <c r="J1913" i="9"/>
  <c r="J1914" i="9"/>
  <c r="J1915" i="9"/>
  <c r="J1916" i="9"/>
  <c r="J1917" i="9"/>
  <c r="J1918" i="9"/>
  <c r="J1919" i="9"/>
  <c r="J1920" i="9"/>
  <c r="J1921" i="9"/>
  <c r="J1922" i="9"/>
  <c r="J1923" i="9"/>
  <c r="J1924" i="9"/>
  <c r="J1925" i="9"/>
  <c r="J1926" i="9"/>
  <c r="J1927" i="9"/>
  <c r="J1928" i="9"/>
  <c r="J1929" i="9"/>
  <c r="J1930" i="9"/>
  <c r="J1931" i="9"/>
  <c r="J1932" i="9"/>
  <c r="J1933" i="9"/>
  <c r="J1934" i="9"/>
  <c r="J1935" i="9"/>
  <c r="J1936" i="9"/>
  <c r="J1937" i="9"/>
  <c r="J1938" i="9"/>
  <c r="J1939" i="9"/>
  <c r="J1940" i="9"/>
  <c r="J1941" i="9"/>
  <c r="J1942" i="9"/>
  <c r="J1943" i="9"/>
  <c r="J1944" i="9"/>
  <c r="J1945" i="9"/>
  <c r="J1946" i="9"/>
  <c r="J1947" i="9"/>
  <c r="J1948" i="9"/>
  <c r="J1949" i="9"/>
  <c r="J1950" i="9"/>
  <c r="J1951" i="9"/>
  <c r="J1952" i="9"/>
  <c r="J1953" i="9"/>
  <c r="J1954" i="9"/>
  <c r="J1955" i="9"/>
  <c r="J1956" i="9"/>
  <c r="J1957" i="9"/>
  <c r="J1958" i="9"/>
  <c r="J1959" i="9"/>
  <c r="J1960" i="9"/>
  <c r="J1961" i="9"/>
  <c r="J1962" i="9"/>
  <c r="J1963" i="9"/>
  <c r="J1964" i="9"/>
  <c r="J1965" i="9"/>
  <c r="J1966" i="9"/>
  <c r="J1967" i="9"/>
  <c r="J1968" i="9"/>
  <c r="J1969" i="9"/>
  <c r="J1970" i="9"/>
  <c r="J1971" i="9"/>
  <c r="J1972" i="9"/>
  <c r="J1973" i="9"/>
  <c r="J1974" i="9"/>
  <c r="J1975" i="9"/>
  <c r="J1976" i="9"/>
  <c r="J1977" i="9"/>
  <c r="J1978" i="9"/>
  <c r="J1979" i="9"/>
  <c r="J1980" i="9"/>
  <c r="J1981" i="9"/>
  <c r="J1982" i="9"/>
  <c r="J1983" i="9"/>
  <c r="J1984" i="9"/>
  <c r="J1985" i="9"/>
  <c r="J1986" i="9"/>
  <c r="J1987" i="9"/>
  <c r="J1988" i="9"/>
  <c r="J1989" i="9"/>
  <c r="J1990" i="9"/>
  <c r="J1991" i="9"/>
  <c r="J1992" i="9"/>
  <c r="J1993" i="9"/>
  <c r="J1994" i="9"/>
  <c r="J1995" i="9"/>
  <c r="J1996" i="9"/>
  <c r="J1997" i="9"/>
  <c r="J1998" i="9"/>
  <c r="J1999" i="9"/>
  <c r="J2000" i="9"/>
  <c r="J2001" i="9"/>
  <c r="J2002" i="9"/>
  <c r="J2003" i="9"/>
  <c r="J2004" i="9"/>
  <c r="J2005" i="9"/>
  <c r="J2006" i="9"/>
  <c r="J2007" i="9"/>
  <c r="J2008" i="9"/>
  <c r="J2009" i="9"/>
  <c r="J2010" i="9"/>
  <c r="J2011" i="9"/>
  <c r="J2012" i="9"/>
  <c r="J2013" i="9"/>
  <c r="J2014" i="9"/>
  <c r="J2015" i="9"/>
  <c r="J2016" i="9"/>
  <c r="J2017" i="9"/>
  <c r="J2018" i="9"/>
  <c r="J2019" i="9"/>
  <c r="J2020" i="9"/>
  <c r="J2021" i="9"/>
  <c r="J2022" i="9"/>
  <c r="J2023" i="9"/>
  <c r="J2024" i="9"/>
  <c r="J2025" i="9"/>
  <c r="J2026" i="9"/>
  <c r="J2027" i="9"/>
  <c r="J2028" i="9"/>
  <c r="J2029" i="9"/>
  <c r="J2030" i="9"/>
  <c r="J2031" i="9"/>
  <c r="J2032" i="9"/>
  <c r="J2033" i="9"/>
  <c r="J2034" i="9"/>
  <c r="J2035" i="9"/>
  <c r="J2036" i="9"/>
  <c r="J2037" i="9"/>
  <c r="J2038" i="9"/>
  <c r="J2039" i="9"/>
  <c r="J2040" i="9"/>
  <c r="J2041" i="9"/>
  <c r="J2042" i="9"/>
  <c r="J2043" i="9"/>
  <c r="J2044" i="9"/>
  <c r="J2045" i="9"/>
  <c r="J2046" i="9"/>
  <c r="J2047" i="9"/>
  <c r="J2048" i="9"/>
  <c r="J2049" i="9"/>
  <c r="J2050" i="9"/>
  <c r="J2051" i="9"/>
  <c r="J2052" i="9"/>
  <c r="J2053" i="9"/>
  <c r="J2054" i="9"/>
  <c r="J2055" i="9"/>
  <c r="J2056" i="9"/>
  <c r="J2057" i="9"/>
  <c r="J2058" i="9"/>
  <c r="J2059" i="9"/>
  <c r="J2060" i="9"/>
  <c r="J2061" i="9"/>
  <c r="J2062" i="9"/>
  <c r="J2063" i="9"/>
  <c r="J2064" i="9"/>
  <c r="J2065" i="9"/>
  <c r="J2066" i="9"/>
  <c r="J2067" i="9"/>
  <c r="J2068" i="9"/>
  <c r="J2069" i="9"/>
  <c r="J2070" i="9"/>
  <c r="J2071" i="9"/>
  <c r="J2072" i="9"/>
  <c r="J2073" i="9"/>
  <c r="J2074" i="9"/>
  <c r="J2075" i="9"/>
  <c r="J2076" i="9"/>
  <c r="J2077" i="9"/>
  <c r="J2078" i="9"/>
  <c r="J2079" i="9"/>
  <c r="J2080" i="9"/>
  <c r="J2081" i="9"/>
  <c r="J2082" i="9"/>
  <c r="J2083" i="9"/>
  <c r="J2084" i="9"/>
  <c r="J2085" i="9"/>
  <c r="J2086" i="9"/>
  <c r="J2087" i="9"/>
  <c r="J2088" i="9"/>
  <c r="J2089" i="9"/>
  <c r="J2090" i="9"/>
  <c r="J2091" i="9"/>
  <c r="J2092" i="9"/>
  <c r="J2093" i="9"/>
  <c r="J2094" i="9"/>
  <c r="J2095" i="9"/>
  <c r="J2096" i="9"/>
  <c r="J2097" i="9"/>
  <c r="J2098" i="9"/>
  <c r="J2099" i="9"/>
  <c r="J2100" i="9"/>
  <c r="J2101" i="9"/>
  <c r="J2102" i="9"/>
  <c r="J2103" i="9"/>
  <c r="J2104" i="9"/>
  <c r="J2105" i="9"/>
  <c r="J2106" i="9"/>
  <c r="J2107" i="9"/>
  <c r="J2108" i="9"/>
  <c r="J2109" i="9"/>
  <c r="J2110" i="9"/>
  <c r="J2111" i="9"/>
  <c r="J2112" i="9"/>
  <c r="J2113" i="9"/>
  <c r="J2114" i="9"/>
  <c r="J2115" i="9"/>
  <c r="J2116" i="9"/>
  <c r="J2117" i="9"/>
  <c r="J2118" i="9"/>
  <c r="J2119" i="9"/>
  <c r="J2120" i="9"/>
  <c r="J2121" i="9"/>
  <c r="J2122" i="9"/>
  <c r="J2123" i="9"/>
  <c r="J2124" i="9"/>
  <c r="J2125" i="9"/>
  <c r="J2126" i="9"/>
  <c r="J2127" i="9"/>
  <c r="J2128" i="9"/>
  <c r="J2129" i="9"/>
  <c r="J2130" i="9"/>
  <c r="J2131" i="9"/>
  <c r="J2132" i="9"/>
  <c r="J2133" i="9"/>
  <c r="J2134" i="9"/>
  <c r="J2135" i="9"/>
  <c r="J2136" i="9"/>
  <c r="J2137" i="9"/>
  <c r="J2138" i="9"/>
  <c r="J2139" i="9"/>
  <c r="J2140" i="9"/>
  <c r="J2141" i="9"/>
  <c r="J2142" i="9"/>
  <c r="J2143" i="9"/>
  <c r="J2144" i="9"/>
  <c r="J2145" i="9"/>
  <c r="J2146" i="9"/>
  <c r="J2147" i="9"/>
  <c r="J2148" i="9"/>
  <c r="J2149" i="9"/>
  <c r="J2150" i="9"/>
  <c r="J2151" i="9"/>
  <c r="J2152" i="9"/>
  <c r="J2153" i="9"/>
  <c r="J2154" i="9"/>
  <c r="J2155" i="9"/>
  <c r="J2156" i="9"/>
  <c r="J2157" i="9"/>
  <c r="J2158" i="9"/>
  <c r="J2159" i="9"/>
  <c r="J2160" i="9"/>
  <c r="J2161" i="9"/>
  <c r="J2162" i="9"/>
  <c r="J2163" i="9"/>
  <c r="J2164" i="9"/>
  <c r="J2165" i="9"/>
  <c r="J2166" i="9"/>
  <c r="J2167" i="9"/>
  <c r="J2168" i="9"/>
  <c r="J2169" i="9"/>
  <c r="J2170" i="9"/>
  <c r="J2171" i="9"/>
  <c r="J2172" i="9"/>
  <c r="J2173" i="9"/>
  <c r="J2174" i="9"/>
  <c r="J2175" i="9"/>
  <c r="J2176" i="9"/>
  <c r="J2177" i="9"/>
  <c r="J2178" i="9"/>
  <c r="J2179" i="9"/>
  <c r="J2180" i="9"/>
  <c r="J2181" i="9"/>
  <c r="J2182" i="9"/>
  <c r="J2183" i="9"/>
  <c r="J2184" i="9"/>
  <c r="J2185" i="9"/>
  <c r="J2186" i="9"/>
  <c r="J2187" i="9"/>
  <c r="J2188" i="9"/>
  <c r="J2189" i="9"/>
  <c r="J2190" i="9"/>
  <c r="J2191" i="9"/>
  <c r="J2192" i="9"/>
  <c r="J2193" i="9"/>
  <c r="J2194" i="9"/>
  <c r="J2195" i="9"/>
  <c r="J2196" i="9"/>
  <c r="J2197" i="9"/>
  <c r="J2198" i="9"/>
  <c r="J2199" i="9"/>
  <c r="J2200" i="9"/>
  <c r="J2201" i="9"/>
  <c r="J2202" i="9"/>
  <c r="J2203" i="9"/>
  <c r="J2204" i="9"/>
  <c r="J2205" i="9"/>
  <c r="J2206" i="9"/>
  <c r="J2207" i="9"/>
  <c r="J2208" i="9"/>
  <c r="J2209" i="9"/>
  <c r="J2210" i="9"/>
  <c r="J2211" i="9"/>
  <c r="J2212" i="9"/>
  <c r="J2213" i="9"/>
  <c r="J2214" i="9"/>
  <c r="J2215" i="9"/>
  <c r="J2216" i="9"/>
  <c r="J2217" i="9"/>
  <c r="J2218" i="9"/>
  <c r="J2219" i="9"/>
  <c r="J2220" i="9"/>
  <c r="J2221" i="9"/>
  <c r="J2222" i="9"/>
  <c r="J2223" i="9"/>
  <c r="J2224" i="9"/>
  <c r="J2225" i="9"/>
  <c r="J2226" i="9"/>
  <c r="J2227" i="9"/>
  <c r="J2228" i="9"/>
  <c r="J2229" i="9"/>
  <c r="J2230" i="9"/>
  <c r="J2231" i="9"/>
  <c r="J2232" i="9"/>
  <c r="J2233" i="9"/>
  <c r="J2234" i="9"/>
  <c r="J2235" i="9"/>
  <c r="J2236" i="9"/>
  <c r="J2237" i="9"/>
  <c r="J2238" i="9"/>
  <c r="J2239" i="9"/>
  <c r="J2240" i="9"/>
  <c r="J2241" i="9"/>
  <c r="J2242" i="9"/>
  <c r="J2243" i="9"/>
  <c r="J2244" i="9"/>
  <c r="J2245" i="9"/>
  <c r="J2246" i="9"/>
  <c r="J2247" i="9"/>
  <c r="J2248" i="9"/>
  <c r="J2249" i="9"/>
  <c r="J2250" i="9"/>
  <c r="J2251" i="9"/>
  <c r="J2252" i="9"/>
  <c r="J2253" i="9"/>
  <c r="J2254" i="9"/>
  <c r="J2255" i="9"/>
  <c r="J2256" i="9"/>
  <c r="J2257" i="9"/>
  <c r="J2258" i="9"/>
  <c r="J2259" i="9"/>
  <c r="J2260" i="9"/>
  <c r="J2261" i="9"/>
  <c r="J2262" i="9"/>
  <c r="J2263" i="9"/>
  <c r="J2264" i="9"/>
  <c r="J2265" i="9"/>
  <c r="J2266" i="9"/>
  <c r="J2267" i="9"/>
  <c r="J2268" i="9"/>
  <c r="J2269" i="9"/>
  <c r="J2270" i="9"/>
  <c r="J2271" i="9"/>
  <c r="J2272" i="9"/>
  <c r="J2273" i="9"/>
  <c r="J2274" i="9"/>
  <c r="J2275" i="9"/>
  <c r="J2276" i="9"/>
  <c r="J2277" i="9"/>
  <c r="J2278" i="9"/>
  <c r="J2279" i="9"/>
  <c r="J2280" i="9"/>
  <c r="J2281" i="9"/>
  <c r="J2282" i="9"/>
  <c r="J2283" i="9"/>
  <c r="J2284" i="9"/>
  <c r="J2285" i="9"/>
  <c r="J2286" i="9"/>
  <c r="J2287" i="9"/>
  <c r="J2288" i="9"/>
  <c r="J2289" i="9"/>
  <c r="J2290" i="9"/>
  <c r="J2291" i="9"/>
  <c r="J2292" i="9"/>
  <c r="J2293" i="9"/>
  <c r="J2294" i="9"/>
  <c r="J2295" i="9"/>
  <c r="J2296" i="9"/>
  <c r="J2297" i="9"/>
  <c r="J2298" i="9"/>
  <c r="J2299" i="9"/>
  <c r="J2300" i="9"/>
  <c r="J2301" i="9"/>
  <c r="J2302" i="9"/>
  <c r="J2303" i="9"/>
  <c r="J2304" i="9"/>
  <c r="J2305" i="9"/>
  <c r="J2306" i="9"/>
  <c r="J2307" i="9"/>
  <c r="J2308" i="9"/>
  <c r="J2309" i="9"/>
  <c r="J2310" i="9"/>
  <c r="J2311" i="9"/>
  <c r="J2312" i="9"/>
  <c r="J2313" i="9"/>
  <c r="J2314" i="9"/>
  <c r="J2315" i="9"/>
  <c r="J2316" i="9"/>
  <c r="J2317" i="9"/>
  <c r="J2318" i="9"/>
  <c r="J2319" i="9"/>
  <c r="J2320" i="9"/>
  <c r="J2321" i="9"/>
  <c r="J2322" i="9"/>
  <c r="J2323" i="9"/>
  <c r="J2324" i="9"/>
  <c r="J2325" i="9"/>
  <c r="J2326" i="9"/>
  <c r="J2327" i="9"/>
  <c r="J2328" i="9"/>
  <c r="J2329" i="9"/>
  <c r="J2330" i="9"/>
  <c r="J2331" i="9"/>
  <c r="J2332" i="9"/>
  <c r="J2333" i="9"/>
  <c r="J2334" i="9"/>
  <c r="J2335" i="9"/>
  <c r="J2336" i="9"/>
  <c r="J2337" i="9"/>
  <c r="J2338" i="9"/>
  <c r="J2339" i="9"/>
  <c r="J2340" i="9"/>
  <c r="J2341" i="9"/>
  <c r="J2342" i="9"/>
  <c r="J2343" i="9"/>
  <c r="J2344" i="9"/>
  <c r="J2345" i="9"/>
  <c r="J2346" i="9"/>
  <c r="J2347" i="9"/>
  <c r="J2348" i="9"/>
  <c r="J2349" i="9"/>
  <c r="J2350" i="9"/>
  <c r="J2351" i="9"/>
  <c r="J2352" i="9"/>
  <c r="J2353" i="9"/>
  <c r="J2354" i="9"/>
  <c r="J2355" i="9"/>
  <c r="J2356" i="9"/>
  <c r="J2357" i="9"/>
  <c r="J2358" i="9"/>
  <c r="J2359" i="9"/>
  <c r="J2360" i="9"/>
  <c r="J2361" i="9"/>
  <c r="J2362" i="9"/>
  <c r="J2363" i="9"/>
  <c r="J2364" i="9"/>
  <c r="J2365" i="9"/>
  <c r="J2366" i="9"/>
  <c r="J2367" i="9"/>
  <c r="J2368" i="9"/>
  <c r="J2369" i="9"/>
  <c r="J2370" i="9"/>
  <c r="J2371" i="9"/>
  <c r="J2372" i="9"/>
  <c r="J2373" i="9"/>
  <c r="J2374" i="9"/>
  <c r="J2375" i="9"/>
  <c r="J2376" i="9"/>
  <c r="J2377" i="9"/>
  <c r="J2378" i="9"/>
  <c r="J2379" i="9"/>
  <c r="J2380" i="9"/>
  <c r="J2381" i="9"/>
  <c r="J2382" i="9"/>
  <c r="J2383" i="9"/>
  <c r="J2384" i="9"/>
  <c r="J2385" i="9"/>
  <c r="J2386" i="9"/>
  <c r="J2387" i="9"/>
  <c r="J2388" i="9"/>
  <c r="J2389" i="9"/>
  <c r="J2390" i="9"/>
  <c r="J2391" i="9"/>
  <c r="J2392" i="9"/>
  <c r="J2393" i="9"/>
  <c r="J2394" i="9"/>
  <c r="J2395" i="9"/>
  <c r="J2396" i="9"/>
  <c r="J2397" i="9"/>
  <c r="J2398" i="9"/>
  <c r="J2399" i="9"/>
  <c r="J2400" i="9"/>
  <c r="J2401" i="9"/>
  <c r="J2402" i="9"/>
  <c r="J2403" i="9"/>
  <c r="J2404" i="9"/>
  <c r="J2405" i="9"/>
  <c r="J2406" i="9"/>
  <c r="J2407" i="9"/>
  <c r="J2408" i="9"/>
  <c r="J2409" i="9"/>
  <c r="J2410" i="9"/>
  <c r="J2411" i="9"/>
  <c r="J2412" i="9"/>
  <c r="J2413" i="9"/>
  <c r="J2414" i="9"/>
  <c r="J2415" i="9"/>
  <c r="J2416" i="9"/>
  <c r="J2417" i="9"/>
  <c r="J2418" i="9"/>
  <c r="J2419" i="9"/>
  <c r="J2420" i="9"/>
  <c r="J2421" i="9"/>
  <c r="J2422" i="9"/>
  <c r="J2423" i="9"/>
  <c r="J2424" i="9"/>
  <c r="J2425" i="9"/>
  <c r="J2426" i="9"/>
  <c r="J2427" i="9"/>
  <c r="J2428" i="9"/>
  <c r="J2429" i="9"/>
  <c r="J2430" i="9"/>
  <c r="J2431" i="9"/>
  <c r="J2432" i="9"/>
  <c r="J2433" i="9"/>
  <c r="J2434" i="9"/>
  <c r="J2435" i="9"/>
  <c r="J2436" i="9"/>
  <c r="J2437" i="9"/>
  <c r="J2438" i="9"/>
  <c r="J2439" i="9"/>
  <c r="J2440" i="9"/>
  <c r="J2441" i="9"/>
  <c r="J2442" i="9"/>
  <c r="J2443" i="9"/>
  <c r="J2444" i="9"/>
  <c r="J2445" i="9"/>
  <c r="J2446" i="9"/>
  <c r="J2447" i="9"/>
  <c r="J2448" i="9"/>
  <c r="J2449" i="9"/>
  <c r="J2450" i="9"/>
  <c r="J2451" i="9"/>
  <c r="J2452" i="9"/>
  <c r="J2453" i="9"/>
  <c r="J2454" i="9"/>
  <c r="J2455" i="9"/>
  <c r="J2456" i="9"/>
  <c r="J2457" i="9"/>
  <c r="J2458" i="9"/>
  <c r="J2459" i="9"/>
  <c r="J2460" i="9"/>
  <c r="J2461" i="9"/>
  <c r="J2462" i="9"/>
  <c r="J2463" i="9"/>
  <c r="J2464" i="9"/>
  <c r="J2465" i="9"/>
  <c r="J2466" i="9"/>
  <c r="J2467" i="9"/>
  <c r="J2468" i="9"/>
  <c r="J2469" i="9"/>
  <c r="J2470" i="9"/>
  <c r="J2471" i="9"/>
  <c r="J2472" i="9"/>
  <c r="J2473" i="9"/>
  <c r="J2474" i="9"/>
  <c r="J2475" i="9"/>
  <c r="J2476" i="9"/>
  <c r="J2477" i="9"/>
  <c r="J2478" i="9"/>
  <c r="J2479" i="9"/>
  <c r="J2480" i="9"/>
  <c r="J2481" i="9"/>
  <c r="J2482" i="9"/>
  <c r="J2483" i="9"/>
  <c r="J2484" i="9"/>
  <c r="J2485" i="9"/>
  <c r="J2486" i="9"/>
  <c r="J2487" i="9"/>
  <c r="J2488" i="9"/>
  <c r="J2489" i="9"/>
  <c r="J2490" i="9"/>
  <c r="J2491" i="9"/>
  <c r="J2492" i="9"/>
  <c r="J2493" i="9"/>
  <c r="J2494" i="9"/>
  <c r="J2495" i="9"/>
  <c r="J2496" i="9"/>
  <c r="J2497" i="9"/>
  <c r="J2498" i="9"/>
  <c r="J2499" i="9"/>
  <c r="J2500" i="9"/>
  <c r="J2501" i="9"/>
  <c r="J2502" i="9"/>
  <c r="A5" i="9"/>
  <c r="I4" i="9" s="1"/>
  <c r="A6" i="9"/>
  <c r="A7" i="9"/>
  <c r="A8" i="9"/>
  <c r="A9" i="9"/>
  <c r="A10" i="9"/>
  <c r="A11" i="9"/>
  <c r="A12" i="9"/>
  <c r="A13" i="9"/>
  <c r="A14" i="9"/>
  <c r="A15" i="9"/>
  <c r="A16" i="9"/>
  <c r="A17" i="9"/>
  <c r="A18" i="9"/>
  <c r="A19" i="9"/>
  <c r="A20" i="9"/>
  <c r="A21" i="9"/>
  <c r="A22" i="9"/>
  <c r="A23" i="9"/>
  <c r="A24" i="9"/>
  <c r="A25" i="9"/>
  <c r="A26" i="9"/>
  <c r="A27" i="9"/>
  <c r="A28" i="9"/>
  <c r="A29" i="9"/>
  <c r="A30" i="9"/>
  <c r="A31" i="9"/>
  <c r="A32" i="9"/>
  <c r="A33" i="9"/>
  <c r="A34" i="9"/>
  <c r="A35" i="9"/>
  <c r="A36" i="9"/>
  <c r="A37" i="9"/>
  <c r="A38" i="9"/>
  <c r="A39" i="9"/>
  <c r="A40" i="9"/>
  <c r="A41" i="9"/>
  <c r="A42" i="9"/>
  <c r="A43" i="9"/>
  <c r="A44" i="9"/>
  <c r="A45" i="9"/>
  <c r="A46" i="9"/>
  <c r="A47" i="9"/>
  <c r="A48" i="9"/>
  <c r="A49" i="9"/>
  <c r="A50" i="9"/>
  <c r="A51" i="9"/>
  <c r="A52" i="9"/>
  <c r="A53" i="9"/>
  <c r="A54" i="9"/>
  <c r="A55" i="9"/>
  <c r="A56" i="9"/>
  <c r="A57" i="9"/>
  <c r="A58" i="9"/>
  <c r="A59" i="9"/>
  <c r="A60" i="9"/>
  <c r="A61" i="9"/>
  <c r="A62" i="9"/>
  <c r="A63" i="9"/>
  <c r="A64" i="9"/>
  <c r="A65" i="9"/>
  <c r="A66" i="9"/>
  <c r="A67" i="9"/>
  <c r="A68" i="9"/>
  <c r="A69" i="9"/>
  <c r="A70" i="9"/>
  <c r="A71" i="9"/>
  <c r="A72" i="9"/>
  <c r="A73" i="9"/>
  <c r="A74" i="9"/>
  <c r="A75" i="9"/>
  <c r="A76" i="9"/>
  <c r="A77" i="9"/>
  <c r="A78" i="9"/>
  <c r="A79" i="9"/>
  <c r="A80" i="9"/>
  <c r="A81" i="9"/>
  <c r="A82" i="9"/>
  <c r="A83" i="9"/>
  <c r="A84" i="9"/>
  <c r="A85" i="9"/>
  <c r="A86" i="9"/>
  <c r="A87" i="9"/>
  <c r="A88" i="9"/>
  <c r="A89" i="9"/>
  <c r="A90" i="9"/>
  <c r="A91" i="9"/>
  <c r="A92" i="9"/>
  <c r="A93" i="9"/>
  <c r="A94" i="9"/>
  <c r="A95" i="9"/>
  <c r="A96" i="9"/>
  <c r="A97" i="9"/>
  <c r="A98" i="9"/>
  <c r="A99" i="9"/>
  <c r="A100" i="9"/>
  <c r="A101" i="9"/>
  <c r="A102" i="9"/>
  <c r="A103" i="9"/>
  <c r="A104" i="9"/>
  <c r="A105" i="9"/>
  <c r="A106" i="9"/>
  <c r="A107" i="9"/>
  <c r="A108" i="9"/>
  <c r="A109" i="9"/>
  <c r="A110" i="9"/>
  <c r="A111" i="9"/>
  <c r="A112" i="9"/>
  <c r="A113" i="9"/>
  <c r="A114" i="9"/>
  <c r="A115" i="9"/>
  <c r="A116" i="9"/>
  <c r="A117" i="9"/>
  <c r="A118" i="9"/>
  <c r="A119" i="9"/>
  <c r="A120" i="9"/>
  <c r="A121" i="9"/>
  <c r="A122" i="9"/>
  <c r="A123" i="9"/>
  <c r="A124" i="9"/>
  <c r="A125" i="9"/>
  <c r="A126" i="9"/>
  <c r="A127" i="9"/>
  <c r="A128" i="9"/>
  <c r="A129" i="9"/>
  <c r="A130" i="9"/>
  <c r="A131" i="9"/>
  <c r="A132" i="9"/>
  <c r="A133" i="9"/>
  <c r="A134" i="9"/>
  <c r="A135" i="9"/>
  <c r="A136" i="9"/>
  <c r="A137" i="9"/>
  <c r="A138" i="9"/>
  <c r="A139" i="9"/>
  <c r="A140" i="9"/>
  <c r="A141" i="9"/>
  <c r="A142" i="9"/>
  <c r="A143" i="9"/>
  <c r="A144" i="9"/>
  <c r="A145" i="9"/>
  <c r="A146" i="9"/>
  <c r="A147" i="9"/>
  <c r="A148" i="9"/>
  <c r="A149" i="9"/>
  <c r="A150" i="9"/>
  <c r="A151" i="9"/>
  <c r="A152" i="9"/>
  <c r="A153" i="9"/>
  <c r="A154" i="9"/>
  <c r="A155" i="9"/>
  <c r="A156" i="9"/>
  <c r="A157" i="9"/>
  <c r="A158" i="9"/>
  <c r="A159" i="9"/>
  <c r="A160" i="9"/>
  <c r="A161" i="9"/>
  <c r="A162" i="9"/>
  <c r="A163" i="9"/>
  <c r="A164" i="9"/>
  <c r="A165" i="9"/>
  <c r="A166" i="9"/>
  <c r="A167" i="9"/>
  <c r="A168" i="9"/>
  <c r="A169" i="9"/>
  <c r="A170" i="9"/>
  <c r="A171" i="9"/>
  <c r="A172" i="9"/>
  <c r="A173" i="9"/>
  <c r="A174" i="9"/>
  <c r="A175" i="9"/>
  <c r="A176" i="9"/>
  <c r="A177" i="9"/>
  <c r="A178" i="9"/>
  <c r="A179" i="9"/>
  <c r="A180" i="9"/>
  <c r="A181" i="9"/>
  <c r="A182" i="9"/>
  <c r="A183" i="9"/>
  <c r="A184" i="9"/>
  <c r="A185" i="9"/>
  <c r="A186" i="9"/>
  <c r="A187" i="9"/>
  <c r="A188" i="9"/>
  <c r="A189" i="9"/>
  <c r="A190" i="9"/>
  <c r="A191" i="9"/>
  <c r="A192" i="9"/>
  <c r="A193" i="9"/>
  <c r="A194" i="9"/>
  <c r="A195" i="9"/>
  <c r="A196" i="9"/>
  <c r="A197" i="9"/>
  <c r="A198" i="9"/>
  <c r="A199" i="9"/>
  <c r="A200" i="9"/>
  <c r="A201" i="9"/>
  <c r="A202" i="9"/>
  <c r="A203" i="9"/>
  <c r="A204" i="9"/>
  <c r="A205" i="9"/>
  <c r="A206" i="9"/>
  <c r="A207" i="9"/>
  <c r="A208" i="9"/>
  <c r="A209" i="9"/>
  <c r="A210" i="9"/>
  <c r="A211" i="9"/>
  <c r="A212" i="9"/>
  <c r="A213" i="9"/>
  <c r="A214" i="9"/>
  <c r="A215" i="9"/>
  <c r="A216" i="9"/>
  <c r="A217" i="9"/>
  <c r="A218" i="9"/>
  <c r="A219" i="9"/>
  <c r="A220" i="9"/>
  <c r="A221" i="9"/>
  <c r="A222" i="9"/>
  <c r="A223" i="9"/>
  <c r="A224" i="9"/>
  <c r="A225" i="9"/>
  <c r="A226" i="9"/>
  <c r="A227" i="9"/>
  <c r="A228" i="9"/>
  <c r="A229" i="9"/>
  <c r="A230" i="9"/>
  <c r="A231" i="9"/>
  <c r="A232" i="9"/>
  <c r="A233" i="9"/>
  <c r="A234" i="9"/>
  <c r="A235" i="9"/>
  <c r="A236" i="9"/>
  <c r="A237" i="9"/>
  <c r="A238" i="9"/>
  <c r="A239" i="9"/>
  <c r="A240" i="9"/>
  <c r="A241" i="9"/>
  <c r="A242" i="9"/>
  <c r="A243" i="9"/>
  <c r="A244" i="9"/>
  <c r="A245" i="9"/>
  <c r="A246" i="9"/>
  <c r="A247" i="9"/>
  <c r="A248" i="9"/>
  <c r="A249" i="9"/>
  <c r="A250" i="9"/>
  <c r="A251" i="9"/>
  <c r="A252" i="9"/>
  <c r="A253" i="9"/>
  <c r="A254" i="9"/>
  <c r="A255" i="9"/>
  <c r="A256" i="9"/>
  <c r="A257" i="9"/>
  <c r="A258" i="9"/>
  <c r="A259" i="9"/>
  <c r="A260" i="9"/>
  <c r="A261" i="9"/>
  <c r="A262" i="9"/>
  <c r="A263" i="9"/>
  <c r="A264" i="9"/>
  <c r="A265" i="9"/>
  <c r="A266" i="9"/>
  <c r="A267" i="9"/>
  <c r="A268" i="9"/>
  <c r="A269" i="9"/>
  <c r="A270" i="9"/>
  <c r="A271" i="9"/>
  <c r="A272" i="9"/>
  <c r="A273" i="9"/>
  <c r="A274" i="9"/>
  <c r="A275" i="9"/>
  <c r="A276" i="9"/>
  <c r="A277" i="9"/>
  <c r="A278" i="9"/>
  <c r="A279" i="9"/>
  <c r="A280" i="9"/>
  <c r="A281" i="9"/>
  <c r="A282" i="9"/>
  <c r="A283" i="9"/>
  <c r="A284" i="9"/>
  <c r="A285" i="9"/>
  <c r="A286" i="9"/>
  <c r="A287" i="9"/>
  <c r="A288" i="9"/>
  <c r="A289" i="9"/>
  <c r="A290" i="9"/>
  <c r="A291" i="9"/>
  <c r="A292" i="9"/>
  <c r="A293" i="9"/>
  <c r="A294" i="9"/>
  <c r="A295" i="9"/>
  <c r="A296" i="9"/>
  <c r="A297" i="9"/>
  <c r="A298" i="9"/>
  <c r="A299" i="9"/>
  <c r="A300" i="9"/>
  <c r="A301" i="9"/>
  <c r="A302" i="9"/>
  <c r="A303" i="9"/>
  <c r="A304" i="9"/>
  <c r="A305" i="9"/>
  <c r="A306" i="9"/>
  <c r="A307" i="9"/>
  <c r="A308" i="9"/>
  <c r="A309" i="9"/>
  <c r="A310" i="9"/>
  <c r="A311" i="9"/>
  <c r="A312" i="9"/>
  <c r="A313" i="9"/>
  <c r="A314" i="9"/>
  <c r="A315" i="9"/>
  <c r="A316" i="9"/>
  <c r="A317" i="9"/>
  <c r="A318" i="9"/>
  <c r="A319" i="9"/>
  <c r="A320" i="9"/>
  <c r="A321" i="9"/>
  <c r="A322" i="9"/>
  <c r="A323" i="9"/>
  <c r="A324" i="9"/>
  <c r="A325" i="9"/>
  <c r="A326" i="9"/>
  <c r="A327" i="9"/>
  <c r="A328" i="9"/>
  <c r="A329" i="9"/>
  <c r="A330" i="9"/>
  <c r="A331" i="9"/>
  <c r="A332" i="9"/>
  <c r="A333" i="9"/>
  <c r="A334" i="9"/>
  <c r="A335" i="9"/>
  <c r="A336" i="9"/>
  <c r="A337" i="9"/>
  <c r="A338" i="9"/>
  <c r="A339" i="9"/>
  <c r="A340" i="9"/>
  <c r="A341" i="9"/>
  <c r="A342" i="9"/>
  <c r="A343" i="9"/>
  <c r="A344" i="9"/>
  <c r="A345" i="9"/>
  <c r="A346" i="9"/>
  <c r="A347" i="9"/>
  <c r="A348" i="9"/>
  <c r="A349" i="9"/>
  <c r="A350" i="9"/>
  <c r="A351" i="9"/>
  <c r="A352" i="9"/>
  <c r="A353" i="9"/>
  <c r="A354" i="9"/>
  <c r="A355" i="9"/>
  <c r="A356" i="9"/>
  <c r="A357" i="9"/>
  <c r="A358" i="9"/>
  <c r="A359" i="9"/>
  <c r="A360" i="9"/>
  <c r="A361" i="9"/>
  <c r="A362" i="9"/>
  <c r="A363" i="9"/>
  <c r="A364" i="9"/>
  <c r="A365" i="9"/>
  <c r="A366" i="9"/>
  <c r="A367" i="9"/>
  <c r="A368" i="9"/>
  <c r="A369" i="9"/>
  <c r="A370" i="9"/>
  <c r="A371" i="9"/>
  <c r="A372" i="9"/>
  <c r="A373" i="9"/>
  <c r="A374" i="9"/>
  <c r="A375" i="9"/>
  <c r="A376" i="9"/>
  <c r="A377" i="9"/>
  <c r="A378" i="9"/>
  <c r="A379" i="9"/>
  <c r="A380" i="9"/>
  <c r="A381" i="9"/>
  <c r="A382" i="9"/>
  <c r="A383" i="9"/>
  <c r="A384" i="9"/>
  <c r="A385" i="9"/>
  <c r="A386" i="9"/>
  <c r="A387" i="9"/>
  <c r="A388" i="9"/>
  <c r="A389" i="9"/>
  <c r="A390" i="9"/>
  <c r="A391" i="9"/>
  <c r="A392" i="9"/>
  <c r="A393" i="9"/>
  <c r="A394" i="9"/>
  <c r="A395" i="9"/>
  <c r="A396" i="9"/>
  <c r="A397" i="9"/>
  <c r="A398" i="9"/>
  <c r="A399" i="9"/>
  <c r="A400" i="9"/>
  <c r="A401" i="9"/>
  <c r="A402" i="9"/>
  <c r="A403" i="9"/>
  <c r="A404" i="9"/>
  <c r="A405" i="9"/>
  <c r="A406" i="9"/>
  <c r="A407" i="9"/>
  <c r="A408" i="9"/>
  <c r="A409" i="9"/>
  <c r="A410" i="9"/>
  <c r="A411" i="9"/>
  <c r="A412" i="9"/>
  <c r="A413" i="9"/>
  <c r="A414" i="9"/>
  <c r="A415" i="9"/>
  <c r="A416" i="9"/>
  <c r="A417" i="9"/>
  <c r="A418" i="9"/>
  <c r="A419" i="9"/>
  <c r="A420" i="9"/>
  <c r="A421" i="9"/>
  <c r="A422" i="9"/>
  <c r="A423" i="9"/>
  <c r="A424" i="9"/>
  <c r="A425" i="9"/>
  <c r="A426" i="9"/>
  <c r="A427" i="9"/>
  <c r="A428" i="9"/>
  <c r="A429" i="9"/>
  <c r="A430" i="9"/>
  <c r="A431" i="9"/>
  <c r="A432" i="9"/>
  <c r="A433" i="9"/>
  <c r="A434" i="9"/>
  <c r="A435" i="9"/>
  <c r="A436" i="9"/>
  <c r="A437" i="9"/>
  <c r="A438" i="9"/>
  <c r="A439" i="9"/>
  <c r="A440" i="9"/>
  <c r="A441" i="9"/>
  <c r="A442" i="9"/>
  <c r="A443" i="9"/>
  <c r="A444" i="9"/>
  <c r="A445" i="9"/>
  <c r="A446" i="9"/>
  <c r="A447" i="9"/>
  <c r="A448" i="9"/>
  <c r="A449" i="9"/>
  <c r="A450" i="9"/>
  <c r="A451" i="9"/>
  <c r="A452" i="9"/>
  <c r="A453" i="9"/>
  <c r="A454" i="9"/>
  <c r="A455" i="9"/>
  <c r="A456" i="9"/>
  <c r="A457" i="9"/>
  <c r="A458" i="9"/>
  <c r="A459" i="9"/>
  <c r="A460" i="9"/>
  <c r="A461" i="9"/>
  <c r="A462" i="9"/>
  <c r="A463" i="9"/>
  <c r="A464" i="9"/>
  <c r="A465" i="9"/>
  <c r="A466" i="9"/>
  <c r="A467" i="9"/>
  <c r="A468" i="9"/>
  <c r="A469" i="9"/>
  <c r="A470" i="9"/>
  <c r="A471" i="9"/>
  <c r="A472" i="9"/>
  <c r="A473" i="9"/>
  <c r="A474" i="9"/>
  <c r="A475" i="9"/>
  <c r="A476" i="9"/>
  <c r="A477" i="9"/>
  <c r="A478" i="9"/>
  <c r="A479" i="9"/>
  <c r="A480" i="9"/>
  <c r="A481" i="9"/>
  <c r="A482" i="9"/>
  <c r="A483" i="9"/>
  <c r="A484" i="9"/>
  <c r="A485" i="9"/>
  <c r="A486" i="9"/>
  <c r="A487" i="9"/>
  <c r="A488" i="9"/>
  <c r="A489" i="9"/>
  <c r="A490" i="9"/>
  <c r="A491" i="9"/>
  <c r="A492" i="9"/>
  <c r="A493" i="9"/>
  <c r="A494" i="9"/>
  <c r="A495" i="9"/>
  <c r="A496" i="9"/>
  <c r="A497" i="9"/>
  <c r="A498" i="9"/>
  <c r="A499" i="9"/>
  <c r="A500" i="9"/>
  <c r="A501" i="9"/>
  <c r="A502" i="9"/>
  <c r="A503" i="9"/>
  <c r="A504" i="9"/>
  <c r="A505" i="9"/>
  <c r="A506" i="9"/>
  <c r="A507" i="9"/>
  <c r="A508" i="9"/>
  <c r="A509" i="9"/>
  <c r="A510" i="9"/>
  <c r="A511" i="9"/>
  <c r="A512" i="9"/>
  <c r="A513" i="9"/>
  <c r="A514" i="9"/>
  <c r="A515" i="9"/>
  <c r="A516" i="9"/>
  <c r="A517" i="9"/>
  <c r="A518" i="9"/>
  <c r="A519" i="9"/>
  <c r="A520" i="9"/>
  <c r="A521" i="9"/>
  <c r="A522" i="9"/>
  <c r="A523" i="9"/>
  <c r="A524" i="9"/>
  <c r="A525" i="9"/>
  <c r="A526" i="9"/>
  <c r="A527" i="9"/>
  <c r="A528" i="9"/>
  <c r="A529" i="9"/>
  <c r="A530" i="9"/>
  <c r="A531" i="9"/>
  <c r="A532" i="9"/>
  <c r="A533" i="9"/>
  <c r="A534" i="9"/>
  <c r="A535" i="9"/>
  <c r="A536" i="9"/>
  <c r="A537" i="9"/>
  <c r="A538" i="9"/>
  <c r="A539" i="9"/>
  <c r="A540" i="9"/>
  <c r="A541" i="9"/>
  <c r="A542" i="9"/>
  <c r="A543" i="9"/>
  <c r="A544" i="9"/>
  <c r="A545" i="9"/>
  <c r="A546" i="9"/>
  <c r="A547" i="9"/>
  <c r="A548" i="9"/>
  <c r="A549" i="9"/>
  <c r="A550" i="9"/>
  <c r="A551" i="9"/>
  <c r="A552" i="9"/>
  <c r="A553" i="9"/>
  <c r="A554" i="9"/>
  <c r="A555" i="9"/>
  <c r="A556" i="9"/>
  <c r="A557" i="9"/>
  <c r="A558" i="9"/>
  <c r="A559" i="9"/>
  <c r="A560" i="9"/>
  <c r="A561" i="9"/>
  <c r="A562" i="9"/>
  <c r="A563" i="9"/>
  <c r="A564" i="9"/>
  <c r="A565" i="9"/>
  <c r="A566" i="9"/>
  <c r="A567" i="9"/>
  <c r="A568" i="9"/>
  <c r="A569" i="9"/>
  <c r="A570" i="9"/>
  <c r="A571" i="9"/>
  <c r="A572" i="9"/>
  <c r="A573" i="9"/>
  <c r="A574" i="9"/>
  <c r="A575" i="9"/>
  <c r="A576" i="9"/>
  <c r="A577" i="9"/>
  <c r="A578" i="9"/>
  <c r="A579" i="9"/>
  <c r="A580" i="9"/>
  <c r="A581" i="9"/>
  <c r="A582" i="9"/>
  <c r="A583" i="9"/>
  <c r="A584" i="9"/>
  <c r="A585" i="9"/>
  <c r="A586" i="9"/>
  <c r="A587" i="9"/>
  <c r="A588" i="9"/>
  <c r="A589" i="9"/>
  <c r="A590" i="9"/>
  <c r="A591" i="9"/>
  <c r="A592" i="9"/>
  <c r="A593" i="9"/>
  <c r="A594" i="9"/>
  <c r="A595" i="9"/>
  <c r="A596" i="9"/>
  <c r="A597" i="9"/>
  <c r="A598" i="9"/>
  <c r="A599" i="9"/>
  <c r="A600" i="9"/>
  <c r="A601" i="9"/>
  <c r="A602" i="9"/>
  <c r="A603" i="9"/>
  <c r="A604" i="9"/>
  <c r="A605" i="9"/>
  <c r="A606" i="9"/>
  <c r="A607" i="9"/>
  <c r="A608" i="9"/>
  <c r="A609" i="9"/>
  <c r="A610" i="9"/>
  <c r="A611" i="9"/>
  <c r="A612" i="9"/>
  <c r="A613" i="9"/>
  <c r="A614" i="9"/>
  <c r="A615" i="9"/>
  <c r="A616" i="9"/>
  <c r="A617" i="9"/>
  <c r="A618" i="9"/>
  <c r="A619" i="9"/>
  <c r="A620" i="9"/>
  <c r="A621" i="9"/>
  <c r="A622" i="9"/>
  <c r="A623" i="9"/>
  <c r="A624" i="9"/>
  <c r="A625" i="9"/>
  <c r="A626" i="9"/>
  <c r="A627" i="9"/>
  <c r="A628" i="9"/>
  <c r="A629" i="9"/>
  <c r="A630" i="9"/>
  <c r="A631" i="9"/>
  <c r="A632" i="9"/>
  <c r="A633" i="9"/>
  <c r="A634" i="9"/>
  <c r="A635" i="9"/>
  <c r="A636" i="9"/>
  <c r="A637" i="9"/>
  <c r="A638" i="9"/>
  <c r="A639" i="9"/>
  <c r="A640" i="9"/>
  <c r="A641" i="9"/>
  <c r="A642" i="9"/>
  <c r="A643" i="9"/>
  <c r="A644" i="9"/>
  <c r="A645" i="9"/>
  <c r="A646" i="9"/>
  <c r="A647" i="9"/>
  <c r="A648" i="9"/>
  <c r="A649" i="9"/>
  <c r="A650" i="9"/>
  <c r="A651" i="9"/>
  <c r="A652" i="9"/>
  <c r="A653" i="9"/>
  <c r="A654" i="9"/>
  <c r="A655" i="9"/>
  <c r="A656" i="9"/>
  <c r="A657" i="9"/>
  <c r="A658" i="9"/>
  <c r="A659" i="9"/>
  <c r="A660" i="9"/>
  <c r="A661" i="9"/>
  <c r="A662" i="9"/>
  <c r="A663" i="9"/>
  <c r="A664" i="9"/>
  <c r="A665" i="9"/>
  <c r="A666" i="9"/>
  <c r="A667" i="9"/>
  <c r="A668" i="9"/>
  <c r="A669" i="9"/>
  <c r="A670" i="9"/>
  <c r="A671" i="9"/>
  <c r="A672" i="9"/>
  <c r="A673" i="9"/>
  <c r="A674" i="9"/>
  <c r="A675" i="9"/>
  <c r="A676" i="9"/>
  <c r="A677" i="9"/>
  <c r="A678" i="9"/>
  <c r="A679" i="9"/>
  <c r="A680" i="9"/>
  <c r="A681" i="9"/>
  <c r="A682" i="9"/>
  <c r="A683" i="9"/>
  <c r="A684" i="9"/>
  <c r="A685" i="9"/>
  <c r="A686" i="9"/>
  <c r="A687" i="9"/>
  <c r="A688" i="9"/>
  <c r="A689" i="9"/>
  <c r="A690" i="9"/>
  <c r="A691" i="9"/>
  <c r="A692" i="9"/>
  <c r="A693" i="9"/>
  <c r="A694" i="9"/>
  <c r="A695" i="9"/>
  <c r="A696" i="9"/>
  <c r="A697" i="9"/>
  <c r="A698" i="9"/>
  <c r="A699" i="9"/>
  <c r="A700" i="9"/>
  <c r="A701" i="9"/>
  <c r="A702" i="9"/>
  <c r="A703" i="9"/>
  <c r="A704" i="9"/>
  <c r="A705" i="9"/>
  <c r="A706" i="9"/>
  <c r="A707" i="9"/>
  <c r="A708" i="9"/>
  <c r="A709" i="9"/>
  <c r="A710" i="9"/>
  <c r="A711" i="9"/>
  <c r="A712" i="9"/>
  <c r="A713" i="9"/>
  <c r="A714" i="9"/>
  <c r="A715" i="9"/>
  <c r="A716" i="9"/>
  <c r="A717" i="9"/>
  <c r="A718" i="9"/>
  <c r="A719" i="9"/>
  <c r="A720" i="9"/>
  <c r="A721" i="9"/>
  <c r="A722" i="9"/>
  <c r="A723" i="9"/>
  <c r="A724" i="9"/>
  <c r="A725" i="9"/>
  <c r="A726" i="9"/>
  <c r="A727" i="9"/>
  <c r="A728" i="9"/>
  <c r="A729" i="9"/>
  <c r="A730" i="9"/>
  <c r="A731" i="9"/>
  <c r="A732" i="9"/>
  <c r="A733" i="9"/>
  <c r="A734" i="9"/>
  <c r="A735" i="9"/>
  <c r="A736" i="9"/>
  <c r="A737" i="9"/>
  <c r="A738" i="9"/>
  <c r="A739" i="9"/>
  <c r="A740" i="9"/>
  <c r="A741" i="9"/>
  <c r="A742" i="9"/>
  <c r="A743" i="9"/>
  <c r="A744" i="9"/>
  <c r="A745" i="9"/>
  <c r="A746" i="9"/>
  <c r="A747" i="9"/>
  <c r="A748" i="9"/>
  <c r="A749" i="9"/>
  <c r="A750" i="9"/>
  <c r="A751" i="9"/>
  <c r="A752" i="9"/>
  <c r="A753" i="9"/>
  <c r="A754" i="9"/>
  <c r="A755" i="9"/>
  <c r="A756" i="9"/>
  <c r="A757" i="9"/>
  <c r="A758" i="9"/>
  <c r="A759" i="9"/>
  <c r="A760" i="9"/>
  <c r="A761" i="9"/>
  <c r="A762" i="9"/>
  <c r="A763" i="9"/>
  <c r="A764" i="9"/>
  <c r="A765" i="9"/>
  <c r="A766" i="9"/>
  <c r="A767" i="9"/>
  <c r="A768" i="9"/>
  <c r="A769" i="9"/>
  <c r="A770" i="9"/>
  <c r="A771" i="9"/>
  <c r="A772" i="9"/>
  <c r="A773" i="9"/>
  <c r="A774" i="9"/>
  <c r="A775" i="9"/>
  <c r="A776" i="9"/>
  <c r="A777" i="9"/>
  <c r="A778" i="9"/>
  <c r="A779" i="9"/>
  <c r="A780" i="9"/>
  <c r="A781" i="9"/>
  <c r="A782" i="9"/>
  <c r="A783" i="9"/>
  <c r="A784" i="9"/>
  <c r="A785" i="9"/>
  <c r="A786" i="9"/>
  <c r="A787" i="9"/>
  <c r="A788" i="9"/>
  <c r="A789" i="9"/>
  <c r="A790" i="9"/>
  <c r="A791" i="9"/>
  <c r="A792" i="9"/>
  <c r="A793" i="9"/>
  <c r="A794" i="9"/>
  <c r="A795" i="9"/>
  <c r="A796" i="9"/>
  <c r="A797" i="9"/>
  <c r="A798" i="9"/>
  <c r="A799" i="9"/>
  <c r="A800" i="9"/>
  <c r="A801" i="9"/>
  <c r="A802" i="9"/>
  <c r="A803" i="9"/>
  <c r="A804" i="9"/>
  <c r="A805" i="9"/>
  <c r="A806" i="9"/>
  <c r="A807" i="9"/>
  <c r="A808" i="9"/>
  <c r="A809" i="9"/>
  <c r="A810" i="9"/>
  <c r="A811" i="9"/>
  <c r="A812" i="9"/>
  <c r="A813" i="9"/>
  <c r="A814" i="9"/>
  <c r="A815" i="9"/>
  <c r="A816" i="9"/>
  <c r="A817" i="9"/>
  <c r="A818" i="9"/>
  <c r="A819" i="9"/>
  <c r="A820" i="9"/>
  <c r="A821" i="9"/>
  <c r="A822" i="9"/>
  <c r="A823" i="9"/>
  <c r="A824" i="9"/>
  <c r="A825" i="9"/>
  <c r="A826" i="9"/>
  <c r="A827" i="9"/>
  <c r="A828" i="9"/>
  <c r="A829" i="9"/>
  <c r="A830" i="9"/>
  <c r="A831" i="9"/>
  <c r="A832" i="9"/>
  <c r="A833" i="9"/>
  <c r="A834" i="9"/>
  <c r="A835" i="9"/>
  <c r="A836" i="9"/>
  <c r="A837" i="9"/>
  <c r="A838" i="9"/>
  <c r="A839" i="9"/>
  <c r="A840" i="9"/>
  <c r="A841" i="9"/>
  <c r="A842" i="9"/>
  <c r="A843" i="9"/>
  <c r="A844" i="9"/>
  <c r="A845" i="9"/>
  <c r="A846" i="9"/>
  <c r="A847" i="9"/>
  <c r="A848" i="9"/>
  <c r="A849" i="9"/>
  <c r="A850" i="9"/>
  <c r="A851" i="9"/>
  <c r="A852" i="9"/>
  <c r="A853" i="9"/>
  <c r="A854" i="9"/>
  <c r="A855" i="9"/>
  <c r="A856" i="9"/>
  <c r="A857" i="9"/>
  <c r="A858" i="9"/>
  <c r="A859" i="9"/>
  <c r="A860" i="9"/>
  <c r="A861" i="9"/>
  <c r="A862" i="9"/>
  <c r="A863" i="9"/>
  <c r="A864" i="9"/>
  <c r="A865" i="9"/>
  <c r="A866" i="9"/>
  <c r="A867" i="9"/>
  <c r="A868" i="9"/>
  <c r="A869" i="9"/>
  <c r="A870" i="9"/>
  <c r="A871" i="9"/>
  <c r="A872" i="9"/>
  <c r="A873" i="9"/>
  <c r="A874" i="9"/>
  <c r="A875" i="9"/>
  <c r="A876" i="9"/>
  <c r="A877" i="9"/>
  <c r="A878" i="9"/>
  <c r="A879" i="9"/>
  <c r="A880" i="9"/>
  <c r="A881" i="9"/>
  <c r="A882" i="9"/>
  <c r="A883" i="9"/>
  <c r="A884" i="9"/>
  <c r="A885" i="9"/>
  <c r="A886" i="9"/>
  <c r="A887" i="9"/>
  <c r="A888" i="9"/>
  <c r="A889" i="9"/>
  <c r="A890" i="9"/>
  <c r="A891" i="9"/>
  <c r="A892" i="9"/>
  <c r="A893" i="9"/>
  <c r="A894" i="9"/>
  <c r="A895" i="9"/>
  <c r="A896" i="9"/>
  <c r="A897" i="9"/>
  <c r="A898" i="9"/>
  <c r="A899" i="9"/>
  <c r="A900" i="9"/>
  <c r="A901" i="9"/>
  <c r="A902" i="9"/>
  <c r="A903" i="9"/>
  <c r="A904" i="9"/>
  <c r="A905" i="9"/>
  <c r="A906" i="9"/>
  <c r="A907" i="9"/>
  <c r="A908" i="9"/>
  <c r="A909" i="9"/>
  <c r="A910" i="9"/>
  <c r="A911" i="9"/>
  <c r="A912" i="9"/>
  <c r="A913" i="9"/>
  <c r="A914" i="9"/>
  <c r="A915" i="9"/>
  <c r="A916" i="9"/>
  <c r="A917" i="9"/>
  <c r="A918" i="9"/>
  <c r="A919" i="9"/>
  <c r="A920" i="9"/>
  <c r="A921" i="9"/>
  <c r="A922" i="9"/>
  <c r="A923" i="9"/>
  <c r="A924" i="9"/>
  <c r="A925" i="9"/>
  <c r="A926" i="9"/>
  <c r="A927" i="9"/>
  <c r="A928" i="9"/>
  <c r="A929" i="9"/>
  <c r="A930" i="9"/>
  <c r="A931" i="9"/>
  <c r="A932" i="9"/>
  <c r="A933" i="9"/>
  <c r="A934" i="9"/>
  <c r="A935" i="9"/>
  <c r="A936" i="9"/>
  <c r="A937" i="9"/>
  <c r="A938" i="9"/>
  <c r="A939" i="9"/>
  <c r="A940" i="9"/>
  <c r="A941" i="9"/>
  <c r="A942" i="9"/>
  <c r="A943" i="9"/>
  <c r="A944" i="9"/>
  <c r="A945" i="9"/>
  <c r="A946" i="9"/>
  <c r="A947" i="9"/>
  <c r="A948" i="9"/>
  <c r="A949" i="9"/>
  <c r="A950" i="9"/>
  <c r="A951" i="9"/>
  <c r="A952" i="9"/>
  <c r="A953" i="9"/>
  <c r="A954" i="9"/>
  <c r="A955" i="9"/>
  <c r="A956" i="9"/>
  <c r="A957" i="9"/>
  <c r="A958" i="9"/>
  <c r="A959" i="9"/>
  <c r="A960" i="9"/>
  <c r="A961" i="9"/>
  <c r="A962" i="9"/>
  <c r="A963" i="9"/>
  <c r="A964" i="9"/>
  <c r="A965" i="9"/>
  <c r="A966" i="9"/>
  <c r="A967" i="9"/>
  <c r="A968" i="9"/>
  <c r="A969" i="9"/>
  <c r="A970" i="9"/>
  <c r="A971" i="9"/>
  <c r="A972" i="9"/>
  <c r="A973" i="9"/>
  <c r="A974" i="9"/>
  <c r="A975" i="9"/>
  <c r="A976" i="9"/>
  <c r="A977" i="9"/>
  <c r="A978" i="9"/>
  <c r="A979" i="9"/>
  <c r="A980" i="9"/>
  <c r="A981" i="9"/>
  <c r="A982" i="9"/>
  <c r="A983" i="9"/>
  <c r="A984" i="9"/>
  <c r="A985" i="9"/>
  <c r="A986" i="9"/>
  <c r="A987" i="9"/>
  <c r="A988" i="9"/>
  <c r="A989" i="9"/>
  <c r="A990" i="9"/>
  <c r="A991" i="9"/>
  <c r="A992" i="9"/>
  <c r="A993" i="9"/>
  <c r="A994" i="9"/>
  <c r="A995" i="9"/>
  <c r="A996" i="9"/>
  <c r="A997" i="9"/>
  <c r="A998" i="9"/>
  <c r="A999" i="9"/>
  <c r="A1000" i="9"/>
  <c r="A1001" i="9"/>
  <c r="A1002" i="9"/>
  <c r="A1003" i="9"/>
  <c r="A1004" i="9"/>
  <c r="A1005" i="9"/>
  <c r="A1006" i="9"/>
  <c r="A1007" i="9"/>
  <c r="A1008" i="9"/>
  <c r="A1009" i="9"/>
  <c r="A1010" i="9"/>
  <c r="A1011" i="9"/>
  <c r="A1012" i="9"/>
  <c r="A1013" i="9"/>
  <c r="A1014" i="9"/>
  <c r="A1015" i="9"/>
  <c r="A1016" i="9"/>
  <c r="A1017" i="9"/>
  <c r="A1018" i="9"/>
  <c r="A1019" i="9"/>
  <c r="A1020" i="9"/>
  <c r="A1021" i="9"/>
  <c r="A1022" i="9"/>
  <c r="A1023" i="9"/>
  <c r="A1024" i="9"/>
  <c r="A1025" i="9"/>
  <c r="A1026" i="9"/>
  <c r="A1027" i="9"/>
  <c r="A1028" i="9"/>
  <c r="A1029" i="9"/>
  <c r="A1030" i="9"/>
  <c r="A1031" i="9"/>
  <c r="A1032" i="9"/>
  <c r="A1033" i="9"/>
  <c r="A1034" i="9"/>
  <c r="A1035" i="9"/>
  <c r="A1036" i="9"/>
  <c r="A1037" i="9"/>
  <c r="A1038" i="9"/>
  <c r="A1039" i="9"/>
  <c r="A1040" i="9"/>
  <c r="A1041" i="9"/>
  <c r="A1042" i="9"/>
  <c r="A1043" i="9"/>
  <c r="A1044" i="9"/>
  <c r="A1045" i="9"/>
  <c r="A1046" i="9"/>
  <c r="A1047" i="9"/>
  <c r="A1048" i="9"/>
  <c r="A1049" i="9"/>
  <c r="A1050" i="9"/>
  <c r="A1051" i="9"/>
  <c r="A1052" i="9"/>
  <c r="A1053" i="9"/>
  <c r="A1054" i="9"/>
  <c r="A1055" i="9"/>
  <c r="A1056" i="9"/>
  <c r="A1057" i="9"/>
  <c r="A1058" i="9"/>
  <c r="A1059" i="9"/>
  <c r="A1060" i="9"/>
  <c r="A1061" i="9"/>
  <c r="A1062" i="9"/>
  <c r="A1063" i="9"/>
  <c r="A1064" i="9"/>
  <c r="A1065" i="9"/>
  <c r="A1066" i="9"/>
  <c r="A1067" i="9"/>
  <c r="A1068" i="9"/>
  <c r="A1069" i="9"/>
  <c r="A1070" i="9"/>
  <c r="A1071" i="9"/>
  <c r="A1072" i="9"/>
  <c r="A1073" i="9"/>
  <c r="A1074" i="9"/>
  <c r="A1075" i="9"/>
  <c r="A1076" i="9"/>
  <c r="A1077" i="9"/>
  <c r="A1078" i="9"/>
  <c r="A1079" i="9"/>
  <c r="A1080" i="9"/>
  <c r="A1081" i="9"/>
  <c r="A1082" i="9"/>
  <c r="A1083" i="9"/>
  <c r="A1084" i="9"/>
  <c r="A1085" i="9"/>
  <c r="A1086" i="9"/>
  <c r="A1087" i="9"/>
  <c r="A1088" i="9"/>
  <c r="A1089" i="9"/>
  <c r="A1090" i="9"/>
  <c r="A1091" i="9"/>
  <c r="A1092" i="9"/>
  <c r="A1093" i="9"/>
  <c r="A1094" i="9"/>
  <c r="A1095" i="9"/>
  <c r="A1096" i="9"/>
  <c r="A1097" i="9"/>
  <c r="A1098" i="9"/>
  <c r="A1099" i="9"/>
  <c r="A1100" i="9"/>
  <c r="A1101" i="9"/>
  <c r="A1102" i="9"/>
  <c r="A1103" i="9"/>
  <c r="A1104" i="9"/>
  <c r="A1105" i="9"/>
  <c r="A1106" i="9"/>
  <c r="A1107" i="9"/>
  <c r="A1108" i="9"/>
  <c r="A1109" i="9"/>
  <c r="A1110" i="9"/>
  <c r="A1111" i="9"/>
  <c r="A1112" i="9"/>
  <c r="A1113" i="9"/>
  <c r="A1114" i="9"/>
  <c r="A1115" i="9"/>
  <c r="A1116" i="9"/>
  <c r="A1117" i="9"/>
  <c r="A1118" i="9"/>
  <c r="A1119" i="9"/>
  <c r="A1120" i="9"/>
  <c r="A1121" i="9"/>
  <c r="A1122" i="9"/>
  <c r="A1123" i="9"/>
  <c r="A1124" i="9"/>
  <c r="A1125" i="9"/>
  <c r="A1126" i="9"/>
  <c r="A1127" i="9"/>
  <c r="A1128" i="9"/>
  <c r="A1129" i="9"/>
  <c r="A1130" i="9"/>
  <c r="A1131" i="9"/>
  <c r="A1132" i="9"/>
  <c r="A1133" i="9"/>
  <c r="A1134" i="9"/>
  <c r="A1135" i="9"/>
  <c r="A1136" i="9"/>
  <c r="A1137" i="9"/>
  <c r="A1138" i="9"/>
  <c r="A1139" i="9"/>
  <c r="A1140" i="9"/>
  <c r="A1141" i="9"/>
  <c r="A1142" i="9"/>
  <c r="A1143" i="9"/>
  <c r="A1144" i="9"/>
  <c r="A1145" i="9"/>
  <c r="A1146" i="9"/>
  <c r="A1147" i="9"/>
  <c r="A1148" i="9"/>
  <c r="A1149" i="9"/>
  <c r="A1150" i="9"/>
  <c r="A1151" i="9"/>
  <c r="A1152" i="9"/>
  <c r="A1153" i="9"/>
  <c r="A1154" i="9"/>
  <c r="A1155" i="9"/>
  <c r="A1156" i="9"/>
  <c r="A1157" i="9"/>
  <c r="A1158" i="9"/>
  <c r="A1159" i="9"/>
  <c r="A1160" i="9"/>
  <c r="A1161" i="9"/>
  <c r="A1162" i="9"/>
  <c r="A1163" i="9"/>
  <c r="A1164" i="9"/>
  <c r="A1165" i="9"/>
  <c r="A1166" i="9"/>
  <c r="A1167" i="9"/>
  <c r="A1168" i="9"/>
  <c r="A1169" i="9"/>
  <c r="A1170" i="9"/>
  <c r="A1171" i="9"/>
  <c r="A1172" i="9"/>
  <c r="A1173" i="9"/>
  <c r="A1174" i="9"/>
  <c r="A1175" i="9"/>
  <c r="A1176" i="9"/>
  <c r="A1177" i="9"/>
  <c r="A1178" i="9"/>
  <c r="A1179" i="9"/>
  <c r="A1180" i="9"/>
  <c r="A1181" i="9"/>
  <c r="A1182" i="9"/>
  <c r="A1183" i="9"/>
  <c r="A1184" i="9"/>
  <c r="A1185" i="9"/>
  <c r="A1186" i="9"/>
  <c r="A1187" i="9"/>
  <c r="A1188" i="9"/>
  <c r="A1189" i="9"/>
  <c r="A1190" i="9"/>
  <c r="A1191" i="9"/>
  <c r="A1192" i="9"/>
  <c r="A1193" i="9"/>
  <c r="A1194" i="9"/>
  <c r="A1195" i="9"/>
  <c r="A1196" i="9"/>
  <c r="A1197" i="9"/>
  <c r="A1198" i="9"/>
  <c r="A1199" i="9"/>
  <c r="A1200" i="9"/>
  <c r="A1201" i="9"/>
  <c r="A1202" i="9"/>
  <c r="A1203" i="9"/>
  <c r="A1204" i="9"/>
  <c r="A1205" i="9"/>
  <c r="A1206" i="9"/>
  <c r="A1207" i="9"/>
  <c r="A1208" i="9"/>
  <c r="A1209" i="9"/>
  <c r="A1210" i="9"/>
  <c r="A1211" i="9"/>
  <c r="A1212" i="9"/>
  <c r="A1213" i="9"/>
  <c r="A1214" i="9"/>
  <c r="A1215" i="9"/>
  <c r="A1216" i="9"/>
  <c r="A1217" i="9"/>
  <c r="A1218" i="9"/>
  <c r="A1219" i="9"/>
  <c r="A1220" i="9"/>
  <c r="A1221" i="9"/>
  <c r="A1222" i="9"/>
  <c r="A1223" i="9"/>
  <c r="A1224" i="9"/>
  <c r="A1225" i="9"/>
  <c r="A1226" i="9"/>
  <c r="A1227" i="9"/>
  <c r="A1228" i="9"/>
  <c r="A1229" i="9"/>
  <c r="A1230" i="9"/>
  <c r="A1231" i="9"/>
  <c r="A1232" i="9"/>
  <c r="A1233" i="9"/>
  <c r="A1234" i="9"/>
  <c r="A1235" i="9"/>
  <c r="A1236" i="9"/>
  <c r="A1237" i="9"/>
  <c r="A1238" i="9"/>
  <c r="A1239" i="9"/>
  <c r="A1240" i="9"/>
  <c r="A1241" i="9"/>
  <c r="A1242" i="9"/>
  <c r="A1243" i="9"/>
  <c r="A1244" i="9"/>
  <c r="A1245" i="9"/>
  <c r="A1246" i="9"/>
  <c r="A1247" i="9"/>
  <c r="A1248" i="9"/>
  <c r="A1249" i="9"/>
  <c r="A1250" i="9"/>
  <c r="A1251" i="9"/>
  <c r="A1252" i="9"/>
  <c r="A1253" i="9"/>
  <c r="A1254" i="9"/>
  <c r="A1255" i="9"/>
  <c r="A1256" i="9"/>
  <c r="A1257" i="9"/>
  <c r="A1258" i="9"/>
  <c r="A1259" i="9"/>
  <c r="A1260" i="9"/>
  <c r="A1261" i="9"/>
  <c r="A1262" i="9"/>
  <c r="A1263" i="9"/>
  <c r="A1264" i="9"/>
  <c r="A1265" i="9"/>
  <c r="A1266" i="9"/>
  <c r="A1267" i="9"/>
  <c r="A1268" i="9"/>
  <c r="A1269" i="9"/>
  <c r="A1270" i="9"/>
  <c r="A1271" i="9"/>
  <c r="A1272" i="9"/>
  <c r="A1273" i="9"/>
  <c r="A1274" i="9"/>
  <c r="A1275" i="9"/>
  <c r="A1276" i="9"/>
  <c r="A1277" i="9"/>
  <c r="A1278" i="9"/>
  <c r="A1279" i="9"/>
  <c r="A1280" i="9"/>
  <c r="A1281" i="9"/>
  <c r="A1282" i="9"/>
  <c r="A1283" i="9"/>
  <c r="A1284" i="9"/>
  <c r="A1285" i="9"/>
  <c r="A1286" i="9"/>
  <c r="A1287" i="9"/>
  <c r="A1288" i="9"/>
  <c r="A1289" i="9"/>
  <c r="A1290" i="9"/>
  <c r="A1291" i="9"/>
  <c r="A1292" i="9"/>
  <c r="A1293" i="9"/>
  <c r="A1294" i="9"/>
  <c r="A1295" i="9"/>
  <c r="A1296" i="9"/>
  <c r="A1297" i="9"/>
  <c r="A1298" i="9"/>
  <c r="A1299" i="9"/>
  <c r="A1300" i="9"/>
  <c r="A1301" i="9"/>
  <c r="A1302" i="9"/>
  <c r="A1303" i="9"/>
  <c r="A1304" i="9"/>
  <c r="A1305" i="9"/>
  <c r="A1306" i="9"/>
  <c r="A1307" i="9"/>
  <c r="A1308" i="9"/>
  <c r="A1309" i="9"/>
  <c r="A1310" i="9"/>
  <c r="A1311" i="9"/>
  <c r="A1312" i="9"/>
  <c r="A1313" i="9"/>
  <c r="A1314" i="9"/>
  <c r="A1315" i="9"/>
  <c r="A1316" i="9"/>
  <c r="A1317" i="9"/>
  <c r="A1318" i="9"/>
  <c r="A1319" i="9"/>
  <c r="A1320" i="9"/>
  <c r="A1321" i="9"/>
  <c r="A1322" i="9"/>
  <c r="A1323" i="9"/>
  <c r="A1324" i="9"/>
  <c r="A1325" i="9"/>
  <c r="A1326" i="9"/>
  <c r="A1327" i="9"/>
  <c r="A1328" i="9"/>
  <c r="A1329" i="9"/>
  <c r="A1330" i="9"/>
  <c r="A1331" i="9"/>
  <c r="A1332" i="9"/>
  <c r="A1333" i="9"/>
  <c r="A1334" i="9"/>
  <c r="A1335" i="9"/>
  <c r="A1336" i="9"/>
  <c r="A1337" i="9"/>
  <c r="A1338" i="9"/>
  <c r="A1339" i="9"/>
  <c r="A1340" i="9"/>
  <c r="A1341" i="9"/>
  <c r="A1342" i="9"/>
  <c r="A1343" i="9"/>
  <c r="A1344" i="9"/>
  <c r="A1345" i="9"/>
  <c r="A1346" i="9"/>
  <c r="A1347" i="9"/>
  <c r="A1348" i="9"/>
  <c r="A1349" i="9"/>
  <c r="A1350" i="9"/>
  <c r="A1351" i="9"/>
  <c r="A1352" i="9"/>
  <c r="A1353" i="9"/>
  <c r="A1354" i="9"/>
  <c r="A1355" i="9"/>
  <c r="A1356" i="9"/>
  <c r="A1357" i="9"/>
  <c r="A1358" i="9"/>
  <c r="A1359" i="9"/>
  <c r="A1360" i="9"/>
  <c r="A1361" i="9"/>
  <c r="A1362" i="9"/>
  <c r="A1363" i="9"/>
  <c r="A1364" i="9"/>
  <c r="A1365" i="9"/>
  <c r="A1366" i="9"/>
  <c r="A1367" i="9"/>
  <c r="A1368" i="9"/>
  <c r="A1369" i="9"/>
  <c r="A1370" i="9"/>
  <c r="A1371" i="9"/>
  <c r="A1372" i="9"/>
  <c r="A1373" i="9"/>
  <c r="A1374" i="9"/>
  <c r="A1375" i="9"/>
  <c r="A1376" i="9"/>
  <c r="A1377" i="9"/>
  <c r="A1378" i="9"/>
  <c r="A1379" i="9"/>
  <c r="A1380" i="9"/>
  <c r="A1381" i="9"/>
  <c r="A1382" i="9"/>
  <c r="A1383" i="9"/>
  <c r="A1384" i="9"/>
  <c r="A1385" i="9"/>
  <c r="A1386" i="9"/>
  <c r="A1387" i="9"/>
  <c r="A1388" i="9"/>
  <c r="A1389" i="9"/>
  <c r="A1390" i="9"/>
  <c r="A1391" i="9"/>
  <c r="A1392" i="9"/>
  <c r="A1393" i="9"/>
  <c r="A1394" i="9"/>
  <c r="A1395" i="9"/>
  <c r="A1396" i="9"/>
  <c r="A1397" i="9"/>
  <c r="A1398" i="9"/>
  <c r="A1399" i="9"/>
  <c r="A1400" i="9"/>
  <c r="A1401" i="9"/>
  <c r="A1402" i="9"/>
  <c r="A1403" i="9"/>
  <c r="A1404" i="9"/>
  <c r="A1405" i="9"/>
  <c r="A1406" i="9"/>
  <c r="A1407" i="9"/>
  <c r="A1408" i="9"/>
  <c r="A1409" i="9"/>
  <c r="A1410" i="9"/>
  <c r="A1411" i="9"/>
  <c r="A1412" i="9"/>
  <c r="A1413" i="9"/>
  <c r="A1414" i="9"/>
  <c r="A1415" i="9"/>
  <c r="A1416" i="9"/>
  <c r="A1417" i="9"/>
  <c r="A1418" i="9"/>
  <c r="A1419" i="9"/>
  <c r="A1420" i="9"/>
  <c r="A1421" i="9"/>
  <c r="A1422" i="9"/>
  <c r="A1423" i="9"/>
  <c r="A1424" i="9"/>
  <c r="A1425" i="9"/>
  <c r="A1426" i="9"/>
  <c r="A1427" i="9"/>
  <c r="A1428" i="9"/>
  <c r="A1429" i="9"/>
  <c r="A1430" i="9"/>
  <c r="A1431" i="9"/>
  <c r="A1432" i="9"/>
  <c r="A1433" i="9"/>
  <c r="A1434" i="9"/>
  <c r="A1435" i="9"/>
  <c r="A1436" i="9"/>
  <c r="A1437" i="9"/>
  <c r="A1438" i="9"/>
  <c r="A1439" i="9"/>
  <c r="A1440" i="9"/>
  <c r="A1441" i="9"/>
  <c r="A1442" i="9"/>
  <c r="A1443" i="9"/>
  <c r="A1444" i="9"/>
  <c r="A1445" i="9"/>
  <c r="A1446" i="9"/>
  <c r="A1447" i="9"/>
  <c r="A1448" i="9"/>
  <c r="A1449" i="9"/>
  <c r="A1450" i="9"/>
  <c r="A1451" i="9"/>
  <c r="A1452" i="9"/>
  <c r="A1453" i="9"/>
  <c r="A1454" i="9"/>
  <c r="A1455" i="9"/>
  <c r="A1456" i="9"/>
  <c r="A1457" i="9"/>
  <c r="A1458" i="9"/>
  <c r="A1459" i="9"/>
  <c r="A1460" i="9"/>
  <c r="A1461" i="9"/>
  <c r="A1462" i="9"/>
  <c r="A1463" i="9"/>
  <c r="A1464" i="9"/>
  <c r="A1465" i="9"/>
  <c r="A1466" i="9"/>
  <c r="A1467" i="9"/>
  <c r="A1468" i="9"/>
  <c r="A1469" i="9"/>
  <c r="A1470" i="9"/>
  <c r="A1471" i="9"/>
  <c r="A1472" i="9"/>
  <c r="A1473" i="9"/>
  <c r="A1474" i="9"/>
  <c r="A1475" i="9"/>
  <c r="A1476" i="9"/>
  <c r="A1477" i="9"/>
  <c r="A1478" i="9"/>
  <c r="A1479" i="9"/>
  <c r="A1480" i="9"/>
  <c r="A1481" i="9"/>
  <c r="A1482" i="9"/>
  <c r="A1483" i="9"/>
  <c r="A1484" i="9"/>
  <c r="A1485" i="9"/>
  <c r="A1486" i="9"/>
  <c r="A1487" i="9"/>
  <c r="A1488" i="9"/>
  <c r="A1489" i="9"/>
  <c r="A1490" i="9"/>
  <c r="A1491" i="9"/>
  <c r="A1492" i="9"/>
  <c r="A1493" i="9"/>
  <c r="A1494" i="9"/>
  <c r="A1495" i="9"/>
  <c r="A1496" i="9"/>
  <c r="A1497" i="9"/>
  <c r="A1498" i="9"/>
  <c r="A1499" i="9"/>
  <c r="A1500" i="9"/>
  <c r="A1501" i="9"/>
  <c r="A1502" i="9"/>
  <c r="A1503" i="9"/>
  <c r="A1504" i="9"/>
  <c r="A1505" i="9"/>
  <c r="A1506" i="9"/>
  <c r="A1507" i="9"/>
  <c r="A1508" i="9"/>
  <c r="A1509" i="9"/>
  <c r="A1510" i="9"/>
  <c r="A1511" i="9"/>
  <c r="A1512" i="9"/>
  <c r="A1513" i="9"/>
  <c r="A1514" i="9"/>
  <c r="A1515" i="9"/>
  <c r="A1516" i="9"/>
  <c r="A1517" i="9"/>
  <c r="A1518" i="9"/>
  <c r="A1519" i="9"/>
  <c r="A1520" i="9"/>
  <c r="A1521" i="9"/>
  <c r="A1522" i="9"/>
  <c r="A1523" i="9"/>
  <c r="A1524" i="9"/>
  <c r="A1525" i="9"/>
  <c r="A1526" i="9"/>
  <c r="A1527" i="9"/>
  <c r="A1528" i="9"/>
  <c r="A1529" i="9"/>
  <c r="A1530" i="9"/>
  <c r="A1531" i="9"/>
  <c r="A1532" i="9"/>
  <c r="A1533" i="9"/>
  <c r="A1534" i="9"/>
  <c r="A1535" i="9"/>
  <c r="A1536" i="9"/>
  <c r="A1537" i="9"/>
  <c r="A1538" i="9"/>
  <c r="A1539" i="9"/>
  <c r="A1540" i="9"/>
  <c r="A1541" i="9"/>
  <c r="A1542" i="9"/>
  <c r="A1543" i="9"/>
  <c r="A1544" i="9"/>
  <c r="A1545" i="9"/>
  <c r="A1546" i="9"/>
  <c r="A1547" i="9"/>
  <c r="A1548" i="9"/>
  <c r="A1549" i="9"/>
  <c r="A1550" i="9"/>
  <c r="A1551" i="9"/>
  <c r="A1552" i="9"/>
  <c r="A1553" i="9"/>
  <c r="A1554" i="9"/>
  <c r="A1555" i="9"/>
  <c r="A1556" i="9"/>
  <c r="A1557" i="9"/>
  <c r="A1558" i="9"/>
  <c r="A1559" i="9"/>
  <c r="A1560" i="9"/>
  <c r="A1561" i="9"/>
  <c r="A1562" i="9"/>
  <c r="A1563" i="9"/>
  <c r="A1564" i="9"/>
  <c r="A1565" i="9"/>
  <c r="A1566" i="9"/>
  <c r="A1567" i="9"/>
  <c r="A1568" i="9"/>
  <c r="A1569" i="9"/>
  <c r="A1570" i="9"/>
  <c r="A1571" i="9"/>
  <c r="A1572" i="9"/>
  <c r="A1573" i="9"/>
  <c r="A1574" i="9"/>
  <c r="A1575" i="9"/>
  <c r="A1576" i="9"/>
  <c r="A1577" i="9"/>
  <c r="A1578" i="9"/>
  <c r="A1579" i="9"/>
  <c r="A1580" i="9"/>
  <c r="A1581" i="9"/>
  <c r="A1582" i="9"/>
  <c r="A1583" i="9"/>
  <c r="A1584" i="9"/>
  <c r="A1585" i="9"/>
  <c r="A1586" i="9"/>
  <c r="A1587" i="9"/>
  <c r="A1588" i="9"/>
  <c r="A1589" i="9"/>
  <c r="A1590" i="9"/>
  <c r="A1591" i="9"/>
  <c r="A1592" i="9"/>
  <c r="A1593" i="9"/>
  <c r="A1594" i="9"/>
  <c r="A1595" i="9"/>
  <c r="A1596" i="9"/>
  <c r="A1597" i="9"/>
  <c r="A1598" i="9"/>
  <c r="A1599" i="9"/>
  <c r="A1600" i="9"/>
  <c r="A1601" i="9"/>
  <c r="A1602" i="9"/>
  <c r="A1603" i="9"/>
  <c r="A1604" i="9"/>
  <c r="A1605" i="9"/>
  <c r="A1606" i="9"/>
  <c r="A1607" i="9"/>
  <c r="A1608" i="9"/>
  <c r="A1609" i="9"/>
  <c r="A1610" i="9"/>
  <c r="A1611" i="9"/>
  <c r="A1612" i="9"/>
  <c r="A1613" i="9"/>
  <c r="A1614" i="9"/>
  <c r="A1615" i="9"/>
  <c r="A1616" i="9"/>
  <c r="A1617" i="9"/>
  <c r="A1618" i="9"/>
  <c r="A1619" i="9"/>
  <c r="A1620" i="9"/>
  <c r="A1621" i="9"/>
  <c r="A1622" i="9"/>
  <c r="A1623" i="9"/>
  <c r="A1624" i="9"/>
  <c r="A1625" i="9"/>
  <c r="A1626" i="9"/>
  <c r="A1627" i="9"/>
  <c r="A1628" i="9"/>
  <c r="A1629" i="9"/>
  <c r="A1630" i="9"/>
  <c r="A1631" i="9"/>
  <c r="A1632" i="9"/>
  <c r="A1633" i="9"/>
  <c r="A1634" i="9"/>
  <c r="A1635" i="9"/>
  <c r="A1636" i="9"/>
  <c r="A1637" i="9"/>
  <c r="A1638" i="9"/>
  <c r="A1639" i="9"/>
  <c r="A1640" i="9"/>
  <c r="A1641" i="9"/>
  <c r="A1642" i="9"/>
  <c r="A1643" i="9"/>
  <c r="A1644" i="9"/>
  <c r="A1645" i="9"/>
  <c r="A1646" i="9"/>
  <c r="A1647" i="9"/>
  <c r="A1648" i="9"/>
  <c r="A1649" i="9"/>
  <c r="A1650" i="9"/>
  <c r="A1651" i="9"/>
  <c r="A1652" i="9"/>
  <c r="A1653" i="9"/>
  <c r="A1654" i="9"/>
  <c r="A1655" i="9"/>
  <c r="A1656" i="9"/>
  <c r="A1657" i="9"/>
  <c r="A1658" i="9"/>
  <c r="A1659" i="9"/>
  <c r="A1660" i="9"/>
  <c r="A1661" i="9"/>
  <c r="A1662" i="9"/>
  <c r="A1663" i="9"/>
  <c r="A1664" i="9"/>
  <c r="A1665" i="9"/>
  <c r="A1666" i="9"/>
  <c r="A1667" i="9"/>
  <c r="A1668" i="9"/>
  <c r="A1669" i="9"/>
  <c r="A1670" i="9"/>
  <c r="A1671" i="9"/>
  <c r="A1672" i="9"/>
  <c r="A1673" i="9"/>
  <c r="A1674" i="9"/>
  <c r="A1675" i="9"/>
  <c r="A1676" i="9"/>
  <c r="A1677" i="9"/>
  <c r="A1678" i="9"/>
  <c r="A1679" i="9"/>
  <c r="A1680" i="9"/>
  <c r="A1681" i="9"/>
  <c r="A1682" i="9"/>
  <c r="A1683" i="9"/>
  <c r="A1684" i="9"/>
  <c r="A1685" i="9"/>
  <c r="A1686" i="9"/>
  <c r="A1687" i="9"/>
  <c r="A1688" i="9"/>
  <c r="A1689" i="9"/>
  <c r="A1690" i="9"/>
  <c r="A1691" i="9"/>
  <c r="A1692" i="9"/>
  <c r="A1693" i="9"/>
  <c r="A1694" i="9"/>
  <c r="A1695" i="9"/>
  <c r="A1696" i="9"/>
  <c r="A1697" i="9"/>
  <c r="A1698" i="9"/>
  <c r="A1699" i="9"/>
  <c r="A1700" i="9"/>
  <c r="A1701" i="9"/>
  <c r="A1702" i="9"/>
  <c r="A1703" i="9"/>
  <c r="A1704" i="9"/>
  <c r="A1705" i="9"/>
  <c r="A1706" i="9"/>
  <c r="A1707" i="9"/>
  <c r="A1708" i="9"/>
  <c r="A1709" i="9"/>
  <c r="A1710" i="9"/>
  <c r="A1711" i="9"/>
  <c r="A1712" i="9"/>
  <c r="A1713" i="9"/>
  <c r="A1714" i="9"/>
  <c r="A1715" i="9"/>
  <c r="A1716" i="9"/>
  <c r="A1717" i="9"/>
  <c r="A1718" i="9"/>
  <c r="A1719" i="9"/>
  <c r="A1720" i="9"/>
  <c r="A1721" i="9"/>
  <c r="A1722" i="9"/>
  <c r="A1723" i="9"/>
  <c r="A1724" i="9"/>
  <c r="A1725" i="9"/>
  <c r="A1726" i="9"/>
  <c r="A1727" i="9"/>
  <c r="A1728" i="9"/>
  <c r="A1729" i="9"/>
  <c r="A1730" i="9"/>
  <c r="A1731" i="9"/>
  <c r="A1732" i="9"/>
  <c r="A1733" i="9"/>
  <c r="A1734" i="9"/>
  <c r="A1735" i="9"/>
  <c r="A1736" i="9"/>
  <c r="A1737" i="9"/>
  <c r="A1738" i="9"/>
  <c r="A1739" i="9"/>
  <c r="A1740" i="9"/>
  <c r="A1741" i="9"/>
  <c r="A1742" i="9"/>
  <c r="A1743" i="9"/>
  <c r="A1744" i="9"/>
  <c r="A1745" i="9"/>
  <c r="A1746" i="9"/>
  <c r="A1747" i="9"/>
  <c r="A1748" i="9"/>
  <c r="A1749" i="9"/>
  <c r="A1750" i="9"/>
  <c r="A1751" i="9"/>
  <c r="A1752" i="9"/>
  <c r="A1753" i="9"/>
  <c r="A1754" i="9"/>
  <c r="A1755" i="9"/>
  <c r="A1756" i="9"/>
  <c r="A1757" i="9"/>
  <c r="A1758" i="9"/>
  <c r="A1759" i="9"/>
  <c r="A1760" i="9"/>
  <c r="A1761" i="9"/>
  <c r="A1762" i="9"/>
  <c r="A1763" i="9"/>
  <c r="A1764" i="9"/>
  <c r="A1765" i="9"/>
  <c r="A1766" i="9"/>
  <c r="A1767" i="9"/>
  <c r="A1768" i="9"/>
  <c r="A1769" i="9"/>
  <c r="A1770" i="9"/>
  <c r="A1771" i="9"/>
  <c r="A1772" i="9"/>
  <c r="A1773" i="9"/>
  <c r="A1774" i="9"/>
  <c r="A1775" i="9"/>
  <c r="A1776" i="9"/>
  <c r="A1777" i="9"/>
  <c r="A1778" i="9"/>
  <c r="A1779" i="9"/>
  <c r="A1780" i="9"/>
  <c r="A1781" i="9"/>
  <c r="A1782" i="9"/>
  <c r="A1783" i="9"/>
  <c r="A1784" i="9"/>
  <c r="A1785" i="9"/>
  <c r="A1786" i="9"/>
  <c r="A1787" i="9"/>
  <c r="A1788" i="9"/>
  <c r="A1789" i="9"/>
  <c r="A1790" i="9"/>
  <c r="A1791" i="9"/>
  <c r="A1792" i="9"/>
  <c r="A1793" i="9"/>
  <c r="A1794" i="9"/>
  <c r="A1795" i="9"/>
  <c r="A1796" i="9"/>
  <c r="A1797" i="9"/>
  <c r="A1798" i="9"/>
  <c r="A1799" i="9"/>
  <c r="A1800" i="9"/>
  <c r="A1801" i="9"/>
  <c r="A1802" i="9"/>
  <c r="A1803" i="9"/>
  <c r="A1804" i="9"/>
  <c r="A1805" i="9"/>
  <c r="A1806" i="9"/>
  <c r="A1807" i="9"/>
  <c r="A1808" i="9"/>
  <c r="A1809" i="9"/>
  <c r="A1810" i="9"/>
  <c r="A1811" i="9"/>
  <c r="A1812" i="9"/>
  <c r="A1813" i="9"/>
  <c r="A1814" i="9"/>
  <c r="A1815" i="9"/>
  <c r="A1816" i="9"/>
  <c r="A1817" i="9"/>
  <c r="A1818" i="9"/>
  <c r="A1819" i="9"/>
  <c r="A1820" i="9"/>
  <c r="A1821" i="9"/>
  <c r="A1822" i="9"/>
  <c r="A1823" i="9"/>
  <c r="A1824" i="9"/>
  <c r="A1825" i="9"/>
  <c r="A1826" i="9"/>
  <c r="A1827" i="9"/>
  <c r="A1828" i="9"/>
  <c r="A1829" i="9"/>
  <c r="A1830" i="9"/>
  <c r="A1831" i="9"/>
  <c r="A1832" i="9"/>
  <c r="A1833" i="9"/>
  <c r="A1834" i="9"/>
  <c r="A1835" i="9"/>
  <c r="A1836" i="9"/>
  <c r="A1837" i="9"/>
  <c r="A1838" i="9"/>
  <c r="A1839" i="9"/>
  <c r="A1840" i="9"/>
  <c r="A1841" i="9"/>
  <c r="A1842" i="9"/>
  <c r="A1843" i="9"/>
  <c r="A1844" i="9"/>
  <c r="A1845" i="9"/>
  <c r="A1846" i="9"/>
  <c r="A1847" i="9"/>
  <c r="A1848" i="9"/>
  <c r="A1849" i="9"/>
  <c r="A1850" i="9"/>
  <c r="A1851" i="9"/>
  <c r="A1852" i="9"/>
  <c r="A1853" i="9"/>
  <c r="A1854" i="9"/>
  <c r="A1855" i="9"/>
  <c r="A1856" i="9"/>
  <c r="A1857" i="9"/>
  <c r="A1858" i="9"/>
  <c r="A1859" i="9"/>
  <c r="A1860" i="9"/>
  <c r="A1861" i="9"/>
  <c r="A1862" i="9"/>
  <c r="A1863" i="9"/>
  <c r="A1864" i="9"/>
  <c r="A1865" i="9"/>
  <c r="A1866" i="9"/>
  <c r="A1867" i="9"/>
  <c r="A1868" i="9"/>
  <c r="A1869" i="9"/>
  <c r="A1870" i="9"/>
  <c r="A1871" i="9"/>
  <c r="A1872" i="9"/>
  <c r="A1873" i="9"/>
  <c r="A1874" i="9"/>
  <c r="A1875" i="9"/>
  <c r="A1876" i="9"/>
  <c r="A1877" i="9"/>
  <c r="A1878" i="9"/>
  <c r="A1879" i="9"/>
  <c r="A1880" i="9"/>
  <c r="A1881" i="9"/>
  <c r="A1882" i="9"/>
  <c r="A1883" i="9"/>
  <c r="A1884" i="9"/>
  <c r="A1885" i="9"/>
  <c r="A1886" i="9"/>
  <c r="A1887" i="9"/>
  <c r="A1888" i="9"/>
  <c r="A1889" i="9"/>
  <c r="A1890" i="9"/>
  <c r="A1891" i="9"/>
  <c r="A1892" i="9"/>
  <c r="A1893" i="9"/>
  <c r="A1894" i="9"/>
  <c r="A1895" i="9"/>
  <c r="A1896" i="9"/>
  <c r="A1897" i="9"/>
  <c r="A1898" i="9"/>
  <c r="A1899" i="9"/>
  <c r="A1900" i="9"/>
  <c r="A1901" i="9"/>
  <c r="A1902" i="9"/>
  <c r="A1903" i="9"/>
  <c r="A1904" i="9"/>
  <c r="A1905" i="9"/>
  <c r="A1906" i="9"/>
  <c r="A1907" i="9"/>
  <c r="A1908" i="9"/>
  <c r="A1909" i="9"/>
  <c r="A1910" i="9"/>
  <c r="A1911" i="9"/>
  <c r="A1912" i="9"/>
  <c r="A1913" i="9"/>
  <c r="A1914" i="9"/>
  <c r="A1915" i="9"/>
  <c r="A1916" i="9"/>
  <c r="A1917" i="9"/>
  <c r="A1918" i="9"/>
  <c r="A1919" i="9"/>
  <c r="A1920" i="9"/>
  <c r="A1921" i="9"/>
  <c r="A1922" i="9"/>
  <c r="A1923" i="9"/>
  <c r="A1924" i="9"/>
  <c r="A1925" i="9"/>
  <c r="A1926" i="9"/>
  <c r="A1927" i="9"/>
  <c r="A1928" i="9"/>
  <c r="A1929" i="9"/>
  <c r="A1930" i="9"/>
  <c r="A1931" i="9"/>
  <c r="A1932" i="9"/>
  <c r="A1933" i="9"/>
  <c r="A1934" i="9"/>
  <c r="A1935" i="9"/>
  <c r="A1936" i="9"/>
  <c r="A1937" i="9"/>
  <c r="A1938" i="9"/>
  <c r="A1939" i="9"/>
  <c r="A1940" i="9"/>
  <c r="A1941" i="9"/>
  <c r="A1942" i="9"/>
  <c r="A1943" i="9"/>
  <c r="A1944" i="9"/>
  <c r="A1945" i="9"/>
  <c r="A1946" i="9"/>
  <c r="A1947" i="9"/>
  <c r="A1948" i="9"/>
  <c r="A1949" i="9"/>
  <c r="A1950" i="9"/>
  <c r="A1951" i="9"/>
  <c r="A1952" i="9"/>
  <c r="A1953" i="9"/>
  <c r="A1954" i="9"/>
  <c r="A1955" i="9"/>
  <c r="A1956" i="9"/>
  <c r="A1957" i="9"/>
  <c r="A1958" i="9"/>
  <c r="A1959" i="9"/>
  <c r="A1960" i="9"/>
  <c r="A1961" i="9"/>
  <c r="A1962" i="9"/>
  <c r="A1963" i="9"/>
  <c r="A1964" i="9"/>
  <c r="A1965" i="9"/>
  <c r="A1966" i="9"/>
  <c r="A1967" i="9"/>
  <c r="A1968" i="9"/>
  <c r="A1969" i="9"/>
  <c r="A1970" i="9"/>
  <c r="A1971" i="9"/>
  <c r="A1972" i="9"/>
  <c r="A1973" i="9"/>
  <c r="A1974" i="9"/>
  <c r="A1975" i="9"/>
  <c r="A1976" i="9"/>
  <c r="A1977" i="9"/>
  <c r="A1978" i="9"/>
  <c r="A1979" i="9"/>
  <c r="A1980" i="9"/>
  <c r="A1981" i="9"/>
  <c r="A1982" i="9"/>
  <c r="A1983" i="9"/>
  <c r="A1984" i="9"/>
  <c r="A1985" i="9"/>
  <c r="A1986" i="9"/>
  <c r="A1987" i="9"/>
  <c r="A1988" i="9"/>
  <c r="A1989" i="9"/>
  <c r="A1990" i="9"/>
  <c r="A1991" i="9"/>
  <c r="A1992" i="9"/>
  <c r="A1993" i="9"/>
  <c r="A1994" i="9"/>
  <c r="A1995" i="9"/>
  <c r="A1996" i="9"/>
  <c r="A1997" i="9"/>
  <c r="A1998" i="9"/>
  <c r="A1999" i="9"/>
  <c r="A2000" i="9"/>
  <c r="A2001" i="9"/>
  <c r="A2002" i="9"/>
  <c r="A2003" i="9"/>
  <c r="A2004" i="9"/>
  <c r="A2005" i="9"/>
  <c r="A2006" i="9"/>
  <c r="A2007" i="9"/>
  <c r="A2008" i="9"/>
  <c r="A2009" i="9"/>
  <c r="A2010" i="9"/>
  <c r="A2011" i="9"/>
  <c r="A2012" i="9"/>
  <c r="A2013" i="9"/>
  <c r="A2014" i="9"/>
  <c r="A2015" i="9"/>
  <c r="A2016" i="9"/>
  <c r="A2017" i="9"/>
  <c r="A2018" i="9"/>
  <c r="A2019" i="9"/>
  <c r="A2020" i="9"/>
  <c r="A2021" i="9"/>
  <c r="A2022" i="9"/>
  <c r="A2023" i="9"/>
  <c r="A2024" i="9"/>
  <c r="A2025" i="9"/>
  <c r="A2026" i="9"/>
  <c r="A2027" i="9"/>
  <c r="A2028" i="9"/>
  <c r="A2029" i="9"/>
  <c r="A2030" i="9"/>
  <c r="A2031" i="9"/>
  <c r="A2032" i="9"/>
  <c r="A2033" i="9"/>
  <c r="A2034" i="9"/>
  <c r="A2035" i="9"/>
  <c r="A2036" i="9"/>
  <c r="A2037" i="9"/>
  <c r="A2038" i="9"/>
  <c r="A2039" i="9"/>
  <c r="A2040" i="9"/>
  <c r="A2041" i="9"/>
  <c r="A2042" i="9"/>
  <c r="A2043" i="9"/>
  <c r="A2044" i="9"/>
  <c r="A2045" i="9"/>
  <c r="A2046" i="9"/>
  <c r="A2047" i="9"/>
  <c r="A2048" i="9"/>
  <c r="A2049" i="9"/>
  <c r="A2050" i="9"/>
  <c r="A2051" i="9"/>
  <c r="A2052" i="9"/>
  <c r="A2053" i="9"/>
  <c r="A2054" i="9"/>
  <c r="A2055" i="9"/>
  <c r="A2056" i="9"/>
  <c r="A2057" i="9"/>
  <c r="A2058" i="9"/>
  <c r="A2059" i="9"/>
  <c r="A2060" i="9"/>
  <c r="A2061" i="9"/>
  <c r="A2062" i="9"/>
  <c r="A2063" i="9"/>
  <c r="A2064" i="9"/>
  <c r="A2065" i="9"/>
  <c r="A2066" i="9"/>
  <c r="A2067" i="9"/>
  <c r="A2068" i="9"/>
  <c r="A2069" i="9"/>
  <c r="A2070" i="9"/>
  <c r="A2071" i="9"/>
  <c r="A2072" i="9"/>
  <c r="A2073" i="9"/>
  <c r="A2074" i="9"/>
  <c r="A2075" i="9"/>
  <c r="A2076" i="9"/>
  <c r="A2077" i="9"/>
  <c r="A2078" i="9"/>
  <c r="A2079" i="9"/>
  <c r="A2080" i="9"/>
  <c r="A2081" i="9"/>
  <c r="A2082" i="9"/>
  <c r="A2083" i="9"/>
  <c r="A2084" i="9"/>
  <c r="A2085" i="9"/>
  <c r="A2086" i="9"/>
  <c r="A2087" i="9"/>
  <c r="A2088" i="9"/>
  <c r="A2089" i="9"/>
  <c r="A2090" i="9"/>
  <c r="A2091" i="9"/>
  <c r="A2092" i="9"/>
  <c r="A2093" i="9"/>
  <c r="A2094" i="9"/>
  <c r="A2095" i="9"/>
  <c r="A2096" i="9"/>
  <c r="A2097" i="9"/>
  <c r="A2098" i="9"/>
  <c r="A2099" i="9"/>
  <c r="A2100" i="9"/>
  <c r="A2101" i="9"/>
  <c r="A2102" i="9"/>
  <c r="A2103" i="9"/>
  <c r="A2104" i="9"/>
  <c r="A2105" i="9"/>
  <c r="A2106" i="9"/>
  <c r="A2107" i="9"/>
  <c r="A2108" i="9"/>
  <c r="A2109" i="9"/>
  <c r="A2110" i="9"/>
  <c r="A2111" i="9"/>
  <c r="A2112" i="9"/>
  <c r="A2113" i="9"/>
  <c r="A2114" i="9"/>
  <c r="A2115" i="9"/>
  <c r="A2116" i="9"/>
  <c r="A2117" i="9"/>
  <c r="A2118" i="9"/>
  <c r="A2119" i="9"/>
  <c r="A2120" i="9"/>
  <c r="A2121" i="9"/>
  <c r="A2122" i="9"/>
  <c r="A2123" i="9"/>
  <c r="A2124" i="9"/>
  <c r="A2125" i="9"/>
  <c r="A2126" i="9"/>
  <c r="A2127" i="9"/>
  <c r="A2128" i="9"/>
  <c r="A2129" i="9"/>
  <c r="A2130" i="9"/>
  <c r="A2131" i="9"/>
  <c r="A2132" i="9"/>
  <c r="A2133" i="9"/>
  <c r="A2134" i="9"/>
  <c r="A2135" i="9"/>
  <c r="A2136" i="9"/>
  <c r="A2137" i="9"/>
  <c r="A2138" i="9"/>
  <c r="A2139" i="9"/>
  <c r="A2140" i="9"/>
  <c r="A2141" i="9"/>
  <c r="A2142" i="9"/>
  <c r="A2143" i="9"/>
  <c r="A2144" i="9"/>
  <c r="A2145" i="9"/>
  <c r="A2146" i="9"/>
  <c r="A2147" i="9"/>
  <c r="A2148" i="9"/>
  <c r="A2149" i="9"/>
  <c r="A2150" i="9"/>
  <c r="A2151" i="9"/>
  <c r="A2152" i="9"/>
  <c r="A2153" i="9"/>
  <c r="A2154" i="9"/>
  <c r="A2155" i="9"/>
  <c r="A2156" i="9"/>
  <c r="A2157" i="9"/>
  <c r="A2158" i="9"/>
  <c r="A2159" i="9"/>
  <c r="A2160" i="9"/>
  <c r="A2161" i="9"/>
  <c r="A2162" i="9"/>
  <c r="A2163" i="9"/>
  <c r="A2164" i="9"/>
  <c r="A2165" i="9"/>
  <c r="A2166" i="9"/>
  <c r="A2167" i="9"/>
  <c r="A2168" i="9"/>
  <c r="A2169" i="9"/>
  <c r="A2170" i="9"/>
  <c r="A2171" i="9"/>
  <c r="A2172" i="9"/>
  <c r="A2173" i="9"/>
  <c r="A2174" i="9"/>
  <c r="A2175" i="9"/>
  <c r="A2176" i="9"/>
  <c r="A2177" i="9"/>
  <c r="A2178" i="9"/>
  <c r="A2179" i="9"/>
  <c r="A2180" i="9"/>
  <c r="A2181" i="9"/>
  <c r="A2182" i="9"/>
  <c r="A2183" i="9"/>
  <c r="A2184" i="9"/>
  <c r="A2185" i="9"/>
  <c r="A2186" i="9"/>
  <c r="A2187" i="9"/>
  <c r="A2188" i="9"/>
  <c r="A2189" i="9"/>
  <c r="A2190" i="9"/>
  <c r="A2191" i="9"/>
  <c r="A2192" i="9"/>
  <c r="A2193" i="9"/>
  <c r="A2194" i="9"/>
  <c r="A2195" i="9"/>
  <c r="A2196" i="9"/>
  <c r="A2197" i="9"/>
  <c r="A2198" i="9"/>
  <c r="A2199" i="9"/>
  <c r="A2200" i="9"/>
  <c r="A2201" i="9"/>
  <c r="A2202" i="9"/>
  <c r="A2203" i="9"/>
  <c r="A2204" i="9"/>
  <c r="A2205" i="9"/>
  <c r="A2206" i="9"/>
  <c r="A2207" i="9"/>
  <c r="A2208" i="9"/>
  <c r="A2209" i="9"/>
  <c r="A2210" i="9"/>
  <c r="A2211" i="9"/>
  <c r="A2212" i="9"/>
  <c r="A2213" i="9"/>
  <c r="A2214" i="9"/>
  <c r="A2215" i="9"/>
  <c r="A2216" i="9"/>
  <c r="A2217" i="9"/>
  <c r="A2218" i="9"/>
  <c r="A2219" i="9"/>
  <c r="A2220" i="9"/>
  <c r="A2221" i="9"/>
  <c r="A2222" i="9"/>
  <c r="A2223" i="9"/>
  <c r="A2224" i="9"/>
  <c r="A2225" i="9"/>
  <c r="A2226" i="9"/>
  <c r="A2227" i="9"/>
  <c r="A2228" i="9"/>
  <c r="A2229" i="9"/>
  <c r="A2230" i="9"/>
  <c r="A2231" i="9"/>
  <c r="A2232" i="9"/>
  <c r="A2233" i="9"/>
  <c r="A2234" i="9"/>
  <c r="A2235" i="9"/>
  <c r="A2236" i="9"/>
  <c r="A2237" i="9"/>
  <c r="A2238" i="9"/>
  <c r="A2239" i="9"/>
  <c r="A2240" i="9"/>
  <c r="A2241" i="9"/>
  <c r="A2242" i="9"/>
  <c r="A2243" i="9"/>
  <c r="A2244" i="9"/>
  <c r="A2245" i="9"/>
  <c r="A2246" i="9"/>
  <c r="A2247" i="9"/>
  <c r="A2248" i="9"/>
  <c r="A2249" i="9"/>
  <c r="A2250" i="9"/>
  <c r="A2251" i="9"/>
  <c r="A2252" i="9"/>
  <c r="A2253" i="9"/>
  <c r="A2254" i="9"/>
  <c r="A2255" i="9"/>
  <c r="A2256" i="9"/>
  <c r="A2257" i="9"/>
  <c r="A2258" i="9"/>
  <c r="A2259" i="9"/>
  <c r="A2260" i="9"/>
  <c r="A2261" i="9"/>
  <c r="A2262" i="9"/>
  <c r="A2263" i="9"/>
  <c r="A2264" i="9"/>
  <c r="A2265" i="9"/>
  <c r="A2266" i="9"/>
  <c r="A2267" i="9"/>
  <c r="A2268" i="9"/>
  <c r="A2269" i="9"/>
  <c r="A2270" i="9"/>
  <c r="A2271" i="9"/>
  <c r="A2272" i="9"/>
  <c r="A2273" i="9"/>
  <c r="A2274" i="9"/>
  <c r="A2275" i="9"/>
  <c r="A2276" i="9"/>
  <c r="A2277" i="9"/>
  <c r="A2278" i="9"/>
  <c r="A2279" i="9"/>
  <c r="A2280" i="9"/>
  <c r="A2281" i="9"/>
  <c r="A2282" i="9"/>
  <c r="A2283" i="9"/>
  <c r="A2284" i="9"/>
  <c r="A2285" i="9"/>
  <c r="A2286" i="9"/>
  <c r="A2287" i="9"/>
  <c r="A2288" i="9"/>
  <c r="A2289" i="9"/>
  <c r="A2290" i="9"/>
  <c r="A2291" i="9"/>
  <c r="A2292" i="9"/>
  <c r="A2293" i="9"/>
  <c r="A2294" i="9"/>
  <c r="A2295" i="9"/>
  <c r="A2296" i="9"/>
  <c r="A2297" i="9"/>
  <c r="A2298" i="9"/>
  <c r="A2299" i="9"/>
  <c r="A2300" i="9"/>
  <c r="A2301" i="9"/>
  <c r="A2302" i="9"/>
  <c r="A2303" i="9"/>
  <c r="A2304" i="9"/>
  <c r="A2305" i="9"/>
  <c r="A2306" i="9"/>
  <c r="A2307" i="9"/>
  <c r="A2308" i="9"/>
  <c r="A2309" i="9"/>
  <c r="A2310" i="9"/>
  <c r="A2311" i="9"/>
  <c r="A2312" i="9"/>
  <c r="A2313" i="9"/>
  <c r="A2314" i="9"/>
  <c r="A2315" i="9"/>
  <c r="A2316" i="9"/>
  <c r="A2317" i="9"/>
  <c r="A2318" i="9"/>
  <c r="A2319" i="9"/>
  <c r="A2320" i="9"/>
  <c r="A2321" i="9"/>
  <c r="A2322" i="9"/>
  <c r="A2323" i="9"/>
  <c r="A2324" i="9"/>
  <c r="A2325" i="9"/>
  <c r="A2326" i="9"/>
  <c r="A2327" i="9"/>
  <c r="A2328" i="9"/>
  <c r="A2329" i="9"/>
  <c r="A2330" i="9"/>
  <c r="A2331" i="9"/>
  <c r="A2332" i="9"/>
  <c r="A2333" i="9"/>
  <c r="A2334" i="9"/>
  <c r="A2335" i="9"/>
  <c r="A2336" i="9"/>
  <c r="A2337" i="9"/>
  <c r="A2338" i="9"/>
  <c r="A2339" i="9"/>
  <c r="A2340" i="9"/>
  <c r="A2341" i="9"/>
  <c r="A2342" i="9"/>
  <c r="A2343" i="9"/>
  <c r="A2344" i="9"/>
  <c r="A2345" i="9"/>
  <c r="A2346" i="9"/>
  <c r="A2347" i="9"/>
  <c r="A2348" i="9"/>
  <c r="A2349" i="9"/>
  <c r="A2350" i="9"/>
  <c r="A2351" i="9"/>
  <c r="A2352" i="9"/>
  <c r="A2353" i="9"/>
  <c r="A2354" i="9"/>
  <c r="A2355" i="9"/>
  <c r="A2356" i="9"/>
  <c r="A2357" i="9"/>
  <c r="A2358" i="9"/>
  <c r="A2359" i="9"/>
  <c r="A2360" i="9"/>
  <c r="A2361" i="9"/>
  <c r="A2362" i="9"/>
  <c r="A2363" i="9"/>
  <c r="A2364" i="9"/>
  <c r="A2365" i="9"/>
  <c r="A2366" i="9"/>
  <c r="A2367" i="9"/>
  <c r="A2368" i="9"/>
  <c r="A2369" i="9"/>
  <c r="A2370" i="9"/>
  <c r="A2371" i="9"/>
  <c r="A2372" i="9"/>
  <c r="A2373" i="9"/>
  <c r="A2374" i="9"/>
  <c r="A2375" i="9"/>
  <c r="A2376" i="9"/>
  <c r="A2377" i="9"/>
  <c r="A2378" i="9"/>
  <c r="A2379" i="9"/>
  <c r="A2380" i="9"/>
  <c r="A2381" i="9"/>
  <c r="A2382" i="9"/>
  <c r="A2383" i="9"/>
  <c r="A2384" i="9"/>
  <c r="A2385" i="9"/>
  <c r="A2386" i="9"/>
  <c r="A2387" i="9"/>
  <c r="A2388" i="9"/>
  <c r="A2389" i="9"/>
  <c r="A2390" i="9"/>
  <c r="A2391" i="9"/>
  <c r="A2392" i="9"/>
  <c r="A2393" i="9"/>
  <c r="A2394" i="9"/>
  <c r="A2395" i="9"/>
  <c r="A2396" i="9"/>
  <c r="A2397" i="9"/>
  <c r="A2398" i="9"/>
  <c r="A2399" i="9"/>
  <c r="A2400" i="9"/>
  <c r="A2401" i="9"/>
  <c r="A2402" i="9"/>
  <c r="A2403" i="9"/>
  <c r="A2404" i="9"/>
  <c r="A2405" i="9"/>
  <c r="A2406" i="9"/>
  <c r="A2407" i="9"/>
  <c r="A2408" i="9"/>
  <c r="A2409" i="9"/>
  <c r="A2410" i="9"/>
  <c r="A2411" i="9"/>
  <c r="A2412" i="9"/>
  <c r="A2413" i="9"/>
  <c r="A2414" i="9"/>
  <c r="A2415" i="9"/>
  <c r="A2416" i="9"/>
  <c r="A2417" i="9"/>
  <c r="A2418" i="9"/>
  <c r="A2419" i="9"/>
  <c r="A2420" i="9"/>
  <c r="A2421" i="9"/>
  <c r="A2422" i="9"/>
  <c r="A2423" i="9"/>
  <c r="A2424" i="9"/>
  <c r="A2425" i="9"/>
  <c r="A2426" i="9"/>
  <c r="A2427" i="9"/>
  <c r="A2428" i="9"/>
  <c r="A2429" i="9"/>
  <c r="A2430" i="9"/>
  <c r="A2431" i="9"/>
  <c r="A2432" i="9"/>
  <c r="A2433" i="9"/>
  <c r="A2434" i="9"/>
  <c r="A2435" i="9"/>
  <c r="A2436" i="9"/>
  <c r="A2437" i="9"/>
  <c r="A2438" i="9"/>
  <c r="A2439" i="9"/>
  <c r="A2440" i="9"/>
  <c r="A2441" i="9"/>
  <c r="A2442" i="9"/>
  <c r="A2443" i="9"/>
  <c r="A2444" i="9"/>
  <c r="A2445" i="9"/>
  <c r="A2446" i="9"/>
  <c r="A2447" i="9"/>
  <c r="A2448" i="9"/>
  <c r="A2449" i="9"/>
  <c r="A2450" i="9"/>
  <c r="A2451" i="9"/>
  <c r="A2452" i="9"/>
  <c r="A2453" i="9"/>
  <c r="A2454" i="9"/>
  <c r="A2455" i="9"/>
  <c r="A2456" i="9"/>
  <c r="A2457" i="9"/>
  <c r="A2458" i="9"/>
  <c r="A2459" i="9"/>
  <c r="A2460" i="9"/>
  <c r="A2461" i="9"/>
  <c r="A2462" i="9"/>
  <c r="A2463" i="9"/>
  <c r="A2464" i="9"/>
  <c r="A2465" i="9"/>
  <c r="A2466" i="9"/>
  <c r="A2467" i="9"/>
  <c r="A2468" i="9"/>
  <c r="A2469" i="9"/>
  <c r="A2470" i="9"/>
  <c r="A2471" i="9"/>
  <c r="A2472" i="9"/>
  <c r="A2473" i="9"/>
  <c r="A2474" i="9"/>
  <c r="A2475" i="9"/>
  <c r="A2476" i="9"/>
  <c r="A2477" i="9"/>
  <c r="A2478" i="9"/>
  <c r="A2479" i="9"/>
  <c r="A2480" i="9"/>
  <c r="A2481" i="9"/>
  <c r="A2482" i="9"/>
  <c r="A2483" i="9"/>
  <c r="A2484" i="9"/>
  <c r="A2485" i="9"/>
  <c r="A2486" i="9"/>
  <c r="A2487" i="9"/>
  <c r="A2488" i="9"/>
  <c r="A2489" i="9"/>
  <c r="A2490" i="9"/>
  <c r="A2491" i="9"/>
  <c r="A2492" i="9"/>
  <c r="A2493" i="9"/>
  <c r="A2494" i="9"/>
  <c r="A2495" i="9"/>
  <c r="A2496" i="9"/>
  <c r="A2497" i="9"/>
  <c r="A2498" i="9"/>
  <c r="A2499" i="9"/>
  <c r="A2500" i="9"/>
  <c r="A2501" i="9"/>
  <c r="A2502" i="9"/>
  <c r="A2503" i="9"/>
  <c r="S791" i="9"/>
  <c r="S792" i="9"/>
  <c r="S793" i="9"/>
  <c r="S794" i="9"/>
  <c r="S795" i="9"/>
  <c r="S796" i="9"/>
  <c r="S797" i="9"/>
  <c r="S798" i="9"/>
  <c r="S799" i="9"/>
  <c r="S800" i="9"/>
  <c r="S801" i="9"/>
  <c r="S802" i="9"/>
  <c r="S803" i="9"/>
  <c r="S804" i="9"/>
  <c r="S805" i="9"/>
  <c r="S806" i="9"/>
  <c r="S807" i="9"/>
  <c r="S808" i="9"/>
  <c r="S809" i="9"/>
  <c r="S810" i="9"/>
  <c r="S811" i="9"/>
  <c r="S812" i="9"/>
  <c r="S813" i="9"/>
  <c r="S814" i="9"/>
  <c r="S815" i="9"/>
  <c r="S816" i="9"/>
  <c r="S817" i="9"/>
  <c r="S818" i="9"/>
  <c r="S819" i="9"/>
  <c r="S820" i="9"/>
  <c r="S821" i="9"/>
  <c r="S822" i="9"/>
  <c r="S823" i="9"/>
  <c r="S824" i="9"/>
  <c r="S825" i="9"/>
  <c r="S826" i="9"/>
  <c r="S827" i="9"/>
  <c r="S828" i="9"/>
  <c r="S829" i="9"/>
  <c r="S830" i="9"/>
  <c r="S831" i="9"/>
  <c r="S832" i="9"/>
  <c r="S833" i="9"/>
  <c r="S834" i="9"/>
  <c r="S835" i="9"/>
  <c r="S836" i="9"/>
  <c r="S837" i="9"/>
  <c r="S838" i="9"/>
  <c r="S839" i="9"/>
  <c r="S840" i="9"/>
  <c r="S841" i="9"/>
  <c r="S842" i="9"/>
  <c r="S843" i="9"/>
  <c r="S844" i="9"/>
  <c r="S845" i="9"/>
  <c r="S846" i="9"/>
  <c r="S847" i="9"/>
  <c r="S848" i="9"/>
  <c r="S849" i="9"/>
  <c r="S850" i="9"/>
  <c r="S851" i="9"/>
  <c r="S852" i="9"/>
  <c r="S853" i="9"/>
  <c r="S854" i="9"/>
  <c r="S855" i="9"/>
  <c r="S856" i="9"/>
  <c r="S857" i="9"/>
  <c r="S858" i="9"/>
  <c r="S859" i="9"/>
  <c r="S860" i="9"/>
  <c r="S861" i="9"/>
  <c r="S862" i="9"/>
  <c r="S863" i="9"/>
  <c r="S864" i="9"/>
  <c r="S865" i="9"/>
  <c r="S866" i="9"/>
  <c r="S867" i="9"/>
  <c r="S868" i="9"/>
  <c r="S869" i="9"/>
  <c r="S870" i="9"/>
  <c r="S871" i="9"/>
  <c r="S872" i="9"/>
  <c r="S873" i="9"/>
  <c r="S874" i="9"/>
  <c r="S875" i="9"/>
  <c r="S876" i="9"/>
  <c r="S877" i="9"/>
  <c r="S878" i="9"/>
  <c r="S879" i="9"/>
  <c r="S880" i="9"/>
  <c r="S881" i="9"/>
  <c r="S882" i="9"/>
  <c r="S883" i="9"/>
  <c r="S884" i="9"/>
  <c r="S885" i="9"/>
  <c r="S886" i="9"/>
  <c r="S887" i="9"/>
  <c r="S888" i="9"/>
  <c r="S889" i="9"/>
  <c r="S890" i="9"/>
  <c r="S891" i="9"/>
  <c r="S892" i="9"/>
  <c r="S893" i="9"/>
  <c r="S894" i="9"/>
  <c r="S895" i="9"/>
  <c r="S896" i="9"/>
  <c r="S897" i="9"/>
  <c r="S898" i="9"/>
  <c r="S899" i="9"/>
  <c r="S900" i="9"/>
  <c r="S901" i="9"/>
  <c r="S902" i="9"/>
  <c r="S903" i="9"/>
  <c r="S904" i="9"/>
  <c r="S905" i="9"/>
  <c r="S906" i="9"/>
  <c r="S907" i="9"/>
  <c r="S908" i="9"/>
  <c r="S909" i="9"/>
  <c r="S910" i="9"/>
  <c r="S911" i="9"/>
  <c r="S912" i="9"/>
  <c r="S913" i="9"/>
  <c r="S914" i="9"/>
  <c r="S915" i="9"/>
  <c r="S916" i="9"/>
  <c r="S917" i="9"/>
  <c r="S918" i="9"/>
  <c r="S919" i="9"/>
  <c r="S920" i="9"/>
  <c r="S921" i="9"/>
  <c r="S922" i="9"/>
  <c r="S923" i="9"/>
  <c r="S924" i="9"/>
  <c r="S925" i="9"/>
  <c r="S926" i="9"/>
  <c r="S927" i="9"/>
  <c r="S928" i="9"/>
  <c r="S929" i="9"/>
  <c r="S930" i="9"/>
  <c r="S931" i="9"/>
  <c r="S932" i="9"/>
  <c r="S933" i="9"/>
  <c r="S934" i="9"/>
  <c r="S935" i="9"/>
  <c r="S936" i="9"/>
  <c r="S937" i="9"/>
  <c r="S938" i="9"/>
  <c r="S939" i="9"/>
  <c r="S940" i="9"/>
  <c r="S941" i="9"/>
  <c r="S942" i="9"/>
  <c r="S943" i="9"/>
  <c r="S944" i="9"/>
  <c r="S945" i="9"/>
  <c r="S946" i="9"/>
  <c r="S947" i="9"/>
  <c r="S948" i="9"/>
  <c r="S949" i="9"/>
  <c r="S950" i="9"/>
  <c r="S951" i="9"/>
  <c r="S952" i="9"/>
  <c r="S953" i="9"/>
  <c r="S954" i="9"/>
  <c r="S955" i="9"/>
  <c r="S956" i="9"/>
  <c r="S957" i="9"/>
  <c r="S958" i="9"/>
  <c r="S959" i="9"/>
  <c r="S960" i="9"/>
  <c r="S961" i="9"/>
  <c r="S962" i="9"/>
  <c r="S963" i="9"/>
  <c r="S964" i="9"/>
  <c r="S965" i="9"/>
  <c r="S966" i="9"/>
  <c r="S967" i="9"/>
  <c r="S968" i="9"/>
  <c r="S969" i="9"/>
  <c r="S970" i="9"/>
  <c r="S971" i="9"/>
  <c r="S972" i="9"/>
  <c r="S973" i="9"/>
  <c r="S974" i="9"/>
  <c r="S975" i="9"/>
  <c r="S976" i="9"/>
  <c r="S977" i="9"/>
  <c r="S978" i="9"/>
  <c r="S979" i="9"/>
  <c r="S980" i="9"/>
  <c r="S981" i="9"/>
  <c r="S982" i="9"/>
  <c r="S983" i="9"/>
  <c r="S984" i="9"/>
  <c r="S985" i="9"/>
  <c r="S986" i="9"/>
  <c r="S987" i="9"/>
  <c r="S988" i="9"/>
  <c r="S989" i="9"/>
  <c r="S990" i="9"/>
  <c r="S991" i="9"/>
  <c r="S992" i="9"/>
  <c r="S993" i="9"/>
  <c r="S994" i="9"/>
  <c r="S995" i="9"/>
  <c r="S996" i="9"/>
  <c r="S997" i="9"/>
  <c r="S998" i="9"/>
  <c r="S999" i="9"/>
  <c r="S1000" i="9"/>
  <c r="S1001" i="9"/>
  <c r="S1002" i="9"/>
  <c r="S1003" i="9"/>
  <c r="S1004" i="9"/>
  <c r="S1005" i="9"/>
  <c r="S1006" i="9"/>
  <c r="S1007" i="9"/>
  <c r="S1008" i="9"/>
  <c r="S1009" i="9"/>
  <c r="S1010" i="9"/>
  <c r="S1011" i="9"/>
  <c r="S1012" i="9"/>
  <c r="S1013" i="9"/>
  <c r="S1014" i="9"/>
  <c r="S1015" i="9"/>
  <c r="S1016" i="9"/>
  <c r="S1017" i="9"/>
  <c r="S1018" i="9"/>
  <c r="S1019" i="9"/>
  <c r="S1020" i="9"/>
  <c r="S1021" i="9"/>
  <c r="S1022" i="9"/>
  <c r="S1023" i="9"/>
  <c r="S1024" i="9"/>
  <c r="S1025" i="9"/>
  <c r="S1026" i="9"/>
  <c r="S1027" i="9"/>
  <c r="S1028" i="9"/>
  <c r="S1029" i="9"/>
  <c r="S1030" i="9"/>
  <c r="S1031" i="9"/>
  <c r="S1032" i="9"/>
  <c r="S1033" i="9"/>
  <c r="S1034" i="9"/>
  <c r="S1035" i="9"/>
  <c r="S1036" i="9"/>
  <c r="S1037" i="9"/>
  <c r="S1038" i="9"/>
  <c r="S1039" i="9"/>
  <c r="S1040" i="9"/>
  <c r="S1041" i="9"/>
  <c r="S1042" i="9"/>
  <c r="S1043" i="9"/>
  <c r="S1044" i="9"/>
  <c r="S1045" i="9"/>
  <c r="S1046" i="9"/>
  <c r="S1047" i="9"/>
  <c r="S1048" i="9"/>
  <c r="S1049" i="9"/>
  <c r="S1050" i="9"/>
  <c r="S1051" i="9"/>
  <c r="S1052" i="9"/>
  <c r="S1053" i="9"/>
  <c r="S1054" i="9"/>
  <c r="S1055" i="9"/>
  <c r="S1056" i="9"/>
  <c r="S1057" i="9"/>
  <c r="S1058" i="9"/>
  <c r="S1059" i="9"/>
  <c r="S1060" i="9"/>
  <c r="S1061" i="9"/>
  <c r="S1062" i="9"/>
  <c r="S1063" i="9"/>
  <c r="S1064" i="9"/>
  <c r="S1065" i="9"/>
  <c r="S1066" i="9"/>
  <c r="S1067" i="9"/>
  <c r="S1068" i="9"/>
  <c r="S1069" i="9"/>
  <c r="S1070" i="9"/>
  <c r="S1071" i="9"/>
  <c r="S1072" i="9"/>
  <c r="S1073" i="9"/>
  <c r="S1074" i="9"/>
  <c r="S1075" i="9"/>
  <c r="S1076" i="9"/>
  <c r="S1077" i="9"/>
  <c r="S1078" i="9"/>
  <c r="S1079" i="9"/>
  <c r="S1080" i="9"/>
  <c r="S1081" i="9"/>
  <c r="S1082" i="9"/>
  <c r="S1083" i="9"/>
  <c r="S1084" i="9"/>
  <c r="S1085" i="9"/>
  <c r="S1086" i="9"/>
  <c r="S1087" i="9"/>
  <c r="S1088" i="9"/>
  <c r="S1089" i="9"/>
  <c r="S1090" i="9"/>
  <c r="S1091" i="9"/>
  <c r="S1092" i="9"/>
  <c r="S1093" i="9"/>
  <c r="S1094" i="9"/>
  <c r="S1095" i="9"/>
  <c r="S1096" i="9"/>
  <c r="S1097" i="9"/>
  <c r="S1098" i="9"/>
  <c r="S1099" i="9"/>
  <c r="S1100" i="9"/>
  <c r="S1101" i="9"/>
  <c r="S1102" i="9"/>
  <c r="S1103" i="9"/>
  <c r="S1104" i="9"/>
  <c r="S1105" i="9"/>
  <c r="S1106" i="9"/>
  <c r="S1107" i="9"/>
  <c r="S1108" i="9"/>
  <c r="S1109" i="9"/>
  <c r="S1110" i="9"/>
  <c r="S1111" i="9"/>
  <c r="S1112" i="9"/>
  <c r="S1113" i="9"/>
  <c r="S1114" i="9"/>
  <c r="S1115" i="9"/>
  <c r="S1116" i="9"/>
  <c r="S1117" i="9"/>
  <c r="S1118" i="9"/>
  <c r="S1119" i="9"/>
  <c r="S1120" i="9"/>
  <c r="S1121" i="9"/>
  <c r="S1122" i="9"/>
  <c r="S1123" i="9"/>
  <c r="S1124" i="9"/>
  <c r="S1125" i="9"/>
  <c r="S1126" i="9"/>
  <c r="S1127" i="9"/>
  <c r="S1128" i="9"/>
  <c r="S1129" i="9"/>
  <c r="S1130" i="9"/>
  <c r="S1131" i="9"/>
  <c r="S1132" i="9"/>
  <c r="S1133" i="9"/>
  <c r="S1134" i="9"/>
  <c r="S1135" i="9"/>
  <c r="S1136" i="9"/>
  <c r="S1137" i="9"/>
  <c r="S1138" i="9"/>
  <c r="S1139" i="9"/>
  <c r="S1140" i="9"/>
  <c r="S1141" i="9"/>
  <c r="S1142" i="9"/>
  <c r="S1143" i="9"/>
  <c r="S1144" i="9"/>
  <c r="S1145" i="9"/>
  <c r="S1146" i="9"/>
  <c r="S1147" i="9"/>
  <c r="S1148" i="9"/>
  <c r="S1149" i="9"/>
  <c r="S1150" i="9"/>
  <c r="S1151" i="9"/>
  <c r="S1152" i="9"/>
  <c r="S1153" i="9"/>
  <c r="S1154" i="9"/>
  <c r="S1155" i="9"/>
  <c r="S1156" i="9"/>
  <c r="S1157" i="9"/>
  <c r="S1158" i="9"/>
  <c r="S1159" i="9"/>
  <c r="S1160" i="9"/>
  <c r="S1161" i="9"/>
  <c r="S1162" i="9"/>
  <c r="S1163" i="9"/>
  <c r="S1164" i="9"/>
  <c r="S1165" i="9"/>
  <c r="S1166" i="9"/>
  <c r="S1167" i="9"/>
  <c r="S1168" i="9"/>
  <c r="S1169" i="9"/>
  <c r="S1170" i="9"/>
  <c r="S1171" i="9"/>
  <c r="S1172" i="9"/>
  <c r="S1173" i="9"/>
  <c r="S1174" i="9"/>
  <c r="S1175" i="9"/>
  <c r="S1176" i="9"/>
  <c r="S1177" i="9"/>
  <c r="S1178" i="9"/>
  <c r="S1179" i="9"/>
  <c r="S1180" i="9"/>
  <c r="S1181" i="9"/>
  <c r="S1182" i="9"/>
  <c r="S1183" i="9"/>
  <c r="S1184" i="9"/>
  <c r="S1185" i="9"/>
  <c r="S1186" i="9"/>
  <c r="S1187" i="9"/>
  <c r="S1188" i="9"/>
  <c r="S1189" i="9"/>
  <c r="S1190" i="9"/>
  <c r="S1191" i="9"/>
  <c r="S1192" i="9"/>
  <c r="S1193" i="9"/>
  <c r="S1194" i="9"/>
  <c r="S1195" i="9"/>
  <c r="S1196" i="9"/>
  <c r="S1197" i="9"/>
  <c r="S1198" i="9"/>
  <c r="S1199" i="9"/>
  <c r="S1200" i="9"/>
  <c r="S1201" i="9"/>
  <c r="S1202" i="9"/>
  <c r="S1203" i="9"/>
  <c r="S1204" i="9"/>
  <c r="S1205" i="9"/>
  <c r="S1206" i="9"/>
  <c r="S1207" i="9"/>
  <c r="S1208" i="9"/>
  <c r="S1209" i="9"/>
  <c r="S1210" i="9"/>
  <c r="S1211" i="9"/>
  <c r="S1212" i="9"/>
  <c r="S1213" i="9"/>
  <c r="S1214" i="9"/>
  <c r="S1215" i="9"/>
  <c r="S1216" i="9"/>
  <c r="S1217" i="9"/>
  <c r="S1218" i="9"/>
  <c r="S1219" i="9"/>
  <c r="S1220" i="9"/>
  <c r="S1221" i="9"/>
  <c r="S1222" i="9"/>
  <c r="S1223" i="9"/>
  <c r="S1224" i="9"/>
  <c r="S1225" i="9"/>
  <c r="S1226" i="9"/>
  <c r="S1227" i="9"/>
  <c r="S1228" i="9"/>
  <c r="S1229" i="9"/>
  <c r="S1230" i="9"/>
  <c r="S1231" i="9"/>
  <c r="S1232" i="9"/>
  <c r="S1233" i="9"/>
  <c r="S1234" i="9"/>
  <c r="S1235" i="9"/>
  <c r="S1236" i="9"/>
  <c r="S1237" i="9"/>
  <c r="S1238" i="9"/>
  <c r="S1239" i="9"/>
  <c r="S1240" i="9"/>
  <c r="S1241" i="9"/>
  <c r="S1242" i="9"/>
  <c r="S1243" i="9"/>
  <c r="S1244" i="9"/>
  <c r="S1245" i="9"/>
  <c r="S1246" i="9"/>
  <c r="S1247" i="9"/>
  <c r="S1248" i="9"/>
  <c r="S1249" i="9"/>
  <c r="S1250" i="9"/>
  <c r="S1251" i="9"/>
  <c r="S1252" i="9"/>
  <c r="S1253" i="9"/>
  <c r="S1254" i="9"/>
  <c r="S1255" i="9"/>
  <c r="S1256" i="9"/>
  <c r="S1257" i="9"/>
  <c r="S1258" i="9"/>
  <c r="S1259" i="9"/>
  <c r="S1260" i="9"/>
  <c r="S1261" i="9"/>
  <c r="S1262" i="9"/>
  <c r="S1263" i="9"/>
  <c r="S1264" i="9"/>
  <c r="S1265" i="9"/>
  <c r="S1266" i="9"/>
  <c r="S1267" i="9"/>
  <c r="S1268" i="9"/>
  <c r="S1269" i="9"/>
  <c r="S1270" i="9"/>
  <c r="S1271" i="9"/>
  <c r="S1272" i="9"/>
  <c r="S1273" i="9"/>
  <c r="S1274" i="9"/>
  <c r="S1275" i="9"/>
  <c r="S1276" i="9"/>
  <c r="S1277" i="9"/>
  <c r="S1278" i="9"/>
  <c r="S1279" i="9"/>
  <c r="S1280" i="9"/>
  <c r="S1281" i="9"/>
  <c r="S1282" i="9"/>
  <c r="S1283" i="9"/>
  <c r="S1284" i="9"/>
  <c r="S1285" i="9"/>
  <c r="S1286" i="9"/>
  <c r="S1287" i="9"/>
  <c r="S1288" i="9"/>
  <c r="S1289" i="9"/>
  <c r="S1290" i="9"/>
  <c r="S1291" i="9"/>
  <c r="S1292" i="9"/>
  <c r="S1293" i="9"/>
  <c r="S1294" i="9"/>
  <c r="S1295" i="9"/>
  <c r="S1296" i="9"/>
  <c r="S1297" i="9"/>
  <c r="S1298" i="9"/>
  <c r="S1299" i="9"/>
  <c r="S1300" i="9"/>
  <c r="S1301" i="9"/>
  <c r="S1302" i="9"/>
  <c r="S1303" i="9"/>
  <c r="S1304" i="9"/>
  <c r="S1305" i="9"/>
  <c r="S1306" i="9"/>
  <c r="S1307" i="9"/>
  <c r="S1308" i="9"/>
  <c r="S1309" i="9"/>
  <c r="S1310" i="9"/>
  <c r="S1311" i="9"/>
  <c r="S1312" i="9"/>
  <c r="S1313" i="9"/>
  <c r="S1314" i="9"/>
  <c r="S1315" i="9"/>
  <c r="S1316" i="9"/>
  <c r="S1317" i="9"/>
  <c r="S1318" i="9"/>
  <c r="S1319" i="9"/>
  <c r="S1320" i="9"/>
  <c r="S1321" i="9"/>
  <c r="S1322" i="9"/>
  <c r="S1323" i="9"/>
  <c r="S1324" i="9"/>
  <c r="S1325" i="9"/>
  <c r="S1326" i="9"/>
  <c r="S1327" i="9"/>
  <c r="S1328" i="9"/>
  <c r="S1329" i="9"/>
  <c r="S1330" i="9"/>
  <c r="S1331" i="9"/>
  <c r="S1332" i="9"/>
  <c r="S1333" i="9"/>
  <c r="S1334" i="9"/>
  <c r="S1335" i="9"/>
  <c r="S1336" i="9"/>
  <c r="S1337" i="9"/>
  <c r="S1338" i="9"/>
  <c r="S1339" i="9"/>
  <c r="S1340" i="9"/>
  <c r="S1341" i="9"/>
  <c r="S1342" i="9"/>
  <c r="S1343" i="9"/>
  <c r="S1344" i="9"/>
  <c r="S1345" i="9"/>
  <c r="S1346" i="9"/>
  <c r="S1347" i="9"/>
  <c r="S1348" i="9"/>
  <c r="S1349" i="9"/>
  <c r="S1350" i="9"/>
  <c r="S1351" i="9"/>
  <c r="S1352" i="9"/>
  <c r="S1353" i="9"/>
  <c r="S1354" i="9"/>
  <c r="S1355" i="9"/>
  <c r="S1356" i="9"/>
  <c r="S1357" i="9"/>
  <c r="S1358" i="9"/>
  <c r="S1359" i="9"/>
  <c r="S1360" i="9"/>
  <c r="S1361" i="9"/>
  <c r="S1362" i="9"/>
  <c r="S1363" i="9"/>
  <c r="S1364" i="9"/>
  <c r="S1365" i="9"/>
  <c r="S1366" i="9"/>
  <c r="S1367" i="9"/>
  <c r="S1368" i="9"/>
  <c r="S1369" i="9"/>
  <c r="S1370" i="9"/>
  <c r="S1371" i="9"/>
  <c r="S1372" i="9"/>
  <c r="S1373" i="9"/>
  <c r="S1374" i="9"/>
  <c r="S1375" i="9"/>
  <c r="S1376" i="9"/>
  <c r="S1377" i="9"/>
  <c r="S1378" i="9"/>
  <c r="S1379" i="9"/>
  <c r="S1380" i="9"/>
  <c r="S1381" i="9"/>
  <c r="S1382" i="9"/>
  <c r="S1383" i="9"/>
  <c r="S1384" i="9"/>
  <c r="S1385" i="9"/>
  <c r="S1386" i="9"/>
  <c r="S1387" i="9"/>
  <c r="S1388" i="9"/>
  <c r="S1389" i="9"/>
  <c r="S1390" i="9"/>
  <c r="S1391" i="9"/>
  <c r="S1392" i="9"/>
  <c r="S1393" i="9"/>
  <c r="S1394" i="9"/>
  <c r="S1395" i="9"/>
  <c r="S1396" i="9"/>
  <c r="S1397" i="9"/>
  <c r="S1398" i="9"/>
  <c r="S1399" i="9"/>
  <c r="S1400" i="9"/>
  <c r="S1401" i="9"/>
  <c r="S1402" i="9"/>
  <c r="S1403" i="9"/>
  <c r="S1404" i="9"/>
  <c r="S1405" i="9"/>
  <c r="S1406" i="9"/>
  <c r="S1407" i="9"/>
  <c r="S1408" i="9"/>
  <c r="S1409" i="9"/>
  <c r="S1410" i="9"/>
  <c r="S1411" i="9"/>
  <c r="S1412" i="9"/>
  <c r="S1413" i="9"/>
  <c r="S1414" i="9"/>
  <c r="S1415" i="9"/>
  <c r="S1416" i="9"/>
  <c r="S1417" i="9"/>
  <c r="S1418" i="9"/>
  <c r="S1419" i="9"/>
  <c r="S1420" i="9"/>
  <c r="S1421" i="9"/>
  <c r="S1422" i="9"/>
  <c r="S1423" i="9"/>
  <c r="S1424" i="9"/>
  <c r="S1425" i="9"/>
  <c r="S1426" i="9"/>
  <c r="S1427" i="9"/>
  <c r="S1428" i="9"/>
  <c r="S1429" i="9"/>
  <c r="S1430" i="9"/>
  <c r="S1431" i="9"/>
  <c r="S1432" i="9"/>
  <c r="S1433" i="9"/>
  <c r="S1434" i="9"/>
  <c r="S1435" i="9"/>
  <c r="S1436" i="9"/>
  <c r="S1437" i="9"/>
  <c r="S1438" i="9"/>
  <c r="S1439" i="9"/>
  <c r="S1440" i="9"/>
  <c r="S1441" i="9"/>
  <c r="S1442" i="9"/>
  <c r="S1443" i="9"/>
  <c r="S1444" i="9"/>
  <c r="S1445" i="9"/>
  <c r="S1446" i="9"/>
  <c r="S1447" i="9"/>
  <c r="S1448" i="9"/>
  <c r="S1449" i="9"/>
  <c r="S1450" i="9"/>
  <c r="S1451" i="9"/>
  <c r="S1452" i="9"/>
  <c r="S1453" i="9"/>
  <c r="S1454" i="9"/>
  <c r="S1455" i="9"/>
  <c r="S1456" i="9"/>
  <c r="S1457" i="9"/>
  <c r="S1458" i="9"/>
  <c r="S1459" i="9"/>
  <c r="S1460" i="9"/>
  <c r="S1461" i="9"/>
  <c r="S1462" i="9"/>
  <c r="S1463" i="9"/>
  <c r="S1464" i="9"/>
  <c r="S1465" i="9"/>
  <c r="S1466" i="9"/>
  <c r="S1467" i="9"/>
  <c r="S1468" i="9"/>
  <c r="S1469" i="9"/>
  <c r="S1470" i="9"/>
  <c r="S1471" i="9"/>
  <c r="S1472" i="9"/>
  <c r="S1473" i="9"/>
  <c r="S1474" i="9"/>
  <c r="S1475" i="9"/>
  <c r="S1476" i="9"/>
  <c r="S1477" i="9"/>
  <c r="S1478" i="9"/>
  <c r="S1479" i="9"/>
  <c r="S1480" i="9"/>
  <c r="S1481" i="9"/>
  <c r="S1482" i="9"/>
  <c r="S1483" i="9"/>
  <c r="S1484" i="9"/>
  <c r="S1485" i="9"/>
  <c r="S1486" i="9"/>
  <c r="S1487" i="9"/>
  <c r="S1488" i="9"/>
  <c r="S1489" i="9"/>
  <c r="S1490" i="9"/>
  <c r="S1491" i="9"/>
  <c r="S1492" i="9"/>
  <c r="S1493" i="9"/>
  <c r="S1494" i="9"/>
  <c r="S1495" i="9"/>
  <c r="S1496" i="9"/>
  <c r="S1497" i="9"/>
  <c r="S1498" i="9"/>
  <c r="S1499" i="9"/>
  <c r="S1500" i="9"/>
  <c r="S1501" i="9"/>
  <c r="S1502" i="9"/>
  <c r="S1503" i="9"/>
  <c r="S1504" i="9"/>
  <c r="S1505" i="9"/>
  <c r="S1506" i="9"/>
  <c r="S1507" i="9"/>
  <c r="S1508" i="9"/>
  <c r="S1509" i="9"/>
  <c r="S1510" i="9"/>
  <c r="S1511" i="9"/>
  <c r="S1512" i="9"/>
  <c r="S1513" i="9"/>
  <c r="S1514" i="9"/>
  <c r="S1515" i="9"/>
  <c r="S1516" i="9"/>
  <c r="S1517" i="9"/>
  <c r="S1518" i="9"/>
  <c r="S1519" i="9"/>
  <c r="S1520" i="9"/>
  <c r="S1521" i="9"/>
  <c r="S1522" i="9"/>
  <c r="S1523" i="9"/>
  <c r="S1524" i="9"/>
  <c r="S1525" i="9"/>
  <c r="S1526" i="9"/>
  <c r="S1527" i="9"/>
  <c r="S1528" i="9"/>
  <c r="S1529" i="9"/>
  <c r="S1530" i="9"/>
  <c r="S1531" i="9"/>
  <c r="S1532" i="9"/>
  <c r="S1533" i="9"/>
  <c r="S1534" i="9"/>
  <c r="S1535" i="9"/>
  <c r="S1536" i="9"/>
  <c r="S1537" i="9"/>
  <c r="S1538" i="9"/>
  <c r="S1539" i="9"/>
  <c r="S1540" i="9"/>
  <c r="S1541" i="9"/>
  <c r="S1542" i="9"/>
  <c r="S1543" i="9"/>
  <c r="S1544" i="9"/>
  <c r="S1545" i="9"/>
  <c r="S1546" i="9"/>
  <c r="S1547" i="9"/>
  <c r="S1548" i="9"/>
  <c r="S1549" i="9"/>
  <c r="S1550" i="9"/>
  <c r="S1551" i="9"/>
  <c r="S1552" i="9"/>
  <c r="S1553" i="9"/>
  <c r="S1554" i="9"/>
  <c r="S1555" i="9"/>
  <c r="S1556" i="9"/>
  <c r="S1557" i="9"/>
  <c r="S1558" i="9"/>
  <c r="S1559" i="9"/>
  <c r="S1560" i="9"/>
  <c r="S1561" i="9"/>
  <c r="S1562" i="9"/>
  <c r="S1563" i="9"/>
  <c r="S1564" i="9"/>
  <c r="S1565" i="9"/>
  <c r="S1566" i="9"/>
  <c r="S1567" i="9"/>
  <c r="S1568" i="9"/>
  <c r="S1569" i="9"/>
  <c r="S1570" i="9"/>
  <c r="S1571" i="9"/>
  <c r="S1572" i="9"/>
  <c r="S1573" i="9"/>
  <c r="S1574" i="9"/>
  <c r="S1575" i="9"/>
  <c r="S1576" i="9"/>
  <c r="S1577" i="9"/>
  <c r="S1578" i="9"/>
  <c r="S1579" i="9"/>
  <c r="S1580" i="9"/>
  <c r="S1581" i="9"/>
  <c r="S1582" i="9"/>
  <c r="S1583" i="9"/>
  <c r="S1584" i="9"/>
  <c r="S1585" i="9"/>
  <c r="S1586" i="9"/>
  <c r="S1587" i="9"/>
  <c r="S1588" i="9"/>
  <c r="S1589" i="9"/>
  <c r="S1590" i="9"/>
  <c r="S1591" i="9"/>
  <c r="S1592" i="9"/>
  <c r="S1593" i="9"/>
  <c r="S1594" i="9"/>
  <c r="S1595" i="9"/>
  <c r="S1596" i="9"/>
  <c r="S1597" i="9"/>
  <c r="S1598" i="9"/>
  <c r="S1599" i="9"/>
  <c r="S1600" i="9"/>
  <c r="S1601" i="9"/>
  <c r="S1602" i="9"/>
  <c r="S1603" i="9"/>
  <c r="S1604" i="9"/>
  <c r="S1605" i="9"/>
  <c r="S1606" i="9"/>
  <c r="S1607" i="9"/>
  <c r="S1608" i="9"/>
  <c r="S1609" i="9"/>
  <c r="S1610" i="9"/>
  <c r="S1611" i="9"/>
  <c r="S1612" i="9"/>
  <c r="S1613" i="9"/>
  <c r="S1614" i="9"/>
  <c r="S1615" i="9"/>
  <c r="S1616" i="9"/>
  <c r="S1617" i="9"/>
  <c r="S1618" i="9"/>
  <c r="S1619" i="9"/>
  <c r="S1620" i="9"/>
  <c r="S1621" i="9"/>
  <c r="S1622" i="9"/>
  <c r="S1623" i="9"/>
  <c r="S1624" i="9"/>
  <c r="S1625" i="9"/>
  <c r="S1626" i="9"/>
  <c r="S1627" i="9"/>
  <c r="S1628" i="9"/>
  <c r="S1629" i="9"/>
  <c r="S1630" i="9"/>
  <c r="S1631" i="9"/>
  <c r="S1632" i="9"/>
  <c r="S1633" i="9"/>
  <c r="S1634" i="9"/>
  <c r="S1635" i="9"/>
  <c r="S1636" i="9"/>
  <c r="S1637" i="9"/>
  <c r="S1638" i="9"/>
  <c r="S1639" i="9"/>
  <c r="S1640" i="9"/>
  <c r="S1641" i="9"/>
  <c r="S1642" i="9"/>
  <c r="S1643" i="9"/>
  <c r="S1644" i="9"/>
  <c r="S1645" i="9"/>
  <c r="S1646" i="9"/>
  <c r="S1647" i="9"/>
  <c r="S1648" i="9"/>
  <c r="S1649" i="9"/>
  <c r="S1650" i="9"/>
  <c r="S1651" i="9"/>
  <c r="S1652" i="9"/>
  <c r="S1653" i="9"/>
  <c r="S1654" i="9"/>
  <c r="S1655" i="9"/>
  <c r="S1656" i="9"/>
  <c r="S1657" i="9"/>
  <c r="S1658" i="9"/>
  <c r="S1659" i="9"/>
  <c r="S1660" i="9"/>
  <c r="S1661" i="9"/>
  <c r="S1662" i="9"/>
  <c r="S1663" i="9"/>
  <c r="S1664" i="9"/>
  <c r="S1665" i="9"/>
  <c r="S1666" i="9"/>
  <c r="S1667" i="9"/>
  <c r="S1668" i="9"/>
  <c r="S1669" i="9"/>
  <c r="S1670" i="9"/>
  <c r="S1671" i="9"/>
  <c r="S1672" i="9"/>
  <c r="S1673" i="9"/>
  <c r="S1674" i="9"/>
  <c r="S1675" i="9"/>
  <c r="S1676" i="9"/>
  <c r="S1677" i="9"/>
  <c r="S1678" i="9"/>
  <c r="S1679" i="9"/>
  <c r="S1680" i="9"/>
  <c r="S1681" i="9"/>
  <c r="S1682" i="9"/>
  <c r="S1683" i="9"/>
  <c r="S1684" i="9"/>
  <c r="S1685" i="9"/>
  <c r="S1686" i="9"/>
  <c r="S1687" i="9"/>
  <c r="S1688" i="9"/>
  <c r="S1689" i="9"/>
  <c r="S1690" i="9"/>
  <c r="S1691" i="9"/>
  <c r="S1692" i="9"/>
  <c r="S1693" i="9"/>
  <c r="S1694" i="9"/>
  <c r="S1695" i="9"/>
  <c r="S1696" i="9"/>
  <c r="S1697" i="9"/>
  <c r="S1698" i="9"/>
  <c r="S1699" i="9"/>
  <c r="S1700" i="9"/>
  <c r="S1701" i="9"/>
  <c r="S1702" i="9"/>
  <c r="S1703" i="9"/>
  <c r="S1704" i="9"/>
  <c r="S1705" i="9"/>
  <c r="S1706" i="9"/>
  <c r="S1707" i="9"/>
  <c r="S1708" i="9"/>
  <c r="S1709" i="9"/>
  <c r="S1710" i="9"/>
  <c r="S1711" i="9"/>
  <c r="S1712" i="9"/>
  <c r="S1713" i="9"/>
  <c r="S1714" i="9"/>
  <c r="S1715" i="9"/>
  <c r="S1716" i="9"/>
  <c r="S1717" i="9"/>
  <c r="S1718" i="9"/>
  <c r="S1719" i="9"/>
  <c r="S1720" i="9"/>
  <c r="S1721" i="9"/>
  <c r="S1722" i="9"/>
  <c r="S1723" i="9"/>
  <c r="S1724" i="9"/>
  <c r="S1725" i="9"/>
  <c r="S1726" i="9"/>
  <c r="S1727" i="9"/>
  <c r="S1728" i="9"/>
  <c r="S1729" i="9"/>
  <c r="S1730" i="9"/>
  <c r="S1731" i="9"/>
  <c r="S1732" i="9"/>
  <c r="S1733" i="9"/>
  <c r="S1734" i="9"/>
  <c r="S1735" i="9"/>
  <c r="S1736" i="9"/>
  <c r="S1737" i="9"/>
  <c r="S1738" i="9"/>
  <c r="S1739" i="9"/>
  <c r="S1740" i="9"/>
  <c r="S1741" i="9"/>
  <c r="S1742" i="9"/>
  <c r="S1743" i="9"/>
  <c r="S1744" i="9"/>
  <c r="S1745" i="9"/>
  <c r="S1746" i="9"/>
  <c r="S1747" i="9"/>
  <c r="S1748" i="9"/>
  <c r="S1749" i="9"/>
  <c r="S1750" i="9"/>
  <c r="S1751" i="9"/>
  <c r="S1752" i="9"/>
  <c r="S1753" i="9"/>
  <c r="S1754" i="9"/>
  <c r="S1755" i="9"/>
  <c r="S1756" i="9"/>
  <c r="S1757" i="9"/>
  <c r="S1758" i="9"/>
  <c r="S1759" i="9"/>
  <c r="S1760" i="9"/>
  <c r="S1761" i="9"/>
  <c r="S1762" i="9"/>
  <c r="S1763" i="9"/>
  <c r="S1764" i="9"/>
  <c r="S1765" i="9"/>
  <c r="S1766" i="9"/>
  <c r="S1767" i="9"/>
  <c r="S1768" i="9"/>
  <c r="S1769" i="9"/>
  <c r="S1770" i="9"/>
  <c r="S1771" i="9"/>
  <c r="S1772" i="9"/>
  <c r="S1773" i="9"/>
  <c r="S1774" i="9"/>
  <c r="S1775" i="9"/>
  <c r="S1776" i="9"/>
  <c r="S1777" i="9"/>
  <c r="S1778" i="9"/>
  <c r="S1779" i="9"/>
  <c r="S1780" i="9"/>
  <c r="S1781" i="9"/>
  <c r="S1782" i="9"/>
  <c r="S1783" i="9"/>
  <c r="S1784" i="9"/>
  <c r="S1785" i="9"/>
  <c r="S1786" i="9"/>
  <c r="S1787" i="9"/>
  <c r="S1788" i="9"/>
  <c r="S1789" i="9"/>
  <c r="S1790" i="9"/>
  <c r="S1791" i="9"/>
  <c r="S1792" i="9"/>
  <c r="S1793" i="9"/>
  <c r="S1794" i="9"/>
  <c r="S1795" i="9"/>
  <c r="S1796" i="9"/>
  <c r="S1797" i="9"/>
  <c r="S1798" i="9"/>
  <c r="S1799" i="9"/>
  <c r="S1800" i="9"/>
  <c r="S1801" i="9"/>
  <c r="S1802" i="9"/>
  <c r="S1803" i="9"/>
  <c r="S1804" i="9"/>
  <c r="S1805" i="9"/>
  <c r="S1806" i="9"/>
  <c r="S1807" i="9"/>
  <c r="S1808" i="9"/>
  <c r="S1809" i="9"/>
  <c r="S1810" i="9"/>
  <c r="S1811" i="9"/>
  <c r="S1812" i="9"/>
  <c r="S1813" i="9"/>
  <c r="S1814" i="9"/>
  <c r="S1815" i="9"/>
  <c r="S1816" i="9"/>
  <c r="S1817" i="9"/>
  <c r="S1818" i="9"/>
  <c r="S1819" i="9"/>
  <c r="S1820" i="9"/>
  <c r="S1821" i="9"/>
  <c r="S1822" i="9"/>
  <c r="S1823" i="9"/>
  <c r="S1824" i="9"/>
  <c r="S1825" i="9"/>
  <c r="S1826" i="9"/>
  <c r="S1827" i="9"/>
  <c r="S1828" i="9"/>
  <c r="S1829" i="9"/>
  <c r="S1830" i="9"/>
  <c r="S1831" i="9"/>
  <c r="S1832" i="9"/>
  <c r="S1833" i="9"/>
  <c r="S1834" i="9"/>
  <c r="S1835" i="9"/>
  <c r="S1836" i="9"/>
  <c r="S1837" i="9"/>
  <c r="S1838" i="9"/>
  <c r="S1839" i="9"/>
  <c r="S1840" i="9"/>
  <c r="S1841" i="9"/>
  <c r="S1842" i="9"/>
  <c r="S1843" i="9"/>
  <c r="S1844" i="9"/>
  <c r="S1845" i="9"/>
  <c r="S1846" i="9"/>
  <c r="S1847" i="9"/>
  <c r="S1848" i="9"/>
  <c r="S1849" i="9"/>
  <c r="S1850" i="9"/>
  <c r="S1851" i="9"/>
  <c r="S1852" i="9"/>
  <c r="S1853" i="9"/>
  <c r="S1854" i="9"/>
  <c r="S1855" i="9"/>
  <c r="S1856" i="9"/>
  <c r="S1857" i="9"/>
  <c r="S1858" i="9"/>
  <c r="S1859" i="9"/>
  <c r="S1860" i="9"/>
  <c r="S1861" i="9"/>
  <c r="S1862" i="9"/>
  <c r="S1863" i="9"/>
  <c r="S1864" i="9"/>
  <c r="S1865" i="9"/>
  <c r="S1866" i="9"/>
  <c r="S1867" i="9"/>
  <c r="S1868" i="9"/>
  <c r="S1869" i="9"/>
  <c r="S1870" i="9"/>
  <c r="S1871" i="9"/>
  <c r="S1872" i="9"/>
  <c r="S1873" i="9"/>
  <c r="S1874" i="9"/>
  <c r="S1875" i="9"/>
  <c r="S1876" i="9"/>
  <c r="S1877" i="9"/>
  <c r="S1878" i="9"/>
  <c r="S1879" i="9"/>
  <c r="S1880" i="9"/>
  <c r="S1881" i="9"/>
  <c r="S1882" i="9"/>
  <c r="S1883" i="9"/>
  <c r="S1884" i="9"/>
  <c r="S1885" i="9"/>
  <c r="S1886" i="9"/>
  <c r="S1887" i="9"/>
  <c r="S1888" i="9"/>
  <c r="S1889" i="9"/>
  <c r="S1890" i="9"/>
  <c r="S1891" i="9"/>
  <c r="S1892" i="9"/>
  <c r="S1893" i="9"/>
  <c r="S1894" i="9"/>
  <c r="S1895" i="9"/>
  <c r="S1896" i="9"/>
  <c r="S1897" i="9"/>
  <c r="S1898" i="9"/>
  <c r="S1899" i="9"/>
  <c r="S1900" i="9"/>
  <c r="S1901" i="9"/>
  <c r="S1902" i="9"/>
  <c r="S1903" i="9"/>
  <c r="S1904" i="9"/>
  <c r="S1905" i="9"/>
  <c r="S1906" i="9"/>
  <c r="S1907" i="9"/>
  <c r="S1908" i="9"/>
  <c r="S1909" i="9"/>
  <c r="S1910" i="9"/>
  <c r="S1911" i="9"/>
  <c r="S1912" i="9"/>
  <c r="S1913" i="9"/>
  <c r="S1914" i="9"/>
  <c r="S1915" i="9"/>
  <c r="S1916" i="9"/>
  <c r="S1917" i="9"/>
  <c r="S1918" i="9"/>
  <c r="S1919" i="9"/>
  <c r="S1920" i="9"/>
  <c r="S1921" i="9"/>
  <c r="S1922" i="9"/>
  <c r="S1923" i="9"/>
  <c r="S1924" i="9"/>
  <c r="S1925" i="9"/>
  <c r="S1926" i="9"/>
  <c r="S1927" i="9"/>
  <c r="S1928" i="9"/>
  <c r="S1929" i="9"/>
  <c r="S1930" i="9"/>
  <c r="S1931" i="9"/>
  <c r="S1932" i="9"/>
  <c r="S1933" i="9"/>
  <c r="S1934" i="9"/>
  <c r="S1935" i="9"/>
  <c r="S1936" i="9"/>
  <c r="S1937" i="9"/>
  <c r="S1938" i="9"/>
  <c r="S1939" i="9"/>
  <c r="S1940" i="9"/>
  <c r="S1941" i="9"/>
  <c r="S1942" i="9"/>
  <c r="S1943" i="9"/>
  <c r="S1944" i="9"/>
  <c r="S1945" i="9"/>
  <c r="S1946" i="9"/>
  <c r="S1947" i="9"/>
  <c r="S1948" i="9"/>
  <c r="S1949" i="9"/>
  <c r="S1950" i="9"/>
  <c r="S1951" i="9"/>
  <c r="S1952" i="9"/>
  <c r="S1953" i="9"/>
  <c r="S1954" i="9"/>
  <c r="S1955" i="9"/>
  <c r="S1956" i="9"/>
  <c r="S1957" i="9"/>
  <c r="S1958" i="9"/>
  <c r="S1959" i="9"/>
  <c r="S1960" i="9"/>
  <c r="S1961" i="9"/>
  <c r="S1962" i="9"/>
  <c r="S1963" i="9"/>
  <c r="S1964" i="9"/>
  <c r="S1965" i="9"/>
  <c r="S1966" i="9"/>
  <c r="S1967" i="9"/>
  <c r="S1968" i="9"/>
  <c r="S1969" i="9"/>
  <c r="S1970" i="9"/>
  <c r="S1971" i="9"/>
  <c r="S1972" i="9"/>
  <c r="S1973" i="9"/>
  <c r="S1974" i="9"/>
  <c r="S1975" i="9"/>
  <c r="S1976" i="9"/>
  <c r="S1977" i="9"/>
  <c r="S1978" i="9"/>
  <c r="S1979" i="9"/>
  <c r="S1980" i="9"/>
  <c r="S1981" i="9"/>
  <c r="S1982" i="9"/>
  <c r="S1983" i="9"/>
  <c r="S1984" i="9"/>
  <c r="S1985" i="9"/>
  <c r="S1986" i="9"/>
  <c r="S1987" i="9"/>
  <c r="S1988" i="9"/>
  <c r="S1989" i="9"/>
  <c r="S1990" i="9"/>
  <c r="S1991" i="9"/>
  <c r="S1992" i="9"/>
  <c r="S1993" i="9"/>
  <c r="S1994" i="9"/>
  <c r="S1995" i="9"/>
  <c r="S1996" i="9"/>
  <c r="S1997" i="9"/>
  <c r="S1998" i="9"/>
  <c r="S1999" i="9"/>
  <c r="S2000" i="9"/>
  <c r="S2001" i="9"/>
  <c r="S2002" i="9"/>
  <c r="S2003" i="9"/>
  <c r="S2004" i="9"/>
  <c r="S2005" i="9"/>
  <c r="S2006" i="9"/>
  <c r="S2007" i="9"/>
  <c r="S2008" i="9"/>
  <c r="S2009" i="9"/>
  <c r="S2010" i="9"/>
  <c r="S2011" i="9"/>
  <c r="S2012" i="9"/>
  <c r="S2013" i="9"/>
  <c r="S2014" i="9"/>
  <c r="S2015" i="9"/>
  <c r="S2016" i="9"/>
  <c r="S2017" i="9"/>
  <c r="S2018" i="9"/>
  <c r="S2019" i="9"/>
  <c r="S2020" i="9"/>
  <c r="S2021" i="9"/>
  <c r="S2022" i="9"/>
  <c r="S2023" i="9"/>
  <c r="S2024" i="9"/>
  <c r="S2025" i="9"/>
  <c r="S2026" i="9"/>
  <c r="S2027" i="9"/>
  <c r="S2028" i="9"/>
  <c r="S2029" i="9"/>
  <c r="S2030" i="9"/>
  <c r="S2031" i="9"/>
  <c r="S2032" i="9"/>
  <c r="S2033" i="9"/>
  <c r="S2034" i="9"/>
  <c r="S2035" i="9"/>
  <c r="S2036" i="9"/>
  <c r="S2037" i="9"/>
  <c r="S2038" i="9"/>
  <c r="S2039" i="9"/>
  <c r="S2040" i="9"/>
  <c r="S2041" i="9"/>
  <c r="S2042" i="9"/>
  <c r="S2043" i="9"/>
  <c r="S2044" i="9"/>
  <c r="S2045" i="9"/>
  <c r="S2046" i="9"/>
  <c r="S2047" i="9"/>
  <c r="S2048" i="9"/>
  <c r="S2049" i="9"/>
  <c r="S2050" i="9"/>
  <c r="S2051" i="9"/>
  <c r="S2052" i="9"/>
  <c r="S2053" i="9"/>
  <c r="S2054" i="9"/>
  <c r="S2055" i="9"/>
  <c r="S2056" i="9"/>
  <c r="S2057" i="9"/>
  <c r="S2058" i="9"/>
  <c r="S2059" i="9"/>
  <c r="S2060" i="9"/>
  <c r="S2061" i="9"/>
  <c r="S2062" i="9"/>
  <c r="S2063" i="9"/>
  <c r="S2064" i="9"/>
  <c r="S2065" i="9"/>
  <c r="S2066" i="9"/>
  <c r="S2067" i="9"/>
  <c r="S2068" i="9"/>
  <c r="S2069" i="9"/>
  <c r="S2070" i="9"/>
  <c r="S2071" i="9"/>
  <c r="S2072" i="9"/>
  <c r="S2073" i="9"/>
  <c r="S2074" i="9"/>
  <c r="S2075" i="9"/>
  <c r="S2076" i="9"/>
  <c r="S2077" i="9"/>
  <c r="S2078" i="9"/>
  <c r="S2079" i="9"/>
  <c r="S2080" i="9"/>
  <c r="S2081" i="9"/>
  <c r="S2082" i="9"/>
  <c r="S2083" i="9"/>
  <c r="S2084" i="9"/>
  <c r="S2085" i="9"/>
  <c r="S2086" i="9"/>
  <c r="S2087" i="9"/>
  <c r="S2088" i="9"/>
  <c r="S2089" i="9"/>
  <c r="S2090" i="9"/>
  <c r="S2091" i="9"/>
  <c r="S2092" i="9"/>
  <c r="S2093" i="9"/>
  <c r="S2094" i="9"/>
  <c r="S2095" i="9"/>
  <c r="S2096" i="9"/>
  <c r="S2097" i="9"/>
  <c r="S2098" i="9"/>
  <c r="S2099" i="9"/>
  <c r="S2100" i="9"/>
  <c r="S2101" i="9"/>
  <c r="S2102" i="9"/>
  <c r="S2103" i="9"/>
  <c r="S2104" i="9"/>
  <c r="S2105" i="9"/>
  <c r="S2106" i="9"/>
  <c r="S2107" i="9"/>
  <c r="S2108" i="9"/>
  <c r="S2109" i="9"/>
  <c r="S2110" i="9"/>
  <c r="S2111" i="9"/>
  <c r="S2112" i="9"/>
  <c r="S2113" i="9"/>
  <c r="S2114" i="9"/>
  <c r="S2115" i="9"/>
  <c r="S2116" i="9"/>
  <c r="S2117" i="9"/>
  <c r="S2118" i="9"/>
  <c r="S2119" i="9"/>
  <c r="S2120" i="9"/>
  <c r="S2121" i="9"/>
  <c r="S2122" i="9"/>
  <c r="S2123" i="9"/>
  <c r="S2124" i="9"/>
  <c r="S2125" i="9"/>
  <c r="S2126" i="9"/>
  <c r="S2127" i="9"/>
  <c r="S2128" i="9"/>
  <c r="S2129" i="9"/>
  <c r="S2130" i="9"/>
  <c r="S2131" i="9"/>
  <c r="S2132" i="9"/>
  <c r="S2133" i="9"/>
  <c r="S2134" i="9"/>
  <c r="S2135" i="9"/>
  <c r="S2136" i="9"/>
  <c r="S2137" i="9"/>
  <c r="S2138" i="9"/>
  <c r="S2139" i="9"/>
  <c r="S2140" i="9"/>
  <c r="S2141" i="9"/>
  <c r="S2142" i="9"/>
  <c r="S2143" i="9"/>
  <c r="S2144" i="9"/>
  <c r="S2145" i="9"/>
  <c r="S2146" i="9"/>
  <c r="S2147" i="9"/>
  <c r="S2148" i="9"/>
  <c r="S2149" i="9"/>
  <c r="S2150" i="9"/>
  <c r="S2151" i="9"/>
  <c r="S2152" i="9"/>
  <c r="S2153" i="9"/>
  <c r="S2154" i="9"/>
  <c r="S2155" i="9"/>
  <c r="S2156" i="9"/>
  <c r="S2157" i="9"/>
  <c r="S2158" i="9"/>
  <c r="S2159" i="9"/>
  <c r="S2160" i="9"/>
  <c r="S2161" i="9"/>
  <c r="S2162" i="9"/>
  <c r="S2163" i="9"/>
  <c r="S2164" i="9"/>
  <c r="S2165" i="9"/>
  <c r="S2166" i="9"/>
  <c r="S2167" i="9"/>
  <c r="S2168" i="9"/>
  <c r="S2169" i="9"/>
  <c r="S2170" i="9"/>
  <c r="S2171" i="9"/>
  <c r="S2172" i="9"/>
  <c r="S2173" i="9"/>
  <c r="S2174" i="9"/>
  <c r="S2175" i="9"/>
  <c r="S2176" i="9"/>
  <c r="S2177" i="9"/>
  <c r="S2178" i="9"/>
  <c r="S2179" i="9"/>
  <c r="S2180" i="9"/>
  <c r="S2181" i="9"/>
  <c r="S2182" i="9"/>
  <c r="S2183" i="9"/>
  <c r="S2184" i="9"/>
  <c r="S2185" i="9"/>
  <c r="S2186" i="9"/>
  <c r="S2187" i="9"/>
  <c r="S2188" i="9"/>
  <c r="S2189" i="9"/>
  <c r="S2190" i="9"/>
  <c r="S2191" i="9"/>
  <c r="S2192" i="9"/>
  <c r="S2193" i="9"/>
  <c r="S2194" i="9"/>
  <c r="S2195" i="9"/>
  <c r="S2196" i="9"/>
  <c r="S2197" i="9"/>
  <c r="S2198" i="9"/>
  <c r="S2199" i="9"/>
  <c r="S2200" i="9"/>
  <c r="S2201" i="9"/>
  <c r="S2202" i="9"/>
  <c r="S2203" i="9"/>
  <c r="S2204" i="9"/>
  <c r="S2205" i="9"/>
  <c r="S2206" i="9"/>
  <c r="S2207" i="9"/>
  <c r="S2208" i="9"/>
  <c r="S2209" i="9"/>
  <c r="S2210" i="9"/>
  <c r="S2211" i="9"/>
  <c r="S2212" i="9"/>
  <c r="S2213" i="9"/>
  <c r="S2214" i="9"/>
  <c r="S2215" i="9"/>
  <c r="S2216" i="9"/>
  <c r="S2217" i="9"/>
  <c r="S2218" i="9"/>
  <c r="S2219" i="9"/>
  <c r="S2220" i="9"/>
  <c r="S2221" i="9"/>
  <c r="S2222" i="9"/>
  <c r="S2223" i="9"/>
  <c r="S2224" i="9"/>
  <c r="S2225" i="9"/>
  <c r="S2226" i="9"/>
  <c r="S2227" i="9"/>
  <c r="S2228" i="9"/>
  <c r="S2229" i="9"/>
  <c r="S2230" i="9"/>
  <c r="S2231" i="9"/>
  <c r="S2232" i="9"/>
  <c r="S2233" i="9"/>
  <c r="S2234" i="9"/>
  <c r="S2235" i="9"/>
  <c r="S2236" i="9"/>
  <c r="S2237" i="9"/>
  <c r="S2238" i="9"/>
  <c r="S2239" i="9"/>
  <c r="S2240" i="9"/>
  <c r="S2241" i="9"/>
  <c r="S2242" i="9"/>
  <c r="S2243" i="9"/>
  <c r="S2244" i="9"/>
  <c r="S2245" i="9"/>
  <c r="S2246" i="9"/>
  <c r="S2247" i="9"/>
  <c r="S2248" i="9"/>
  <c r="S2249" i="9"/>
  <c r="S2250" i="9"/>
  <c r="S2251" i="9"/>
  <c r="S2252" i="9"/>
  <c r="S2253" i="9"/>
  <c r="S2254" i="9"/>
  <c r="S2255" i="9"/>
  <c r="S2256" i="9"/>
  <c r="S2257" i="9"/>
  <c r="S2258" i="9"/>
  <c r="S2259" i="9"/>
  <c r="S2260" i="9"/>
  <c r="S2261" i="9"/>
  <c r="S2262" i="9"/>
  <c r="S2263" i="9"/>
  <c r="S2264" i="9"/>
  <c r="S2265" i="9"/>
  <c r="S2266" i="9"/>
  <c r="S2267" i="9"/>
  <c r="S2268" i="9"/>
  <c r="S2269" i="9"/>
  <c r="S2270" i="9"/>
  <c r="S2271" i="9"/>
  <c r="S2272" i="9"/>
  <c r="S2273" i="9"/>
  <c r="S2274" i="9"/>
  <c r="S2275" i="9"/>
  <c r="S2276" i="9"/>
  <c r="S2277" i="9"/>
  <c r="S2278" i="9"/>
  <c r="S2279" i="9"/>
  <c r="S2280" i="9"/>
  <c r="S2281" i="9"/>
  <c r="S2282" i="9"/>
  <c r="S2283" i="9"/>
  <c r="S2284" i="9"/>
  <c r="S2285" i="9"/>
  <c r="S2286" i="9"/>
  <c r="S2287" i="9"/>
  <c r="S2288" i="9"/>
  <c r="S2289" i="9"/>
  <c r="S2290" i="9"/>
  <c r="S2291" i="9"/>
  <c r="S2292" i="9"/>
  <c r="S2293" i="9"/>
  <c r="S2294" i="9"/>
  <c r="S2295" i="9"/>
  <c r="S2296" i="9"/>
  <c r="S2297" i="9"/>
  <c r="S2298" i="9"/>
  <c r="S2299" i="9"/>
  <c r="S2300" i="9"/>
  <c r="S2301" i="9"/>
  <c r="S2302" i="9"/>
  <c r="S2303" i="9"/>
  <c r="S2304" i="9"/>
  <c r="S2305" i="9"/>
  <c r="S2306" i="9"/>
  <c r="S2307" i="9"/>
  <c r="S2308" i="9"/>
  <c r="S2309" i="9"/>
  <c r="S2310" i="9"/>
  <c r="S2311" i="9"/>
  <c r="S2312" i="9"/>
  <c r="S2313" i="9"/>
  <c r="S2314" i="9"/>
  <c r="S2315" i="9"/>
  <c r="S2316" i="9"/>
  <c r="S2317" i="9"/>
  <c r="S2318" i="9"/>
  <c r="S2319" i="9"/>
  <c r="S2320" i="9"/>
  <c r="S2321" i="9"/>
  <c r="S2322" i="9"/>
  <c r="S2323" i="9"/>
  <c r="S2324" i="9"/>
  <c r="S2325" i="9"/>
  <c r="S2326" i="9"/>
  <c r="S2327" i="9"/>
  <c r="S2328" i="9"/>
  <c r="S2329" i="9"/>
  <c r="S2330" i="9"/>
  <c r="S2331" i="9"/>
  <c r="S2332" i="9"/>
  <c r="S2333" i="9"/>
  <c r="S2334" i="9"/>
  <c r="S2335" i="9"/>
  <c r="S2336" i="9"/>
  <c r="S2337" i="9"/>
  <c r="S2338" i="9"/>
  <c r="S2339" i="9"/>
  <c r="S2340" i="9"/>
  <c r="S2341" i="9"/>
  <c r="S2342" i="9"/>
  <c r="S2343" i="9"/>
  <c r="S2344" i="9"/>
  <c r="S2345" i="9"/>
  <c r="S2346" i="9"/>
  <c r="S2347" i="9"/>
  <c r="S2348" i="9"/>
  <c r="S2349" i="9"/>
  <c r="S2350" i="9"/>
  <c r="S2351" i="9"/>
  <c r="S2352" i="9"/>
  <c r="S2353" i="9"/>
  <c r="S2354" i="9"/>
  <c r="S2355" i="9"/>
  <c r="S2356" i="9"/>
  <c r="S2357" i="9"/>
  <c r="S2358" i="9"/>
  <c r="S2359" i="9"/>
  <c r="S2360" i="9"/>
  <c r="S2361" i="9"/>
  <c r="S2362" i="9"/>
  <c r="S2363" i="9"/>
  <c r="S2364" i="9"/>
  <c r="S2365" i="9"/>
  <c r="S2366" i="9"/>
  <c r="S2367" i="9"/>
  <c r="S2368" i="9"/>
  <c r="S2369" i="9"/>
  <c r="S2370" i="9"/>
  <c r="S2371" i="9"/>
  <c r="S2372" i="9"/>
  <c r="S2373" i="9"/>
  <c r="S2374" i="9"/>
  <c r="S2375" i="9"/>
  <c r="S2376" i="9"/>
  <c r="S2377" i="9"/>
  <c r="S2378" i="9"/>
  <c r="S2379" i="9"/>
  <c r="S2380" i="9"/>
  <c r="S2381" i="9"/>
  <c r="S2382" i="9"/>
  <c r="S2383" i="9"/>
  <c r="S2384" i="9"/>
  <c r="S2385" i="9"/>
  <c r="S2386" i="9"/>
  <c r="S2387" i="9"/>
  <c r="S2388" i="9"/>
  <c r="S2389" i="9"/>
  <c r="S2390" i="9"/>
  <c r="S2391" i="9"/>
  <c r="S2392" i="9"/>
  <c r="S2393" i="9"/>
  <c r="S2394" i="9"/>
  <c r="S2395" i="9"/>
  <c r="S2396" i="9"/>
  <c r="S2397" i="9"/>
  <c r="S2398" i="9"/>
  <c r="S2399" i="9"/>
  <c r="S2400" i="9"/>
  <c r="S2401" i="9"/>
  <c r="S2402" i="9"/>
  <c r="S2403" i="9"/>
  <c r="S2404" i="9"/>
  <c r="S2405" i="9"/>
  <c r="S2406" i="9"/>
  <c r="S2407" i="9"/>
  <c r="S2408" i="9"/>
  <c r="S2409" i="9"/>
  <c r="S2410" i="9"/>
  <c r="S2411" i="9"/>
  <c r="S2412" i="9"/>
  <c r="S2413" i="9"/>
  <c r="S2414" i="9"/>
  <c r="S2415" i="9"/>
  <c r="S2416" i="9"/>
  <c r="S2417" i="9"/>
  <c r="S2418" i="9"/>
  <c r="S2419" i="9"/>
  <c r="S2420" i="9"/>
  <c r="S2421" i="9"/>
  <c r="S2422" i="9"/>
  <c r="S2423" i="9"/>
  <c r="S2424" i="9"/>
  <c r="S2425" i="9"/>
  <c r="S2426" i="9"/>
  <c r="S2427" i="9"/>
  <c r="S2428" i="9"/>
  <c r="S2429" i="9"/>
  <c r="S2430" i="9"/>
  <c r="S2431" i="9"/>
  <c r="S2432" i="9"/>
  <c r="S2433" i="9"/>
  <c r="S2434" i="9"/>
  <c r="S2435" i="9"/>
  <c r="S2436" i="9"/>
  <c r="S2437" i="9"/>
  <c r="S2438" i="9"/>
  <c r="S2439" i="9"/>
  <c r="S2440" i="9"/>
  <c r="S2441" i="9"/>
  <c r="S2442" i="9"/>
  <c r="S2443" i="9"/>
  <c r="S2444" i="9"/>
  <c r="S2445" i="9"/>
  <c r="S2446" i="9"/>
  <c r="S2447" i="9"/>
  <c r="S2448" i="9"/>
  <c r="S2449" i="9"/>
  <c r="S2450" i="9"/>
  <c r="S2451" i="9"/>
  <c r="S2452" i="9"/>
  <c r="S2453" i="9"/>
  <c r="S2454" i="9"/>
  <c r="S2455" i="9"/>
  <c r="S2456" i="9"/>
  <c r="S2457" i="9"/>
  <c r="S2458" i="9"/>
  <c r="S2459" i="9"/>
  <c r="S2460" i="9"/>
  <c r="S2461" i="9"/>
  <c r="S2462" i="9"/>
  <c r="S2463" i="9"/>
  <c r="S2464" i="9"/>
  <c r="S2465" i="9"/>
  <c r="S2466" i="9"/>
  <c r="S2467" i="9"/>
  <c r="S2468" i="9"/>
  <c r="S2469" i="9"/>
  <c r="S2470" i="9"/>
  <c r="S2471" i="9"/>
  <c r="S2472" i="9"/>
  <c r="S2473" i="9"/>
  <c r="S2474" i="9"/>
  <c r="S2475" i="9"/>
  <c r="S2476" i="9"/>
  <c r="S2477" i="9"/>
  <c r="S2478" i="9"/>
  <c r="S2479" i="9"/>
  <c r="S2480" i="9"/>
  <c r="S2481" i="9"/>
  <c r="S2482" i="9"/>
  <c r="S2483" i="9"/>
  <c r="S2484" i="9"/>
  <c r="S2485" i="9"/>
  <c r="S2486" i="9"/>
  <c r="S2487" i="9"/>
  <c r="S2488" i="9"/>
  <c r="S2489" i="9"/>
  <c r="S2490" i="9"/>
  <c r="S2491" i="9"/>
  <c r="S2492" i="9"/>
  <c r="S2493" i="9"/>
  <c r="S2494" i="9"/>
  <c r="S2495" i="9"/>
  <c r="S2496" i="9"/>
  <c r="S2497" i="9"/>
  <c r="S2498" i="9"/>
  <c r="S2499" i="9"/>
  <c r="S2500" i="9"/>
  <c r="S2501" i="9"/>
  <c r="S2502" i="9"/>
  <c r="S2503" i="9"/>
  <c r="S5" i="9"/>
  <c r="S6" i="9"/>
  <c r="S7" i="9"/>
  <c r="S8" i="9"/>
  <c r="S9" i="9"/>
  <c r="S10" i="9"/>
  <c r="S11" i="9"/>
  <c r="S12" i="9"/>
  <c r="S13" i="9"/>
  <c r="S14" i="9"/>
  <c r="S15" i="9"/>
  <c r="S16" i="9"/>
  <c r="S17" i="9"/>
  <c r="S18" i="9"/>
  <c r="S19" i="9"/>
  <c r="S20" i="9"/>
  <c r="S21" i="9"/>
  <c r="S22" i="9"/>
  <c r="S23" i="9"/>
  <c r="S24" i="9"/>
  <c r="S25" i="9"/>
  <c r="S26" i="9"/>
  <c r="S27" i="9"/>
  <c r="S28" i="9"/>
  <c r="S29" i="9"/>
  <c r="S30" i="9"/>
  <c r="S31" i="9"/>
  <c r="S32" i="9"/>
  <c r="S33" i="9"/>
  <c r="S34" i="9"/>
  <c r="S35" i="9"/>
  <c r="S36" i="9"/>
  <c r="S37" i="9"/>
  <c r="S38" i="9"/>
  <c r="S39" i="9"/>
  <c r="S40" i="9"/>
  <c r="S41" i="9"/>
  <c r="S42" i="9"/>
  <c r="S43" i="9"/>
  <c r="S44" i="9"/>
  <c r="S45" i="9"/>
  <c r="S46" i="9"/>
  <c r="S47" i="9"/>
  <c r="S48" i="9"/>
  <c r="S49" i="9"/>
  <c r="S50" i="9"/>
  <c r="S51" i="9"/>
  <c r="S52" i="9"/>
  <c r="S53" i="9"/>
  <c r="S54" i="9"/>
  <c r="S55" i="9"/>
  <c r="S56" i="9"/>
  <c r="S57" i="9"/>
  <c r="S58" i="9"/>
  <c r="S59" i="9"/>
  <c r="S60" i="9"/>
  <c r="S61" i="9"/>
  <c r="S62" i="9"/>
  <c r="S63" i="9"/>
  <c r="S64" i="9"/>
  <c r="S65" i="9"/>
  <c r="S66" i="9"/>
  <c r="S67" i="9"/>
  <c r="S68" i="9"/>
  <c r="S69" i="9"/>
  <c r="S70" i="9"/>
  <c r="S71" i="9"/>
  <c r="S72" i="9"/>
  <c r="S73" i="9"/>
  <c r="S74" i="9"/>
  <c r="S75" i="9"/>
  <c r="S76" i="9"/>
  <c r="S77" i="9"/>
  <c r="S78" i="9"/>
  <c r="S79" i="9"/>
  <c r="S80" i="9"/>
  <c r="S81" i="9"/>
  <c r="S82" i="9"/>
  <c r="S83" i="9"/>
  <c r="S84" i="9"/>
  <c r="S85" i="9"/>
  <c r="S86" i="9"/>
  <c r="S87" i="9"/>
  <c r="S88" i="9"/>
  <c r="S89" i="9"/>
  <c r="S90" i="9"/>
  <c r="S91" i="9"/>
  <c r="S92" i="9"/>
  <c r="S93" i="9"/>
  <c r="S94" i="9"/>
  <c r="S95" i="9"/>
  <c r="S96" i="9"/>
  <c r="S97" i="9"/>
  <c r="S98" i="9"/>
  <c r="S99" i="9"/>
  <c r="S100" i="9"/>
  <c r="S101" i="9"/>
  <c r="S102" i="9"/>
  <c r="S103" i="9"/>
  <c r="S104" i="9"/>
  <c r="S105" i="9"/>
  <c r="S106" i="9"/>
  <c r="S107" i="9"/>
  <c r="S108" i="9"/>
  <c r="S109" i="9"/>
  <c r="S110" i="9"/>
  <c r="S111" i="9"/>
  <c r="S112" i="9"/>
  <c r="S113" i="9"/>
  <c r="S114" i="9"/>
  <c r="S115" i="9"/>
  <c r="S116" i="9"/>
  <c r="S117" i="9"/>
  <c r="S118" i="9"/>
  <c r="S119" i="9"/>
  <c r="S120" i="9"/>
  <c r="S121" i="9"/>
  <c r="S122" i="9"/>
  <c r="S123" i="9"/>
  <c r="S124" i="9"/>
  <c r="S125" i="9"/>
  <c r="S126" i="9"/>
  <c r="S127" i="9"/>
  <c r="S128" i="9"/>
  <c r="S129" i="9"/>
  <c r="S130" i="9"/>
  <c r="S131" i="9"/>
  <c r="S132" i="9"/>
  <c r="S133" i="9"/>
  <c r="S134" i="9"/>
  <c r="S135" i="9"/>
  <c r="S136" i="9"/>
  <c r="S137" i="9"/>
  <c r="S138" i="9"/>
  <c r="S139" i="9"/>
  <c r="S140" i="9"/>
  <c r="S141" i="9"/>
  <c r="S142" i="9"/>
  <c r="S143" i="9"/>
  <c r="S144" i="9"/>
  <c r="S145" i="9"/>
  <c r="S146" i="9"/>
  <c r="S147" i="9"/>
  <c r="S148" i="9"/>
  <c r="S149" i="9"/>
  <c r="S150" i="9"/>
  <c r="S151" i="9"/>
  <c r="S152" i="9"/>
  <c r="S153" i="9"/>
  <c r="S154" i="9"/>
  <c r="S155" i="9"/>
  <c r="S156" i="9"/>
  <c r="S157" i="9"/>
  <c r="S158" i="9"/>
  <c r="S159" i="9"/>
  <c r="S160" i="9"/>
  <c r="S161" i="9"/>
  <c r="S162" i="9"/>
  <c r="S163" i="9"/>
  <c r="S164" i="9"/>
  <c r="S165" i="9"/>
  <c r="S166" i="9"/>
  <c r="S167" i="9"/>
  <c r="S168" i="9"/>
  <c r="S169" i="9"/>
  <c r="S170" i="9"/>
  <c r="S171" i="9"/>
  <c r="S172" i="9"/>
  <c r="S173" i="9"/>
  <c r="S174" i="9"/>
  <c r="S175" i="9"/>
  <c r="S176" i="9"/>
  <c r="S177" i="9"/>
  <c r="S178" i="9"/>
  <c r="S179" i="9"/>
  <c r="S180" i="9"/>
  <c r="S181" i="9"/>
  <c r="S182" i="9"/>
  <c r="S183" i="9"/>
  <c r="S184" i="9"/>
  <c r="S185" i="9"/>
  <c r="S186" i="9"/>
  <c r="S187" i="9"/>
  <c r="S188" i="9"/>
  <c r="S189" i="9"/>
  <c r="S190" i="9"/>
  <c r="S191" i="9"/>
  <c r="S192" i="9"/>
  <c r="S193" i="9"/>
  <c r="S194" i="9"/>
  <c r="S195" i="9"/>
  <c r="S196" i="9"/>
  <c r="S197" i="9"/>
  <c r="S198" i="9"/>
  <c r="S199" i="9"/>
  <c r="S200" i="9"/>
  <c r="S201" i="9"/>
  <c r="S202" i="9"/>
  <c r="S203" i="9"/>
  <c r="S204" i="9"/>
  <c r="S205" i="9"/>
  <c r="S206" i="9"/>
  <c r="S207" i="9"/>
  <c r="S208" i="9"/>
  <c r="S209" i="9"/>
  <c r="S210" i="9"/>
  <c r="S211" i="9"/>
  <c r="S212" i="9"/>
  <c r="S213" i="9"/>
  <c r="S214" i="9"/>
  <c r="S215" i="9"/>
  <c r="S216" i="9"/>
  <c r="S217" i="9"/>
  <c r="S218" i="9"/>
  <c r="S219" i="9"/>
  <c r="S220" i="9"/>
  <c r="S221" i="9"/>
  <c r="S222" i="9"/>
  <c r="S223" i="9"/>
  <c r="S224" i="9"/>
  <c r="S225" i="9"/>
  <c r="S226" i="9"/>
  <c r="S227" i="9"/>
  <c r="S228" i="9"/>
  <c r="S229" i="9"/>
  <c r="S230" i="9"/>
  <c r="S231" i="9"/>
  <c r="S232" i="9"/>
  <c r="S233" i="9"/>
  <c r="S234" i="9"/>
  <c r="S235" i="9"/>
  <c r="S236" i="9"/>
  <c r="S237" i="9"/>
  <c r="S238" i="9"/>
  <c r="S239" i="9"/>
  <c r="S240" i="9"/>
  <c r="S241" i="9"/>
  <c r="S242" i="9"/>
  <c r="S243" i="9"/>
  <c r="S244" i="9"/>
  <c r="S245" i="9"/>
  <c r="S246" i="9"/>
  <c r="S247" i="9"/>
  <c r="S248" i="9"/>
  <c r="S249" i="9"/>
  <c r="S250" i="9"/>
  <c r="S251" i="9"/>
  <c r="S252" i="9"/>
  <c r="S253" i="9"/>
  <c r="S254" i="9"/>
  <c r="S255" i="9"/>
  <c r="S256" i="9"/>
  <c r="S257" i="9"/>
  <c r="S258" i="9"/>
  <c r="S259" i="9"/>
  <c r="S260" i="9"/>
  <c r="S261" i="9"/>
  <c r="S262" i="9"/>
  <c r="S263" i="9"/>
  <c r="S264" i="9"/>
  <c r="S265" i="9"/>
  <c r="S266" i="9"/>
  <c r="S267" i="9"/>
  <c r="S268" i="9"/>
  <c r="S269" i="9"/>
  <c r="S270" i="9"/>
  <c r="S271" i="9"/>
  <c r="S272" i="9"/>
  <c r="S273" i="9"/>
  <c r="S274" i="9"/>
  <c r="S275" i="9"/>
  <c r="S276" i="9"/>
  <c r="S277" i="9"/>
  <c r="S278" i="9"/>
  <c r="S279" i="9"/>
  <c r="S280" i="9"/>
  <c r="S281" i="9"/>
  <c r="S282" i="9"/>
  <c r="S283" i="9"/>
  <c r="S284" i="9"/>
  <c r="S285" i="9"/>
  <c r="S286" i="9"/>
  <c r="S287" i="9"/>
  <c r="S288" i="9"/>
  <c r="S289" i="9"/>
  <c r="S290" i="9"/>
  <c r="S291" i="9"/>
  <c r="S292" i="9"/>
  <c r="S293" i="9"/>
  <c r="S294" i="9"/>
  <c r="S295" i="9"/>
  <c r="S296" i="9"/>
  <c r="S297" i="9"/>
  <c r="S298" i="9"/>
  <c r="S299" i="9"/>
  <c r="S300" i="9"/>
  <c r="S301" i="9"/>
  <c r="S302" i="9"/>
  <c r="S303" i="9"/>
  <c r="S304" i="9"/>
  <c r="S305" i="9"/>
  <c r="S306" i="9"/>
  <c r="S307" i="9"/>
  <c r="S308" i="9"/>
  <c r="S309" i="9"/>
  <c r="S310" i="9"/>
  <c r="S311" i="9"/>
  <c r="S312" i="9"/>
  <c r="S313" i="9"/>
  <c r="S314" i="9"/>
  <c r="S315" i="9"/>
  <c r="S316" i="9"/>
  <c r="S317" i="9"/>
  <c r="S318" i="9"/>
  <c r="S319" i="9"/>
  <c r="S320" i="9"/>
  <c r="S321" i="9"/>
  <c r="S322" i="9"/>
  <c r="S323" i="9"/>
  <c r="S324" i="9"/>
  <c r="S325" i="9"/>
  <c r="S326" i="9"/>
  <c r="S327" i="9"/>
  <c r="S328" i="9"/>
  <c r="S329" i="9"/>
  <c r="S330" i="9"/>
  <c r="S331" i="9"/>
  <c r="S332" i="9"/>
  <c r="S333" i="9"/>
  <c r="S334" i="9"/>
  <c r="S335" i="9"/>
  <c r="S336" i="9"/>
  <c r="S337" i="9"/>
  <c r="S338" i="9"/>
  <c r="S339" i="9"/>
  <c r="S340" i="9"/>
  <c r="S341" i="9"/>
  <c r="S342" i="9"/>
  <c r="S343" i="9"/>
  <c r="S344" i="9"/>
  <c r="S345" i="9"/>
  <c r="S346" i="9"/>
  <c r="S347" i="9"/>
  <c r="S348" i="9"/>
  <c r="S349" i="9"/>
  <c r="S350" i="9"/>
  <c r="S351" i="9"/>
  <c r="S352" i="9"/>
  <c r="S353" i="9"/>
  <c r="S354" i="9"/>
  <c r="S355" i="9"/>
  <c r="S356" i="9"/>
  <c r="S357" i="9"/>
  <c r="S358" i="9"/>
  <c r="S359" i="9"/>
  <c r="S360" i="9"/>
  <c r="S361" i="9"/>
  <c r="S362" i="9"/>
  <c r="S363" i="9"/>
  <c r="S364" i="9"/>
  <c r="S365" i="9"/>
  <c r="S366" i="9"/>
  <c r="S367" i="9"/>
  <c r="S368" i="9"/>
  <c r="S369" i="9"/>
  <c r="S370" i="9"/>
  <c r="S371" i="9"/>
  <c r="S372" i="9"/>
  <c r="S373" i="9"/>
  <c r="S374" i="9"/>
  <c r="S375" i="9"/>
  <c r="S376" i="9"/>
  <c r="S377" i="9"/>
  <c r="S378" i="9"/>
  <c r="S379" i="9"/>
  <c r="S380" i="9"/>
  <c r="S381" i="9"/>
  <c r="S382" i="9"/>
  <c r="S383" i="9"/>
  <c r="S384" i="9"/>
  <c r="S385" i="9"/>
  <c r="S386" i="9"/>
  <c r="S387" i="9"/>
  <c r="S388" i="9"/>
  <c r="S389" i="9"/>
  <c r="S390" i="9"/>
  <c r="S391" i="9"/>
  <c r="S392" i="9"/>
  <c r="S393" i="9"/>
  <c r="S394" i="9"/>
  <c r="S395" i="9"/>
  <c r="S396" i="9"/>
  <c r="S397" i="9"/>
  <c r="S398" i="9"/>
  <c r="S399" i="9"/>
  <c r="S400" i="9"/>
  <c r="S401" i="9"/>
  <c r="S402" i="9"/>
  <c r="S403" i="9"/>
  <c r="S404" i="9"/>
  <c r="S405" i="9"/>
  <c r="S406" i="9"/>
  <c r="S407" i="9"/>
  <c r="S408" i="9"/>
  <c r="S409" i="9"/>
  <c r="S410" i="9"/>
  <c r="S411" i="9"/>
  <c r="S412" i="9"/>
  <c r="S413" i="9"/>
  <c r="S414" i="9"/>
  <c r="S415" i="9"/>
  <c r="S416" i="9"/>
  <c r="S417" i="9"/>
  <c r="S418" i="9"/>
  <c r="S419" i="9"/>
  <c r="S420" i="9"/>
  <c r="S421" i="9"/>
  <c r="S422" i="9"/>
  <c r="S423" i="9"/>
  <c r="S424" i="9"/>
  <c r="S425" i="9"/>
  <c r="S426" i="9"/>
  <c r="S427" i="9"/>
  <c r="S428" i="9"/>
  <c r="S429" i="9"/>
  <c r="S430" i="9"/>
  <c r="S431" i="9"/>
  <c r="S432" i="9"/>
  <c r="S433" i="9"/>
  <c r="S434" i="9"/>
  <c r="S435" i="9"/>
  <c r="S436" i="9"/>
  <c r="S437" i="9"/>
  <c r="S438" i="9"/>
  <c r="S439" i="9"/>
  <c r="S440" i="9"/>
  <c r="S441" i="9"/>
  <c r="S442" i="9"/>
  <c r="S443" i="9"/>
  <c r="S444" i="9"/>
  <c r="S445" i="9"/>
  <c r="S446" i="9"/>
  <c r="S447" i="9"/>
  <c r="S448" i="9"/>
  <c r="S449" i="9"/>
  <c r="S450" i="9"/>
  <c r="S451" i="9"/>
  <c r="S452" i="9"/>
  <c r="S453" i="9"/>
  <c r="S454" i="9"/>
  <c r="S455" i="9"/>
  <c r="S456" i="9"/>
  <c r="S457" i="9"/>
  <c r="S458" i="9"/>
  <c r="S459" i="9"/>
  <c r="S460" i="9"/>
  <c r="S461" i="9"/>
  <c r="S462" i="9"/>
  <c r="S463" i="9"/>
  <c r="S464" i="9"/>
  <c r="S465" i="9"/>
  <c r="S466" i="9"/>
  <c r="S467" i="9"/>
  <c r="S468" i="9"/>
  <c r="S469" i="9"/>
  <c r="S470" i="9"/>
  <c r="S471" i="9"/>
  <c r="S472" i="9"/>
  <c r="S473" i="9"/>
  <c r="S474" i="9"/>
  <c r="S475" i="9"/>
  <c r="S476" i="9"/>
  <c r="S477" i="9"/>
  <c r="S478" i="9"/>
  <c r="S479" i="9"/>
  <c r="S480" i="9"/>
  <c r="S481" i="9"/>
  <c r="S482" i="9"/>
  <c r="S483" i="9"/>
  <c r="S484" i="9"/>
  <c r="S485" i="9"/>
  <c r="S486" i="9"/>
  <c r="S487" i="9"/>
  <c r="S488" i="9"/>
  <c r="S489" i="9"/>
  <c r="S490" i="9"/>
  <c r="S491" i="9"/>
  <c r="S492" i="9"/>
  <c r="S493" i="9"/>
  <c r="S494" i="9"/>
  <c r="S495" i="9"/>
  <c r="S496" i="9"/>
  <c r="S497" i="9"/>
  <c r="S498" i="9"/>
  <c r="S499" i="9"/>
  <c r="S500" i="9"/>
  <c r="S501" i="9"/>
  <c r="S502" i="9"/>
  <c r="S503" i="9"/>
  <c r="S504" i="9"/>
  <c r="S505" i="9"/>
  <c r="S506" i="9"/>
  <c r="S507" i="9"/>
  <c r="S508" i="9"/>
  <c r="S509" i="9"/>
  <c r="S510" i="9"/>
  <c r="S511" i="9"/>
  <c r="S512" i="9"/>
  <c r="S513" i="9"/>
  <c r="S514" i="9"/>
  <c r="S515" i="9"/>
  <c r="S516" i="9"/>
  <c r="S517" i="9"/>
  <c r="S518" i="9"/>
  <c r="S519" i="9"/>
  <c r="S520" i="9"/>
  <c r="S521" i="9"/>
  <c r="S522" i="9"/>
  <c r="S523" i="9"/>
  <c r="S524" i="9"/>
  <c r="S525" i="9"/>
  <c r="S526" i="9"/>
  <c r="S527" i="9"/>
  <c r="S528" i="9"/>
  <c r="S529" i="9"/>
  <c r="S530" i="9"/>
  <c r="S531" i="9"/>
  <c r="S532" i="9"/>
  <c r="S533" i="9"/>
  <c r="S534" i="9"/>
  <c r="S535" i="9"/>
  <c r="S536" i="9"/>
  <c r="S537" i="9"/>
  <c r="S538" i="9"/>
  <c r="S539" i="9"/>
  <c r="S540" i="9"/>
  <c r="S541" i="9"/>
  <c r="S542" i="9"/>
  <c r="S543" i="9"/>
  <c r="S544" i="9"/>
  <c r="S545" i="9"/>
  <c r="S546" i="9"/>
  <c r="S547" i="9"/>
  <c r="S548" i="9"/>
  <c r="S549" i="9"/>
  <c r="S550" i="9"/>
  <c r="S551" i="9"/>
  <c r="S552" i="9"/>
  <c r="S553" i="9"/>
  <c r="S554" i="9"/>
  <c r="S555" i="9"/>
  <c r="S556" i="9"/>
  <c r="S557" i="9"/>
  <c r="S558" i="9"/>
  <c r="S559" i="9"/>
  <c r="S560" i="9"/>
  <c r="S561" i="9"/>
  <c r="S562" i="9"/>
  <c r="S563" i="9"/>
  <c r="S564" i="9"/>
  <c r="S565" i="9"/>
  <c r="S566" i="9"/>
  <c r="S567" i="9"/>
  <c r="S568" i="9"/>
  <c r="S569" i="9"/>
  <c r="S570" i="9"/>
  <c r="S571" i="9"/>
  <c r="S572" i="9"/>
  <c r="S573" i="9"/>
  <c r="S574" i="9"/>
  <c r="S575" i="9"/>
  <c r="S576" i="9"/>
  <c r="S577" i="9"/>
  <c r="S578" i="9"/>
  <c r="S579" i="9"/>
  <c r="S580" i="9"/>
  <c r="S581" i="9"/>
  <c r="S582" i="9"/>
  <c r="S583" i="9"/>
  <c r="S584" i="9"/>
  <c r="S585" i="9"/>
  <c r="S586" i="9"/>
  <c r="S587" i="9"/>
  <c r="S588" i="9"/>
  <c r="S589" i="9"/>
  <c r="S590" i="9"/>
  <c r="S591" i="9"/>
  <c r="S592" i="9"/>
  <c r="S593" i="9"/>
  <c r="S594" i="9"/>
  <c r="S595" i="9"/>
  <c r="S596" i="9"/>
  <c r="S597" i="9"/>
  <c r="S598" i="9"/>
  <c r="S599" i="9"/>
  <c r="S600" i="9"/>
  <c r="S601" i="9"/>
  <c r="S602" i="9"/>
  <c r="S603" i="9"/>
  <c r="S604" i="9"/>
  <c r="S605" i="9"/>
  <c r="S606" i="9"/>
  <c r="S607" i="9"/>
  <c r="S608" i="9"/>
  <c r="S609" i="9"/>
  <c r="S610" i="9"/>
  <c r="S611" i="9"/>
  <c r="S612" i="9"/>
  <c r="S613" i="9"/>
  <c r="S614" i="9"/>
  <c r="S615" i="9"/>
  <c r="S616" i="9"/>
  <c r="S617" i="9"/>
  <c r="S618" i="9"/>
  <c r="S619" i="9"/>
  <c r="S620" i="9"/>
  <c r="S621" i="9"/>
  <c r="S622" i="9"/>
  <c r="S623" i="9"/>
  <c r="S624" i="9"/>
  <c r="S625" i="9"/>
  <c r="S626" i="9"/>
  <c r="S627" i="9"/>
  <c r="S628" i="9"/>
  <c r="S629" i="9"/>
  <c r="S630" i="9"/>
  <c r="S631" i="9"/>
  <c r="S632" i="9"/>
  <c r="S633" i="9"/>
  <c r="S634" i="9"/>
  <c r="S635" i="9"/>
  <c r="S636" i="9"/>
  <c r="S637" i="9"/>
  <c r="S638" i="9"/>
  <c r="S639" i="9"/>
  <c r="S640" i="9"/>
  <c r="S641" i="9"/>
  <c r="S642" i="9"/>
  <c r="S643" i="9"/>
  <c r="S644" i="9"/>
  <c r="S645" i="9"/>
  <c r="S646" i="9"/>
  <c r="S647" i="9"/>
  <c r="S648" i="9"/>
  <c r="S649" i="9"/>
  <c r="S650" i="9"/>
  <c r="S651" i="9"/>
  <c r="S652" i="9"/>
  <c r="S653" i="9"/>
  <c r="S654" i="9"/>
  <c r="S655" i="9"/>
  <c r="S656" i="9"/>
  <c r="S657" i="9"/>
  <c r="S658" i="9"/>
  <c r="S659" i="9"/>
  <c r="S660" i="9"/>
  <c r="S661" i="9"/>
  <c r="S662" i="9"/>
  <c r="S663" i="9"/>
  <c r="S664" i="9"/>
  <c r="S665" i="9"/>
  <c r="S666" i="9"/>
  <c r="S667" i="9"/>
  <c r="S668" i="9"/>
  <c r="S669" i="9"/>
  <c r="S670" i="9"/>
  <c r="S671" i="9"/>
  <c r="S672" i="9"/>
  <c r="S673" i="9"/>
  <c r="S674" i="9"/>
  <c r="S675" i="9"/>
  <c r="S676" i="9"/>
  <c r="S677" i="9"/>
  <c r="S678" i="9"/>
  <c r="S679" i="9"/>
  <c r="S680" i="9"/>
  <c r="S681" i="9"/>
  <c r="S682" i="9"/>
  <c r="S683" i="9"/>
  <c r="S684" i="9"/>
  <c r="S685" i="9"/>
  <c r="S686" i="9"/>
  <c r="S687" i="9"/>
  <c r="S688" i="9"/>
  <c r="S689" i="9"/>
  <c r="S690" i="9"/>
  <c r="S691" i="9"/>
  <c r="S692" i="9"/>
  <c r="S693" i="9"/>
  <c r="S694" i="9"/>
  <c r="S695" i="9"/>
  <c r="S696" i="9"/>
  <c r="S697" i="9"/>
  <c r="S698" i="9"/>
  <c r="S699" i="9"/>
  <c r="S700" i="9"/>
  <c r="S701" i="9"/>
  <c r="S702" i="9"/>
  <c r="S703" i="9"/>
  <c r="S704" i="9"/>
  <c r="S705" i="9"/>
  <c r="S706" i="9"/>
  <c r="S707" i="9"/>
  <c r="S708" i="9"/>
  <c r="S709" i="9"/>
  <c r="S710" i="9"/>
  <c r="S711" i="9"/>
  <c r="S712" i="9"/>
  <c r="S713" i="9"/>
  <c r="S714" i="9"/>
  <c r="S715" i="9"/>
  <c r="S716" i="9"/>
  <c r="S717" i="9"/>
  <c r="S718" i="9"/>
  <c r="S719" i="9"/>
  <c r="S720" i="9"/>
  <c r="S721" i="9"/>
  <c r="S722" i="9"/>
  <c r="S723" i="9"/>
  <c r="S724" i="9"/>
  <c r="S725" i="9"/>
  <c r="S726" i="9"/>
  <c r="S727" i="9"/>
  <c r="S728" i="9"/>
  <c r="S729" i="9"/>
  <c r="S730" i="9"/>
  <c r="S731" i="9"/>
  <c r="S732" i="9"/>
  <c r="S733" i="9"/>
  <c r="S734" i="9"/>
  <c r="S735" i="9"/>
  <c r="S736" i="9"/>
  <c r="S737" i="9"/>
  <c r="S738" i="9"/>
  <c r="S739" i="9"/>
  <c r="S740" i="9"/>
  <c r="S741" i="9"/>
  <c r="S742" i="9"/>
  <c r="S743" i="9"/>
  <c r="S744" i="9"/>
  <c r="S745" i="9"/>
  <c r="S746" i="9"/>
  <c r="S747" i="9"/>
  <c r="S748" i="9"/>
  <c r="S749" i="9"/>
  <c r="S750" i="9"/>
  <c r="S751" i="9"/>
  <c r="S752" i="9"/>
  <c r="S753" i="9"/>
  <c r="S754" i="9"/>
  <c r="S755" i="9"/>
  <c r="S756" i="9"/>
  <c r="S757" i="9"/>
  <c r="S758" i="9"/>
  <c r="S759" i="9"/>
  <c r="S760" i="9"/>
  <c r="S761" i="9"/>
  <c r="S762" i="9"/>
  <c r="S763" i="9"/>
  <c r="S764" i="9"/>
  <c r="S765" i="9"/>
  <c r="S766" i="9"/>
  <c r="S767" i="9"/>
  <c r="S768" i="9"/>
  <c r="S769" i="9"/>
  <c r="S770" i="9"/>
  <c r="S771" i="9"/>
  <c r="S772" i="9"/>
  <c r="S773" i="9"/>
  <c r="S774" i="9"/>
  <c r="S775" i="9"/>
  <c r="S776" i="9"/>
  <c r="S777" i="9"/>
  <c r="S778" i="9"/>
  <c r="S779" i="9"/>
  <c r="S780" i="9"/>
  <c r="S781" i="9"/>
  <c r="S782" i="9"/>
  <c r="S783" i="9"/>
  <c r="S784" i="9"/>
  <c r="S785" i="9"/>
  <c r="S786" i="9"/>
  <c r="S787" i="9"/>
  <c r="S788" i="9"/>
  <c r="S789" i="9"/>
  <c r="S790" i="9"/>
  <c r="R6" i="9"/>
  <c r="R7" i="9"/>
  <c r="R8" i="9"/>
  <c r="R9" i="9"/>
  <c r="R10" i="9"/>
  <c r="R11" i="9"/>
  <c r="R12" i="9"/>
  <c r="R13" i="9"/>
  <c r="R14" i="9"/>
  <c r="R15" i="9"/>
  <c r="R16" i="9"/>
  <c r="R17" i="9"/>
  <c r="R18" i="9"/>
  <c r="R19" i="9"/>
  <c r="R20" i="9"/>
  <c r="R21" i="9"/>
  <c r="R22" i="9"/>
  <c r="R23" i="9"/>
  <c r="R24" i="9"/>
  <c r="R25" i="9"/>
  <c r="R26" i="9"/>
  <c r="R27" i="9"/>
  <c r="R28" i="9"/>
  <c r="R29" i="9"/>
  <c r="R30" i="9"/>
  <c r="R31" i="9"/>
  <c r="R32" i="9"/>
  <c r="R33" i="9"/>
  <c r="R34" i="9"/>
  <c r="R35" i="9"/>
  <c r="R36" i="9"/>
  <c r="R37" i="9"/>
  <c r="R38" i="9"/>
  <c r="R39" i="9"/>
  <c r="R40" i="9"/>
  <c r="R41" i="9"/>
  <c r="R42" i="9"/>
  <c r="R43" i="9"/>
  <c r="R44" i="9"/>
  <c r="R45" i="9"/>
  <c r="R46" i="9"/>
  <c r="R47" i="9"/>
  <c r="R48" i="9"/>
  <c r="R49" i="9"/>
  <c r="R50" i="9"/>
  <c r="R51" i="9"/>
  <c r="R52" i="9"/>
  <c r="R53" i="9"/>
  <c r="R54" i="9"/>
  <c r="R55" i="9"/>
  <c r="R56" i="9"/>
  <c r="R57" i="9"/>
  <c r="R58" i="9"/>
  <c r="R59" i="9"/>
  <c r="R60" i="9"/>
  <c r="R61" i="9"/>
  <c r="R62" i="9"/>
  <c r="R63" i="9"/>
  <c r="R64" i="9"/>
  <c r="R65" i="9"/>
  <c r="R66" i="9"/>
  <c r="R67" i="9"/>
  <c r="R68" i="9"/>
  <c r="R69" i="9"/>
  <c r="R70" i="9"/>
  <c r="R71" i="9"/>
  <c r="R72" i="9"/>
  <c r="R73" i="9"/>
  <c r="R74" i="9"/>
  <c r="R75" i="9"/>
  <c r="R76" i="9"/>
  <c r="R77" i="9"/>
  <c r="R78" i="9"/>
  <c r="R79" i="9"/>
  <c r="R80" i="9"/>
  <c r="R81" i="9"/>
  <c r="R82" i="9"/>
  <c r="R83" i="9"/>
  <c r="R84" i="9"/>
  <c r="R85" i="9"/>
  <c r="R86" i="9"/>
  <c r="R87" i="9"/>
  <c r="R88" i="9"/>
  <c r="R89" i="9"/>
  <c r="R90" i="9"/>
  <c r="R91" i="9"/>
  <c r="R92" i="9"/>
  <c r="R93" i="9"/>
  <c r="R94" i="9"/>
  <c r="R95" i="9"/>
  <c r="R96" i="9"/>
  <c r="R97" i="9"/>
  <c r="R98" i="9"/>
  <c r="R99" i="9"/>
  <c r="R100" i="9"/>
  <c r="R101" i="9"/>
  <c r="R102" i="9"/>
  <c r="R103" i="9"/>
  <c r="R104" i="9"/>
  <c r="R105" i="9"/>
  <c r="R106" i="9"/>
  <c r="R107" i="9"/>
  <c r="R108" i="9"/>
  <c r="R109" i="9"/>
  <c r="R110" i="9"/>
  <c r="R111" i="9"/>
  <c r="R112" i="9"/>
  <c r="R113" i="9"/>
  <c r="R114" i="9"/>
  <c r="R115" i="9"/>
  <c r="R116" i="9"/>
  <c r="R117" i="9"/>
  <c r="R118" i="9"/>
  <c r="R119" i="9"/>
  <c r="R120" i="9"/>
  <c r="R121" i="9"/>
  <c r="R122" i="9"/>
  <c r="R123" i="9"/>
  <c r="R124" i="9"/>
  <c r="R125" i="9"/>
  <c r="R126" i="9"/>
  <c r="R127" i="9"/>
  <c r="R128" i="9"/>
  <c r="R129" i="9"/>
  <c r="R130" i="9"/>
  <c r="R131" i="9"/>
  <c r="R132" i="9"/>
  <c r="R133" i="9"/>
  <c r="R134" i="9"/>
  <c r="R135" i="9"/>
  <c r="R136" i="9"/>
  <c r="R137" i="9"/>
  <c r="R138" i="9"/>
  <c r="R139" i="9"/>
  <c r="R140" i="9"/>
  <c r="R141" i="9"/>
  <c r="R142" i="9"/>
  <c r="R143" i="9"/>
  <c r="R144" i="9"/>
  <c r="R145" i="9"/>
  <c r="R146" i="9"/>
  <c r="R147" i="9"/>
  <c r="R148" i="9"/>
  <c r="R149" i="9"/>
  <c r="R150" i="9"/>
  <c r="R151" i="9"/>
  <c r="R152" i="9"/>
  <c r="R153" i="9"/>
  <c r="R154" i="9"/>
  <c r="R155" i="9"/>
  <c r="R156" i="9"/>
  <c r="R157" i="9"/>
  <c r="R158" i="9"/>
  <c r="R159" i="9"/>
  <c r="R160" i="9"/>
  <c r="R161" i="9"/>
  <c r="R162" i="9"/>
  <c r="R163" i="9"/>
  <c r="R164" i="9"/>
  <c r="R165" i="9"/>
  <c r="R166" i="9"/>
  <c r="R167" i="9"/>
  <c r="R168" i="9"/>
  <c r="R169" i="9"/>
  <c r="R170" i="9"/>
  <c r="R171" i="9"/>
  <c r="R172" i="9"/>
  <c r="R173" i="9"/>
  <c r="R174" i="9"/>
  <c r="R175" i="9"/>
  <c r="R176" i="9"/>
  <c r="R177" i="9"/>
  <c r="R178" i="9"/>
  <c r="R179" i="9"/>
  <c r="R180" i="9"/>
  <c r="R181" i="9"/>
  <c r="R182" i="9"/>
  <c r="R183" i="9"/>
  <c r="R184" i="9"/>
  <c r="R185" i="9"/>
  <c r="R186" i="9"/>
  <c r="R187" i="9"/>
  <c r="R188" i="9"/>
  <c r="R189" i="9"/>
  <c r="R190" i="9"/>
  <c r="R191" i="9"/>
  <c r="R192" i="9"/>
  <c r="R193" i="9"/>
  <c r="R194" i="9"/>
  <c r="R195" i="9"/>
  <c r="R196" i="9"/>
  <c r="R197" i="9"/>
  <c r="R198" i="9"/>
  <c r="R199" i="9"/>
  <c r="R200" i="9"/>
  <c r="R201" i="9"/>
  <c r="R202" i="9"/>
  <c r="R203" i="9"/>
  <c r="R204" i="9"/>
  <c r="R205" i="9"/>
  <c r="R206" i="9"/>
  <c r="R207" i="9"/>
  <c r="R208" i="9"/>
  <c r="R209" i="9"/>
  <c r="R210" i="9"/>
  <c r="R211" i="9"/>
  <c r="R212" i="9"/>
  <c r="R213" i="9"/>
  <c r="R214" i="9"/>
  <c r="R215" i="9"/>
  <c r="R216" i="9"/>
  <c r="R217" i="9"/>
  <c r="R218" i="9"/>
  <c r="R219" i="9"/>
  <c r="R220" i="9"/>
  <c r="R221" i="9"/>
  <c r="R222" i="9"/>
  <c r="R223" i="9"/>
  <c r="R224" i="9"/>
  <c r="R225" i="9"/>
  <c r="R226" i="9"/>
  <c r="R227" i="9"/>
  <c r="R228" i="9"/>
  <c r="R229" i="9"/>
  <c r="R230" i="9"/>
  <c r="R231" i="9"/>
  <c r="R232" i="9"/>
  <c r="R233" i="9"/>
  <c r="R234" i="9"/>
  <c r="R235" i="9"/>
  <c r="R236" i="9"/>
  <c r="R237" i="9"/>
  <c r="R238" i="9"/>
  <c r="R239" i="9"/>
  <c r="R240" i="9"/>
  <c r="R241" i="9"/>
  <c r="R242" i="9"/>
  <c r="R243" i="9"/>
  <c r="R244" i="9"/>
  <c r="R245" i="9"/>
  <c r="R246" i="9"/>
  <c r="R247" i="9"/>
  <c r="R248" i="9"/>
  <c r="R249" i="9"/>
  <c r="R250" i="9"/>
  <c r="R251" i="9"/>
  <c r="R252" i="9"/>
  <c r="R253" i="9"/>
  <c r="R254" i="9"/>
  <c r="R255" i="9"/>
  <c r="R256" i="9"/>
  <c r="R257" i="9"/>
  <c r="R258" i="9"/>
  <c r="R259" i="9"/>
  <c r="R260" i="9"/>
  <c r="R261" i="9"/>
  <c r="R262" i="9"/>
  <c r="R263" i="9"/>
  <c r="R264" i="9"/>
  <c r="R265" i="9"/>
  <c r="R266" i="9"/>
  <c r="R267" i="9"/>
  <c r="R268" i="9"/>
  <c r="R269" i="9"/>
  <c r="R270" i="9"/>
  <c r="R271" i="9"/>
  <c r="R272" i="9"/>
  <c r="R273" i="9"/>
  <c r="R274" i="9"/>
  <c r="R275" i="9"/>
  <c r="R276" i="9"/>
  <c r="R277" i="9"/>
  <c r="R278" i="9"/>
  <c r="R279" i="9"/>
  <c r="R280" i="9"/>
  <c r="R281" i="9"/>
  <c r="R282" i="9"/>
  <c r="R283" i="9"/>
  <c r="R284" i="9"/>
  <c r="R285" i="9"/>
  <c r="R286" i="9"/>
  <c r="R287" i="9"/>
  <c r="R288" i="9"/>
  <c r="R289" i="9"/>
  <c r="R290" i="9"/>
  <c r="R291" i="9"/>
  <c r="R292" i="9"/>
  <c r="R293" i="9"/>
  <c r="R294" i="9"/>
  <c r="R295" i="9"/>
  <c r="R296" i="9"/>
  <c r="R297" i="9"/>
  <c r="R298" i="9"/>
  <c r="R299" i="9"/>
  <c r="R300" i="9"/>
  <c r="R301" i="9"/>
  <c r="R302" i="9"/>
  <c r="R303" i="9"/>
  <c r="R304" i="9"/>
  <c r="R305" i="9"/>
  <c r="R306" i="9"/>
  <c r="R307" i="9"/>
  <c r="R308" i="9"/>
  <c r="R309" i="9"/>
  <c r="R310" i="9"/>
  <c r="R311" i="9"/>
  <c r="R312" i="9"/>
  <c r="R313" i="9"/>
  <c r="R314" i="9"/>
  <c r="R315" i="9"/>
  <c r="R316" i="9"/>
  <c r="R317" i="9"/>
  <c r="R318" i="9"/>
  <c r="R319" i="9"/>
  <c r="R320" i="9"/>
  <c r="R321" i="9"/>
  <c r="R322" i="9"/>
  <c r="R323" i="9"/>
  <c r="R324" i="9"/>
  <c r="R325" i="9"/>
  <c r="R326" i="9"/>
  <c r="R327" i="9"/>
  <c r="R328" i="9"/>
  <c r="R329" i="9"/>
  <c r="R330" i="9"/>
  <c r="R331" i="9"/>
  <c r="R332" i="9"/>
  <c r="R333" i="9"/>
  <c r="R334" i="9"/>
  <c r="R335" i="9"/>
  <c r="R336" i="9"/>
  <c r="R337" i="9"/>
  <c r="R338" i="9"/>
  <c r="R339" i="9"/>
  <c r="R340" i="9"/>
  <c r="R341" i="9"/>
  <c r="R342" i="9"/>
  <c r="R343" i="9"/>
  <c r="R344" i="9"/>
  <c r="R345" i="9"/>
  <c r="R346" i="9"/>
  <c r="R347" i="9"/>
  <c r="R348" i="9"/>
  <c r="R349" i="9"/>
  <c r="R350" i="9"/>
  <c r="R351" i="9"/>
  <c r="R352" i="9"/>
  <c r="R353" i="9"/>
  <c r="R354" i="9"/>
  <c r="R355" i="9"/>
  <c r="R356" i="9"/>
  <c r="R357" i="9"/>
  <c r="R358" i="9"/>
  <c r="R359" i="9"/>
  <c r="R360" i="9"/>
  <c r="R361" i="9"/>
  <c r="R362" i="9"/>
  <c r="R363" i="9"/>
  <c r="R364" i="9"/>
  <c r="R365" i="9"/>
  <c r="R366" i="9"/>
  <c r="R367" i="9"/>
  <c r="R368" i="9"/>
  <c r="R369" i="9"/>
  <c r="R370" i="9"/>
  <c r="R371" i="9"/>
  <c r="R372" i="9"/>
  <c r="R373" i="9"/>
  <c r="R374" i="9"/>
  <c r="R375" i="9"/>
  <c r="R376" i="9"/>
  <c r="R377" i="9"/>
  <c r="R378" i="9"/>
  <c r="R379" i="9"/>
  <c r="R380" i="9"/>
  <c r="R381" i="9"/>
  <c r="R382" i="9"/>
  <c r="R383" i="9"/>
  <c r="R384" i="9"/>
  <c r="R385" i="9"/>
  <c r="R386" i="9"/>
  <c r="R387" i="9"/>
  <c r="R388" i="9"/>
  <c r="R389" i="9"/>
  <c r="R390" i="9"/>
  <c r="R391" i="9"/>
  <c r="R392" i="9"/>
  <c r="R393" i="9"/>
  <c r="R394" i="9"/>
  <c r="R395" i="9"/>
  <c r="R396" i="9"/>
  <c r="R397" i="9"/>
  <c r="R398" i="9"/>
  <c r="R399" i="9"/>
  <c r="R400" i="9"/>
  <c r="R401" i="9"/>
  <c r="R402" i="9"/>
  <c r="R403" i="9"/>
  <c r="R404" i="9"/>
  <c r="R405" i="9"/>
  <c r="R406" i="9"/>
  <c r="R407" i="9"/>
  <c r="R408" i="9"/>
  <c r="R409" i="9"/>
  <c r="R410" i="9"/>
  <c r="R411" i="9"/>
  <c r="R412" i="9"/>
  <c r="R413" i="9"/>
  <c r="R414" i="9"/>
  <c r="R415" i="9"/>
  <c r="R416" i="9"/>
  <c r="R417" i="9"/>
  <c r="R418" i="9"/>
  <c r="R419" i="9"/>
  <c r="R420" i="9"/>
  <c r="R421" i="9"/>
  <c r="R422" i="9"/>
  <c r="R423" i="9"/>
  <c r="R424" i="9"/>
  <c r="R425" i="9"/>
  <c r="R426" i="9"/>
  <c r="R427" i="9"/>
  <c r="R428" i="9"/>
  <c r="R429" i="9"/>
  <c r="R430" i="9"/>
  <c r="R431" i="9"/>
  <c r="R432" i="9"/>
  <c r="R433" i="9"/>
  <c r="R434" i="9"/>
  <c r="R435" i="9"/>
  <c r="R436" i="9"/>
  <c r="R437" i="9"/>
  <c r="R438" i="9"/>
  <c r="R439" i="9"/>
  <c r="R440" i="9"/>
  <c r="R441" i="9"/>
  <c r="R442" i="9"/>
  <c r="R443" i="9"/>
  <c r="R444" i="9"/>
  <c r="R445" i="9"/>
  <c r="R446" i="9"/>
  <c r="R447" i="9"/>
  <c r="R448" i="9"/>
  <c r="R449" i="9"/>
  <c r="R450" i="9"/>
  <c r="R451" i="9"/>
  <c r="R452" i="9"/>
  <c r="R453" i="9"/>
  <c r="R454" i="9"/>
  <c r="R455" i="9"/>
  <c r="R456" i="9"/>
  <c r="R457" i="9"/>
  <c r="R458" i="9"/>
  <c r="R459" i="9"/>
  <c r="R460" i="9"/>
  <c r="R461" i="9"/>
  <c r="R462" i="9"/>
  <c r="R463" i="9"/>
  <c r="R464" i="9"/>
  <c r="R465" i="9"/>
  <c r="R466" i="9"/>
  <c r="R467" i="9"/>
  <c r="R468" i="9"/>
  <c r="R469" i="9"/>
  <c r="R470" i="9"/>
  <c r="R471" i="9"/>
  <c r="R472" i="9"/>
  <c r="R473" i="9"/>
  <c r="R474" i="9"/>
  <c r="R475" i="9"/>
  <c r="R476" i="9"/>
  <c r="R477" i="9"/>
  <c r="R478" i="9"/>
  <c r="R479" i="9"/>
  <c r="R480" i="9"/>
  <c r="R481" i="9"/>
  <c r="R482" i="9"/>
  <c r="R483" i="9"/>
  <c r="R484" i="9"/>
  <c r="R485" i="9"/>
  <c r="R486" i="9"/>
  <c r="R487" i="9"/>
  <c r="R488" i="9"/>
  <c r="R489" i="9"/>
  <c r="R490" i="9"/>
  <c r="R491" i="9"/>
  <c r="R492" i="9"/>
  <c r="R493" i="9"/>
  <c r="R494" i="9"/>
  <c r="R495" i="9"/>
  <c r="R496" i="9"/>
  <c r="R497" i="9"/>
  <c r="R498" i="9"/>
  <c r="R499" i="9"/>
  <c r="R500" i="9"/>
  <c r="R501" i="9"/>
  <c r="R502" i="9"/>
  <c r="R503" i="9"/>
  <c r="R504" i="9"/>
  <c r="R505" i="9"/>
  <c r="R506" i="9"/>
  <c r="R507" i="9"/>
  <c r="R508" i="9"/>
  <c r="R509" i="9"/>
  <c r="R510" i="9"/>
  <c r="R511" i="9"/>
  <c r="R512" i="9"/>
  <c r="R513" i="9"/>
  <c r="R514" i="9"/>
  <c r="R515" i="9"/>
  <c r="R516" i="9"/>
  <c r="R517" i="9"/>
  <c r="R518" i="9"/>
  <c r="R519" i="9"/>
  <c r="R520" i="9"/>
  <c r="R521" i="9"/>
  <c r="R522" i="9"/>
  <c r="R523" i="9"/>
  <c r="R524" i="9"/>
  <c r="R525" i="9"/>
  <c r="R526" i="9"/>
  <c r="R527" i="9"/>
  <c r="R528" i="9"/>
  <c r="R529" i="9"/>
  <c r="R530" i="9"/>
  <c r="R531" i="9"/>
  <c r="R532" i="9"/>
  <c r="R533" i="9"/>
  <c r="R534" i="9"/>
  <c r="R535" i="9"/>
  <c r="R536" i="9"/>
  <c r="R537" i="9"/>
  <c r="R538" i="9"/>
  <c r="R539" i="9"/>
  <c r="R540" i="9"/>
  <c r="R541" i="9"/>
  <c r="R542" i="9"/>
  <c r="R543" i="9"/>
  <c r="R544" i="9"/>
  <c r="R545" i="9"/>
  <c r="R546" i="9"/>
  <c r="R547" i="9"/>
  <c r="R548" i="9"/>
  <c r="R549" i="9"/>
  <c r="R550" i="9"/>
  <c r="R551" i="9"/>
  <c r="R552" i="9"/>
  <c r="R553" i="9"/>
  <c r="R554" i="9"/>
  <c r="R555" i="9"/>
  <c r="R556" i="9"/>
  <c r="R557" i="9"/>
  <c r="R558" i="9"/>
  <c r="R559" i="9"/>
  <c r="R560" i="9"/>
  <c r="R561" i="9"/>
  <c r="R562" i="9"/>
  <c r="R563" i="9"/>
  <c r="R564" i="9"/>
  <c r="R565" i="9"/>
  <c r="R566" i="9"/>
  <c r="R567" i="9"/>
  <c r="R568" i="9"/>
  <c r="R569" i="9"/>
  <c r="R570" i="9"/>
  <c r="R571" i="9"/>
  <c r="R572" i="9"/>
  <c r="R573" i="9"/>
  <c r="R574" i="9"/>
  <c r="R575" i="9"/>
  <c r="R576" i="9"/>
  <c r="R577" i="9"/>
  <c r="R578" i="9"/>
  <c r="R579" i="9"/>
  <c r="R580" i="9"/>
  <c r="R581" i="9"/>
  <c r="R582" i="9"/>
  <c r="R583" i="9"/>
  <c r="R584" i="9"/>
  <c r="R585" i="9"/>
  <c r="R586" i="9"/>
  <c r="R587" i="9"/>
  <c r="R588" i="9"/>
  <c r="R589" i="9"/>
  <c r="R590" i="9"/>
  <c r="R591" i="9"/>
  <c r="R592" i="9"/>
  <c r="R593" i="9"/>
  <c r="R594" i="9"/>
  <c r="R595" i="9"/>
  <c r="R596" i="9"/>
  <c r="R597" i="9"/>
  <c r="R598" i="9"/>
  <c r="R599" i="9"/>
  <c r="R600" i="9"/>
  <c r="R601" i="9"/>
  <c r="R602" i="9"/>
  <c r="R603" i="9"/>
  <c r="R604" i="9"/>
  <c r="R605" i="9"/>
  <c r="R606" i="9"/>
  <c r="R607" i="9"/>
  <c r="R608" i="9"/>
  <c r="R609" i="9"/>
  <c r="R610" i="9"/>
  <c r="R611" i="9"/>
  <c r="R612" i="9"/>
  <c r="R613" i="9"/>
  <c r="R614" i="9"/>
  <c r="R615" i="9"/>
  <c r="R616" i="9"/>
  <c r="R617" i="9"/>
  <c r="R618" i="9"/>
  <c r="R619" i="9"/>
  <c r="R620" i="9"/>
  <c r="R621" i="9"/>
  <c r="R622" i="9"/>
  <c r="R623" i="9"/>
  <c r="R624" i="9"/>
  <c r="R625" i="9"/>
  <c r="R626" i="9"/>
  <c r="R627" i="9"/>
  <c r="R628" i="9"/>
  <c r="R629" i="9"/>
  <c r="R630" i="9"/>
  <c r="R631" i="9"/>
  <c r="R632" i="9"/>
  <c r="R633" i="9"/>
  <c r="R634" i="9"/>
  <c r="R635" i="9"/>
  <c r="R636" i="9"/>
  <c r="R637" i="9"/>
  <c r="R638" i="9"/>
  <c r="R639" i="9"/>
  <c r="R640" i="9"/>
  <c r="R641" i="9"/>
  <c r="R642" i="9"/>
  <c r="R643" i="9"/>
  <c r="R644" i="9"/>
  <c r="R645" i="9"/>
  <c r="R646" i="9"/>
  <c r="R647" i="9"/>
  <c r="R648" i="9"/>
  <c r="R649" i="9"/>
  <c r="R650" i="9"/>
  <c r="R651" i="9"/>
  <c r="R652" i="9"/>
  <c r="R653" i="9"/>
  <c r="R654" i="9"/>
  <c r="R655" i="9"/>
  <c r="R656" i="9"/>
  <c r="R657" i="9"/>
  <c r="R658" i="9"/>
  <c r="R659" i="9"/>
  <c r="R660" i="9"/>
  <c r="R661" i="9"/>
  <c r="R662" i="9"/>
  <c r="R663" i="9"/>
  <c r="R664" i="9"/>
  <c r="R665" i="9"/>
  <c r="R666" i="9"/>
  <c r="R667" i="9"/>
  <c r="R668" i="9"/>
  <c r="R669" i="9"/>
  <c r="R670" i="9"/>
  <c r="R671" i="9"/>
  <c r="R672" i="9"/>
  <c r="R673" i="9"/>
  <c r="R674" i="9"/>
  <c r="R675" i="9"/>
  <c r="R676" i="9"/>
  <c r="R677" i="9"/>
  <c r="R678" i="9"/>
  <c r="R679" i="9"/>
  <c r="R680" i="9"/>
  <c r="R681" i="9"/>
  <c r="R682" i="9"/>
  <c r="R683" i="9"/>
  <c r="R684" i="9"/>
  <c r="R685" i="9"/>
  <c r="R686" i="9"/>
  <c r="R687" i="9"/>
  <c r="R688" i="9"/>
  <c r="R689" i="9"/>
  <c r="R690" i="9"/>
  <c r="R691" i="9"/>
  <c r="R692" i="9"/>
  <c r="R693" i="9"/>
  <c r="R694" i="9"/>
  <c r="R695" i="9"/>
  <c r="R696" i="9"/>
  <c r="R697" i="9"/>
  <c r="R698" i="9"/>
  <c r="R699" i="9"/>
  <c r="R700" i="9"/>
  <c r="R701" i="9"/>
  <c r="R702" i="9"/>
  <c r="R703" i="9"/>
  <c r="R704" i="9"/>
  <c r="R705" i="9"/>
  <c r="R706" i="9"/>
  <c r="R707" i="9"/>
  <c r="R708" i="9"/>
  <c r="R709" i="9"/>
  <c r="R710" i="9"/>
  <c r="R711" i="9"/>
  <c r="R712" i="9"/>
  <c r="R713" i="9"/>
  <c r="R714" i="9"/>
  <c r="R715" i="9"/>
  <c r="R716" i="9"/>
  <c r="R717" i="9"/>
  <c r="R718" i="9"/>
  <c r="R719" i="9"/>
  <c r="R720" i="9"/>
  <c r="R721" i="9"/>
  <c r="R722" i="9"/>
  <c r="R723" i="9"/>
  <c r="R724" i="9"/>
  <c r="R725" i="9"/>
  <c r="R726" i="9"/>
  <c r="R727" i="9"/>
  <c r="R728" i="9"/>
  <c r="R729" i="9"/>
  <c r="R730" i="9"/>
  <c r="R731" i="9"/>
  <c r="R732" i="9"/>
  <c r="R733" i="9"/>
  <c r="R734" i="9"/>
  <c r="R735" i="9"/>
  <c r="R736" i="9"/>
  <c r="R737" i="9"/>
  <c r="R738" i="9"/>
  <c r="R739" i="9"/>
  <c r="R740" i="9"/>
  <c r="R741" i="9"/>
  <c r="R742" i="9"/>
  <c r="R743" i="9"/>
  <c r="R744" i="9"/>
  <c r="R745" i="9"/>
  <c r="R746" i="9"/>
  <c r="R747" i="9"/>
  <c r="R748" i="9"/>
  <c r="R749" i="9"/>
  <c r="R750" i="9"/>
  <c r="R751" i="9"/>
  <c r="R752" i="9"/>
  <c r="R753" i="9"/>
  <c r="R754" i="9"/>
  <c r="R755" i="9"/>
  <c r="R756" i="9"/>
  <c r="R757" i="9"/>
  <c r="R758" i="9"/>
  <c r="R759" i="9"/>
  <c r="R760" i="9"/>
  <c r="R761" i="9"/>
  <c r="R762" i="9"/>
  <c r="R763" i="9"/>
  <c r="R764" i="9"/>
  <c r="R765" i="9"/>
  <c r="R766" i="9"/>
  <c r="R767" i="9"/>
  <c r="R768" i="9"/>
  <c r="R769" i="9"/>
  <c r="R770" i="9"/>
  <c r="R771" i="9"/>
  <c r="R772" i="9"/>
  <c r="R773" i="9"/>
  <c r="R774" i="9"/>
  <c r="R775" i="9"/>
  <c r="R776" i="9"/>
  <c r="R777" i="9"/>
  <c r="R778" i="9"/>
  <c r="R779" i="9"/>
  <c r="R780" i="9"/>
  <c r="R781" i="9"/>
  <c r="R782" i="9"/>
  <c r="R783" i="9"/>
  <c r="R784" i="9"/>
  <c r="R785" i="9"/>
  <c r="R786" i="9"/>
  <c r="R787" i="9"/>
  <c r="R788" i="9"/>
  <c r="R789" i="9"/>
  <c r="R790" i="9"/>
  <c r="R791" i="9"/>
  <c r="R792" i="9"/>
  <c r="R793" i="9"/>
  <c r="R794" i="9"/>
  <c r="R795" i="9"/>
  <c r="R796" i="9"/>
  <c r="R797" i="9"/>
  <c r="R798" i="9"/>
  <c r="R799" i="9"/>
  <c r="R800" i="9"/>
  <c r="R801" i="9"/>
  <c r="R802" i="9"/>
  <c r="R803" i="9"/>
  <c r="R804" i="9"/>
  <c r="R805" i="9"/>
  <c r="R806" i="9"/>
  <c r="R807" i="9"/>
  <c r="R808" i="9"/>
  <c r="R809" i="9"/>
  <c r="R810" i="9"/>
  <c r="R811" i="9"/>
  <c r="R812" i="9"/>
  <c r="R813" i="9"/>
  <c r="R814" i="9"/>
  <c r="R815" i="9"/>
  <c r="R816" i="9"/>
  <c r="R817" i="9"/>
  <c r="R818" i="9"/>
  <c r="R819" i="9"/>
  <c r="R820" i="9"/>
  <c r="R821" i="9"/>
  <c r="R822" i="9"/>
  <c r="R823" i="9"/>
  <c r="R824" i="9"/>
  <c r="R825" i="9"/>
  <c r="R826" i="9"/>
  <c r="R827" i="9"/>
  <c r="R828" i="9"/>
  <c r="R829" i="9"/>
  <c r="R830" i="9"/>
  <c r="R831" i="9"/>
  <c r="R832" i="9"/>
  <c r="R833" i="9"/>
  <c r="R834" i="9"/>
  <c r="R835" i="9"/>
  <c r="R836" i="9"/>
  <c r="R837" i="9"/>
  <c r="R838" i="9"/>
  <c r="R839" i="9"/>
  <c r="R840" i="9"/>
  <c r="R841" i="9"/>
  <c r="R842" i="9"/>
  <c r="R843" i="9"/>
  <c r="R844" i="9"/>
  <c r="R845" i="9"/>
  <c r="R846" i="9"/>
  <c r="R847" i="9"/>
  <c r="R848" i="9"/>
  <c r="R849" i="9"/>
  <c r="R850" i="9"/>
  <c r="R851" i="9"/>
  <c r="R852" i="9"/>
  <c r="R853" i="9"/>
  <c r="R854" i="9"/>
  <c r="R855" i="9"/>
  <c r="R856" i="9"/>
  <c r="R857" i="9"/>
  <c r="R858" i="9"/>
  <c r="R859" i="9"/>
  <c r="R860" i="9"/>
  <c r="R861" i="9"/>
  <c r="R862" i="9"/>
  <c r="R863" i="9"/>
  <c r="R864" i="9"/>
  <c r="R865" i="9"/>
  <c r="R866" i="9"/>
  <c r="R867" i="9"/>
  <c r="R868" i="9"/>
  <c r="R869" i="9"/>
  <c r="R870" i="9"/>
  <c r="R871" i="9"/>
  <c r="R872" i="9"/>
  <c r="R873" i="9"/>
  <c r="R874" i="9"/>
  <c r="R875" i="9"/>
  <c r="R876" i="9"/>
  <c r="R877" i="9"/>
  <c r="R878" i="9"/>
  <c r="R879" i="9"/>
  <c r="R880" i="9"/>
  <c r="R881" i="9"/>
  <c r="R882" i="9"/>
  <c r="R883" i="9"/>
  <c r="R884" i="9"/>
  <c r="R885" i="9"/>
  <c r="R886" i="9"/>
  <c r="R887" i="9"/>
  <c r="R888" i="9"/>
  <c r="R889" i="9"/>
  <c r="R890" i="9"/>
  <c r="R891" i="9"/>
  <c r="R892" i="9"/>
  <c r="R893" i="9"/>
  <c r="R894" i="9"/>
  <c r="R895" i="9"/>
  <c r="R896" i="9"/>
  <c r="R897" i="9"/>
  <c r="R898" i="9"/>
  <c r="R899" i="9"/>
  <c r="R900" i="9"/>
  <c r="R901" i="9"/>
  <c r="R902" i="9"/>
  <c r="R903" i="9"/>
  <c r="R904" i="9"/>
  <c r="R905" i="9"/>
  <c r="R906" i="9"/>
  <c r="R907" i="9"/>
  <c r="R908" i="9"/>
  <c r="R909" i="9"/>
  <c r="R910" i="9"/>
  <c r="R911" i="9"/>
  <c r="R912" i="9"/>
  <c r="R913" i="9"/>
  <c r="R914" i="9"/>
  <c r="R915" i="9"/>
  <c r="R916" i="9"/>
  <c r="R917" i="9"/>
  <c r="R918" i="9"/>
  <c r="R919" i="9"/>
  <c r="R920" i="9"/>
  <c r="R921" i="9"/>
  <c r="R922" i="9"/>
  <c r="R923" i="9"/>
  <c r="R924" i="9"/>
  <c r="R925" i="9"/>
  <c r="R926" i="9"/>
  <c r="R927" i="9"/>
  <c r="R928" i="9"/>
  <c r="R929" i="9"/>
  <c r="R930" i="9"/>
  <c r="R931" i="9"/>
  <c r="R932" i="9"/>
  <c r="R933" i="9"/>
  <c r="R934" i="9"/>
  <c r="R935" i="9"/>
  <c r="R936" i="9"/>
  <c r="R937" i="9"/>
  <c r="R938" i="9"/>
  <c r="R939" i="9"/>
  <c r="R940" i="9"/>
  <c r="R941" i="9"/>
  <c r="R942" i="9"/>
  <c r="R943" i="9"/>
  <c r="R944" i="9"/>
  <c r="R945" i="9"/>
  <c r="R946" i="9"/>
  <c r="R947" i="9"/>
  <c r="R948" i="9"/>
  <c r="R949" i="9"/>
  <c r="R950" i="9"/>
  <c r="R951" i="9"/>
  <c r="R952" i="9"/>
  <c r="R953" i="9"/>
  <c r="R954" i="9"/>
  <c r="R955" i="9"/>
  <c r="R956" i="9"/>
  <c r="R957" i="9"/>
  <c r="R958" i="9"/>
  <c r="R959" i="9"/>
  <c r="R960" i="9"/>
  <c r="R961" i="9"/>
  <c r="R962" i="9"/>
  <c r="R963" i="9"/>
  <c r="R964" i="9"/>
  <c r="R965" i="9"/>
  <c r="R966" i="9"/>
  <c r="R967" i="9"/>
  <c r="R968" i="9"/>
  <c r="R969" i="9"/>
  <c r="R970" i="9"/>
  <c r="R971" i="9"/>
  <c r="R972" i="9"/>
  <c r="R973" i="9"/>
  <c r="R974" i="9"/>
  <c r="R975" i="9"/>
  <c r="R976" i="9"/>
  <c r="R977" i="9"/>
  <c r="R978" i="9"/>
  <c r="R979" i="9"/>
  <c r="R980" i="9"/>
  <c r="R981" i="9"/>
  <c r="R982" i="9"/>
  <c r="R983" i="9"/>
  <c r="R984" i="9"/>
  <c r="R985" i="9"/>
  <c r="R986" i="9"/>
  <c r="R987" i="9"/>
  <c r="R988" i="9"/>
  <c r="R989" i="9"/>
  <c r="R990" i="9"/>
  <c r="R991" i="9"/>
  <c r="R992" i="9"/>
  <c r="R993" i="9"/>
  <c r="R994" i="9"/>
  <c r="R995" i="9"/>
  <c r="R996" i="9"/>
  <c r="R997" i="9"/>
  <c r="R998" i="9"/>
  <c r="R999" i="9"/>
  <c r="R1000" i="9"/>
  <c r="R1001" i="9"/>
  <c r="R1002" i="9"/>
  <c r="R1003" i="9"/>
  <c r="R1004" i="9"/>
  <c r="R1005" i="9"/>
  <c r="R1006" i="9"/>
  <c r="R1007" i="9"/>
  <c r="R1008" i="9"/>
  <c r="R1009" i="9"/>
  <c r="R1010" i="9"/>
  <c r="R1011" i="9"/>
  <c r="R1012" i="9"/>
  <c r="R1013" i="9"/>
  <c r="R1014" i="9"/>
  <c r="R1015" i="9"/>
  <c r="R1016" i="9"/>
  <c r="R1017" i="9"/>
  <c r="R1018" i="9"/>
  <c r="R1019" i="9"/>
  <c r="R1020" i="9"/>
  <c r="R1021" i="9"/>
  <c r="R1022" i="9"/>
  <c r="R1023" i="9"/>
  <c r="R1024" i="9"/>
  <c r="R1025" i="9"/>
  <c r="R1026" i="9"/>
  <c r="R1027" i="9"/>
  <c r="R1028" i="9"/>
  <c r="R1029" i="9"/>
  <c r="R1030" i="9"/>
  <c r="R1031" i="9"/>
  <c r="R1032" i="9"/>
  <c r="R1033" i="9"/>
  <c r="R1034" i="9"/>
  <c r="R1035" i="9"/>
  <c r="R1036" i="9"/>
  <c r="R1037" i="9"/>
  <c r="R1038" i="9"/>
  <c r="R1039" i="9"/>
  <c r="R1040" i="9"/>
  <c r="R1041" i="9"/>
  <c r="R1042" i="9"/>
  <c r="R1043" i="9"/>
  <c r="R1044" i="9"/>
  <c r="R1045" i="9"/>
  <c r="R1046" i="9"/>
  <c r="R1047" i="9"/>
  <c r="R1048" i="9"/>
  <c r="R1049" i="9"/>
  <c r="R1050" i="9"/>
  <c r="R1051" i="9"/>
  <c r="R1052" i="9"/>
  <c r="R1053" i="9"/>
  <c r="R1054" i="9"/>
  <c r="R1055" i="9"/>
  <c r="R1056" i="9"/>
  <c r="R1057" i="9"/>
  <c r="R1058" i="9"/>
  <c r="R1059" i="9"/>
  <c r="R1060" i="9"/>
  <c r="R1061" i="9"/>
  <c r="R1062" i="9"/>
  <c r="R1063" i="9"/>
  <c r="R1064" i="9"/>
  <c r="R1065" i="9"/>
  <c r="R1066" i="9"/>
  <c r="R1067" i="9"/>
  <c r="R1068" i="9"/>
  <c r="R1069" i="9"/>
  <c r="R1070" i="9"/>
  <c r="R1071" i="9"/>
  <c r="R1072" i="9"/>
  <c r="R1073" i="9"/>
  <c r="R1074" i="9"/>
  <c r="R1075" i="9"/>
  <c r="R1076" i="9"/>
  <c r="R1077" i="9"/>
  <c r="R1078" i="9"/>
  <c r="R1079" i="9"/>
  <c r="R1080" i="9"/>
  <c r="R1081" i="9"/>
  <c r="R1082" i="9"/>
  <c r="R1083" i="9"/>
  <c r="R1084" i="9"/>
  <c r="R1085" i="9"/>
  <c r="R1086" i="9"/>
  <c r="R1087" i="9"/>
  <c r="R1088" i="9"/>
  <c r="R1089" i="9"/>
  <c r="R1090" i="9"/>
  <c r="R1091" i="9"/>
  <c r="R1092" i="9"/>
  <c r="R1093" i="9"/>
  <c r="R1094" i="9"/>
  <c r="R1095" i="9"/>
  <c r="R1096" i="9"/>
  <c r="R1097" i="9"/>
  <c r="R1098" i="9"/>
  <c r="R1099" i="9"/>
  <c r="R1100" i="9"/>
  <c r="R1101" i="9"/>
  <c r="R1102" i="9"/>
  <c r="R1103" i="9"/>
  <c r="R1104" i="9"/>
  <c r="R1105" i="9"/>
  <c r="R1106" i="9"/>
  <c r="R1107" i="9"/>
  <c r="R1108" i="9"/>
  <c r="R1109" i="9"/>
  <c r="R1110" i="9"/>
  <c r="R1111" i="9"/>
  <c r="R1112" i="9"/>
  <c r="R1113" i="9"/>
  <c r="R1114" i="9"/>
  <c r="R1115" i="9"/>
  <c r="R1116" i="9"/>
  <c r="R1117" i="9"/>
  <c r="R1118" i="9"/>
  <c r="R1119" i="9"/>
  <c r="R1120" i="9"/>
  <c r="R1121" i="9"/>
  <c r="R1122" i="9"/>
  <c r="R1123" i="9"/>
  <c r="R1124" i="9"/>
  <c r="R1125" i="9"/>
  <c r="R1126" i="9"/>
  <c r="R1127" i="9"/>
  <c r="R1128" i="9"/>
  <c r="R1129" i="9"/>
  <c r="R1130" i="9"/>
  <c r="R1131" i="9"/>
  <c r="R1132" i="9"/>
  <c r="R1133" i="9"/>
  <c r="R1134" i="9"/>
  <c r="R1135" i="9"/>
  <c r="R1136" i="9"/>
  <c r="R1137" i="9"/>
  <c r="R1138" i="9"/>
  <c r="R1139" i="9"/>
  <c r="R1140" i="9"/>
  <c r="R1141" i="9"/>
  <c r="R1142" i="9"/>
  <c r="R1143" i="9"/>
  <c r="R1144" i="9"/>
  <c r="R1145" i="9"/>
  <c r="R1146" i="9"/>
  <c r="R1147" i="9"/>
  <c r="R1148" i="9"/>
  <c r="R1149" i="9"/>
  <c r="R1150" i="9"/>
  <c r="R1151" i="9"/>
  <c r="R1152" i="9"/>
  <c r="R1153" i="9"/>
  <c r="R1154" i="9"/>
  <c r="R1155" i="9"/>
  <c r="R1156" i="9"/>
  <c r="R1157" i="9"/>
  <c r="R1158" i="9"/>
  <c r="R1159" i="9"/>
  <c r="R1160" i="9"/>
  <c r="R1161" i="9"/>
  <c r="R1162" i="9"/>
  <c r="R1163" i="9"/>
  <c r="R1164" i="9"/>
  <c r="R1165" i="9"/>
  <c r="R1166" i="9"/>
  <c r="R1167" i="9"/>
  <c r="R1168" i="9"/>
  <c r="R1169" i="9"/>
  <c r="R1170" i="9"/>
  <c r="R1171" i="9"/>
  <c r="R1172" i="9"/>
  <c r="R1173" i="9"/>
  <c r="R1174" i="9"/>
  <c r="R1175" i="9"/>
  <c r="R1176" i="9"/>
  <c r="R1177" i="9"/>
  <c r="R1178" i="9"/>
  <c r="R1179" i="9"/>
  <c r="R1180" i="9"/>
  <c r="R1181" i="9"/>
  <c r="R1182" i="9"/>
  <c r="R1183" i="9"/>
  <c r="R1184" i="9"/>
  <c r="R1185" i="9"/>
  <c r="R1186" i="9"/>
  <c r="R1187" i="9"/>
  <c r="R1188" i="9"/>
  <c r="R1189" i="9"/>
  <c r="R1190" i="9"/>
  <c r="R1191" i="9"/>
  <c r="R1192" i="9"/>
  <c r="R1193" i="9"/>
  <c r="R1194" i="9"/>
  <c r="R1195" i="9"/>
  <c r="R1196" i="9"/>
  <c r="R1197" i="9"/>
  <c r="R1198" i="9"/>
  <c r="R1199" i="9"/>
  <c r="R1200" i="9"/>
  <c r="R1201" i="9"/>
  <c r="R1202" i="9"/>
  <c r="R1203" i="9"/>
  <c r="R1204" i="9"/>
  <c r="R1205" i="9"/>
  <c r="R1206" i="9"/>
  <c r="R1207" i="9"/>
  <c r="R1208" i="9"/>
  <c r="R1209" i="9"/>
  <c r="R1210" i="9"/>
  <c r="R1211" i="9"/>
  <c r="R1212" i="9"/>
  <c r="R1213" i="9"/>
  <c r="R1214" i="9"/>
  <c r="R1215" i="9"/>
  <c r="R1216" i="9"/>
  <c r="R1217" i="9"/>
  <c r="R1218" i="9"/>
  <c r="R1219" i="9"/>
  <c r="R1220" i="9"/>
  <c r="R1221" i="9"/>
  <c r="R1222" i="9"/>
  <c r="R1223" i="9"/>
  <c r="R1224" i="9"/>
  <c r="R1225" i="9"/>
  <c r="R1226" i="9"/>
  <c r="R1227" i="9"/>
  <c r="R1228" i="9"/>
  <c r="R1229" i="9"/>
  <c r="R1230" i="9"/>
  <c r="R1231" i="9"/>
  <c r="R1232" i="9"/>
  <c r="R1233" i="9"/>
  <c r="R1234" i="9"/>
  <c r="R1235" i="9"/>
  <c r="R1236" i="9"/>
  <c r="R1237" i="9"/>
  <c r="R1238" i="9"/>
  <c r="R1239" i="9"/>
  <c r="R1240" i="9"/>
  <c r="R1241" i="9"/>
  <c r="R1242" i="9"/>
  <c r="R1243" i="9"/>
  <c r="R1244" i="9"/>
  <c r="R1245" i="9"/>
  <c r="R1246" i="9"/>
  <c r="R1247" i="9"/>
  <c r="R1248" i="9"/>
  <c r="R1249" i="9"/>
  <c r="R1250" i="9"/>
  <c r="R1251" i="9"/>
  <c r="R1252" i="9"/>
  <c r="R1253" i="9"/>
  <c r="R1254" i="9"/>
  <c r="R1255" i="9"/>
  <c r="R1256" i="9"/>
  <c r="R1257" i="9"/>
  <c r="R1258" i="9"/>
  <c r="R1259" i="9"/>
  <c r="R1260" i="9"/>
  <c r="R1261" i="9"/>
  <c r="R1262" i="9"/>
  <c r="R1263" i="9"/>
  <c r="R1264" i="9"/>
  <c r="R1265" i="9"/>
  <c r="R1266" i="9"/>
  <c r="R1267" i="9"/>
  <c r="R1268" i="9"/>
  <c r="R1269" i="9"/>
  <c r="R1270" i="9"/>
  <c r="R1271" i="9"/>
  <c r="R1272" i="9"/>
  <c r="R1273" i="9"/>
  <c r="R1274" i="9"/>
  <c r="R1275" i="9"/>
  <c r="R1276" i="9"/>
  <c r="R1277" i="9"/>
  <c r="R1278" i="9"/>
  <c r="R1279" i="9"/>
  <c r="R1280" i="9"/>
  <c r="R1281" i="9"/>
  <c r="R1282" i="9"/>
  <c r="R1283" i="9"/>
  <c r="R1284" i="9"/>
  <c r="R1285" i="9"/>
  <c r="R1286" i="9"/>
  <c r="R1287" i="9"/>
  <c r="R1288" i="9"/>
  <c r="R1289" i="9"/>
  <c r="R1290" i="9"/>
  <c r="R1291" i="9"/>
  <c r="R1292" i="9"/>
  <c r="R1293" i="9"/>
  <c r="R1294" i="9"/>
  <c r="R1295" i="9"/>
  <c r="R1296" i="9"/>
  <c r="R1297" i="9"/>
  <c r="R1298" i="9"/>
  <c r="R1299" i="9"/>
  <c r="R1300" i="9"/>
  <c r="R1301" i="9"/>
  <c r="R1302" i="9"/>
  <c r="R1303" i="9"/>
  <c r="R1304" i="9"/>
  <c r="R1305" i="9"/>
  <c r="R1306" i="9"/>
  <c r="R1307" i="9"/>
  <c r="R1308" i="9"/>
  <c r="R1309" i="9"/>
  <c r="R1310" i="9"/>
  <c r="R1311" i="9"/>
  <c r="R1312" i="9"/>
  <c r="R1313" i="9"/>
  <c r="R1314" i="9"/>
  <c r="R1315" i="9"/>
  <c r="R1316" i="9"/>
  <c r="R1317" i="9"/>
  <c r="R1318" i="9"/>
  <c r="R1319" i="9"/>
  <c r="R1320" i="9"/>
  <c r="R1321" i="9"/>
  <c r="R1322" i="9"/>
  <c r="R1323" i="9"/>
  <c r="R1324" i="9"/>
  <c r="R1325" i="9"/>
  <c r="R1326" i="9"/>
  <c r="R1327" i="9"/>
  <c r="R1328" i="9"/>
  <c r="R1329" i="9"/>
  <c r="R1330" i="9"/>
  <c r="R1331" i="9"/>
  <c r="R1332" i="9"/>
  <c r="R1333" i="9"/>
  <c r="R1334" i="9"/>
  <c r="R1335" i="9"/>
  <c r="R1336" i="9"/>
  <c r="R1337" i="9"/>
  <c r="R1338" i="9"/>
  <c r="R1339" i="9"/>
  <c r="R1340" i="9"/>
  <c r="R1341" i="9"/>
  <c r="R1342" i="9"/>
  <c r="R1343" i="9"/>
  <c r="R1344" i="9"/>
  <c r="R1345" i="9"/>
  <c r="R1346" i="9"/>
  <c r="R1347" i="9"/>
  <c r="R1348" i="9"/>
  <c r="R1349" i="9"/>
  <c r="R1350" i="9"/>
  <c r="R1351" i="9"/>
  <c r="R1352" i="9"/>
  <c r="R1353" i="9"/>
  <c r="R1354" i="9"/>
  <c r="R1355" i="9"/>
  <c r="R1356" i="9"/>
  <c r="R1357" i="9"/>
  <c r="R1358" i="9"/>
  <c r="R1359" i="9"/>
  <c r="R1360" i="9"/>
  <c r="R1361" i="9"/>
  <c r="R1362" i="9"/>
  <c r="R1363" i="9"/>
  <c r="R1364" i="9"/>
  <c r="R1365" i="9"/>
  <c r="R1366" i="9"/>
  <c r="R1367" i="9"/>
  <c r="R1368" i="9"/>
  <c r="R1369" i="9"/>
  <c r="R1370" i="9"/>
  <c r="R1371" i="9"/>
  <c r="R1372" i="9"/>
  <c r="R1373" i="9"/>
  <c r="R1374" i="9"/>
  <c r="R1375" i="9"/>
  <c r="R1376" i="9"/>
  <c r="R1377" i="9"/>
  <c r="R1378" i="9"/>
  <c r="R1379" i="9"/>
  <c r="R1380" i="9"/>
  <c r="R1381" i="9"/>
  <c r="R1382" i="9"/>
  <c r="R1383" i="9"/>
  <c r="R1384" i="9"/>
  <c r="R1385" i="9"/>
  <c r="R1386" i="9"/>
  <c r="R1387" i="9"/>
  <c r="R1388" i="9"/>
  <c r="R1389" i="9"/>
  <c r="R1390" i="9"/>
  <c r="R1391" i="9"/>
  <c r="R1392" i="9"/>
  <c r="R1393" i="9"/>
  <c r="R1394" i="9"/>
  <c r="R1395" i="9"/>
  <c r="R1396" i="9"/>
  <c r="R1397" i="9"/>
  <c r="R1398" i="9"/>
  <c r="R1399" i="9"/>
  <c r="R1400" i="9"/>
  <c r="R1401" i="9"/>
  <c r="R1402" i="9"/>
  <c r="R1403" i="9"/>
  <c r="R1404" i="9"/>
  <c r="R1405" i="9"/>
  <c r="R1406" i="9"/>
  <c r="R1407" i="9"/>
  <c r="R1408" i="9"/>
  <c r="R1409" i="9"/>
  <c r="R1410" i="9"/>
  <c r="R1411" i="9"/>
  <c r="R1412" i="9"/>
  <c r="R1413" i="9"/>
  <c r="R1414" i="9"/>
  <c r="R1415" i="9"/>
  <c r="R1416" i="9"/>
  <c r="R1417" i="9"/>
  <c r="R1418" i="9"/>
  <c r="R1419" i="9"/>
  <c r="R1420" i="9"/>
  <c r="R1421" i="9"/>
  <c r="R1422" i="9"/>
  <c r="R1423" i="9"/>
  <c r="R1424" i="9"/>
  <c r="R1425" i="9"/>
  <c r="R1426" i="9"/>
  <c r="R1427" i="9"/>
  <c r="R1428" i="9"/>
  <c r="R1429" i="9"/>
  <c r="R1430" i="9"/>
  <c r="R1431" i="9"/>
  <c r="R1432" i="9"/>
  <c r="R1433" i="9"/>
  <c r="R1434" i="9"/>
  <c r="R1435" i="9"/>
  <c r="R1436" i="9"/>
  <c r="R1437" i="9"/>
  <c r="R1438" i="9"/>
  <c r="R1439" i="9"/>
  <c r="R1440" i="9"/>
  <c r="R1441" i="9"/>
  <c r="R1442" i="9"/>
  <c r="R1443" i="9"/>
  <c r="R1444" i="9"/>
  <c r="R1445" i="9"/>
  <c r="R1446" i="9"/>
  <c r="R1447" i="9"/>
  <c r="R1448" i="9"/>
  <c r="R1449" i="9"/>
  <c r="R1450" i="9"/>
  <c r="R1451" i="9"/>
  <c r="R1452" i="9"/>
  <c r="R1453" i="9"/>
  <c r="R1454" i="9"/>
  <c r="R1455" i="9"/>
  <c r="R1456" i="9"/>
  <c r="R1457" i="9"/>
  <c r="R1458" i="9"/>
  <c r="R1459" i="9"/>
  <c r="R1460" i="9"/>
  <c r="R1461" i="9"/>
  <c r="R1462" i="9"/>
  <c r="R1463" i="9"/>
  <c r="R1464" i="9"/>
  <c r="R1465" i="9"/>
  <c r="R1466" i="9"/>
  <c r="R1467" i="9"/>
  <c r="R1468" i="9"/>
  <c r="R1469" i="9"/>
  <c r="R1470" i="9"/>
  <c r="R1471" i="9"/>
  <c r="R1472" i="9"/>
  <c r="R1473" i="9"/>
  <c r="R1474" i="9"/>
  <c r="R1475" i="9"/>
  <c r="R1476" i="9"/>
  <c r="R1477" i="9"/>
  <c r="R1478" i="9"/>
  <c r="R1479" i="9"/>
  <c r="R1480" i="9"/>
  <c r="R1481" i="9"/>
  <c r="R1482" i="9"/>
  <c r="R1483" i="9"/>
  <c r="R1484" i="9"/>
  <c r="R1485" i="9"/>
  <c r="R1486" i="9"/>
  <c r="R1487" i="9"/>
  <c r="R1488" i="9"/>
  <c r="R1489" i="9"/>
  <c r="R1490" i="9"/>
  <c r="R1491" i="9"/>
  <c r="R1492" i="9"/>
  <c r="R1493" i="9"/>
  <c r="R1494" i="9"/>
  <c r="R1495" i="9"/>
  <c r="R1496" i="9"/>
  <c r="R1497" i="9"/>
  <c r="R1498" i="9"/>
  <c r="R1499" i="9"/>
  <c r="R1500" i="9"/>
  <c r="R1501" i="9"/>
  <c r="R1502" i="9"/>
  <c r="R1503" i="9"/>
  <c r="R1504" i="9"/>
  <c r="R1505" i="9"/>
  <c r="R1506" i="9"/>
  <c r="R1507" i="9"/>
  <c r="R1508" i="9"/>
  <c r="R1509" i="9"/>
  <c r="R1510" i="9"/>
  <c r="R1511" i="9"/>
  <c r="R1512" i="9"/>
  <c r="R1513" i="9"/>
  <c r="R1514" i="9"/>
  <c r="R1515" i="9"/>
  <c r="R1516" i="9"/>
  <c r="R1517" i="9"/>
  <c r="R1518" i="9"/>
  <c r="R1519" i="9"/>
  <c r="R1520" i="9"/>
  <c r="R1521" i="9"/>
  <c r="R1522" i="9"/>
  <c r="R1523" i="9"/>
  <c r="R1524" i="9"/>
  <c r="R1525" i="9"/>
  <c r="R1526" i="9"/>
  <c r="R1527" i="9"/>
  <c r="R1528" i="9"/>
  <c r="R1529" i="9"/>
  <c r="R1530" i="9"/>
  <c r="R1531" i="9"/>
  <c r="R1532" i="9"/>
  <c r="R1533" i="9"/>
  <c r="R1534" i="9"/>
  <c r="R1535" i="9"/>
  <c r="R1536" i="9"/>
  <c r="R1537" i="9"/>
  <c r="R1538" i="9"/>
  <c r="R1539" i="9"/>
  <c r="R1540" i="9"/>
  <c r="R1541" i="9"/>
  <c r="R1542" i="9"/>
  <c r="R1543" i="9"/>
  <c r="R1544" i="9"/>
  <c r="R1545" i="9"/>
  <c r="R1546" i="9"/>
  <c r="R1547" i="9"/>
  <c r="R1548" i="9"/>
  <c r="R1549" i="9"/>
  <c r="R1550" i="9"/>
  <c r="R1551" i="9"/>
  <c r="R1552" i="9"/>
  <c r="R1553" i="9"/>
  <c r="R1554" i="9"/>
  <c r="R1555" i="9"/>
  <c r="R1556" i="9"/>
  <c r="R1557" i="9"/>
  <c r="R1558" i="9"/>
  <c r="R1559" i="9"/>
  <c r="R1560" i="9"/>
  <c r="R1561" i="9"/>
  <c r="R1562" i="9"/>
  <c r="R1563" i="9"/>
  <c r="R1564" i="9"/>
  <c r="R1565" i="9"/>
  <c r="R1566" i="9"/>
  <c r="R1567" i="9"/>
  <c r="R1568" i="9"/>
  <c r="R1569" i="9"/>
  <c r="R1570" i="9"/>
  <c r="R1571" i="9"/>
  <c r="R1572" i="9"/>
  <c r="R1573" i="9"/>
  <c r="R1574" i="9"/>
  <c r="R1575" i="9"/>
  <c r="R1576" i="9"/>
  <c r="R1577" i="9"/>
  <c r="R1578" i="9"/>
  <c r="R1579" i="9"/>
  <c r="R1580" i="9"/>
  <c r="R1581" i="9"/>
  <c r="R1582" i="9"/>
  <c r="R1583" i="9"/>
  <c r="R1584" i="9"/>
  <c r="R1585" i="9"/>
  <c r="R1586" i="9"/>
  <c r="R1587" i="9"/>
  <c r="R1588" i="9"/>
  <c r="R1589" i="9"/>
  <c r="R1590" i="9"/>
  <c r="R1591" i="9"/>
  <c r="R1592" i="9"/>
  <c r="R1593" i="9"/>
  <c r="R1594" i="9"/>
  <c r="R1595" i="9"/>
  <c r="R1596" i="9"/>
  <c r="R1597" i="9"/>
  <c r="R1598" i="9"/>
  <c r="R1599" i="9"/>
  <c r="R1600" i="9"/>
  <c r="R1601" i="9"/>
  <c r="R1602" i="9"/>
  <c r="R1603" i="9"/>
  <c r="R1604" i="9"/>
  <c r="R1605" i="9"/>
  <c r="R1606" i="9"/>
  <c r="R1607" i="9"/>
  <c r="R1608" i="9"/>
  <c r="R1609" i="9"/>
  <c r="R1610" i="9"/>
  <c r="R1611" i="9"/>
  <c r="R1612" i="9"/>
  <c r="R1613" i="9"/>
  <c r="R1614" i="9"/>
  <c r="R1615" i="9"/>
  <c r="R1616" i="9"/>
  <c r="R1617" i="9"/>
  <c r="R1618" i="9"/>
  <c r="R1619" i="9"/>
  <c r="R1620" i="9"/>
  <c r="R1621" i="9"/>
  <c r="R1622" i="9"/>
  <c r="R1623" i="9"/>
  <c r="R1624" i="9"/>
  <c r="R1625" i="9"/>
  <c r="R1626" i="9"/>
  <c r="R1627" i="9"/>
  <c r="R1628" i="9"/>
  <c r="R1629" i="9"/>
  <c r="R1630" i="9"/>
  <c r="R1631" i="9"/>
  <c r="R1632" i="9"/>
  <c r="R1633" i="9"/>
  <c r="R1634" i="9"/>
  <c r="R1635" i="9"/>
  <c r="R1636" i="9"/>
  <c r="R1637" i="9"/>
  <c r="R1638" i="9"/>
  <c r="R1639" i="9"/>
  <c r="R1640" i="9"/>
  <c r="R1641" i="9"/>
  <c r="R1642" i="9"/>
  <c r="R1643" i="9"/>
  <c r="R1644" i="9"/>
  <c r="R1645" i="9"/>
  <c r="R1646" i="9"/>
  <c r="R1647" i="9"/>
  <c r="R1648" i="9"/>
  <c r="R1649" i="9"/>
  <c r="R1650" i="9"/>
  <c r="R1651" i="9"/>
  <c r="R1652" i="9"/>
  <c r="R1653" i="9"/>
  <c r="R1654" i="9"/>
  <c r="R1655" i="9"/>
  <c r="R1656" i="9"/>
  <c r="R1657" i="9"/>
  <c r="R1658" i="9"/>
  <c r="R1659" i="9"/>
  <c r="R1660" i="9"/>
  <c r="R1661" i="9"/>
  <c r="R1662" i="9"/>
  <c r="R1663" i="9"/>
  <c r="R1664" i="9"/>
  <c r="R1665" i="9"/>
  <c r="R1666" i="9"/>
  <c r="R1667" i="9"/>
  <c r="R1668" i="9"/>
  <c r="R1669" i="9"/>
  <c r="R1670" i="9"/>
  <c r="R1671" i="9"/>
  <c r="R1672" i="9"/>
  <c r="R1673" i="9"/>
  <c r="R1674" i="9"/>
  <c r="R1675" i="9"/>
  <c r="R1676" i="9"/>
  <c r="R1677" i="9"/>
  <c r="R1678" i="9"/>
  <c r="R1679" i="9"/>
  <c r="R1680" i="9"/>
  <c r="R1681" i="9"/>
  <c r="R1682" i="9"/>
  <c r="R1683" i="9"/>
  <c r="R1684" i="9"/>
  <c r="R1685" i="9"/>
  <c r="R1686" i="9"/>
  <c r="R1687" i="9"/>
  <c r="R1688" i="9"/>
  <c r="R1689" i="9"/>
  <c r="R1690" i="9"/>
  <c r="R1691" i="9"/>
  <c r="R1692" i="9"/>
  <c r="R1693" i="9"/>
  <c r="R1694" i="9"/>
  <c r="R1695" i="9"/>
  <c r="R1696" i="9"/>
  <c r="R1697" i="9"/>
  <c r="R1698" i="9"/>
  <c r="R1699" i="9"/>
  <c r="R1700" i="9"/>
  <c r="R1701" i="9"/>
  <c r="R1702" i="9"/>
  <c r="R1703" i="9"/>
  <c r="R1704" i="9"/>
  <c r="R1705" i="9"/>
  <c r="R1706" i="9"/>
  <c r="R1707" i="9"/>
  <c r="R1708" i="9"/>
  <c r="R1709" i="9"/>
  <c r="R1710" i="9"/>
  <c r="R1711" i="9"/>
  <c r="R1712" i="9"/>
  <c r="R1713" i="9"/>
  <c r="R1714" i="9"/>
  <c r="R1715" i="9"/>
  <c r="R1716" i="9"/>
  <c r="R1717" i="9"/>
  <c r="R1718" i="9"/>
  <c r="R1719" i="9"/>
  <c r="R1720" i="9"/>
  <c r="R1721" i="9"/>
  <c r="R1722" i="9"/>
  <c r="R1723" i="9"/>
  <c r="R1724" i="9"/>
  <c r="R1725" i="9"/>
  <c r="R1726" i="9"/>
  <c r="R1727" i="9"/>
  <c r="R1728" i="9"/>
  <c r="R1729" i="9"/>
  <c r="R1730" i="9"/>
  <c r="R1731" i="9"/>
  <c r="R1732" i="9"/>
  <c r="R1733" i="9"/>
  <c r="R1734" i="9"/>
  <c r="R1735" i="9"/>
  <c r="R1736" i="9"/>
  <c r="R1737" i="9"/>
  <c r="R1738" i="9"/>
  <c r="R1739" i="9"/>
  <c r="R1740" i="9"/>
  <c r="R1741" i="9"/>
  <c r="R1742" i="9"/>
  <c r="R1743" i="9"/>
  <c r="R1744" i="9"/>
  <c r="R1745" i="9"/>
  <c r="R1746" i="9"/>
  <c r="R1747" i="9"/>
  <c r="R1748" i="9"/>
  <c r="R1749" i="9"/>
  <c r="R1750" i="9"/>
  <c r="R1751" i="9"/>
  <c r="R1752" i="9"/>
  <c r="R1753" i="9"/>
  <c r="R1754" i="9"/>
  <c r="R1755" i="9"/>
  <c r="R1756" i="9"/>
  <c r="R1757" i="9"/>
  <c r="R1758" i="9"/>
  <c r="R1759" i="9"/>
  <c r="R1760" i="9"/>
  <c r="R1761" i="9"/>
  <c r="R1762" i="9"/>
  <c r="R1763" i="9"/>
  <c r="R1764" i="9"/>
  <c r="R1765" i="9"/>
  <c r="R1766" i="9"/>
  <c r="R1767" i="9"/>
  <c r="R1768" i="9"/>
  <c r="R1769" i="9"/>
  <c r="R1770" i="9"/>
  <c r="R1771" i="9"/>
  <c r="R1772" i="9"/>
  <c r="R1773" i="9"/>
  <c r="R1774" i="9"/>
  <c r="R1775" i="9"/>
  <c r="R1776" i="9"/>
  <c r="R1777" i="9"/>
  <c r="R1778" i="9"/>
  <c r="R1779" i="9"/>
  <c r="R1780" i="9"/>
  <c r="R1781" i="9"/>
  <c r="R1782" i="9"/>
  <c r="R1783" i="9"/>
  <c r="R1784" i="9"/>
  <c r="R1785" i="9"/>
  <c r="R1786" i="9"/>
  <c r="R1787" i="9"/>
  <c r="R1788" i="9"/>
  <c r="R1789" i="9"/>
  <c r="R1790" i="9"/>
  <c r="R1791" i="9"/>
  <c r="R1792" i="9"/>
  <c r="R1793" i="9"/>
  <c r="R1794" i="9"/>
  <c r="R1795" i="9"/>
  <c r="R1796" i="9"/>
  <c r="R1797" i="9"/>
  <c r="R1798" i="9"/>
  <c r="R1799" i="9"/>
  <c r="R1800" i="9"/>
  <c r="R1801" i="9"/>
  <c r="R1802" i="9"/>
  <c r="R1803" i="9"/>
  <c r="R1804" i="9"/>
  <c r="R1805" i="9"/>
  <c r="R1806" i="9"/>
  <c r="R1807" i="9"/>
  <c r="R1808" i="9"/>
  <c r="R1809" i="9"/>
  <c r="R1810" i="9"/>
  <c r="R1811" i="9"/>
  <c r="R1812" i="9"/>
  <c r="R1813" i="9"/>
  <c r="R1814" i="9"/>
  <c r="R1815" i="9"/>
  <c r="R1816" i="9"/>
  <c r="R1817" i="9"/>
  <c r="R1818" i="9"/>
  <c r="R1819" i="9"/>
  <c r="R1820" i="9"/>
  <c r="R1821" i="9"/>
  <c r="R1822" i="9"/>
  <c r="R1823" i="9"/>
  <c r="R1824" i="9"/>
  <c r="R1825" i="9"/>
  <c r="R1826" i="9"/>
  <c r="R1827" i="9"/>
  <c r="R1828" i="9"/>
  <c r="R1829" i="9"/>
  <c r="R1830" i="9"/>
  <c r="R1831" i="9"/>
  <c r="R1832" i="9"/>
  <c r="R1833" i="9"/>
  <c r="R1834" i="9"/>
  <c r="R1835" i="9"/>
  <c r="R1836" i="9"/>
  <c r="R1837" i="9"/>
  <c r="R1838" i="9"/>
  <c r="R1839" i="9"/>
  <c r="R1840" i="9"/>
  <c r="R1841" i="9"/>
  <c r="R1842" i="9"/>
  <c r="R1843" i="9"/>
  <c r="R1844" i="9"/>
  <c r="R1845" i="9"/>
  <c r="R1846" i="9"/>
  <c r="R1847" i="9"/>
  <c r="R1848" i="9"/>
  <c r="R1849" i="9"/>
  <c r="R1850" i="9"/>
  <c r="R1851" i="9"/>
  <c r="R1852" i="9"/>
  <c r="R1853" i="9"/>
  <c r="R1854" i="9"/>
  <c r="R1855" i="9"/>
  <c r="R1856" i="9"/>
  <c r="R1857" i="9"/>
  <c r="R1858" i="9"/>
  <c r="R1859" i="9"/>
  <c r="R1860" i="9"/>
  <c r="R1861" i="9"/>
  <c r="R1862" i="9"/>
  <c r="R1863" i="9"/>
  <c r="R1864" i="9"/>
  <c r="R1865" i="9"/>
  <c r="R1866" i="9"/>
  <c r="R1867" i="9"/>
  <c r="R1868" i="9"/>
  <c r="R1869" i="9"/>
  <c r="R1870" i="9"/>
  <c r="R1871" i="9"/>
  <c r="R1872" i="9"/>
  <c r="R1873" i="9"/>
  <c r="R1874" i="9"/>
  <c r="R1875" i="9"/>
  <c r="R1876" i="9"/>
  <c r="R1877" i="9"/>
  <c r="R1878" i="9"/>
  <c r="R1879" i="9"/>
  <c r="R1880" i="9"/>
  <c r="R1881" i="9"/>
  <c r="R1882" i="9"/>
  <c r="R1883" i="9"/>
  <c r="R1884" i="9"/>
  <c r="R1885" i="9"/>
  <c r="R1886" i="9"/>
  <c r="R1887" i="9"/>
  <c r="R1888" i="9"/>
  <c r="R1889" i="9"/>
  <c r="R1890" i="9"/>
  <c r="R1891" i="9"/>
  <c r="R1892" i="9"/>
  <c r="R1893" i="9"/>
  <c r="R1894" i="9"/>
  <c r="R1895" i="9"/>
  <c r="R1896" i="9"/>
  <c r="R1897" i="9"/>
  <c r="R1898" i="9"/>
  <c r="R1899" i="9"/>
  <c r="R1900" i="9"/>
  <c r="R1901" i="9"/>
  <c r="R1902" i="9"/>
  <c r="R1903" i="9"/>
  <c r="R1904" i="9"/>
  <c r="R1905" i="9"/>
  <c r="R1906" i="9"/>
  <c r="R1907" i="9"/>
  <c r="R1908" i="9"/>
  <c r="R1909" i="9"/>
  <c r="R1910" i="9"/>
  <c r="R1911" i="9"/>
  <c r="R1912" i="9"/>
  <c r="R1913" i="9"/>
  <c r="R1914" i="9"/>
  <c r="R1915" i="9"/>
  <c r="R1916" i="9"/>
  <c r="R1917" i="9"/>
  <c r="R1918" i="9"/>
  <c r="R1919" i="9"/>
  <c r="R1920" i="9"/>
  <c r="R1921" i="9"/>
  <c r="R1922" i="9"/>
  <c r="R1923" i="9"/>
  <c r="R1924" i="9"/>
  <c r="R1925" i="9"/>
  <c r="R1926" i="9"/>
  <c r="R1927" i="9"/>
  <c r="R1928" i="9"/>
  <c r="R1929" i="9"/>
  <c r="R1930" i="9"/>
  <c r="R1931" i="9"/>
  <c r="R1932" i="9"/>
  <c r="R1933" i="9"/>
  <c r="R1934" i="9"/>
  <c r="R1935" i="9"/>
  <c r="R1936" i="9"/>
  <c r="R1937" i="9"/>
  <c r="R1938" i="9"/>
  <c r="R1939" i="9"/>
  <c r="R1940" i="9"/>
  <c r="R1941" i="9"/>
  <c r="R1942" i="9"/>
  <c r="R1943" i="9"/>
  <c r="R1944" i="9"/>
  <c r="R1945" i="9"/>
  <c r="R1946" i="9"/>
  <c r="R1947" i="9"/>
  <c r="R1948" i="9"/>
  <c r="R1949" i="9"/>
  <c r="R1950" i="9"/>
  <c r="R1951" i="9"/>
  <c r="R1952" i="9"/>
  <c r="R1953" i="9"/>
  <c r="R1954" i="9"/>
  <c r="R1955" i="9"/>
  <c r="R1956" i="9"/>
  <c r="R1957" i="9"/>
  <c r="R1958" i="9"/>
  <c r="R1959" i="9"/>
  <c r="R1960" i="9"/>
  <c r="R1961" i="9"/>
  <c r="R1962" i="9"/>
  <c r="R1963" i="9"/>
  <c r="R1964" i="9"/>
  <c r="R1965" i="9"/>
  <c r="R1966" i="9"/>
  <c r="R1967" i="9"/>
  <c r="R1968" i="9"/>
  <c r="R1969" i="9"/>
  <c r="R1970" i="9"/>
  <c r="R1971" i="9"/>
  <c r="R1972" i="9"/>
  <c r="R1973" i="9"/>
  <c r="R1974" i="9"/>
  <c r="R1975" i="9"/>
  <c r="R1976" i="9"/>
  <c r="R1977" i="9"/>
  <c r="R1978" i="9"/>
  <c r="R1979" i="9"/>
  <c r="R1980" i="9"/>
  <c r="R1981" i="9"/>
  <c r="R1982" i="9"/>
  <c r="R1983" i="9"/>
  <c r="R1984" i="9"/>
  <c r="R1985" i="9"/>
  <c r="R1986" i="9"/>
  <c r="R1987" i="9"/>
  <c r="R1988" i="9"/>
  <c r="R1989" i="9"/>
  <c r="R1990" i="9"/>
  <c r="R1991" i="9"/>
  <c r="R1992" i="9"/>
  <c r="R1993" i="9"/>
  <c r="R1994" i="9"/>
  <c r="R1995" i="9"/>
  <c r="R1996" i="9"/>
  <c r="R1997" i="9"/>
  <c r="R1998" i="9"/>
  <c r="R1999" i="9"/>
  <c r="R2000" i="9"/>
  <c r="R2001" i="9"/>
  <c r="R2002" i="9"/>
  <c r="R2003" i="9"/>
  <c r="R2004" i="9"/>
  <c r="R2005" i="9"/>
  <c r="R2006" i="9"/>
  <c r="R2007" i="9"/>
  <c r="R2008" i="9"/>
  <c r="R2009" i="9"/>
  <c r="R2010" i="9"/>
  <c r="R2011" i="9"/>
  <c r="R2012" i="9"/>
  <c r="R2013" i="9"/>
  <c r="R2014" i="9"/>
  <c r="R2015" i="9"/>
  <c r="R2016" i="9"/>
  <c r="R2017" i="9"/>
  <c r="R2018" i="9"/>
  <c r="R2019" i="9"/>
  <c r="R2020" i="9"/>
  <c r="R2021" i="9"/>
  <c r="R2022" i="9"/>
  <c r="R2023" i="9"/>
  <c r="R2024" i="9"/>
  <c r="R2025" i="9"/>
  <c r="R2026" i="9"/>
  <c r="R2027" i="9"/>
  <c r="R2028" i="9"/>
  <c r="R2029" i="9"/>
  <c r="R2030" i="9"/>
  <c r="R2031" i="9"/>
  <c r="R2032" i="9"/>
  <c r="R2033" i="9"/>
  <c r="R2034" i="9"/>
  <c r="R2035" i="9"/>
  <c r="R2036" i="9"/>
  <c r="R2037" i="9"/>
  <c r="R2038" i="9"/>
  <c r="R2039" i="9"/>
  <c r="R2040" i="9"/>
  <c r="R2041" i="9"/>
  <c r="R2042" i="9"/>
  <c r="R2043" i="9"/>
  <c r="R2044" i="9"/>
  <c r="R2045" i="9"/>
  <c r="R2046" i="9"/>
  <c r="R2047" i="9"/>
  <c r="R2048" i="9"/>
  <c r="R2049" i="9"/>
  <c r="R2050" i="9"/>
  <c r="R2051" i="9"/>
  <c r="R2052" i="9"/>
  <c r="R2053" i="9"/>
  <c r="R2054" i="9"/>
  <c r="R2055" i="9"/>
  <c r="R2056" i="9"/>
  <c r="R2057" i="9"/>
  <c r="R2058" i="9"/>
  <c r="R2059" i="9"/>
  <c r="R2060" i="9"/>
  <c r="R2061" i="9"/>
  <c r="R2062" i="9"/>
  <c r="R2063" i="9"/>
  <c r="R2064" i="9"/>
  <c r="R2065" i="9"/>
  <c r="R2066" i="9"/>
  <c r="R2067" i="9"/>
  <c r="R2068" i="9"/>
  <c r="R2069" i="9"/>
  <c r="R2070" i="9"/>
  <c r="R2071" i="9"/>
  <c r="R2072" i="9"/>
  <c r="R2073" i="9"/>
  <c r="R2074" i="9"/>
  <c r="R2075" i="9"/>
  <c r="R2076" i="9"/>
  <c r="R2077" i="9"/>
  <c r="R2078" i="9"/>
  <c r="R2079" i="9"/>
  <c r="R2080" i="9"/>
  <c r="R2081" i="9"/>
  <c r="R2082" i="9"/>
  <c r="R2083" i="9"/>
  <c r="R2084" i="9"/>
  <c r="R2085" i="9"/>
  <c r="R2086" i="9"/>
  <c r="R2087" i="9"/>
  <c r="R2088" i="9"/>
  <c r="R2089" i="9"/>
  <c r="R2090" i="9"/>
  <c r="R2091" i="9"/>
  <c r="R2092" i="9"/>
  <c r="R2093" i="9"/>
  <c r="R2094" i="9"/>
  <c r="R2095" i="9"/>
  <c r="R2096" i="9"/>
  <c r="R2097" i="9"/>
  <c r="R2098" i="9"/>
  <c r="R2099" i="9"/>
  <c r="R2100" i="9"/>
  <c r="R2101" i="9"/>
  <c r="R2102" i="9"/>
  <c r="R2103" i="9"/>
  <c r="R2104" i="9"/>
  <c r="R2105" i="9"/>
  <c r="R2106" i="9"/>
  <c r="R2107" i="9"/>
  <c r="R2108" i="9"/>
  <c r="R2109" i="9"/>
  <c r="R2110" i="9"/>
  <c r="R2111" i="9"/>
  <c r="R2112" i="9"/>
  <c r="R2113" i="9"/>
  <c r="R2114" i="9"/>
  <c r="R2115" i="9"/>
  <c r="R2116" i="9"/>
  <c r="R2117" i="9"/>
  <c r="R2118" i="9"/>
  <c r="R2119" i="9"/>
  <c r="R2120" i="9"/>
  <c r="R2121" i="9"/>
  <c r="R2122" i="9"/>
  <c r="R2123" i="9"/>
  <c r="R2124" i="9"/>
  <c r="R2125" i="9"/>
  <c r="R2126" i="9"/>
  <c r="R2127" i="9"/>
  <c r="R2128" i="9"/>
  <c r="R2129" i="9"/>
  <c r="R2130" i="9"/>
  <c r="R2131" i="9"/>
  <c r="R2132" i="9"/>
  <c r="R2133" i="9"/>
  <c r="R2134" i="9"/>
  <c r="R2135" i="9"/>
  <c r="R2136" i="9"/>
  <c r="R2137" i="9"/>
  <c r="R2138" i="9"/>
  <c r="R2139" i="9"/>
  <c r="R2140" i="9"/>
  <c r="R2141" i="9"/>
  <c r="R2142" i="9"/>
  <c r="R2143" i="9"/>
  <c r="R2144" i="9"/>
  <c r="R2145" i="9"/>
  <c r="R2146" i="9"/>
  <c r="R2147" i="9"/>
  <c r="R2148" i="9"/>
  <c r="R2149" i="9"/>
  <c r="R2150" i="9"/>
  <c r="R2151" i="9"/>
  <c r="R2152" i="9"/>
  <c r="R2153" i="9"/>
  <c r="R2154" i="9"/>
  <c r="R2155" i="9"/>
  <c r="R2156" i="9"/>
  <c r="R2157" i="9"/>
  <c r="R2158" i="9"/>
  <c r="R2159" i="9"/>
  <c r="R2160" i="9"/>
  <c r="R2161" i="9"/>
  <c r="R2162" i="9"/>
  <c r="R2163" i="9"/>
  <c r="R2164" i="9"/>
  <c r="R2165" i="9"/>
  <c r="R2166" i="9"/>
  <c r="R2167" i="9"/>
  <c r="R2168" i="9"/>
  <c r="R2169" i="9"/>
  <c r="R2170" i="9"/>
  <c r="R2171" i="9"/>
  <c r="R2172" i="9"/>
  <c r="R2173" i="9"/>
  <c r="R2174" i="9"/>
  <c r="R2175" i="9"/>
  <c r="R2176" i="9"/>
  <c r="R2177" i="9"/>
  <c r="R2178" i="9"/>
  <c r="R2179" i="9"/>
  <c r="R2180" i="9"/>
  <c r="R2181" i="9"/>
  <c r="R2182" i="9"/>
  <c r="R2183" i="9"/>
  <c r="R2184" i="9"/>
  <c r="R2185" i="9"/>
  <c r="R2186" i="9"/>
  <c r="R2187" i="9"/>
  <c r="R2188" i="9"/>
  <c r="R2189" i="9"/>
  <c r="R2190" i="9"/>
  <c r="R2191" i="9"/>
  <c r="R2192" i="9"/>
  <c r="R2193" i="9"/>
  <c r="R2194" i="9"/>
  <c r="R2195" i="9"/>
  <c r="R2196" i="9"/>
  <c r="R2197" i="9"/>
  <c r="R2198" i="9"/>
  <c r="R2199" i="9"/>
  <c r="R2200" i="9"/>
  <c r="R2201" i="9"/>
  <c r="R2202" i="9"/>
  <c r="R2203" i="9"/>
  <c r="R2204" i="9"/>
  <c r="R2205" i="9"/>
  <c r="R2206" i="9"/>
  <c r="R2207" i="9"/>
  <c r="R2208" i="9"/>
  <c r="R2209" i="9"/>
  <c r="R2210" i="9"/>
  <c r="R2211" i="9"/>
  <c r="R2212" i="9"/>
  <c r="R2213" i="9"/>
  <c r="R2214" i="9"/>
  <c r="R2215" i="9"/>
  <c r="R2216" i="9"/>
  <c r="R2217" i="9"/>
  <c r="R2218" i="9"/>
  <c r="R2219" i="9"/>
  <c r="R2220" i="9"/>
  <c r="R2221" i="9"/>
  <c r="R2222" i="9"/>
  <c r="R2223" i="9"/>
  <c r="R2224" i="9"/>
  <c r="R2225" i="9"/>
  <c r="R2226" i="9"/>
  <c r="R2227" i="9"/>
  <c r="R2228" i="9"/>
  <c r="R2229" i="9"/>
  <c r="R2230" i="9"/>
  <c r="R2231" i="9"/>
  <c r="R2232" i="9"/>
  <c r="R2233" i="9"/>
  <c r="R2234" i="9"/>
  <c r="R2235" i="9"/>
  <c r="R2236" i="9"/>
  <c r="R2237" i="9"/>
  <c r="R2238" i="9"/>
  <c r="R2239" i="9"/>
  <c r="R2240" i="9"/>
  <c r="R2241" i="9"/>
  <c r="R2242" i="9"/>
  <c r="R2243" i="9"/>
  <c r="R2244" i="9"/>
  <c r="R2245" i="9"/>
  <c r="R2246" i="9"/>
  <c r="R2247" i="9"/>
  <c r="R2248" i="9"/>
  <c r="R2249" i="9"/>
  <c r="R2250" i="9"/>
  <c r="R2251" i="9"/>
  <c r="R2252" i="9"/>
  <c r="R2253" i="9"/>
  <c r="R2254" i="9"/>
  <c r="R2255" i="9"/>
  <c r="R2256" i="9"/>
  <c r="R2257" i="9"/>
  <c r="R2258" i="9"/>
  <c r="R2259" i="9"/>
  <c r="R2260" i="9"/>
  <c r="R2261" i="9"/>
  <c r="R2262" i="9"/>
  <c r="R2263" i="9"/>
  <c r="R2264" i="9"/>
  <c r="R2265" i="9"/>
  <c r="R2266" i="9"/>
  <c r="R2267" i="9"/>
  <c r="R2268" i="9"/>
  <c r="R2269" i="9"/>
  <c r="R2270" i="9"/>
  <c r="R2271" i="9"/>
  <c r="R2272" i="9"/>
  <c r="R2273" i="9"/>
  <c r="R2274" i="9"/>
  <c r="R2275" i="9"/>
  <c r="R2276" i="9"/>
  <c r="R2277" i="9"/>
  <c r="R2278" i="9"/>
  <c r="R2279" i="9"/>
  <c r="R2280" i="9"/>
  <c r="R2281" i="9"/>
  <c r="R2282" i="9"/>
  <c r="R2283" i="9"/>
  <c r="R2284" i="9"/>
  <c r="R2285" i="9"/>
  <c r="R2286" i="9"/>
  <c r="R2287" i="9"/>
  <c r="R2288" i="9"/>
  <c r="R2289" i="9"/>
  <c r="R2290" i="9"/>
  <c r="R2291" i="9"/>
  <c r="R2292" i="9"/>
  <c r="R2293" i="9"/>
  <c r="R2294" i="9"/>
  <c r="R2295" i="9"/>
  <c r="R2296" i="9"/>
  <c r="R2297" i="9"/>
  <c r="R2298" i="9"/>
  <c r="R2299" i="9"/>
  <c r="R2300" i="9"/>
  <c r="R2301" i="9"/>
  <c r="R2302" i="9"/>
  <c r="R2303" i="9"/>
  <c r="R2304" i="9"/>
  <c r="R2305" i="9"/>
  <c r="R2306" i="9"/>
  <c r="R2307" i="9"/>
  <c r="R2308" i="9"/>
  <c r="R2309" i="9"/>
  <c r="R2310" i="9"/>
  <c r="R2311" i="9"/>
  <c r="R2312" i="9"/>
  <c r="R2313" i="9"/>
  <c r="R2314" i="9"/>
  <c r="R2315" i="9"/>
  <c r="R2316" i="9"/>
  <c r="R2317" i="9"/>
  <c r="R2318" i="9"/>
  <c r="R2319" i="9"/>
  <c r="R2320" i="9"/>
  <c r="R2321" i="9"/>
  <c r="R2322" i="9"/>
  <c r="R2323" i="9"/>
  <c r="R2324" i="9"/>
  <c r="R2325" i="9"/>
  <c r="R2326" i="9"/>
  <c r="R2327" i="9"/>
  <c r="R2328" i="9"/>
  <c r="R2329" i="9"/>
  <c r="R2330" i="9"/>
  <c r="R2331" i="9"/>
  <c r="R2332" i="9"/>
  <c r="R2333" i="9"/>
  <c r="R2334" i="9"/>
  <c r="R2335" i="9"/>
  <c r="R2336" i="9"/>
  <c r="R2337" i="9"/>
  <c r="R2338" i="9"/>
  <c r="R2339" i="9"/>
  <c r="R2340" i="9"/>
  <c r="R2341" i="9"/>
  <c r="R2342" i="9"/>
  <c r="R2343" i="9"/>
  <c r="R2344" i="9"/>
  <c r="R2345" i="9"/>
  <c r="R2346" i="9"/>
  <c r="R2347" i="9"/>
  <c r="R2348" i="9"/>
  <c r="R2349" i="9"/>
  <c r="R2350" i="9"/>
  <c r="R2351" i="9"/>
  <c r="R2352" i="9"/>
  <c r="R2353" i="9"/>
  <c r="R2354" i="9"/>
  <c r="R2355" i="9"/>
  <c r="R2356" i="9"/>
  <c r="R2357" i="9"/>
  <c r="R2358" i="9"/>
  <c r="R2359" i="9"/>
  <c r="R2360" i="9"/>
  <c r="R2361" i="9"/>
  <c r="R2362" i="9"/>
  <c r="R2363" i="9"/>
  <c r="R2364" i="9"/>
  <c r="R2365" i="9"/>
  <c r="R2366" i="9"/>
  <c r="R2367" i="9"/>
  <c r="R2368" i="9"/>
  <c r="R2369" i="9"/>
  <c r="R2370" i="9"/>
  <c r="R2371" i="9"/>
  <c r="R2372" i="9"/>
  <c r="R2373" i="9"/>
  <c r="R2374" i="9"/>
  <c r="R2375" i="9"/>
  <c r="R2376" i="9"/>
  <c r="R2377" i="9"/>
  <c r="R2378" i="9"/>
  <c r="R2379" i="9"/>
  <c r="R2380" i="9"/>
  <c r="R2381" i="9"/>
  <c r="R2382" i="9"/>
  <c r="R2383" i="9"/>
  <c r="R2384" i="9"/>
  <c r="R2385" i="9"/>
  <c r="R2386" i="9"/>
  <c r="R2387" i="9"/>
  <c r="R2388" i="9"/>
  <c r="R2389" i="9"/>
  <c r="R2390" i="9"/>
  <c r="R2391" i="9"/>
  <c r="R2392" i="9"/>
  <c r="R2393" i="9"/>
  <c r="R2394" i="9"/>
  <c r="R2395" i="9"/>
  <c r="R2396" i="9"/>
  <c r="R2397" i="9"/>
  <c r="R2398" i="9"/>
  <c r="R2399" i="9"/>
  <c r="R2400" i="9"/>
  <c r="R2401" i="9"/>
  <c r="R2402" i="9"/>
  <c r="R2403" i="9"/>
  <c r="R2404" i="9"/>
  <c r="R2405" i="9"/>
  <c r="R2406" i="9"/>
  <c r="R2407" i="9"/>
  <c r="R2408" i="9"/>
  <c r="R2409" i="9"/>
  <c r="R2410" i="9"/>
  <c r="R2411" i="9"/>
  <c r="R2412" i="9"/>
  <c r="R2413" i="9"/>
  <c r="R2414" i="9"/>
  <c r="R2415" i="9"/>
  <c r="R2416" i="9"/>
  <c r="R2417" i="9"/>
  <c r="R2418" i="9"/>
  <c r="R2419" i="9"/>
  <c r="R2420" i="9"/>
  <c r="R2421" i="9"/>
  <c r="R2422" i="9"/>
  <c r="R2423" i="9"/>
  <c r="R2424" i="9"/>
  <c r="R2425" i="9"/>
  <c r="R2426" i="9"/>
  <c r="R2427" i="9"/>
  <c r="R2428" i="9"/>
  <c r="R2429" i="9"/>
  <c r="R2430" i="9"/>
  <c r="R2431" i="9"/>
  <c r="R2432" i="9"/>
  <c r="R2433" i="9"/>
  <c r="R2434" i="9"/>
  <c r="R2435" i="9"/>
  <c r="R2436" i="9"/>
  <c r="R2437" i="9"/>
  <c r="R2438" i="9"/>
  <c r="R2439" i="9"/>
  <c r="R2440" i="9"/>
  <c r="R2441" i="9"/>
  <c r="R2442" i="9"/>
  <c r="R2443" i="9"/>
  <c r="R2444" i="9"/>
  <c r="R2445" i="9"/>
  <c r="R2446" i="9"/>
  <c r="R2447" i="9"/>
  <c r="R2448" i="9"/>
  <c r="R2449" i="9"/>
  <c r="R2450" i="9"/>
  <c r="R2451" i="9"/>
  <c r="R2452" i="9"/>
  <c r="R2453" i="9"/>
  <c r="R2454" i="9"/>
  <c r="R2455" i="9"/>
  <c r="R2456" i="9"/>
  <c r="R2457" i="9"/>
  <c r="R2458" i="9"/>
  <c r="R2459" i="9"/>
  <c r="R2460" i="9"/>
  <c r="R2461" i="9"/>
  <c r="R2462" i="9"/>
  <c r="R2463" i="9"/>
  <c r="R2464" i="9"/>
  <c r="R2465" i="9"/>
  <c r="R2466" i="9"/>
  <c r="R2467" i="9"/>
  <c r="R2468" i="9"/>
  <c r="R2469" i="9"/>
  <c r="R2470" i="9"/>
  <c r="R2471" i="9"/>
  <c r="R2472" i="9"/>
  <c r="R2473" i="9"/>
  <c r="R2474" i="9"/>
  <c r="R2475" i="9"/>
  <c r="R2476" i="9"/>
  <c r="R2477" i="9"/>
  <c r="R2478" i="9"/>
  <c r="R2479" i="9"/>
  <c r="R2480" i="9"/>
  <c r="R2481" i="9"/>
  <c r="R2482" i="9"/>
  <c r="R2483" i="9"/>
  <c r="R2484" i="9"/>
  <c r="R2485" i="9"/>
  <c r="R2486" i="9"/>
  <c r="R2487" i="9"/>
  <c r="R2488" i="9"/>
  <c r="R2489" i="9"/>
  <c r="R2490" i="9"/>
  <c r="R2491" i="9"/>
  <c r="R2492" i="9"/>
  <c r="R2493" i="9"/>
  <c r="R2494" i="9"/>
  <c r="R2495" i="9"/>
  <c r="R2496" i="9"/>
  <c r="R2497" i="9"/>
  <c r="R2498" i="9"/>
  <c r="R2499" i="9"/>
  <c r="R2500" i="9"/>
  <c r="R2501" i="9"/>
  <c r="R2502" i="9"/>
  <c r="R2503" i="9"/>
  <c r="R5" i="9"/>
  <c r="E2542" i="9" l="1"/>
  <c r="AA4" i="9"/>
  <c r="G2522" i="9"/>
  <c r="Y4" i="9"/>
  <c r="F2522" i="9"/>
  <c r="F2529" i="9"/>
  <c r="C2518" i="9"/>
  <c r="W4" i="9"/>
  <c r="E2529" i="9"/>
  <c r="D2533" i="9"/>
  <c r="D2522" i="9"/>
  <c r="G2497" i="9"/>
  <c r="H2497" i="9"/>
  <c r="I2497" i="9"/>
  <c r="E2497" i="9"/>
  <c r="F2497" i="9"/>
  <c r="D2497" i="9"/>
  <c r="B2497" i="9"/>
  <c r="C2497" i="9"/>
  <c r="G2489" i="9"/>
  <c r="H2489" i="9"/>
  <c r="I2489" i="9"/>
  <c r="E2489" i="9"/>
  <c r="F2489" i="9"/>
  <c r="D2489" i="9"/>
  <c r="B2489" i="9"/>
  <c r="C2489" i="9"/>
  <c r="G2481" i="9"/>
  <c r="H2481" i="9"/>
  <c r="I2481" i="9"/>
  <c r="E2481" i="9"/>
  <c r="F2481" i="9"/>
  <c r="D2481" i="9"/>
  <c r="B2481" i="9"/>
  <c r="C2481" i="9"/>
  <c r="G2473" i="9"/>
  <c r="H2473" i="9"/>
  <c r="I2473" i="9"/>
  <c r="E2473" i="9"/>
  <c r="F2473" i="9"/>
  <c r="D2473" i="9"/>
  <c r="B2473" i="9"/>
  <c r="C2473" i="9"/>
  <c r="G2465" i="9"/>
  <c r="H2465" i="9"/>
  <c r="I2465" i="9"/>
  <c r="E2465" i="9"/>
  <c r="F2465" i="9"/>
  <c r="D2465" i="9"/>
  <c r="B2465" i="9"/>
  <c r="C2465" i="9"/>
  <c r="G2457" i="9"/>
  <c r="H2457" i="9"/>
  <c r="I2457" i="9"/>
  <c r="E2457" i="9"/>
  <c r="F2457" i="9"/>
  <c r="D2457" i="9"/>
  <c r="B2457" i="9"/>
  <c r="C2457" i="9"/>
  <c r="G2449" i="9"/>
  <c r="H2449" i="9"/>
  <c r="I2449" i="9"/>
  <c r="E2449" i="9"/>
  <c r="F2449" i="9"/>
  <c r="D2449" i="9"/>
  <c r="B2449" i="9"/>
  <c r="C2449" i="9"/>
  <c r="G2441" i="9"/>
  <c r="H2441" i="9"/>
  <c r="I2441" i="9"/>
  <c r="E2441" i="9"/>
  <c r="F2441" i="9"/>
  <c r="D2441" i="9"/>
  <c r="B2441" i="9"/>
  <c r="C2441" i="9"/>
  <c r="G2433" i="9"/>
  <c r="H2433" i="9"/>
  <c r="I2433" i="9"/>
  <c r="E2433" i="9"/>
  <c r="F2433" i="9"/>
  <c r="D2433" i="9"/>
  <c r="B2433" i="9"/>
  <c r="C2433" i="9"/>
  <c r="G2425" i="9"/>
  <c r="H2425" i="9"/>
  <c r="I2425" i="9"/>
  <c r="E2425" i="9"/>
  <c r="F2425" i="9"/>
  <c r="D2425" i="9"/>
  <c r="B2425" i="9"/>
  <c r="C2425" i="9"/>
  <c r="G2417" i="9"/>
  <c r="H2417" i="9"/>
  <c r="I2417" i="9"/>
  <c r="E2417" i="9"/>
  <c r="F2417" i="9"/>
  <c r="D2417" i="9"/>
  <c r="B2417" i="9"/>
  <c r="C2417" i="9"/>
  <c r="G2409" i="9"/>
  <c r="H2409" i="9"/>
  <c r="I2409" i="9"/>
  <c r="E2409" i="9"/>
  <c r="F2409" i="9"/>
  <c r="D2409" i="9"/>
  <c r="B2409" i="9"/>
  <c r="C2409" i="9"/>
  <c r="G2401" i="9"/>
  <c r="H2401" i="9"/>
  <c r="I2401" i="9"/>
  <c r="E2401" i="9"/>
  <c r="F2401" i="9"/>
  <c r="D2401" i="9"/>
  <c r="B2401" i="9"/>
  <c r="C2401" i="9"/>
  <c r="G2393" i="9"/>
  <c r="H2393" i="9"/>
  <c r="I2393" i="9"/>
  <c r="E2393" i="9"/>
  <c r="F2393" i="9"/>
  <c r="D2393" i="9"/>
  <c r="B2393" i="9"/>
  <c r="C2393" i="9"/>
  <c r="G2385" i="9"/>
  <c r="H2385" i="9"/>
  <c r="I2385" i="9"/>
  <c r="E2385" i="9"/>
  <c r="F2385" i="9"/>
  <c r="D2385" i="9"/>
  <c r="B2385" i="9"/>
  <c r="C2385" i="9"/>
  <c r="G2377" i="9"/>
  <c r="H2377" i="9"/>
  <c r="I2377" i="9"/>
  <c r="E2377" i="9"/>
  <c r="F2377" i="9"/>
  <c r="D2377" i="9"/>
  <c r="B2377" i="9"/>
  <c r="C2377" i="9"/>
  <c r="G2369" i="9"/>
  <c r="H2369" i="9"/>
  <c r="I2369" i="9"/>
  <c r="E2369" i="9"/>
  <c r="F2369" i="9"/>
  <c r="D2369" i="9"/>
  <c r="B2369" i="9"/>
  <c r="C2369" i="9"/>
  <c r="G2361" i="9"/>
  <c r="H2361" i="9"/>
  <c r="I2361" i="9"/>
  <c r="E2361" i="9"/>
  <c r="F2361" i="9"/>
  <c r="D2361" i="9"/>
  <c r="B2361" i="9"/>
  <c r="C2361" i="9"/>
  <c r="G2353" i="9"/>
  <c r="H2353" i="9"/>
  <c r="I2353" i="9"/>
  <c r="E2353" i="9"/>
  <c r="F2353" i="9"/>
  <c r="D2353" i="9"/>
  <c r="B2353" i="9"/>
  <c r="C2353" i="9"/>
  <c r="G2345" i="9"/>
  <c r="H2345" i="9"/>
  <c r="I2345" i="9"/>
  <c r="E2345" i="9"/>
  <c r="F2345" i="9"/>
  <c r="D2345" i="9"/>
  <c r="B2345" i="9"/>
  <c r="C2345" i="9"/>
  <c r="G2337" i="9"/>
  <c r="H2337" i="9"/>
  <c r="I2337" i="9"/>
  <c r="E2337" i="9"/>
  <c r="F2337" i="9"/>
  <c r="D2337" i="9"/>
  <c r="B2337" i="9"/>
  <c r="C2337" i="9"/>
  <c r="G2329" i="9"/>
  <c r="H2329" i="9"/>
  <c r="I2329" i="9"/>
  <c r="E2329" i="9"/>
  <c r="F2329" i="9"/>
  <c r="D2329" i="9"/>
  <c r="B2329" i="9"/>
  <c r="C2329" i="9"/>
  <c r="G2321" i="9"/>
  <c r="H2321" i="9"/>
  <c r="I2321" i="9"/>
  <c r="E2321" i="9"/>
  <c r="F2321" i="9"/>
  <c r="D2321" i="9"/>
  <c r="B2321" i="9"/>
  <c r="C2321" i="9"/>
  <c r="G2313" i="9"/>
  <c r="H2313" i="9"/>
  <c r="I2313" i="9"/>
  <c r="E2313" i="9"/>
  <c r="F2313" i="9"/>
  <c r="D2313" i="9"/>
  <c r="B2313" i="9"/>
  <c r="C2313" i="9"/>
  <c r="G2305" i="9"/>
  <c r="H2305" i="9"/>
  <c r="I2305" i="9"/>
  <c r="E2305" i="9"/>
  <c r="F2305" i="9"/>
  <c r="D2305" i="9"/>
  <c r="B2305" i="9"/>
  <c r="C2305" i="9"/>
  <c r="G2297" i="9"/>
  <c r="H2297" i="9"/>
  <c r="I2297" i="9"/>
  <c r="E2297" i="9"/>
  <c r="F2297" i="9"/>
  <c r="D2297" i="9"/>
  <c r="B2297" i="9"/>
  <c r="C2297" i="9"/>
  <c r="G2289" i="9"/>
  <c r="H2289" i="9"/>
  <c r="I2289" i="9"/>
  <c r="E2289" i="9"/>
  <c r="F2289" i="9"/>
  <c r="D2289" i="9"/>
  <c r="B2289" i="9"/>
  <c r="C2289" i="9"/>
  <c r="G2281" i="9"/>
  <c r="H2281" i="9"/>
  <c r="I2281" i="9"/>
  <c r="E2281" i="9"/>
  <c r="F2281" i="9"/>
  <c r="D2281" i="9"/>
  <c r="B2281" i="9"/>
  <c r="C2281" i="9"/>
  <c r="G2277" i="9"/>
  <c r="H2277" i="9"/>
  <c r="I2277" i="9"/>
  <c r="E2277" i="9"/>
  <c r="F2277" i="9"/>
  <c r="D2277" i="9"/>
  <c r="B2277" i="9"/>
  <c r="C2277" i="9"/>
  <c r="G2269" i="9"/>
  <c r="H2269" i="9"/>
  <c r="I2269" i="9"/>
  <c r="E2269" i="9"/>
  <c r="F2269" i="9"/>
  <c r="D2269" i="9"/>
  <c r="C2269" i="9"/>
  <c r="B2269" i="9"/>
  <c r="G2261" i="9"/>
  <c r="H2261" i="9"/>
  <c r="I2261" i="9"/>
  <c r="E2261" i="9"/>
  <c r="F2261" i="9"/>
  <c r="D2261" i="9"/>
  <c r="B2261" i="9"/>
  <c r="C2261" i="9"/>
  <c r="G2253" i="9"/>
  <c r="H2253" i="9"/>
  <c r="I2253" i="9"/>
  <c r="E2253" i="9"/>
  <c r="F2253" i="9"/>
  <c r="D2253" i="9"/>
  <c r="B2253" i="9"/>
  <c r="C2253" i="9"/>
  <c r="G2245" i="9"/>
  <c r="H2245" i="9"/>
  <c r="I2245" i="9"/>
  <c r="E2245" i="9"/>
  <c r="F2245" i="9"/>
  <c r="D2245" i="9"/>
  <c r="B2245" i="9"/>
  <c r="C2245" i="9"/>
  <c r="G2237" i="9"/>
  <c r="H2237" i="9"/>
  <c r="I2237" i="9"/>
  <c r="E2237" i="9"/>
  <c r="F2237" i="9"/>
  <c r="D2237" i="9"/>
  <c r="C2237" i="9"/>
  <c r="B2237" i="9"/>
  <c r="G2229" i="9"/>
  <c r="H2229" i="9"/>
  <c r="I2229" i="9"/>
  <c r="E2229" i="9"/>
  <c r="F2229" i="9"/>
  <c r="D2229" i="9"/>
  <c r="B2229" i="9"/>
  <c r="C2229" i="9"/>
  <c r="G2221" i="9"/>
  <c r="H2221" i="9"/>
  <c r="I2221" i="9"/>
  <c r="E2221" i="9"/>
  <c r="F2221" i="9"/>
  <c r="D2221" i="9"/>
  <c r="B2221" i="9"/>
  <c r="C2221" i="9"/>
  <c r="G2213" i="9"/>
  <c r="H2213" i="9"/>
  <c r="I2213" i="9"/>
  <c r="E2213" i="9"/>
  <c r="F2213" i="9"/>
  <c r="D2213" i="9"/>
  <c r="B2213" i="9"/>
  <c r="C2213" i="9"/>
  <c r="G2205" i="9"/>
  <c r="H2205" i="9"/>
  <c r="I2205" i="9"/>
  <c r="E2205" i="9"/>
  <c r="F2205" i="9"/>
  <c r="D2205" i="9"/>
  <c r="C2205" i="9"/>
  <c r="B2205" i="9"/>
  <c r="G2197" i="9"/>
  <c r="H2197" i="9"/>
  <c r="I2197" i="9"/>
  <c r="E2197" i="9"/>
  <c r="F2197" i="9"/>
  <c r="D2197" i="9"/>
  <c r="B2197" i="9"/>
  <c r="C2197" i="9"/>
  <c r="G2189" i="9"/>
  <c r="H2189" i="9"/>
  <c r="I2189" i="9"/>
  <c r="E2189" i="9"/>
  <c r="F2189" i="9"/>
  <c r="D2189" i="9"/>
  <c r="B2189" i="9"/>
  <c r="C2189" i="9"/>
  <c r="G2181" i="9"/>
  <c r="H2181" i="9"/>
  <c r="I2181" i="9"/>
  <c r="E2181" i="9"/>
  <c r="F2181" i="9"/>
  <c r="D2181" i="9"/>
  <c r="B2181" i="9"/>
  <c r="C2181" i="9"/>
  <c r="G2173" i="9"/>
  <c r="H2173" i="9"/>
  <c r="I2173" i="9"/>
  <c r="E2173" i="9"/>
  <c r="F2173" i="9"/>
  <c r="D2173" i="9"/>
  <c r="C2173" i="9"/>
  <c r="B2173" i="9"/>
  <c r="G2165" i="9"/>
  <c r="H2165" i="9"/>
  <c r="I2165" i="9"/>
  <c r="E2165" i="9"/>
  <c r="F2165" i="9"/>
  <c r="D2165" i="9"/>
  <c r="B2165" i="9"/>
  <c r="C2165" i="9"/>
  <c r="G2157" i="9"/>
  <c r="H2157" i="9"/>
  <c r="I2157" i="9"/>
  <c r="E2157" i="9"/>
  <c r="F2157" i="9"/>
  <c r="D2157" i="9"/>
  <c r="B2157" i="9"/>
  <c r="C2157" i="9"/>
  <c r="G2149" i="9"/>
  <c r="H2149" i="9"/>
  <c r="I2149" i="9"/>
  <c r="E2149" i="9"/>
  <c r="F2149" i="9"/>
  <c r="D2149" i="9"/>
  <c r="B2149" i="9"/>
  <c r="C2149" i="9"/>
  <c r="G2137" i="9"/>
  <c r="H2137" i="9"/>
  <c r="I2137" i="9"/>
  <c r="E2137" i="9"/>
  <c r="F2137" i="9"/>
  <c r="D2137" i="9"/>
  <c r="B2137" i="9"/>
  <c r="C2137" i="9"/>
  <c r="G2129" i="9"/>
  <c r="H2129" i="9"/>
  <c r="I2129" i="9"/>
  <c r="E2129" i="9"/>
  <c r="F2129" i="9"/>
  <c r="D2129" i="9"/>
  <c r="B2129" i="9"/>
  <c r="C2129" i="9"/>
  <c r="G2121" i="9"/>
  <c r="H2121" i="9"/>
  <c r="I2121" i="9"/>
  <c r="E2121" i="9"/>
  <c r="F2121" i="9"/>
  <c r="D2121" i="9"/>
  <c r="B2121" i="9"/>
  <c r="C2121" i="9"/>
  <c r="G2117" i="9"/>
  <c r="H2117" i="9"/>
  <c r="I2117" i="9"/>
  <c r="E2117" i="9"/>
  <c r="F2117" i="9"/>
  <c r="D2117" i="9"/>
  <c r="B2117" i="9"/>
  <c r="C2117" i="9"/>
  <c r="G2109" i="9"/>
  <c r="H2109" i="9"/>
  <c r="I2109" i="9"/>
  <c r="E2109" i="9"/>
  <c r="F2109" i="9"/>
  <c r="D2109" i="9"/>
  <c r="C2109" i="9"/>
  <c r="B2109" i="9"/>
  <c r="G2101" i="9"/>
  <c r="H2101" i="9"/>
  <c r="I2101" i="9"/>
  <c r="E2101" i="9"/>
  <c r="F2101" i="9"/>
  <c r="D2101" i="9"/>
  <c r="B2101" i="9"/>
  <c r="C2101" i="9"/>
  <c r="G2093" i="9"/>
  <c r="H2093" i="9"/>
  <c r="I2093" i="9"/>
  <c r="E2093" i="9"/>
  <c r="F2093" i="9"/>
  <c r="D2093" i="9"/>
  <c r="B2093" i="9"/>
  <c r="C2093" i="9"/>
  <c r="G2085" i="9"/>
  <c r="H2085" i="9"/>
  <c r="I2085" i="9"/>
  <c r="E2085" i="9"/>
  <c r="F2085" i="9"/>
  <c r="D2085" i="9"/>
  <c r="B2085" i="9"/>
  <c r="C2085" i="9"/>
  <c r="G2077" i="9"/>
  <c r="H2077" i="9"/>
  <c r="I2077" i="9"/>
  <c r="E2077" i="9"/>
  <c r="F2077" i="9"/>
  <c r="D2077" i="9"/>
  <c r="C2077" i="9"/>
  <c r="B2077" i="9"/>
  <c r="G2069" i="9"/>
  <c r="H2069" i="9"/>
  <c r="I2069" i="9"/>
  <c r="E2069" i="9"/>
  <c r="F2069" i="9"/>
  <c r="D2069" i="9"/>
  <c r="B2069" i="9"/>
  <c r="C2069" i="9"/>
  <c r="G2061" i="9"/>
  <c r="H2061" i="9"/>
  <c r="I2061" i="9"/>
  <c r="E2061" i="9"/>
  <c r="F2061" i="9"/>
  <c r="D2061" i="9"/>
  <c r="B2061" i="9"/>
  <c r="C2061" i="9"/>
  <c r="G2053" i="9"/>
  <c r="H2053" i="9"/>
  <c r="I2053" i="9"/>
  <c r="E2053" i="9"/>
  <c r="F2053" i="9"/>
  <c r="D2053" i="9"/>
  <c r="B2053" i="9"/>
  <c r="C2053" i="9"/>
  <c r="G2045" i="9"/>
  <c r="H2045" i="9"/>
  <c r="I2045" i="9"/>
  <c r="E2045" i="9"/>
  <c r="F2045" i="9"/>
  <c r="D2045" i="9"/>
  <c r="C2045" i="9"/>
  <c r="B2045" i="9"/>
  <c r="G2037" i="9"/>
  <c r="H2037" i="9"/>
  <c r="I2037" i="9"/>
  <c r="E2037" i="9"/>
  <c r="F2037" i="9"/>
  <c r="D2037" i="9"/>
  <c r="B2037" i="9"/>
  <c r="C2037" i="9"/>
  <c r="G2029" i="9"/>
  <c r="H2029" i="9"/>
  <c r="I2029" i="9"/>
  <c r="E2029" i="9"/>
  <c r="F2029" i="9"/>
  <c r="D2029" i="9"/>
  <c r="C2029" i="9"/>
  <c r="B2029" i="9"/>
  <c r="G2017" i="9"/>
  <c r="H2017" i="9"/>
  <c r="I2017" i="9"/>
  <c r="E2017" i="9"/>
  <c r="F2017" i="9"/>
  <c r="D2017" i="9"/>
  <c r="B2017" i="9"/>
  <c r="C2017" i="9"/>
  <c r="G2009" i="9"/>
  <c r="H2009" i="9"/>
  <c r="I2009" i="9"/>
  <c r="E2009" i="9"/>
  <c r="F2009" i="9"/>
  <c r="D2009" i="9"/>
  <c r="B2009" i="9"/>
  <c r="C2009" i="9"/>
  <c r="G2001" i="9"/>
  <c r="H2001" i="9"/>
  <c r="I2001" i="9"/>
  <c r="E2001" i="9"/>
  <c r="F2001" i="9"/>
  <c r="D2001" i="9"/>
  <c r="B2001" i="9"/>
  <c r="C2001" i="9"/>
  <c r="G1993" i="9"/>
  <c r="H1993" i="9"/>
  <c r="I1993" i="9"/>
  <c r="E1993" i="9"/>
  <c r="F1993" i="9"/>
  <c r="D1993" i="9"/>
  <c r="B1993" i="9"/>
  <c r="C1993" i="9"/>
  <c r="G1985" i="9"/>
  <c r="H1985" i="9"/>
  <c r="I1985" i="9"/>
  <c r="E1985" i="9"/>
  <c r="F1985" i="9"/>
  <c r="D1985" i="9"/>
  <c r="B1985" i="9"/>
  <c r="C1985" i="9"/>
  <c r="G1977" i="9"/>
  <c r="H1977" i="9"/>
  <c r="I1977" i="9"/>
  <c r="E1977" i="9"/>
  <c r="F1977" i="9"/>
  <c r="D1977" i="9"/>
  <c r="B1977" i="9"/>
  <c r="C1977" i="9"/>
  <c r="G1969" i="9"/>
  <c r="H1969" i="9"/>
  <c r="I1969" i="9"/>
  <c r="E1969" i="9"/>
  <c r="F1969" i="9"/>
  <c r="D1969" i="9"/>
  <c r="B1969" i="9"/>
  <c r="C1969" i="9"/>
  <c r="G1961" i="9"/>
  <c r="H1961" i="9"/>
  <c r="I1961" i="9"/>
  <c r="E1961" i="9"/>
  <c r="F1961" i="9"/>
  <c r="D1961" i="9"/>
  <c r="B1961" i="9"/>
  <c r="C1961" i="9"/>
  <c r="G1953" i="9"/>
  <c r="H1953" i="9"/>
  <c r="I1953" i="9"/>
  <c r="E1953" i="9"/>
  <c r="F1953" i="9"/>
  <c r="D1953" i="9"/>
  <c r="B1953" i="9"/>
  <c r="C1953" i="9"/>
  <c r="G1945" i="9"/>
  <c r="H1945" i="9"/>
  <c r="I1945" i="9"/>
  <c r="E1945" i="9"/>
  <c r="F1945" i="9"/>
  <c r="D1945" i="9"/>
  <c r="B1945" i="9"/>
  <c r="C1945" i="9"/>
  <c r="G1937" i="9"/>
  <c r="H1937" i="9"/>
  <c r="I1937" i="9"/>
  <c r="E1937" i="9"/>
  <c r="F1937" i="9"/>
  <c r="D1937" i="9"/>
  <c r="B1937" i="9"/>
  <c r="C1937" i="9"/>
  <c r="G1929" i="9"/>
  <c r="H1929" i="9"/>
  <c r="I1929" i="9"/>
  <c r="E1929" i="9"/>
  <c r="F1929" i="9"/>
  <c r="D1929" i="9"/>
  <c r="B1929" i="9"/>
  <c r="C1929" i="9"/>
  <c r="G1921" i="9"/>
  <c r="H1921" i="9"/>
  <c r="I1921" i="9"/>
  <c r="E1921" i="9"/>
  <c r="F1921" i="9"/>
  <c r="D1921" i="9"/>
  <c r="B1921" i="9"/>
  <c r="C1921" i="9"/>
  <c r="G1913" i="9"/>
  <c r="H1913" i="9"/>
  <c r="I1913" i="9"/>
  <c r="E1913" i="9"/>
  <c r="F1913" i="9"/>
  <c r="D1913" i="9"/>
  <c r="B1913" i="9"/>
  <c r="C1913" i="9"/>
  <c r="G1905" i="9"/>
  <c r="H1905" i="9"/>
  <c r="I1905" i="9"/>
  <c r="E1905" i="9"/>
  <c r="F1905" i="9"/>
  <c r="D1905" i="9"/>
  <c r="B1905" i="9"/>
  <c r="C1905" i="9"/>
  <c r="G1897" i="9"/>
  <c r="H1897" i="9"/>
  <c r="I1897" i="9"/>
  <c r="E1897" i="9"/>
  <c r="F1897" i="9"/>
  <c r="D1897" i="9"/>
  <c r="B1897" i="9"/>
  <c r="C1897" i="9"/>
  <c r="G1889" i="9"/>
  <c r="H1889" i="9"/>
  <c r="I1889" i="9"/>
  <c r="E1889" i="9"/>
  <c r="F1889" i="9"/>
  <c r="D1889" i="9"/>
  <c r="B1889" i="9"/>
  <c r="C1889" i="9"/>
  <c r="G1881" i="9"/>
  <c r="H1881" i="9"/>
  <c r="I1881" i="9"/>
  <c r="E1881" i="9"/>
  <c r="F1881" i="9"/>
  <c r="D1881" i="9"/>
  <c r="B1881" i="9"/>
  <c r="C1881" i="9"/>
  <c r="G1873" i="9"/>
  <c r="H1873" i="9"/>
  <c r="I1873" i="9"/>
  <c r="E1873" i="9"/>
  <c r="F1873" i="9"/>
  <c r="D1873" i="9"/>
  <c r="B1873" i="9"/>
  <c r="C1873" i="9"/>
  <c r="G1865" i="9"/>
  <c r="H1865" i="9"/>
  <c r="I1865" i="9"/>
  <c r="E1865" i="9"/>
  <c r="F1865" i="9"/>
  <c r="D1865" i="9"/>
  <c r="B1865" i="9"/>
  <c r="C1865" i="9"/>
  <c r="G1857" i="9"/>
  <c r="H1857" i="9"/>
  <c r="I1857" i="9"/>
  <c r="E1857" i="9"/>
  <c r="F1857" i="9"/>
  <c r="D1857" i="9"/>
  <c r="B1857" i="9"/>
  <c r="C1857" i="9"/>
  <c r="G1849" i="9"/>
  <c r="H1849" i="9"/>
  <c r="I1849" i="9"/>
  <c r="E1849" i="9"/>
  <c r="F1849" i="9"/>
  <c r="D1849" i="9"/>
  <c r="B1849" i="9"/>
  <c r="C1849" i="9"/>
  <c r="G1841" i="9"/>
  <c r="H1841" i="9"/>
  <c r="I1841" i="9"/>
  <c r="E1841" i="9"/>
  <c r="F1841" i="9"/>
  <c r="D1841" i="9"/>
  <c r="B1841" i="9"/>
  <c r="C1841" i="9"/>
  <c r="G1837" i="9"/>
  <c r="H1837" i="9"/>
  <c r="I1837" i="9"/>
  <c r="E1837" i="9"/>
  <c r="F1837" i="9"/>
  <c r="D1837" i="9"/>
  <c r="B1837" i="9"/>
  <c r="C1837" i="9"/>
  <c r="G1829" i="9"/>
  <c r="H1829" i="9"/>
  <c r="I1829" i="9"/>
  <c r="E1829" i="9"/>
  <c r="F1829" i="9"/>
  <c r="D1829" i="9"/>
  <c r="B1829" i="9"/>
  <c r="C1829" i="9"/>
  <c r="G1821" i="9"/>
  <c r="H1821" i="9"/>
  <c r="I1821" i="9"/>
  <c r="E1821" i="9"/>
  <c r="F1821" i="9"/>
  <c r="D1821" i="9"/>
  <c r="B1821" i="9"/>
  <c r="C1821" i="9"/>
  <c r="G1813" i="9"/>
  <c r="H1813" i="9"/>
  <c r="I1813" i="9"/>
  <c r="E1813" i="9"/>
  <c r="F1813" i="9"/>
  <c r="D1813" i="9"/>
  <c r="B1813" i="9"/>
  <c r="C1813" i="9"/>
  <c r="G1805" i="9"/>
  <c r="H1805" i="9"/>
  <c r="I1805" i="9"/>
  <c r="E1805" i="9"/>
  <c r="F1805" i="9"/>
  <c r="D1805" i="9"/>
  <c r="B1805" i="9"/>
  <c r="C1805" i="9"/>
  <c r="G1797" i="9"/>
  <c r="H1797" i="9"/>
  <c r="I1797" i="9"/>
  <c r="E1797" i="9"/>
  <c r="F1797" i="9"/>
  <c r="D1797" i="9"/>
  <c r="B1797" i="9"/>
  <c r="C1797" i="9"/>
  <c r="G1789" i="9"/>
  <c r="H1789" i="9"/>
  <c r="I1789" i="9"/>
  <c r="E1789" i="9"/>
  <c r="F1789" i="9"/>
  <c r="D1789" i="9"/>
  <c r="B1789" i="9"/>
  <c r="C1789" i="9"/>
  <c r="G1781" i="9"/>
  <c r="H1781" i="9"/>
  <c r="I1781" i="9"/>
  <c r="E1781" i="9"/>
  <c r="F1781" i="9"/>
  <c r="D1781" i="9"/>
  <c r="B1781" i="9"/>
  <c r="C1781" i="9"/>
  <c r="G1773" i="9"/>
  <c r="H1773" i="9"/>
  <c r="I1773" i="9"/>
  <c r="E1773" i="9"/>
  <c r="F1773" i="9"/>
  <c r="D1773" i="9"/>
  <c r="B1773" i="9"/>
  <c r="C1773" i="9"/>
  <c r="G1769" i="9"/>
  <c r="H1769" i="9"/>
  <c r="I1769" i="9"/>
  <c r="E1769" i="9"/>
  <c r="F1769" i="9"/>
  <c r="D1769" i="9"/>
  <c r="B1769" i="9"/>
  <c r="C1769" i="9"/>
  <c r="G1761" i="9"/>
  <c r="H1761" i="9"/>
  <c r="I1761" i="9"/>
  <c r="E1761" i="9"/>
  <c r="F1761" i="9"/>
  <c r="D1761" i="9"/>
  <c r="B1761" i="9"/>
  <c r="C1761" i="9"/>
  <c r="G1753" i="9"/>
  <c r="H1753" i="9"/>
  <c r="I1753" i="9"/>
  <c r="E1753" i="9"/>
  <c r="F1753" i="9"/>
  <c r="D1753" i="9"/>
  <c r="B1753" i="9"/>
  <c r="C1753" i="9"/>
  <c r="G1745" i="9"/>
  <c r="H1745" i="9"/>
  <c r="I1745" i="9"/>
  <c r="E1745" i="9"/>
  <c r="F1745" i="9"/>
  <c r="D1745" i="9"/>
  <c r="B1745" i="9"/>
  <c r="C1745" i="9"/>
  <c r="G1737" i="9"/>
  <c r="H1737" i="9"/>
  <c r="I1737" i="9"/>
  <c r="E1737" i="9"/>
  <c r="F1737" i="9"/>
  <c r="D1737" i="9"/>
  <c r="B1737" i="9"/>
  <c r="C1737" i="9"/>
  <c r="G1729" i="9"/>
  <c r="H1729" i="9"/>
  <c r="I1729" i="9"/>
  <c r="E1729" i="9"/>
  <c r="F1729" i="9"/>
  <c r="D1729" i="9"/>
  <c r="B1729" i="9"/>
  <c r="C1729" i="9"/>
  <c r="G1721" i="9"/>
  <c r="H1721" i="9"/>
  <c r="I1721" i="9"/>
  <c r="E1721" i="9"/>
  <c r="F1721" i="9"/>
  <c r="D1721" i="9"/>
  <c r="B1721" i="9"/>
  <c r="C1721" i="9"/>
  <c r="G1717" i="9"/>
  <c r="H1717" i="9"/>
  <c r="I1717" i="9"/>
  <c r="E1717" i="9"/>
  <c r="F1717" i="9"/>
  <c r="D1717" i="9"/>
  <c r="B1717" i="9"/>
  <c r="C1717" i="9"/>
  <c r="G1709" i="9"/>
  <c r="H1709" i="9"/>
  <c r="I1709" i="9"/>
  <c r="E1709" i="9"/>
  <c r="F1709" i="9"/>
  <c r="D1709" i="9"/>
  <c r="B1709" i="9"/>
  <c r="C1709" i="9"/>
  <c r="G1705" i="9"/>
  <c r="H1705" i="9"/>
  <c r="I1705" i="9"/>
  <c r="E1705" i="9"/>
  <c r="F1705" i="9"/>
  <c r="D1705" i="9"/>
  <c r="B1705" i="9"/>
  <c r="C1705" i="9"/>
  <c r="G1697" i="9"/>
  <c r="H1697" i="9"/>
  <c r="I1697" i="9"/>
  <c r="E1697" i="9"/>
  <c r="F1697" i="9"/>
  <c r="D1697" i="9"/>
  <c r="B1697" i="9"/>
  <c r="C1697" i="9"/>
  <c r="G1689" i="9"/>
  <c r="H1689" i="9"/>
  <c r="I1689" i="9"/>
  <c r="E1689" i="9"/>
  <c r="F1689" i="9"/>
  <c r="D1689" i="9"/>
  <c r="B1689" i="9"/>
  <c r="C1689" i="9"/>
  <c r="G1677" i="9"/>
  <c r="H1677" i="9"/>
  <c r="I1677" i="9"/>
  <c r="E1677" i="9"/>
  <c r="F1677" i="9"/>
  <c r="D1677" i="9"/>
  <c r="B1677" i="9"/>
  <c r="C1677" i="9"/>
  <c r="G1669" i="9"/>
  <c r="H1669" i="9"/>
  <c r="I1669" i="9"/>
  <c r="E1669" i="9"/>
  <c r="F1669" i="9"/>
  <c r="D1669" i="9"/>
  <c r="B1669" i="9"/>
  <c r="C1669" i="9"/>
  <c r="G1661" i="9"/>
  <c r="H1661" i="9"/>
  <c r="I1661" i="9"/>
  <c r="E1661" i="9"/>
  <c r="F1661" i="9"/>
  <c r="D1661" i="9"/>
  <c r="B1661" i="9"/>
  <c r="C1661" i="9"/>
  <c r="G1653" i="9"/>
  <c r="H1653" i="9"/>
  <c r="I1653" i="9"/>
  <c r="E1653" i="9"/>
  <c r="F1653" i="9"/>
  <c r="D1653" i="9"/>
  <c r="B1653" i="9"/>
  <c r="C1653" i="9"/>
  <c r="G1645" i="9"/>
  <c r="H1645" i="9"/>
  <c r="I1645" i="9"/>
  <c r="E1645" i="9"/>
  <c r="F1645" i="9"/>
  <c r="D1645" i="9"/>
  <c r="B1645" i="9"/>
  <c r="C1645" i="9"/>
  <c r="G1637" i="9"/>
  <c r="H1637" i="9"/>
  <c r="I1637" i="9"/>
  <c r="E1637" i="9"/>
  <c r="F1637" i="9"/>
  <c r="D1637" i="9"/>
  <c r="B1637" i="9"/>
  <c r="C1637" i="9"/>
  <c r="G1629" i="9"/>
  <c r="H1629" i="9"/>
  <c r="I1629" i="9"/>
  <c r="E1629" i="9"/>
  <c r="F1629" i="9"/>
  <c r="D1629" i="9"/>
  <c r="B1629" i="9"/>
  <c r="C1629" i="9"/>
  <c r="G1621" i="9"/>
  <c r="H1621" i="9"/>
  <c r="I1621" i="9"/>
  <c r="E1621" i="9"/>
  <c r="F1621" i="9"/>
  <c r="D1621" i="9"/>
  <c r="B1621" i="9"/>
  <c r="C1621" i="9"/>
  <c r="G1613" i="9"/>
  <c r="H1613" i="9"/>
  <c r="I1613" i="9"/>
  <c r="E1613" i="9"/>
  <c r="F1613" i="9"/>
  <c r="D1613" i="9"/>
  <c r="B1613" i="9"/>
  <c r="C1613" i="9"/>
  <c r="G1605" i="9"/>
  <c r="H1605" i="9"/>
  <c r="I1605" i="9"/>
  <c r="E1605" i="9"/>
  <c r="F1605" i="9"/>
  <c r="D1605" i="9"/>
  <c r="B1605" i="9"/>
  <c r="C1605" i="9"/>
  <c r="G1597" i="9"/>
  <c r="H1597" i="9"/>
  <c r="I1597" i="9"/>
  <c r="E1597" i="9"/>
  <c r="F1597" i="9"/>
  <c r="D1597" i="9"/>
  <c r="B1597" i="9"/>
  <c r="C1597" i="9"/>
  <c r="G1589" i="9"/>
  <c r="H1589" i="9"/>
  <c r="I1589" i="9"/>
  <c r="E1589" i="9"/>
  <c r="F1589" i="9"/>
  <c r="D1589" i="9"/>
  <c r="B1589" i="9"/>
  <c r="C1589" i="9"/>
  <c r="G1581" i="9"/>
  <c r="H1581" i="9"/>
  <c r="I1581" i="9"/>
  <c r="E1581" i="9"/>
  <c r="F1581" i="9"/>
  <c r="D1581" i="9"/>
  <c r="B1581" i="9"/>
  <c r="C1581" i="9"/>
  <c r="G1573" i="9"/>
  <c r="H1573" i="9"/>
  <c r="I1573" i="9"/>
  <c r="E1573" i="9"/>
  <c r="F1573" i="9"/>
  <c r="D1573" i="9"/>
  <c r="B1573" i="9"/>
  <c r="C1573" i="9"/>
  <c r="G1565" i="9"/>
  <c r="H1565" i="9"/>
  <c r="I1565" i="9"/>
  <c r="E1565" i="9"/>
  <c r="F1565" i="9"/>
  <c r="D1565" i="9"/>
  <c r="B1565" i="9"/>
  <c r="C1565" i="9"/>
  <c r="G1557" i="9"/>
  <c r="H1557" i="9"/>
  <c r="I1557" i="9"/>
  <c r="E1557" i="9"/>
  <c r="F1557" i="9"/>
  <c r="D1557" i="9"/>
  <c r="B1557" i="9"/>
  <c r="C1557" i="9"/>
  <c r="G1549" i="9"/>
  <c r="F1549" i="9"/>
  <c r="H1549" i="9"/>
  <c r="I1549" i="9"/>
  <c r="E1549" i="9"/>
  <c r="D1549" i="9"/>
  <c r="B1549" i="9"/>
  <c r="C1549" i="9"/>
  <c r="G1541" i="9"/>
  <c r="F1541" i="9"/>
  <c r="H1541" i="9"/>
  <c r="I1541" i="9"/>
  <c r="E1541" i="9"/>
  <c r="D1541" i="9"/>
  <c r="B1541" i="9"/>
  <c r="C1541" i="9"/>
  <c r="G1533" i="9"/>
  <c r="F1533" i="9"/>
  <c r="H1533" i="9"/>
  <c r="I1533" i="9"/>
  <c r="E1533" i="9"/>
  <c r="D1533" i="9"/>
  <c r="B1533" i="9"/>
  <c r="C1533" i="9"/>
  <c r="G1525" i="9"/>
  <c r="F1525" i="9"/>
  <c r="H1525" i="9"/>
  <c r="I1525" i="9"/>
  <c r="E1525" i="9"/>
  <c r="D1525" i="9"/>
  <c r="B1525" i="9"/>
  <c r="C1525" i="9"/>
  <c r="G1513" i="9"/>
  <c r="F1513" i="9"/>
  <c r="H1513" i="9"/>
  <c r="I1513" i="9"/>
  <c r="E1513" i="9"/>
  <c r="D1513" i="9"/>
  <c r="B1513" i="9"/>
  <c r="C1513" i="9"/>
  <c r="G1505" i="9"/>
  <c r="F1505" i="9"/>
  <c r="H1505" i="9"/>
  <c r="I1505" i="9"/>
  <c r="E1505" i="9"/>
  <c r="D1505" i="9"/>
  <c r="B1505" i="9"/>
  <c r="C1505" i="9"/>
  <c r="G1497" i="9"/>
  <c r="F1497" i="9"/>
  <c r="H1497" i="9"/>
  <c r="I1497" i="9"/>
  <c r="E1497" i="9"/>
  <c r="D1497" i="9"/>
  <c r="B1497" i="9"/>
  <c r="C1497" i="9"/>
  <c r="G1489" i="9"/>
  <c r="F1489" i="9"/>
  <c r="H1489" i="9"/>
  <c r="I1489" i="9"/>
  <c r="E1489" i="9"/>
  <c r="D1489" i="9"/>
  <c r="B1489" i="9"/>
  <c r="C1489" i="9"/>
  <c r="G1481" i="9"/>
  <c r="F1481" i="9"/>
  <c r="H1481" i="9"/>
  <c r="I1481" i="9"/>
  <c r="E1481" i="9"/>
  <c r="D1481" i="9"/>
  <c r="B1481" i="9"/>
  <c r="C1481" i="9"/>
  <c r="G1473" i="9"/>
  <c r="F1473" i="9"/>
  <c r="H1473" i="9"/>
  <c r="I1473" i="9"/>
  <c r="E1473" i="9"/>
  <c r="D1473" i="9"/>
  <c r="B1473" i="9"/>
  <c r="C1473" i="9"/>
  <c r="G1465" i="9"/>
  <c r="F1465" i="9"/>
  <c r="H1465" i="9"/>
  <c r="I1465" i="9"/>
  <c r="E1465" i="9"/>
  <c r="D1465" i="9"/>
  <c r="B1465" i="9"/>
  <c r="C1465" i="9"/>
  <c r="G1457" i="9"/>
  <c r="F1457" i="9"/>
  <c r="H1457" i="9"/>
  <c r="I1457" i="9"/>
  <c r="E1457" i="9"/>
  <c r="D1457" i="9"/>
  <c r="B1457" i="9"/>
  <c r="C1457" i="9"/>
  <c r="G1449" i="9"/>
  <c r="F1449" i="9"/>
  <c r="H1449" i="9"/>
  <c r="I1449" i="9"/>
  <c r="E1449" i="9"/>
  <c r="D1449" i="9"/>
  <c r="B1449" i="9"/>
  <c r="C1449" i="9"/>
  <c r="G1441" i="9"/>
  <c r="F1441" i="9"/>
  <c r="H1441" i="9"/>
  <c r="I1441" i="9"/>
  <c r="E1441" i="9"/>
  <c r="D1441" i="9"/>
  <c r="B1441" i="9"/>
  <c r="C1441" i="9"/>
  <c r="G1433" i="9"/>
  <c r="F1433" i="9"/>
  <c r="H1433" i="9"/>
  <c r="I1433" i="9"/>
  <c r="E1433" i="9"/>
  <c r="D1433" i="9"/>
  <c r="B1433" i="9"/>
  <c r="C1433" i="9"/>
  <c r="G1425" i="9"/>
  <c r="F1425" i="9"/>
  <c r="H1425" i="9"/>
  <c r="I1425" i="9"/>
  <c r="E1425" i="9"/>
  <c r="D1425" i="9"/>
  <c r="B1425" i="9"/>
  <c r="C1425" i="9"/>
  <c r="G1417" i="9"/>
  <c r="F1417" i="9"/>
  <c r="H1417" i="9"/>
  <c r="I1417" i="9"/>
  <c r="E1417" i="9"/>
  <c r="D1417" i="9"/>
  <c r="B1417" i="9"/>
  <c r="C1417" i="9"/>
  <c r="G1409" i="9"/>
  <c r="F1409" i="9"/>
  <c r="H1409" i="9"/>
  <c r="I1409" i="9"/>
  <c r="E1409" i="9"/>
  <c r="D1409" i="9"/>
  <c r="B1409" i="9"/>
  <c r="C1409" i="9"/>
  <c r="G1401" i="9"/>
  <c r="F1401" i="9"/>
  <c r="H1401" i="9"/>
  <c r="I1401" i="9"/>
  <c r="E1401" i="9"/>
  <c r="D1401" i="9"/>
  <c r="B1401" i="9"/>
  <c r="C1401" i="9"/>
  <c r="G1393" i="9"/>
  <c r="F1393" i="9"/>
  <c r="H1393" i="9"/>
  <c r="I1393" i="9"/>
  <c r="E1393" i="9"/>
  <c r="D1393" i="9"/>
  <c r="B1393" i="9"/>
  <c r="C1393" i="9"/>
  <c r="G1385" i="9"/>
  <c r="F1385" i="9"/>
  <c r="H1385" i="9"/>
  <c r="I1385" i="9"/>
  <c r="E1385" i="9"/>
  <c r="D1385" i="9"/>
  <c r="B1385" i="9"/>
  <c r="C1385" i="9"/>
  <c r="G1377" i="9"/>
  <c r="F1377" i="9"/>
  <c r="H1377" i="9"/>
  <c r="I1377" i="9"/>
  <c r="E1377" i="9"/>
  <c r="D1377" i="9"/>
  <c r="B1377" i="9"/>
  <c r="C1377" i="9"/>
  <c r="G1369" i="9"/>
  <c r="F1369" i="9"/>
  <c r="H1369" i="9"/>
  <c r="I1369" i="9"/>
  <c r="E1369" i="9"/>
  <c r="D1369" i="9"/>
  <c r="B1369" i="9"/>
  <c r="C1369" i="9"/>
  <c r="G1361" i="9"/>
  <c r="F1361" i="9"/>
  <c r="H1361" i="9"/>
  <c r="I1361" i="9"/>
  <c r="E1361" i="9"/>
  <c r="D1361" i="9"/>
  <c r="B1361" i="9"/>
  <c r="C1361" i="9"/>
  <c r="G1353" i="9"/>
  <c r="F1353" i="9"/>
  <c r="H1353" i="9"/>
  <c r="I1353" i="9"/>
  <c r="E1353" i="9"/>
  <c r="D1353" i="9"/>
  <c r="B1353" i="9"/>
  <c r="C1353" i="9"/>
  <c r="G1345" i="9"/>
  <c r="F1345" i="9"/>
  <c r="H1345" i="9"/>
  <c r="I1345" i="9"/>
  <c r="E1345" i="9"/>
  <c r="D1345" i="9"/>
  <c r="B1345" i="9"/>
  <c r="C1345" i="9"/>
  <c r="G1337" i="9"/>
  <c r="F1337" i="9"/>
  <c r="H1337" i="9"/>
  <c r="I1337" i="9"/>
  <c r="E1337" i="9"/>
  <c r="D1337" i="9"/>
  <c r="B1337" i="9"/>
  <c r="C1337" i="9"/>
  <c r="G1329" i="9"/>
  <c r="F1329" i="9"/>
  <c r="H1329" i="9"/>
  <c r="I1329" i="9"/>
  <c r="E1329" i="9"/>
  <c r="D1329" i="9"/>
  <c r="B1329" i="9"/>
  <c r="C1329" i="9"/>
  <c r="G1317" i="9"/>
  <c r="F1317" i="9"/>
  <c r="H1317" i="9"/>
  <c r="I1317" i="9"/>
  <c r="E1317" i="9"/>
  <c r="D1317" i="9"/>
  <c r="B1317" i="9"/>
  <c r="C1317" i="9"/>
  <c r="G1309" i="9"/>
  <c r="F1309" i="9"/>
  <c r="H1309" i="9"/>
  <c r="I1309" i="9"/>
  <c r="E1309" i="9"/>
  <c r="D1309" i="9"/>
  <c r="B1309" i="9"/>
  <c r="C1309" i="9"/>
  <c r="G1301" i="9"/>
  <c r="F1301" i="9"/>
  <c r="H1301" i="9"/>
  <c r="I1301" i="9"/>
  <c r="E1301" i="9"/>
  <c r="D1301" i="9"/>
  <c r="B1301" i="9"/>
  <c r="C1301" i="9"/>
  <c r="G1293" i="9"/>
  <c r="F1293" i="9"/>
  <c r="H1293" i="9"/>
  <c r="I1293" i="9"/>
  <c r="E1293" i="9"/>
  <c r="D1293" i="9"/>
  <c r="B1293" i="9"/>
  <c r="C1293" i="9"/>
  <c r="G1285" i="9"/>
  <c r="F1285" i="9"/>
  <c r="H1285" i="9"/>
  <c r="I1285" i="9"/>
  <c r="E1285" i="9"/>
  <c r="D1285" i="9"/>
  <c r="B1285" i="9"/>
  <c r="C1285" i="9"/>
  <c r="G1277" i="9"/>
  <c r="F1277" i="9"/>
  <c r="H1277" i="9"/>
  <c r="I1277" i="9"/>
  <c r="E1277" i="9"/>
  <c r="D1277" i="9"/>
  <c r="B1277" i="9"/>
  <c r="C1277" i="9"/>
  <c r="G1269" i="9"/>
  <c r="F1269" i="9"/>
  <c r="H1269" i="9"/>
  <c r="I1269" i="9"/>
  <c r="E1269" i="9"/>
  <c r="D1269" i="9"/>
  <c r="B1269" i="9"/>
  <c r="C1269" i="9"/>
  <c r="G1261" i="9"/>
  <c r="F1261" i="9"/>
  <c r="H1261" i="9"/>
  <c r="I1261" i="9"/>
  <c r="E1261" i="9"/>
  <c r="D1261" i="9"/>
  <c r="B1261" i="9"/>
  <c r="C1261" i="9"/>
  <c r="G1253" i="9"/>
  <c r="F1253" i="9"/>
  <c r="H1253" i="9"/>
  <c r="I1253" i="9"/>
  <c r="E1253" i="9"/>
  <c r="D1253" i="9"/>
  <c r="B1253" i="9"/>
  <c r="C1253" i="9"/>
  <c r="G1245" i="9"/>
  <c r="F1245" i="9"/>
  <c r="H1245" i="9"/>
  <c r="I1245" i="9"/>
  <c r="E1245" i="9"/>
  <c r="D1245" i="9"/>
  <c r="B1245" i="9"/>
  <c r="C1245" i="9"/>
  <c r="G1241" i="9"/>
  <c r="F1241" i="9"/>
  <c r="H1241" i="9"/>
  <c r="I1241" i="9"/>
  <c r="E1241" i="9"/>
  <c r="D1241" i="9"/>
  <c r="B1241" i="9"/>
  <c r="C1241" i="9"/>
  <c r="G1233" i="9"/>
  <c r="F1233" i="9"/>
  <c r="H1233" i="9"/>
  <c r="I1233" i="9"/>
  <c r="E1233" i="9"/>
  <c r="D1233" i="9"/>
  <c r="B1233" i="9"/>
  <c r="C1233" i="9"/>
  <c r="G1225" i="9"/>
  <c r="F1225" i="9"/>
  <c r="H1225" i="9"/>
  <c r="I1225" i="9"/>
  <c r="E1225" i="9"/>
  <c r="D1225" i="9"/>
  <c r="B1225" i="9"/>
  <c r="C1225" i="9"/>
  <c r="G1217" i="9"/>
  <c r="F1217" i="9"/>
  <c r="H1217" i="9"/>
  <c r="I1217" i="9"/>
  <c r="E1217" i="9"/>
  <c r="D1217" i="9"/>
  <c r="B1217" i="9"/>
  <c r="C1217" i="9"/>
  <c r="G1209" i="9"/>
  <c r="F1209" i="9"/>
  <c r="H1209" i="9"/>
  <c r="I1209" i="9"/>
  <c r="E1209" i="9"/>
  <c r="D1209" i="9"/>
  <c r="B1209" i="9"/>
  <c r="C1209" i="9"/>
  <c r="G1201" i="9"/>
  <c r="F1201" i="9"/>
  <c r="H1201" i="9"/>
  <c r="I1201" i="9"/>
  <c r="E1201" i="9"/>
  <c r="D1201" i="9"/>
  <c r="B1201" i="9"/>
  <c r="C1201" i="9"/>
  <c r="G1193" i="9"/>
  <c r="F1193" i="9"/>
  <c r="H1193" i="9"/>
  <c r="I1193" i="9"/>
  <c r="E1193" i="9"/>
  <c r="D1193" i="9"/>
  <c r="B1193" i="9"/>
  <c r="C1193" i="9"/>
  <c r="G1185" i="9"/>
  <c r="F1185" i="9"/>
  <c r="H1185" i="9"/>
  <c r="I1185" i="9"/>
  <c r="E1185" i="9"/>
  <c r="D1185" i="9"/>
  <c r="B1185" i="9"/>
  <c r="C1185" i="9"/>
  <c r="G1177" i="9"/>
  <c r="F1177" i="9"/>
  <c r="H1177" i="9"/>
  <c r="I1177" i="9"/>
  <c r="E1177" i="9"/>
  <c r="D1177" i="9"/>
  <c r="B1177" i="9"/>
  <c r="C1177" i="9"/>
  <c r="G1169" i="9"/>
  <c r="F1169" i="9"/>
  <c r="H1169" i="9"/>
  <c r="I1169" i="9"/>
  <c r="E1169" i="9"/>
  <c r="D1169" i="9"/>
  <c r="B1169" i="9"/>
  <c r="C1169" i="9"/>
  <c r="G1161" i="9"/>
  <c r="F1161" i="9"/>
  <c r="H1161" i="9"/>
  <c r="I1161" i="9"/>
  <c r="E1161" i="9"/>
  <c r="D1161" i="9"/>
  <c r="B1161" i="9"/>
  <c r="C1161" i="9"/>
  <c r="G1153" i="9"/>
  <c r="F1153" i="9"/>
  <c r="H1153" i="9"/>
  <c r="I1153" i="9"/>
  <c r="E1153" i="9"/>
  <c r="D1153" i="9"/>
  <c r="B1153" i="9"/>
  <c r="C1153" i="9"/>
  <c r="G1145" i="9"/>
  <c r="F1145" i="9"/>
  <c r="H1145" i="9"/>
  <c r="I1145" i="9"/>
  <c r="E1145" i="9"/>
  <c r="D1145" i="9"/>
  <c r="B1145" i="9"/>
  <c r="C1145" i="9"/>
  <c r="G1137" i="9"/>
  <c r="F1137" i="9"/>
  <c r="H1137" i="9"/>
  <c r="I1137" i="9"/>
  <c r="E1137" i="9"/>
  <c r="D1137" i="9"/>
  <c r="B1137" i="9"/>
  <c r="C1137" i="9"/>
  <c r="G1133" i="9"/>
  <c r="F1133" i="9"/>
  <c r="H1133" i="9"/>
  <c r="I1133" i="9"/>
  <c r="E1133" i="9"/>
  <c r="D1133" i="9"/>
  <c r="B1133" i="9"/>
  <c r="C1133" i="9"/>
  <c r="G1125" i="9"/>
  <c r="F1125" i="9"/>
  <c r="H1125" i="9"/>
  <c r="I1125" i="9"/>
  <c r="E1125" i="9"/>
  <c r="D1125" i="9"/>
  <c r="B1125" i="9"/>
  <c r="C1125" i="9"/>
  <c r="G1121" i="9"/>
  <c r="F1121" i="9"/>
  <c r="H1121" i="9"/>
  <c r="I1121" i="9"/>
  <c r="E1121" i="9"/>
  <c r="D1121" i="9"/>
  <c r="B1121" i="9"/>
  <c r="C1121" i="9"/>
  <c r="G1101" i="9"/>
  <c r="F1101" i="9"/>
  <c r="H1101" i="9"/>
  <c r="I1101" i="9"/>
  <c r="E1101" i="9"/>
  <c r="D1101" i="9"/>
  <c r="B1101" i="9"/>
  <c r="C1101" i="9"/>
  <c r="G1093" i="9"/>
  <c r="F1093" i="9"/>
  <c r="H1093" i="9"/>
  <c r="I1093" i="9"/>
  <c r="E1093" i="9"/>
  <c r="D1093" i="9"/>
  <c r="B1093" i="9"/>
  <c r="C1093" i="9"/>
  <c r="G1085" i="9"/>
  <c r="F1085" i="9"/>
  <c r="H1085" i="9"/>
  <c r="I1085" i="9"/>
  <c r="E1085" i="9"/>
  <c r="D1085" i="9"/>
  <c r="B1085" i="9"/>
  <c r="C1085" i="9"/>
  <c r="G1077" i="9"/>
  <c r="F1077" i="9"/>
  <c r="H1077" i="9"/>
  <c r="I1077" i="9"/>
  <c r="E1077" i="9"/>
  <c r="D1077" i="9"/>
  <c r="B1077" i="9"/>
  <c r="C1077" i="9"/>
  <c r="G1061" i="9"/>
  <c r="F1061" i="9"/>
  <c r="H1061" i="9"/>
  <c r="I1061" i="9"/>
  <c r="E1061" i="9"/>
  <c r="D1061" i="9"/>
  <c r="B1061" i="9"/>
  <c r="C1061" i="9"/>
  <c r="G1053" i="9"/>
  <c r="F1053" i="9"/>
  <c r="H1053" i="9"/>
  <c r="I1053" i="9"/>
  <c r="E1053" i="9"/>
  <c r="D1053" i="9"/>
  <c r="B1053" i="9"/>
  <c r="C1053" i="9"/>
  <c r="G1045" i="9"/>
  <c r="F1045" i="9"/>
  <c r="H1045" i="9"/>
  <c r="I1045" i="9"/>
  <c r="E1045" i="9"/>
  <c r="D1045" i="9"/>
  <c r="B1045" i="9"/>
  <c r="C1045" i="9"/>
  <c r="G1033" i="9"/>
  <c r="F1033" i="9"/>
  <c r="H1033" i="9"/>
  <c r="I1033" i="9"/>
  <c r="E1033" i="9"/>
  <c r="D1033" i="9"/>
  <c r="B1033" i="9"/>
  <c r="C1033" i="9"/>
  <c r="G1025" i="9"/>
  <c r="F1025" i="9"/>
  <c r="H1025" i="9"/>
  <c r="I1025" i="9"/>
  <c r="E1025" i="9"/>
  <c r="D1025" i="9"/>
  <c r="B1025" i="9"/>
  <c r="C1025" i="9"/>
  <c r="G1017" i="9"/>
  <c r="F1017" i="9"/>
  <c r="H1017" i="9"/>
  <c r="I1017" i="9"/>
  <c r="E1017" i="9"/>
  <c r="D1017" i="9"/>
  <c r="B1017" i="9"/>
  <c r="C1017" i="9"/>
  <c r="G1005" i="9"/>
  <c r="F1005" i="9"/>
  <c r="H1005" i="9"/>
  <c r="I1005" i="9"/>
  <c r="E1005" i="9"/>
  <c r="D1005" i="9"/>
  <c r="B1005" i="9"/>
  <c r="C1005" i="9"/>
  <c r="G993" i="9"/>
  <c r="F993" i="9"/>
  <c r="H993" i="9"/>
  <c r="I993" i="9"/>
  <c r="E993" i="9"/>
  <c r="D993" i="9"/>
  <c r="B993" i="9"/>
  <c r="C993" i="9"/>
  <c r="G989" i="9"/>
  <c r="F989" i="9"/>
  <c r="H989" i="9"/>
  <c r="I989" i="9"/>
  <c r="E989" i="9"/>
  <c r="D989" i="9"/>
  <c r="B989" i="9"/>
  <c r="C989" i="9"/>
  <c r="G981" i="9"/>
  <c r="F981" i="9"/>
  <c r="H981" i="9"/>
  <c r="I981" i="9"/>
  <c r="E981" i="9"/>
  <c r="D981" i="9"/>
  <c r="B981" i="9"/>
  <c r="C981" i="9"/>
  <c r="G973" i="9"/>
  <c r="F973" i="9"/>
  <c r="H973" i="9"/>
  <c r="I973" i="9"/>
  <c r="E973" i="9"/>
  <c r="D973" i="9"/>
  <c r="B973" i="9"/>
  <c r="C973" i="9"/>
  <c r="G965" i="9"/>
  <c r="F965" i="9"/>
  <c r="H965" i="9"/>
  <c r="I965" i="9"/>
  <c r="E965" i="9"/>
  <c r="D965" i="9"/>
  <c r="B965" i="9"/>
  <c r="C965" i="9"/>
  <c r="G953" i="9"/>
  <c r="F953" i="9"/>
  <c r="H953" i="9"/>
  <c r="I953" i="9"/>
  <c r="E953" i="9"/>
  <c r="D953" i="9"/>
  <c r="B953" i="9"/>
  <c r="C953" i="9"/>
  <c r="G945" i="9"/>
  <c r="F945" i="9"/>
  <c r="H945" i="9"/>
  <c r="I945" i="9"/>
  <c r="E945" i="9"/>
  <c r="D945" i="9"/>
  <c r="B945" i="9"/>
  <c r="C945" i="9"/>
  <c r="G933" i="9"/>
  <c r="F933" i="9"/>
  <c r="H933" i="9"/>
  <c r="I933" i="9"/>
  <c r="E933" i="9"/>
  <c r="D933" i="9"/>
  <c r="B933" i="9"/>
  <c r="C933" i="9"/>
  <c r="G925" i="9"/>
  <c r="F925" i="9"/>
  <c r="H925" i="9"/>
  <c r="I925" i="9"/>
  <c r="E925" i="9"/>
  <c r="D925" i="9"/>
  <c r="B925" i="9"/>
  <c r="C925" i="9"/>
  <c r="G921" i="9"/>
  <c r="F921" i="9"/>
  <c r="H921" i="9"/>
  <c r="I921" i="9"/>
  <c r="E921" i="9"/>
  <c r="D921" i="9"/>
  <c r="B921" i="9"/>
  <c r="C921" i="9"/>
  <c r="G909" i="9"/>
  <c r="F909" i="9"/>
  <c r="H909" i="9"/>
  <c r="I909" i="9"/>
  <c r="E909" i="9"/>
  <c r="D909" i="9"/>
  <c r="B909" i="9"/>
  <c r="C909" i="9"/>
  <c r="G901" i="9"/>
  <c r="F901" i="9"/>
  <c r="H901" i="9"/>
  <c r="I901" i="9"/>
  <c r="E901" i="9"/>
  <c r="D901" i="9"/>
  <c r="B901" i="9"/>
  <c r="C901" i="9"/>
  <c r="G893" i="9"/>
  <c r="F893" i="9"/>
  <c r="H893" i="9"/>
  <c r="I893" i="9"/>
  <c r="E893" i="9"/>
  <c r="D893" i="9"/>
  <c r="B893" i="9"/>
  <c r="C893" i="9"/>
  <c r="G885" i="9"/>
  <c r="F885" i="9"/>
  <c r="H885" i="9"/>
  <c r="I885" i="9"/>
  <c r="E885" i="9"/>
  <c r="D885" i="9"/>
  <c r="B885" i="9"/>
  <c r="C885" i="9"/>
  <c r="G877" i="9"/>
  <c r="F877" i="9"/>
  <c r="H877" i="9"/>
  <c r="I877" i="9"/>
  <c r="E877" i="9"/>
  <c r="D877" i="9"/>
  <c r="B877" i="9"/>
  <c r="C877" i="9"/>
  <c r="G869" i="9"/>
  <c r="F869" i="9"/>
  <c r="H869" i="9"/>
  <c r="I869" i="9"/>
  <c r="E869" i="9"/>
  <c r="D869" i="9"/>
  <c r="B869" i="9"/>
  <c r="C869" i="9"/>
  <c r="G861" i="9"/>
  <c r="F861" i="9"/>
  <c r="H861" i="9"/>
  <c r="I861" i="9"/>
  <c r="E861" i="9"/>
  <c r="D861" i="9"/>
  <c r="B861" i="9"/>
  <c r="C861" i="9"/>
  <c r="G853" i="9"/>
  <c r="F853" i="9"/>
  <c r="H853" i="9"/>
  <c r="I853" i="9"/>
  <c r="E853" i="9"/>
  <c r="D853" i="9"/>
  <c r="B853" i="9"/>
  <c r="C853" i="9"/>
  <c r="G845" i="9"/>
  <c r="F845" i="9"/>
  <c r="H845" i="9"/>
  <c r="I845" i="9"/>
  <c r="E845" i="9"/>
  <c r="D845" i="9"/>
  <c r="B845" i="9"/>
  <c r="C845" i="9"/>
  <c r="G829" i="9"/>
  <c r="F829" i="9"/>
  <c r="H829" i="9"/>
  <c r="I829" i="9"/>
  <c r="E829" i="9"/>
  <c r="D829" i="9"/>
  <c r="B829" i="9"/>
  <c r="C829" i="9"/>
  <c r="G825" i="9"/>
  <c r="F825" i="9"/>
  <c r="H825" i="9"/>
  <c r="I825" i="9"/>
  <c r="E825" i="9"/>
  <c r="D825" i="9"/>
  <c r="B825" i="9"/>
  <c r="C825" i="9"/>
  <c r="G817" i="9"/>
  <c r="F817" i="9"/>
  <c r="H817" i="9"/>
  <c r="I817" i="9"/>
  <c r="E817" i="9"/>
  <c r="D817" i="9"/>
  <c r="B817" i="9"/>
  <c r="C817" i="9"/>
  <c r="G809" i="9"/>
  <c r="F809" i="9"/>
  <c r="H809" i="9"/>
  <c r="I809" i="9"/>
  <c r="E809" i="9"/>
  <c r="D809" i="9"/>
  <c r="B809" i="9"/>
  <c r="C809" i="9"/>
  <c r="G801" i="9"/>
  <c r="F801" i="9"/>
  <c r="H801" i="9"/>
  <c r="I801" i="9"/>
  <c r="E801" i="9"/>
  <c r="D801" i="9"/>
  <c r="B801" i="9"/>
  <c r="C801" i="9"/>
  <c r="G789" i="9"/>
  <c r="F789" i="9"/>
  <c r="H789" i="9"/>
  <c r="I789" i="9"/>
  <c r="E789" i="9"/>
  <c r="D789" i="9"/>
  <c r="B789" i="9"/>
  <c r="C789" i="9"/>
  <c r="G781" i="9"/>
  <c r="F781" i="9"/>
  <c r="H781" i="9"/>
  <c r="I781" i="9"/>
  <c r="E781" i="9"/>
  <c r="D781" i="9"/>
  <c r="B781" i="9"/>
  <c r="C781" i="9"/>
  <c r="G773" i="9"/>
  <c r="F773" i="9"/>
  <c r="H773" i="9"/>
  <c r="I773" i="9"/>
  <c r="E773" i="9"/>
  <c r="D773" i="9"/>
  <c r="B773" i="9"/>
  <c r="C773" i="9"/>
  <c r="G765" i="9"/>
  <c r="F765" i="9"/>
  <c r="H765" i="9"/>
  <c r="I765" i="9"/>
  <c r="E765" i="9"/>
  <c r="D765" i="9"/>
  <c r="B765" i="9"/>
  <c r="C765" i="9"/>
  <c r="G757" i="9"/>
  <c r="F757" i="9"/>
  <c r="H757" i="9"/>
  <c r="I757" i="9"/>
  <c r="E757" i="9"/>
  <c r="D757" i="9"/>
  <c r="B757" i="9"/>
  <c r="C757" i="9"/>
  <c r="G749" i="9"/>
  <c r="F749" i="9"/>
  <c r="H749" i="9"/>
  <c r="I749" i="9"/>
  <c r="E749" i="9"/>
  <c r="D749" i="9"/>
  <c r="B749" i="9"/>
  <c r="C749" i="9"/>
  <c r="G741" i="9"/>
  <c r="F741" i="9"/>
  <c r="H741" i="9"/>
  <c r="I741" i="9"/>
  <c r="E741" i="9"/>
  <c r="D741" i="9"/>
  <c r="B741" i="9"/>
  <c r="C741" i="9"/>
  <c r="G733" i="9"/>
  <c r="F733" i="9"/>
  <c r="H733" i="9"/>
  <c r="I733" i="9"/>
  <c r="E733" i="9"/>
  <c r="D733" i="9"/>
  <c r="B733" i="9"/>
  <c r="C733" i="9"/>
  <c r="G725" i="9"/>
  <c r="F725" i="9"/>
  <c r="H725" i="9"/>
  <c r="I725" i="9"/>
  <c r="E725" i="9"/>
  <c r="D725" i="9"/>
  <c r="B725" i="9"/>
  <c r="C725" i="9"/>
  <c r="G717" i="9"/>
  <c r="F717" i="9"/>
  <c r="H717" i="9"/>
  <c r="I717" i="9"/>
  <c r="E717" i="9"/>
  <c r="D717" i="9"/>
  <c r="B717" i="9"/>
  <c r="C717" i="9"/>
  <c r="G709" i="9"/>
  <c r="F709" i="9"/>
  <c r="H709" i="9"/>
  <c r="I709" i="9"/>
  <c r="E709" i="9"/>
  <c r="D709" i="9"/>
  <c r="B709" i="9"/>
  <c r="C709" i="9"/>
  <c r="G701" i="9"/>
  <c r="F701" i="9"/>
  <c r="H701" i="9"/>
  <c r="I701" i="9"/>
  <c r="E701" i="9"/>
  <c r="D701" i="9"/>
  <c r="B701" i="9"/>
  <c r="C701" i="9"/>
  <c r="G693" i="9"/>
  <c r="F693" i="9"/>
  <c r="H693" i="9"/>
  <c r="I693" i="9"/>
  <c r="E693" i="9"/>
  <c r="D693" i="9"/>
  <c r="B693" i="9"/>
  <c r="C693" i="9"/>
  <c r="G685" i="9"/>
  <c r="F685" i="9"/>
  <c r="H685" i="9"/>
  <c r="I685" i="9"/>
  <c r="E685" i="9"/>
  <c r="D685" i="9"/>
  <c r="B685" i="9"/>
  <c r="C685" i="9"/>
  <c r="G677" i="9"/>
  <c r="F677" i="9"/>
  <c r="H677" i="9"/>
  <c r="I677" i="9"/>
  <c r="E677" i="9"/>
  <c r="D677" i="9"/>
  <c r="B677" i="9"/>
  <c r="C677" i="9"/>
  <c r="G669" i="9"/>
  <c r="F669" i="9"/>
  <c r="H669" i="9"/>
  <c r="I669" i="9"/>
  <c r="E669" i="9"/>
  <c r="D669" i="9"/>
  <c r="B669" i="9"/>
  <c r="C669" i="9"/>
  <c r="G661" i="9"/>
  <c r="F661" i="9"/>
  <c r="H661" i="9"/>
  <c r="I661" i="9"/>
  <c r="E661" i="9"/>
  <c r="D661" i="9"/>
  <c r="B661" i="9"/>
  <c r="C661" i="9"/>
  <c r="G653" i="9"/>
  <c r="F653" i="9"/>
  <c r="H653" i="9"/>
  <c r="I653" i="9"/>
  <c r="E653" i="9"/>
  <c r="D653" i="9"/>
  <c r="B653" i="9"/>
  <c r="C653" i="9"/>
  <c r="G645" i="9"/>
  <c r="F645" i="9"/>
  <c r="H645" i="9"/>
  <c r="I645" i="9"/>
  <c r="E645" i="9"/>
  <c r="D645" i="9"/>
  <c r="B645" i="9"/>
  <c r="C645" i="9"/>
  <c r="G637" i="9"/>
  <c r="F637" i="9"/>
  <c r="H637" i="9"/>
  <c r="I637" i="9"/>
  <c r="E637" i="9"/>
  <c r="D637" i="9"/>
  <c r="B637" i="9"/>
  <c r="C637" i="9"/>
  <c r="G629" i="9"/>
  <c r="F629" i="9"/>
  <c r="H629" i="9"/>
  <c r="I629" i="9"/>
  <c r="E629" i="9"/>
  <c r="D629" i="9"/>
  <c r="B629" i="9"/>
  <c r="C629" i="9"/>
  <c r="G621" i="9"/>
  <c r="F621" i="9"/>
  <c r="H621" i="9"/>
  <c r="I621" i="9"/>
  <c r="E621" i="9"/>
  <c r="D621" i="9"/>
  <c r="B621" i="9"/>
  <c r="C621" i="9"/>
  <c r="G613" i="9"/>
  <c r="F613" i="9"/>
  <c r="H613" i="9"/>
  <c r="I613" i="9"/>
  <c r="E613" i="9"/>
  <c r="D613" i="9"/>
  <c r="B613" i="9"/>
  <c r="C613" i="9"/>
  <c r="G605" i="9"/>
  <c r="F605" i="9"/>
  <c r="H605" i="9"/>
  <c r="I605" i="9"/>
  <c r="E605" i="9"/>
  <c r="D605" i="9"/>
  <c r="B605" i="9"/>
  <c r="C605" i="9"/>
  <c r="G597" i="9"/>
  <c r="F597" i="9"/>
  <c r="H597" i="9"/>
  <c r="I597" i="9"/>
  <c r="E597" i="9"/>
  <c r="D597" i="9"/>
  <c r="B597" i="9"/>
  <c r="C597" i="9"/>
  <c r="G589" i="9"/>
  <c r="F589" i="9"/>
  <c r="H589" i="9"/>
  <c r="I589" i="9"/>
  <c r="E589" i="9"/>
  <c r="D589" i="9"/>
  <c r="B589" i="9"/>
  <c r="C589" i="9"/>
  <c r="G581" i="9"/>
  <c r="F581" i="9"/>
  <c r="H581" i="9"/>
  <c r="I581" i="9"/>
  <c r="E581" i="9"/>
  <c r="D581" i="9"/>
  <c r="B581" i="9"/>
  <c r="C581" i="9"/>
  <c r="G573" i="9"/>
  <c r="F573" i="9"/>
  <c r="H573" i="9"/>
  <c r="I573" i="9"/>
  <c r="E573" i="9"/>
  <c r="D573" i="9"/>
  <c r="B573" i="9"/>
  <c r="C573" i="9"/>
  <c r="G565" i="9"/>
  <c r="F565" i="9"/>
  <c r="H565" i="9"/>
  <c r="I565" i="9"/>
  <c r="E565" i="9"/>
  <c r="D565" i="9"/>
  <c r="B565" i="9"/>
  <c r="C565" i="9"/>
  <c r="G557" i="9"/>
  <c r="F557" i="9"/>
  <c r="H557" i="9"/>
  <c r="I557" i="9"/>
  <c r="E557" i="9"/>
  <c r="D557" i="9"/>
  <c r="B557" i="9"/>
  <c r="C557" i="9"/>
  <c r="G549" i="9"/>
  <c r="F549" i="9"/>
  <c r="H549" i="9"/>
  <c r="I549" i="9"/>
  <c r="E549" i="9"/>
  <c r="D549" i="9"/>
  <c r="B549" i="9"/>
  <c r="C549" i="9"/>
  <c r="G541" i="9"/>
  <c r="F541" i="9"/>
  <c r="H541" i="9"/>
  <c r="I541" i="9"/>
  <c r="E541" i="9"/>
  <c r="D541" i="9"/>
  <c r="B541" i="9"/>
  <c r="C541" i="9"/>
  <c r="G533" i="9"/>
  <c r="F533" i="9"/>
  <c r="H533" i="9"/>
  <c r="I533" i="9"/>
  <c r="E533" i="9"/>
  <c r="D533" i="9"/>
  <c r="B533" i="9"/>
  <c r="C533" i="9"/>
  <c r="G525" i="9"/>
  <c r="F525" i="9"/>
  <c r="H525" i="9"/>
  <c r="I525" i="9"/>
  <c r="E525" i="9"/>
  <c r="D525" i="9"/>
  <c r="B525" i="9"/>
  <c r="C525" i="9"/>
  <c r="G517" i="9"/>
  <c r="F517" i="9"/>
  <c r="H517" i="9"/>
  <c r="I517" i="9"/>
  <c r="E517" i="9"/>
  <c r="D517" i="9"/>
  <c r="B517" i="9"/>
  <c r="C517" i="9"/>
  <c r="G509" i="9"/>
  <c r="F509" i="9"/>
  <c r="H509" i="9"/>
  <c r="I509" i="9"/>
  <c r="E509" i="9"/>
  <c r="D509" i="9"/>
  <c r="B509" i="9"/>
  <c r="C509" i="9"/>
  <c r="G501" i="9"/>
  <c r="F501" i="9"/>
  <c r="H501" i="9"/>
  <c r="I501" i="9"/>
  <c r="E501" i="9"/>
  <c r="D501" i="9"/>
  <c r="B501" i="9"/>
  <c r="C501" i="9"/>
  <c r="G493" i="9"/>
  <c r="F493" i="9"/>
  <c r="H493" i="9"/>
  <c r="I493" i="9"/>
  <c r="E493" i="9"/>
  <c r="D493" i="9"/>
  <c r="B493" i="9"/>
  <c r="C493" i="9"/>
  <c r="G481" i="9"/>
  <c r="F481" i="9"/>
  <c r="H481" i="9"/>
  <c r="I481" i="9"/>
  <c r="E481" i="9"/>
  <c r="D481" i="9"/>
  <c r="B481" i="9"/>
  <c r="C481" i="9"/>
  <c r="G473" i="9"/>
  <c r="F473" i="9"/>
  <c r="H473" i="9"/>
  <c r="I473" i="9"/>
  <c r="E473" i="9"/>
  <c r="D473" i="9"/>
  <c r="B473" i="9"/>
  <c r="C473" i="9"/>
  <c r="G465" i="9"/>
  <c r="F465" i="9"/>
  <c r="H465" i="9"/>
  <c r="I465" i="9"/>
  <c r="E465" i="9"/>
  <c r="D465" i="9"/>
  <c r="B465" i="9"/>
  <c r="C465" i="9"/>
  <c r="G457" i="9"/>
  <c r="F457" i="9"/>
  <c r="H457" i="9"/>
  <c r="I457" i="9"/>
  <c r="E457" i="9"/>
  <c r="D457" i="9"/>
  <c r="B457" i="9"/>
  <c r="C457" i="9"/>
  <c r="G449" i="9"/>
  <c r="F449" i="9"/>
  <c r="H449" i="9"/>
  <c r="I449" i="9"/>
  <c r="E449" i="9"/>
  <c r="D449" i="9"/>
  <c r="B449" i="9"/>
  <c r="C449" i="9"/>
  <c r="G441" i="9"/>
  <c r="F441" i="9"/>
  <c r="H441" i="9"/>
  <c r="I441" i="9"/>
  <c r="E441" i="9"/>
  <c r="D441" i="9"/>
  <c r="B441" i="9"/>
  <c r="C441" i="9"/>
  <c r="G433" i="9"/>
  <c r="F433" i="9"/>
  <c r="H433" i="9"/>
  <c r="I433" i="9"/>
  <c r="E433" i="9"/>
  <c r="D433" i="9"/>
  <c r="B433" i="9"/>
  <c r="C433" i="9"/>
  <c r="G425" i="9"/>
  <c r="F425" i="9"/>
  <c r="H425" i="9"/>
  <c r="I425" i="9"/>
  <c r="E425" i="9"/>
  <c r="D425" i="9"/>
  <c r="B425" i="9"/>
  <c r="C425" i="9"/>
  <c r="G417" i="9"/>
  <c r="F417" i="9"/>
  <c r="H417" i="9"/>
  <c r="I417" i="9"/>
  <c r="E417" i="9"/>
  <c r="D417" i="9"/>
  <c r="B417" i="9"/>
  <c r="C417" i="9"/>
  <c r="G409" i="9"/>
  <c r="F409" i="9"/>
  <c r="H409" i="9"/>
  <c r="I409" i="9"/>
  <c r="E409" i="9"/>
  <c r="D409" i="9"/>
  <c r="B409" i="9"/>
  <c r="C409" i="9"/>
  <c r="G397" i="9"/>
  <c r="F397" i="9"/>
  <c r="H397" i="9"/>
  <c r="I397" i="9"/>
  <c r="E397" i="9"/>
  <c r="D397" i="9"/>
  <c r="B397" i="9"/>
  <c r="C397" i="9"/>
  <c r="G389" i="9"/>
  <c r="F389" i="9"/>
  <c r="H389" i="9"/>
  <c r="I389" i="9"/>
  <c r="E389" i="9"/>
  <c r="D389" i="9"/>
  <c r="B389" i="9"/>
  <c r="C389" i="9"/>
  <c r="G381" i="9"/>
  <c r="F381" i="9"/>
  <c r="H381" i="9"/>
  <c r="I381" i="9"/>
  <c r="E381" i="9"/>
  <c r="D381" i="9"/>
  <c r="B381" i="9"/>
  <c r="C381" i="9"/>
  <c r="G373" i="9"/>
  <c r="F373" i="9"/>
  <c r="H373" i="9"/>
  <c r="I373" i="9"/>
  <c r="E373" i="9"/>
  <c r="D373" i="9"/>
  <c r="B373" i="9"/>
  <c r="C373" i="9"/>
  <c r="G365" i="9"/>
  <c r="F365" i="9"/>
  <c r="H365" i="9"/>
  <c r="I365" i="9"/>
  <c r="E365" i="9"/>
  <c r="D365" i="9"/>
  <c r="B365" i="9"/>
  <c r="C365" i="9"/>
  <c r="G357" i="9"/>
  <c r="F357" i="9"/>
  <c r="H357" i="9"/>
  <c r="I357" i="9"/>
  <c r="E357" i="9"/>
  <c r="D357" i="9"/>
  <c r="B357" i="9"/>
  <c r="C357" i="9"/>
  <c r="G349" i="9"/>
  <c r="F349" i="9"/>
  <c r="H349" i="9"/>
  <c r="I349" i="9"/>
  <c r="E349" i="9"/>
  <c r="D349" i="9"/>
  <c r="B349" i="9"/>
  <c r="C349" i="9"/>
  <c r="G341" i="9"/>
  <c r="F341" i="9"/>
  <c r="H341" i="9"/>
  <c r="I341" i="9"/>
  <c r="E341" i="9"/>
  <c r="D341" i="9"/>
  <c r="B341" i="9"/>
  <c r="C341" i="9"/>
  <c r="G329" i="9"/>
  <c r="F329" i="9"/>
  <c r="H329" i="9"/>
  <c r="I329" i="9"/>
  <c r="E329" i="9"/>
  <c r="D329" i="9"/>
  <c r="B329" i="9"/>
  <c r="C329" i="9"/>
  <c r="G321" i="9"/>
  <c r="F321" i="9"/>
  <c r="H321" i="9"/>
  <c r="I321" i="9"/>
  <c r="E321" i="9"/>
  <c r="D321" i="9"/>
  <c r="B321" i="9"/>
  <c r="C321" i="9"/>
  <c r="G313" i="9"/>
  <c r="F313" i="9"/>
  <c r="H313" i="9"/>
  <c r="I313" i="9"/>
  <c r="E313" i="9"/>
  <c r="D313" i="9"/>
  <c r="B313" i="9"/>
  <c r="C313" i="9"/>
  <c r="G305" i="9"/>
  <c r="F305" i="9"/>
  <c r="H305" i="9"/>
  <c r="I305" i="9"/>
  <c r="E305" i="9"/>
  <c r="D305" i="9"/>
  <c r="B305" i="9"/>
  <c r="C305" i="9"/>
  <c r="G297" i="9"/>
  <c r="F297" i="9"/>
  <c r="H297" i="9"/>
  <c r="I297" i="9"/>
  <c r="E297" i="9"/>
  <c r="D297" i="9"/>
  <c r="B297" i="9"/>
  <c r="C297" i="9"/>
  <c r="G289" i="9"/>
  <c r="F289" i="9"/>
  <c r="H289" i="9"/>
  <c r="I289" i="9"/>
  <c r="E289" i="9"/>
  <c r="D289" i="9"/>
  <c r="B289" i="9"/>
  <c r="C289" i="9"/>
  <c r="G281" i="9"/>
  <c r="F281" i="9"/>
  <c r="H281" i="9"/>
  <c r="I281" i="9"/>
  <c r="E281" i="9"/>
  <c r="D281" i="9"/>
  <c r="B281" i="9"/>
  <c r="C281" i="9"/>
  <c r="G273" i="9"/>
  <c r="F273" i="9"/>
  <c r="H273" i="9"/>
  <c r="I273" i="9"/>
  <c r="E273" i="9"/>
  <c r="D273" i="9"/>
  <c r="B273" i="9"/>
  <c r="C273" i="9"/>
  <c r="G265" i="9"/>
  <c r="F265" i="9"/>
  <c r="H265" i="9"/>
  <c r="I265" i="9"/>
  <c r="E265" i="9"/>
  <c r="D265" i="9"/>
  <c r="B265" i="9"/>
  <c r="C265" i="9"/>
  <c r="G257" i="9"/>
  <c r="F257" i="9"/>
  <c r="H257" i="9"/>
  <c r="I257" i="9"/>
  <c r="E257" i="9"/>
  <c r="D257" i="9"/>
  <c r="B257" i="9"/>
  <c r="C257" i="9"/>
  <c r="G249" i="9"/>
  <c r="F249" i="9"/>
  <c r="H249" i="9"/>
  <c r="I249" i="9"/>
  <c r="E249" i="9"/>
  <c r="D249" i="9"/>
  <c r="B249" i="9"/>
  <c r="C249" i="9"/>
  <c r="G241" i="9"/>
  <c r="F241" i="9"/>
  <c r="H241" i="9"/>
  <c r="I241" i="9"/>
  <c r="E241" i="9"/>
  <c r="D241" i="9"/>
  <c r="B241" i="9"/>
  <c r="C241" i="9"/>
  <c r="G233" i="9"/>
  <c r="F233" i="9"/>
  <c r="H233" i="9"/>
  <c r="I233" i="9"/>
  <c r="E233" i="9"/>
  <c r="D233" i="9"/>
  <c r="B233" i="9"/>
  <c r="C233" i="9"/>
  <c r="G229" i="9"/>
  <c r="F229" i="9"/>
  <c r="H229" i="9"/>
  <c r="I229" i="9"/>
  <c r="E229" i="9"/>
  <c r="D229" i="9"/>
  <c r="B229" i="9"/>
  <c r="C229" i="9"/>
  <c r="G217" i="9"/>
  <c r="F217" i="9"/>
  <c r="H217" i="9"/>
  <c r="I217" i="9"/>
  <c r="E217" i="9"/>
  <c r="D217" i="9"/>
  <c r="B217" i="9"/>
  <c r="C217" i="9"/>
  <c r="G209" i="9"/>
  <c r="F209" i="9"/>
  <c r="H209" i="9"/>
  <c r="I209" i="9"/>
  <c r="E209" i="9"/>
  <c r="D209" i="9"/>
  <c r="B209" i="9"/>
  <c r="C209" i="9"/>
  <c r="G201" i="9"/>
  <c r="F201" i="9"/>
  <c r="H201" i="9"/>
  <c r="I201" i="9"/>
  <c r="E201" i="9"/>
  <c r="D201" i="9"/>
  <c r="B201" i="9"/>
  <c r="C201" i="9"/>
  <c r="G193" i="9"/>
  <c r="F193" i="9"/>
  <c r="H193" i="9"/>
  <c r="I193" i="9"/>
  <c r="E193" i="9"/>
  <c r="D193" i="9"/>
  <c r="B193" i="9"/>
  <c r="C193" i="9"/>
  <c r="G185" i="9"/>
  <c r="F185" i="9"/>
  <c r="H185" i="9"/>
  <c r="I185" i="9"/>
  <c r="E185" i="9"/>
  <c r="D185" i="9"/>
  <c r="B185" i="9"/>
  <c r="C185" i="9"/>
  <c r="G177" i="9"/>
  <c r="F177" i="9"/>
  <c r="H177" i="9"/>
  <c r="I177" i="9"/>
  <c r="E177" i="9"/>
  <c r="D177" i="9"/>
  <c r="B177" i="9"/>
  <c r="C177" i="9"/>
  <c r="G169" i="9"/>
  <c r="F169" i="9"/>
  <c r="H169" i="9"/>
  <c r="I169" i="9"/>
  <c r="E169" i="9"/>
  <c r="D169" i="9"/>
  <c r="B169" i="9"/>
  <c r="C169" i="9"/>
  <c r="G161" i="9"/>
  <c r="F161" i="9"/>
  <c r="H161" i="9"/>
  <c r="I161" i="9"/>
  <c r="E161" i="9"/>
  <c r="D161" i="9"/>
  <c r="B161" i="9"/>
  <c r="C161" i="9"/>
  <c r="G153" i="9"/>
  <c r="F153" i="9"/>
  <c r="H153" i="9"/>
  <c r="I153" i="9"/>
  <c r="E153" i="9"/>
  <c r="D153" i="9"/>
  <c r="B153" i="9"/>
  <c r="C153" i="9"/>
  <c r="G145" i="9"/>
  <c r="F145" i="9"/>
  <c r="H145" i="9"/>
  <c r="I145" i="9"/>
  <c r="E145" i="9"/>
  <c r="D145" i="9"/>
  <c r="B145" i="9"/>
  <c r="C145" i="9"/>
  <c r="G137" i="9"/>
  <c r="F137" i="9"/>
  <c r="H137" i="9"/>
  <c r="I137" i="9"/>
  <c r="E137" i="9"/>
  <c r="D137" i="9"/>
  <c r="B137" i="9"/>
  <c r="C137" i="9"/>
  <c r="G125" i="9"/>
  <c r="F125" i="9"/>
  <c r="H125" i="9"/>
  <c r="I125" i="9"/>
  <c r="E125" i="9"/>
  <c r="D125" i="9"/>
  <c r="B125" i="9"/>
  <c r="C125" i="9"/>
  <c r="G117" i="9"/>
  <c r="F117" i="9"/>
  <c r="H117" i="9"/>
  <c r="I117" i="9"/>
  <c r="E117" i="9"/>
  <c r="D117" i="9"/>
  <c r="B117" i="9"/>
  <c r="C117" i="9"/>
  <c r="G109" i="9"/>
  <c r="F109" i="9"/>
  <c r="H109" i="9"/>
  <c r="I109" i="9"/>
  <c r="E109" i="9"/>
  <c r="D109" i="9"/>
  <c r="B109" i="9"/>
  <c r="C109" i="9"/>
  <c r="G101" i="9"/>
  <c r="F101" i="9"/>
  <c r="H101" i="9"/>
  <c r="I101" i="9"/>
  <c r="E101" i="9"/>
  <c r="D101" i="9"/>
  <c r="B101" i="9"/>
  <c r="C101" i="9"/>
  <c r="G89" i="9"/>
  <c r="F89" i="9"/>
  <c r="H89" i="9"/>
  <c r="I89" i="9"/>
  <c r="E89" i="9"/>
  <c r="D89" i="9"/>
  <c r="B89" i="9"/>
  <c r="C89" i="9"/>
  <c r="G81" i="9"/>
  <c r="F81" i="9"/>
  <c r="H81" i="9"/>
  <c r="I81" i="9"/>
  <c r="E81" i="9"/>
  <c r="D81" i="9"/>
  <c r="B81" i="9"/>
  <c r="C81" i="9"/>
  <c r="G77" i="9"/>
  <c r="F77" i="9"/>
  <c r="H77" i="9"/>
  <c r="I77" i="9"/>
  <c r="E77" i="9"/>
  <c r="D77" i="9"/>
  <c r="B77" i="9"/>
  <c r="C77" i="9"/>
  <c r="G69" i="9"/>
  <c r="F69" i="9"/>
  <c r="H69" i="9"/>
  <c r="I69" i="9"/>
  <c r="E69" i="9"/>
  <c r="D69" i="9"/>
  <c r="B69" i="9"/>
  <c r="C69" i="9"/>
  <c r="G61" i="9"/>
  <c r="F61" i="9"/>
  <c r="H61" i="9"/>
  <c r="I61" i="9"/>
  <c r="E61" i="9"/>
  <c r="D61" i="9"/>
  <c r="B61" i="9"/>
  <c r="C61" i="9"/>
  <c r="G53" i="9"/>
  <c r="F53" i="9"/>
  <c r="H53" i="9"/>
  <c r="I53" i="9"/>
  <c r="E53" i="9"/>
  <c r="D53" i="9"/>
  <c r="B53" i="9"/>
  <c r="C53" i="9"/>
  <c r="G45" i="9"/>
  <c r="F45" i="9"/>
  <c r="H45" i="9"/>
  <c r="I45" i="9"/>
  <c r="E45" i="9"/>
  <c r="D45" i="9"/>
  <c r="B45" i="9"/>
  <c r="C45" i="9"/>
  <c r="G37" i="9"/>
  <c r="F37" i="9"/>
  <c r="H37" i="9"/>
  <c r="I37" i="9"/>
  <c r="E37" i="9"/>
  <c r="D37" i="9"/>
  <c r="B37" i="9"/>
  <c r="C37" i="9"/>
  <c r="B29" i="9"/>
  <c r="G29" i="9"/>
  <c r="F29" i="9"/>
  <c r="H29" i="9"/>
  <c r="I29" i="9"/>
  <c r="E29" i="9"/>
  <c r="D29" i="9"/>
  <c r="C29" i="9"/>
  <c r="B21" i="9"/>
  <c r="G21" i="9"/>
  <c r="F21" i="9"/>
  <c r="H21" i="9"/>
  <c r="I21" i="9"/>
  <c r="E21" i="9"/>
  <c r="D21" i="9"/>
  <c r="C21" i="9"/>
  <c r="B13" i="9"/>
  <c r="G13" i="9"/>
  <c r="F13" i="9"/>
  <c r="H13" i="9"/>
  <c r="I13" i="9"/>
  <c r="E13" i="9"/>
  <c r="D13" i="9"/>
  <c r="C13" i="9"/>
  <c r="B9" i="9"/>
  <c r="G9" i="9"/>
  <c r="F9" i="9"/>
  <c r="H9" i="9"/>
  <c r="I9" i="9"/>
  <c r="E9" i="9"/>
  <c r="D9" i="9"/>
  <c r="C9" i="9"/>
  <c r="T2499" i="9"/>
  <c r="V2499" i="9" s="1"/>
  <c r="U2499" i="9"/>
  <c r="O2499" i="9"/>
  <c r="P2499" i="9" s="1"/>
  <c r="N2499" i="9"/>
  <c r="M2499" i="9"/>
  <c r="L2499" i="9"/>
  <c r="K2499" i="9"/>
  <c r="T2491" i="9"/>
  <c r="V2491" i="9" s="1"/>
  <c r="U2491" i="9"/>
  <c r="O2491" i="9"/>
  <c r="P2491" i="9" s="1"/>
  <c r="N2491" i="9"/>
  <c r="M2491" i="9"/>
  <c r="L2491" i="9"/>
  <c r="K2491" i="9"/>
  <c r="T2483" i="9"/>
  <c r="V2483" i="9" s="1"/>
  <c r="U2483" i="9"/>
  <c r="O2483" i="9"/>
  <c r="P2483" i="9" s="1"/>
  <c r="N2483" i="9"/>
  <c r="M2483" i="9"/>
  <c r="L2483" i="9"/>
  <c r="K2483" i="9"/>
  <c r="T2475" i="9"/>
  <c r="V2475" i="9" s="1"/>
  <c r="U2475" i="9"/>
  <c r="O2475" i="9"/>
  <c r="P2475" i="9" s="1"/>
  <c r="N2475" i="9"/>
  <c r="M2475" i="9"/>
  <c r="L2475" i="9"/>
  <c r="K2475" i="9"/>
  <c r="T2467" i="9"/>
  <c r="V2467" i="9" s="1"/>
  <c r="U2467" i="9"/>
  <c r="O2467" i="9"/>
  <c r="P2467" i="9" s="1"/>
  <c r="N2467" i="9"/>
  <c r="M2467" i="9"/>
  <c r="L2467" i="9"/>
  <c r="K2467" i="9"/>
  <c r="T2459" i="9"/>
  <c r="V2459" i="9" s="1"/>
  <c r="U2459" i="9"/>
  <c r="O2459" i="9"/>
  <c r="P2459" i="9" s="1"/>
  <c r="N2459" i="9"/>
  <c r="M2459" i="9"/>
  <c r="L2459" i="9"/>
  <c r="K2459" i="9"/>
  <c r="T2451" i="9"/>
  <c r="V2451" i="9" s="1"/>
  <c r="U2451" i="9"/>
  <c r="O2451" i="9"/>
  <c r="P2451" i="9" s="1"/>
  <c r="N2451" i="9"/>
  <c r="M2451" i="9"/>
  <c r="L2451" i="9"/>
  <c r="K2451" i="9"/>
  <c r="T2443" i="9"/>
  <c r="V2443" i="9" s="1"/>
  <c r="U2443" i="9"/>
  <c r="O2443" i="9"/>
  <c r="P2443" i="9" s="1"/>
  <c r="N2443" i="9"/>
  <c r="M2443" i="9"/>
  <c r="L2443" i="9"/>
  <c r="K2443" i="9"/>
  <c r="T2435" i="9"/>
  <c r="V2435" i="9" s="1"/>
  <c r="U2435" i="9"/>
  <c r="O2435" i="9"/>
  <c r="P2435" i="9" s="1"/>
  <c r="N2435" i="9"/>
  <c r="M2435" i="9"/>
  <c r="L2435" i="9"/>
  <c r="K2435" i="9"/>
  <c r="T2427" i="9"/>
  <c r="V2427" i="9" s="1"/>
  <c r="U2427" i="9"/>
  <c r="O2427" i="9"/>
  <c r="P2427" i="9" s="1"/>
  <c r="N2427" i="9"/>
  <c r="M2427" i="9"/>
  <c r="L2427" i="9"/>
  <c r="K2427" i="9"/>
  <c r="T2419" i="9"/>
  <c r="V2419" i="9" s="1"/>
  <c r="U2419" i="9"/>
  <c r="O2419" i="9"/>
  <c r="P2419" i="9" s="1"/>
  <c r="N2419" i="9"/>
  <c r="M2419" i="9"/>
  <c r="L2419" i="9"/>
  <c r="K2419" i="9"/>
  <c r="T2411" i="9"/>
  <c r="V2411" i="9" s="1"/>
  <c r="U2411" i="9"/>
  <c r="O2411" i="9"/>
  <c r="P2411" i="9" s="1"/>
  <c r="N2411" i="9"/>
  <c r="M2411" i="9"/>
  <c r="L2411" i="9"/>
  <c r="K2411" i="9"/>
  <c r="T2403" i="9"/>
  <c r="V2403" i="9" s="1"/>
  <c r="U2403" i="9"/>
  <c r="O2403" i="9"/>
  <c r="P2403" i="9" s="1"/>
  <c r="N2403" i="9"/>
  <c r="M2403" i="9"/>
  <c r="L2403" i="9"/>
  <c r="K2403" i="9"/>
  <c r="T2395" i="9"/>
  <c r="V2395" i="9" s="1"/>
  <c r="U2395" i="9"/>
  <c r="O2395" i="9"/>
  <c r="P2395" i="9" s="1"/>
  <c r="N2395" i="9"/>
  <c r="M2395" i="9"/>
  <c r="L2395" i="9"/>
  <c r="K2395" i="9"/>
  <c r="T2387" i="9"/>
  <c r="V2387" i="9" s="1"/>
  <c r="U2387" i="9"/>
  <c r="O2387" i="9"/>
  <c r="P2387" i="9" s="1"/>
  <c r="N2387" i="9"/>
  <c r="M2387" i="9"/>
  <c r="L2387" i="9"/>
  <c r="K2387" i="9"/>
  <c r="T2379" i="9"/>
  <c r="V2379" i="9" s="1"/>
  <c r="U2379" i="9"/>
  <c r="O2379" i="9"/>
  <c r="P2379" i="9" s="1"/>
  <c r="N2379" i="9"/>
  <c r="M2379" i="9"/>
  <c r="L2379" i="9"/>
  <c r="K2379" i="9"/>
  <c r="T2371" i="9"/>
  <c r="V2371" i="9" s="1"/>
  <c r="U2371" i="9"/>
  <c r="O2371" i="9"/>
  <c r="P2371" i="9" s="1"/>
  <c r="N2371" i="9"/>
  <c r="M2371" i="9"/>
  <c r="L2371" i="9"/>
  <c r="K2371" i="9"/>
  <c r="T2363" i="9"/>
  <c r="V2363" i="9" s="1"/>
  <c r="U2363" i="9"/>
  <c r="O2363" i="9"/>
  <c r="P2363" i="9" s="1"/>
  <c r="N2363" i="9"/>
  <c r="M2363" i="9"/>
  <c r="L2363" i="9"/>
  <c r="K2363" i="9"/>
  <c r="T2355" i="9"/>
  <c r="V2355" i="9" s="1"/>
  <c r="U2355" i="9"/>
  <c r="O2355" i="9"/>
  <c r="P2355" i="9" s="1"/>
  <c r="N2355" i="9"/>
  <c r="M2355" i="9"/>
  <c r="L2355" i="9"/>
  <c r="K2355" i="9"/>
  <c r="T2347" i="9"/>
  <c r="V2347" i="9" s="1"/>
  <c r="U2347" i="9"/>
  <c r="O2347" i="9"/>
  <c r="P2347" i="9" s="1"/>
  <c r="N2347" i="9"/>
  <c r="M2347" i="9"/>
  <c r="L2347" i="9"/>
  <c r="K2347" i="9"/>
  <c r="T2339" i="9"/>
  <c r="V2339" i="9" s="1"/>
  <c r="U2339" i="9"/>
  <c r="O2339" i="9"/>
  <c r="P2339" i="9" s="1"/>
  <c r="N2339" i="9"/>
  <c r="M2339" i="9"/>
  <c r="L2339" i="9"/>
  <c r="K2339" i="9"/>
  <c r="T2331" i="9"/>
  <c r="V2331" i="9" s="1"/>
  <c r="U2331" i="9"/>
  <c r="O2331" i="9"/>
  <c r="P2331" i="9" s="1"/>
  <c r="N2331" i="9"/>
  <c r="M2331" i="9"/>
  <c r="L2331" i="9"/>
  <c r="K2331" i="9"/>
  <c r="T2323" i="9"/>
  <c r="V2323" i="9" s="1"/>
  <c r="U2323" i="9"/>
  <c r="O2323" i="9"/>
  <c r="P2323" i="9" s="1"/>
  <c r="N2323" i="9"/>
  <c r="M2323" i="9"/>
  <c r="L2323" i="9"/>
  <c r="K2323" i="9"/>
  <c r="T2315" i="9"/>
  <c r="V2315" i="9" s="1"/>
  <c r="U2315" i="9"/>
  <c r="O2315" i="9"/>
  <c r="P2315" i="9" s="1"/>
  <c r="N2315" i="9"/>
  <c r="M2315" i="9"/>
  <c r="L2315" i="9"/>
  <c r="K2315" i="9"/>
  <c r="T2307" i="9"/>
  <c r="V2307" i="9" s="1"/>
  <c r="U2307" i="9"/>
  <c r="O2307" i="9"/>
  <c r="P2307" i="9" s="1"/>
  <c r="N2307" i="9"/>
  <c r="M2307" i="9"/>
  <c r="L2307" i="9"/>
  <c r="K2307" i="9"/>
  <c r="T2299" i="9"/>
  <c r="V2299" i="9" s="1"/>
  <c r="U2299" i="9"/>
  <c r="O2299" i="9"/>
  <c r="P2299" i="9" s="1"/>
  <c r="N2299" i="9"/>
  <c r="M2299" i="9"/>
  <c r="L2299" i="9"/>
  <c r="K2299" i="9"/>
  <c r="T2291" i="9"/>
  <c r="V2291" i="9" s="1"/>
  <c r="U2291" i="9"/>
  <c r="O2291" i="9"/>
  <c r="P2291" i="9" s="1"/>
  <c r="N2291" i="9"/>
  <c r="M2291" i="9"/>
  <c r="L2291" i="9"/>
  <c r="K2291" i="9"/>
  <c r="T2283" i="9"/>
  <c r="V2283" i="9" s="1"/>
  <c r="U2283" i="9"/>
  <c r="O2283" i="9"/>
  <c r="P2283" i="9" s="1"/>
  <c r="N2283" i="9"/>
  <c r="M2283" i="9"/>
  <c r="L2283" i="9"/>
  <c r="K2283" i="9"/>
  <c r="T2275" i="9"/>
  <c r="V2275" i="9" s="1"/>
  <c r="U2275" i="9"/>
  <c r="O2275" i="9"/>
  <c r="P2275" i="9" s="1"/>
  <c r="N2275" i="9"/>
  <c r="M2275" i="9"/>
  <c r="L2275" i="9"/>
  <c r="K2275" i="9"/>
  <c r="T2267" i="9"/>
  <c r="V2267" i="9" s="1"/>
  <c r="U2267" i="9"/>
  <c r="O2267" i="9"/>
  <c r="P2267" i="9" s="1"/>
  <c r="N2267" i="9"/>
  <c r="M2267" i="9"/>
  <c r="L2267" i="9"/>
  <c r="K2267" i="9"/>
  <c r="T2259" i="9"/>
  <c r="V2259" i="9" s="1"/>
  <c r="U2259" i="9"/>
  <c r="O2259" i="9"/>
  <c r="P2259" i="9" s="1"/>
  <c r="N2259" i="9"/>
  <c r="M2259" i="9"/>
  <c r="L2259" i="9"/>
  <c r="K2259" i="9"/>
  <c r="T2251" i="9"/>
  <c r="V2251" i="9" s="1"/>
  <c r="U2251" i="9"/>
  <c r="O2251" i="9"/>
  <c r="P2251" i="9" s="1"/>
  <c r="N2251" i="9"/>
  <c r="M2251" i="9"/>
  <c r="L2251" i="9"/>
  <c r="K2251" i="9"/>
  <c r="T2243" i="9"/>
  <c r="V2243" i="9" s="1"/>
  <c r="U2243" i="9"/>
  <c r="O2243" i="9"/>
  <c r="P2243" i="9" s="1"/>
  <c r="N2243" i="9"/>
  <c r="M2243" i="9"/>
  <c r="K2243" i="9"/>
  <c r="L2243" i="9"/>
  <c r="T2235" i="9"/>
  <c r="V2235" i="9" s="1"/>
  <c r="U2235" i="9"/>
  <c r="O2235" i="9"/>
  <c r="P2235" i="9" s="1"/>
  <c r="N2235" i="9"/>
  <c r="M2235" i="9"/>
  <c r="K2235" i="9"/>
  <c r="L2235" i="9"/>
  <c r="T2227" i="9"/>
  <c r="V2227" i="9" s="1"/>
  <c r="U2227" i="9"/>
  <c r="O2227" i="9"/>
  <c r="P2227" i="9" s="1"/>
  <c r="N2227" i="9"/>
  <c r="M2227" i="9"/>
  <c r="K2227" i="9"/>
  <c r="L2227" i="9"/>
  <c r="U2223" i="9"/>
  <c r="T2223" i="9"/>
  <c r="V2223" i="9" s="1"/>
  <c r="O2223" i="9"/>
  <c r="P2223" i="9" s="1"/>
  <c r="N2223" i="9"/>
  <c r="M2223" i="9"/>
  <c r="K2223" i="9"/>
  <c r="L2223" i="9"/>
  <c r="U2215" i="9"/>
  <c r="T2215" i="9"/>
  <c r="V2215" i="9" s="1"/>
  <c r="O2215" i="9"/>
  <c r="P2215" i="9" s="1"/>
  <c r="N2215" i="9"/>
  <c r="M2215" i="9"/>
  <c r="K2215" i="9"/>
  <c r="L2215" i="9"/>
  <c r="U2207" i="9"/>
  <c r="O2207" i="9"/>
  <c r="P2207" i="9" s="1"/>
  <c r="T2207" i="9"/>
  <c r="V2207" i="9" s="1"/>
  <c r="N2207" i="9"/>
  <c r="M2207" i="9"/>
  <c r="K2207" i="9"/>
  <c r="L2207" i="9"/>
  <c r="T2195" i="9"/>
  <c r="V2195" i="9" s="1"/>
  <c r="U2195" i="9"/>
  <c r="O2195" i="9"/>
  <c r="P2195" i="9" s="1"/>
  <c r="N2195" i="9"/>
  <c r="M2195" i="9"/>
  <c r="K2195" i="9"/>
  <c r="L2195" i="9"/>
  <c r="T2187" i="9"/>
  <c r="V2187" i="9" s="1"/>
  <c r="U2187" i="9"/>
  <c r="O2187" i="9"/>
  <c r="P2187" i="9" s="1"/>
  <c r="N2187" i="9"/>
  <c r="M2187" i="9"/>
  <c r="K2187" i="9"/>
  <c r="L2187" i="9"/>
  <c r="T2179" i="9"/>
  <c r="V2179" i="9" s="1"/>
  <c r="U2179" i="9"/>
  <c r="O2179" i="9"/>
  <c r="P2179" i="9" s="1"/>
  <c r="N2179" i="9"/>
  <c r="M2179" i="9"/>
  <c r="K2179" i="9"/>
  <c r="L2179" i="9"/>
  <c r="T2171" i="9"/>
  <c r="V2171" i="9" s="1"/>
  <c r="U2171" i="9"/>
  <c r="O2171" i="9"/>
  <c r="P2171" i="9" s="1"/>
  <c r="N2171" i="9"/>
  <c r="M2171" i="9"/>
  <c r="K2171" i="9"/>
  <c r="L2171" i="9"/>
  <c r="T2163" i="9"/>
  <c r="V2163" i="9" s="1"/>
  <c r="U2163" i="9"/>
  <c r="O2163" i="9"/>
  <c r="P2163" i="9" s="1"/>
  <c r="N2163" i="9"/>
  <c r="M2163" i="9"/>
  <c r="K2163" i="9"/>
  <c r="L2163" i="9"/>
  <c r="T2155" i="9"/>
  <c r="V2155" i="9" s="1"/>
  <c r="U2155" i="9"/>
  <c r="O2155" i="9"/>
  <c r="P2155" i="9" s="1"/>
  <c r="N2155" i="9"/>
  <c r="M2155" i="9"/>
  <c r="K2155" i="9"/>
  <c r="L2155" i="9"/>
  <c r="T2147" i="9"/>
  <c r="V2147" i="9" s="1"/>
  <c r="U2147" i="9"/>
  <c r="O2147" i="9"/>
  <c r="P2147" i="9" s="1"/>
  <c r="N2147" i="9"/>
  <c r="M2147" i="9"/>
  <c r="K2147" i="9"/>
  <c r="L2147" i="9"/>
  <c r="T2139" i="9"/>
  <c r="V2139" i="9" s="1"/>
  <c r="U2139" i="9"/>
  <c r="O2139" i="9"/>
  <c r="P2139" i="9" s="1"/>
  <c r="N2139" i="9"/>
  <c r="M2139" i="9"/>
  <c r="K2139" i="9"/>
  <c r="L2139" i="9"/>
  <c r="T2131" i="9"/>
  <c r="V2131" i="9" s="1"/>
  <c r="U2131" i="9"/>
  <c r="O2131" i="9"/>
  <c r="P2131" i="9" s="1"/>
  <c r="N2131" i="9"/>
  <c r="M2131" i="9"/>
  <c r="K2131" i="9"/>
  <c r="L2131" i="9"/>
  <c r="T2123" i="9"/>
  <c r="V2123" i="9" s="1"/>
  <c r="U2123" i="9"/>
  <c r="O2123" i="9"/>
  <c r="P2123" i="9" s="1"/>
  <c r="N2123" i="9"/>
  <c r="M2123" i="9"/>
  <c r="K2123" i="9"/>
  <c r="L2123" i="9"/>
  <c r="T2115" i="9"/>
  <c r="V2115" i="9" s="1"/>
  <c r="U2115" i="9"/>
  <c r="O2115" i="9"/>
  <c r="P2115" i="9" s="1"/>
  <c r="N2115" i="9"/>
  <c r="M2115" i="9"/>
  <c r="K2115" i="9"/>
  <c r="L2115" i="9"/>
  <c r="T2107" i="9"/>
  <c r="V2107" i="9" s="1"/>
  <c r="U2107" i="9"/>
  <c r="O2107" i="9"/>
  <c r="P2107" i="9" s="1"/>
  <c r="N2107" i="9"/>
  <c r="M2107" i="9"/>
  <c r="K2107" i="9"/>
  <c r="L2107" i="9"/>
  <c r="T2099" i="9"/>
  <c r="V2099" i="9" s="1"/>
  <c r="U2099" i="9"/>
  <c r="O2099" i="9"/>
  <c r="P2099" i="9" s="1"/>
  <c r="N2099" i="9"/>
  <c r="M2099" i="9"/>
  <c r="K2099" i="9"/>
  <c r="L2099" i="9"/>
  <c r="T2091" i="9"/>
  <c r="V2091" i="9" s="1"/>
  <c r="U2091" i="9"/>
  <c r="O2091" i="9"/>
  <c r="P2091" i="9" s="1"/>
  <c r="N2091" i="9"/>
  <c r="M2091" i="9"/>
  <c r="K2091" i="9"/>
  <c r="L2091" i="9"/>
  <c r="T2083" i="9"/>
  <c r="V2083" i="9" s="1"/>
  <c r="U2083" i="9"/>
  <c r="O2083" i="9"/>
  <c r="P2083" i="9" s="1"/>
  <c r="N2083" i="9"/>
  <c r="M2083" i="9"/>
  <c r="K2083" i="9"/>
  <c r="L2083" i="9"/>
  <c r="T2075" i="9"/>
  <c r="V2075" i="9" s="1"/>
  <c r="U2075" i="9"/>
  <c r="O2075" i="9"/>
  <c r="P2075" i="9" s="1"/>
  <c r="N2075" i="9"/>
  <c r="M2075" i="9"/>
  <c r="K2075" i="9"/>
  <c r="L2075" i="9"/>
  <c r="T2067" i="9"/>
  <c r="V2067" i="9" s="1"/>
  <c r="U2067" i="9"/>
  <c r="O2067" i="9"/>
  <c r="P2067" i="9" s="1"/>
  <c r="N2067" i="9"/>
  <c r="M2067" i="9"/>
  <c r="K2067" i="9"/>
  <c r="L2067" i="9"/>
  <c r="T2059" i="9"/>
  <c r="V2059" i="9" s="1"/>
  <c r="U2059" i="9"/>
  <c r="O2059" i="9"/>
  <c r="P2059" i="9" s="1"/>
  <c r="N2059" i="9"/>
  <c r="M2059" i="9"/>
  <c r="K2059" i="9"/>
  <c r="L2059" i="9"/>
  <c r="T2051" i="9"/>
  <c r="V2051" i="9" s="1"/>
  <c r="U2051" i="9"/>
  <c r="O2051" i="9"/>
  <c r="P2051" i="9" s="1"/>
  <c r="N2051" i="9"/>
  <c r="M2051" i="9"/>
  <c r="K2051" i="9"/>
  <c r="L2051" i="9"/>
  <c r="T2043" i="9"/>
  <c r="V2043" i="9" s="1"/>
  <c r="U2043" i="9"/>
  <c r="O2043" i="9"/>
  <c r="P2043" i="9" s="1"/>
  <c r="N2043" i="9"/>
  <c r="M2043" i="9"/>
  <c r="K2043" i="9"/>
  <c r="L2043" i="9"/>
  <c r="T2035" i="9"/>
  <c r="V2035" i="9" s="1"/>
  <c r="U2035" i="9"/>
  <c r="O2035" i="9"/>
  <c r="P2035" i="9" s="1"/>
  <c r="N2035" i="9"/>
  <c r="M2035" i="9"/>
  <c r="K2035" i="9"/>
  <c r="L2035" i="9"/>
  <c r="T2027" i="9"/>
  <c r="V2027" i="9" s="1"/>
  <c r="U2027" i="9"/>
  <c r="O2027" i="9"/>
  <c r="P2027" i="9" s="1"/>
  <c r="N2027" i="9"/>
  <c r="M2027" i="9"/>
  <c r="K2027" i="9"/>
  <c r="L2027" i="9"/>
  <c r="T2019" i="9"/>
  <c r="V2019" i="9" s="1"/>
  <c r="U2019" i="9"/>
  <c r="O2019" i="9"/>
  <c r="P2019" i="9" s="1"/>
  <c r="N2019" i="9"/>
  <c r="M2019" i="9"/>
  <c r="K2019" i="9"/>
  <c r="L2019" i="9"/>
  <c r="T2011" i="9"/>
  <c r="V2011" i="9" s="1"/>
  <c r="U2011" i="9"/>
  <c r="O2011" i="9"/>
  <c r="P2011" i="9" s="1"/>
  <c r="N2011" i="9"/>
  <c r="M2011" i="9"/>
  <c r="K2011" i="9"/>
  <c r="L2011" i="9"/>
  <c r="T2003" i="9"/>
  <c r="V2003" i="9" s="1"/>
  <c r="U2003" i="9"/>
  <c r="O2003" i="9"/>
  <c r="P2003" i="9" s="1"/>
  <c r="N2003" i="9"/>
  <c r="M2003" i="9"/>
  <c r="K2003" i="9"/>
  <c r="L2003" i="9"/>
  <c r="T1995" i="9"/>
  <c r="V1995" i="9" s="1"/>
  <c r="U1995" i="9"/>
  <c r="O1995" i="9"/>
  <c r="P1995" i="9" s="1"/>
  <c r="N1995" i="9"/>
  <c r="M1995" i="9"/>
  <c r="K1995" i="9"/>
  <c r="L1995" i="9"/>
  <c r="T1987" i="9"/>
  <c r="V1987" i="9" s="1"/>
  <c r="U1987" i="9"/>
  <c r="O1987" i="9"/>
  <c r="P1987" i="9" s="1"/>
  <c r="N1987" i="9"/>
  <c r="M1987" i="9"/>
  <c r="K1987" i="9"/>
  <c r="L1987" i="9"/>
  <c r="T1979" i="9"/>
  <c r="V1979" i="9" s="1"/>
  <c r="U1979" i="9"/>
  <c r="O1979" i="9"/>
  <c r="P1979" i="9" s="1"/>
  <c r="N1979" i="9"/>
  <c r="M1979" i="9"/>
  <c r="K1979" i="9"/>
  <c r="L1979" i="9"/>
  <c r="T1971" i="9"/>
  <c r="V1971" i="9" s="1"/>
  <c r="U1971" i="9"/>
  <c r="O1971" i="9"/>
  <c r="P1971" i="9" s="1"/>
  <c r="N1971" i="9"/>
  <c r="M1971" i="9"/>
  <c r="K1971" i="9"/>
  <c r="L1971" i="9"/>
  <c r="T1963" i="9"/>
  <c r="V1963" i="9" s="1"/>
  <c r="U1963" i="9"/>
  <c r="O1963" i="9"/>
  <c r="P1963" i="9" s="1"/>
  <c r="N1963" i="9"/>
  <c r="M1963" i="9"/>
  <c r="K1963" i="9"/>
  <c r="L1963" i="9"/>
  <c r="T1955" i="9"/>
  <c r="V1955" i="9" s="1"/>
  <c r="U1955" i="9"/>
  <c r="O1955" i="9"/>
  <c r="P1955" i="9" s="1"/>
  <c r="N1955" i="9"/>
  <c r="M1955" i="9"/>
  <c r="K1955" i="9"/>
  <c r="L1955" i="9"/>
  <c r="T1947" i="9"/>
  <c r="V1947" i="9" s="1"/>
  <c r="U1947" i="9"/>
  <c r="O1947" i="9"/>
  <c r="P1947" i="9" s="1"/>
  <c r="N1947" i="9"/>
  <c r="M1947" i="9"/>
  <c r="K1947" i="9"/>
  <c r="L1947" i="9"/>
  <c r="T1939" i="9"/>
  <c r="V1939" i="9" s="1"/>
  <c r="U1939" i="9"/>
  <c r="O1939" i="9"/>
  <c r="P1939" i="9" s="1"/>
  <c r="N1939" i="9"/>
  <c r="M1939" i="9"/>
  <c r="K1939" i="9"/>
  <c r="L1939" i="9"/>
  <c r="T1931" i="9"/>
  <c r="V1931" i="9" s="1"/>
  <c r="U1931" i="9"/>
  <c r="O1931" i="9"/>
  <c r="P1931" i="9" s="1"/>
  <c r="N1931" i="9"/>
  <c r="M1931" i="9"/>
  <c r="K1931" i="9"/>
  <c r="L1931" i="9"/>
  <c r="T1923" i="9"/>
  <c r="V1923" i="9" s="1"/>
  <c r="U1923" i="9"/>
  <c r="O1923" i="9"/>
  <c r="P1923" i="9" s="1"/>
  <c r="N1923" i="9"/>
  <c r="M1923" i="9"/>
  <c r="K1923" i="9"/>
  <c r="L1923" i="9"/>
  <c r="T1915" i="9"/>
  <c r="V1915" i="9" s="1"/>
  <c r="U1915" i="9"/>
  <c r="O1915" i="9"/>
  <c r="P1915" i="9" s="1"/>
  <c r="N1915" i="9"/>
  <c r="M1915" i="9"/>
  <c r="K1915" i="9"/>
  <c r="L1915" i="9"/>
  <c r="T1907" i="9"/>
  <c r="V1907" i="9" s="1"/>
  <c r="U1907" i="9"/>
  <c r="O1907" i="9"/>
  <c r="P1907" i="9" s="1"/>
  <c r="N1907" i="9"/>
  <c r="M1907" i="9"/>
  <c r="K1907" i="9"/>
  <c r="L1907" i="9"/>
  <c r="T1899" i="9"/>
  <c r="V1899" i="9" s="1"/>
  <c r="U1899" i="9"/>
  <c r="O1899" i="9"/>
  <c r="P1899" i="9" s="1"/>
  <c r="N1899" i="9"/>
  <c r="M1899" i="9"/>
  <c r="K1899" i="9"/>
  <c r="L1899" i="9"/>
  <c r="T1891" i="9"/>
  <c r="V1891" i="9" s="1"/>
  <c r="U1891" i="9"/>
  <c r="O1891" i="9"/>
  <c r="P1891" i="9" s="1"/>
  <c r="N1891" i="9"/>
  <c r="M1891" i="9"/>
  <c r="K1891" i="9"/>
  <c r="L1891" i="9"/>
  <c r="T1883" i="9"/>
  <c r="V1883" i="9" s="1"/>
  <c r="U1883" i="9"/>
  <c r="O1883" i="9"/>
  <c r="P1883" i="9" s="1"/>
  <c r="N1883" i="9"/>
  <c r="M1883" i="9"/>
  <c r="K1883" i="9"/>
  <c r="L1883" i="9"/>
  <c r="T1875" i="9"/>
  <c r="V1875" i="9" s="1"/>
  <c r="U1875" i="9"/>
  <c r="O1875" i="9"/>
  <c r="P1875" i="9" s="1"/>
  <c r="N1875" i="9"/>
  <c r="M1875" i="9"/>
  <c r="K1875" i="9"/>
  <c r="L1875" i="9"/>
  <c r="U1863" i="9"/>
  <c r="T1863" i="9"/>
  <c r="V1863" i="9" s="1"/>
  <c r="O1863" i="9"/>
  <c r="P1863" i="9" s="1"/>
  <c r="N1863" i="9"/>
  <c r="M1863" i="9"/>
  <c r="K1863" i="9"/>
  <c r="L1863" i="9"/>
  <c r="U1855" i="9"/>
  <c r="O1855" i="9"/>
  <c r="P1855" i="9" s="1"/>
  <c r="T1855" i="9"/>
  <c r="V1855" i="9" s="1"/>
  <c r="N1855" i="9"/>
  <c r="M1855" i="9"/>
  <c r="K1855" i="9"/>
  <c r="L1855" i="9"/>
  <c r="U1847" i="9"/>
  <c r="T1847" i="9"/>
  <c r="V1847" i="9" s="1"/>
  <c r="O1847" i="9"/>
  <c r="P1847" i="9" s="1"/>
  <c r="N1847" i="9"/>
  <c r="M1847" i="9"/>
  <c r="K1847" i="9"/>
  <c r="L1847" i="9"/>
  <c r="U1839" i="9"/>
  <c r="T1839" i="9"/>
  <c r="V1839" i="9" s="1"/>
  <c r="O1839" i="9"/>
  <c r="P1839" i="9" s="1"/>
  <c r="N1839" i="9"/>
  <c r="M1839" i="9"/>
  <c r="K1839" i="9"/>
  <c r="L1839" i="9"/>
  <c r="U1831" i="9"/>
  <c r="T1831" i="9"/>
  <c r="V1831" i="9" s="1"/>
  <c r="O1831" i="9"/>
  <c r="P1831" i="9" s="1"/>
  <c r="N1831" i="9"/>
  <c r="M1831" i="9"/>
  <c r="K1831" i="9"/>
  <c r="L1831" i="9"/>
  <c r="U1823" i="9"/>
  <c r="O1823" i="9"/>
  <c r="P1823" i="9" s="1"/>
  <c r="T1823" i="9"/>
  <c r="V1823" i="9" s="1"/>
  <c r="N1823" i="9"/>
  <c r="M1823" i="9"/>
  <c r="K1823" i="9"/>
  <c r="L1823" i="9"/>
  <c r="U1815" i="9"/>
  <c r="T1815" i="9"/>
  <c r="V1815" i="9" s="1"/>
  <c r="O1815" i="9"/>
  <c r="P1815" i="9" s="1"/>
  <c r="N1815" i="9"/>
  <c r="M1815" i="9"/>
  <c r="K1815" i="9"/>
  <c r="L1815" i="9"/>
  <c r="U1807" i="9"/>
  <c r="T1807" i="9"/>
  <c r="V1807" i="9" s="1"/>
  <c r="O1807" i="9"/>
  <c r="P1807" i="9" s="1"/>
  <c r="N1807" i="9"/>
  <c r="M1807" i="9"/>
  <c r="K1807" i="9"/>
  <c r="L1807" i="9"/>
  <c r="U1799" i="9"/>
  <c r="T1799" i="9"/>
  <c r="V1799" i="9" s="1"/>
  <c r="O1799" i="9"/>
  <c r="P1799" i="9" s="1"/>
  <c r="N1799" i="9"/>
  <c r="M1799" i="9"/>
  <c r="K1799" i="9"/>
  <c r="L1799" i="9"/>
  <c r="U1791" i="9"/>
  <c r="O1791" i="9"/>
  <c r="P1791" i="9" s="1"/>
  <c r="N1791" i="9"/>
  <c r="M1791" i="9"/>
  <c r="T1791" i="9"/>
  <c r="V1791" i="9" s="1"/>
  <c r="K1791" i="9"/>
  <c r="L1791" i="9"/>
  <c r="U1783" i="9"/>
  <c r="T1783" i="9"/>
  <c r="V1783" i="9" s="1"/>
  <c r="O1783" i="9"/>
  <c r="P1783" i="9" s="1"/>
  <c r="N1783" i="9"/>
  <c r="M1783" i="9"/>
  <c r="K1783" i="9"/>
  <c r="L1783" i="9"/>
  <c r="U1775" i="9"/>
  <c r="T1775" i="9"/>
  <c r="V1775" i="9" s="1"/>
  <c r="O1775" i="9"/>
  <c r="P1775" i="9" s="1"/>
  <c r="N1775" i="9"/>
  <c r="M1775" i="9"/>
  <c r="K1775" i="9"/>
  <c r="L1775" i="9"/>
  <c r="U1767" i="9"/>
  <c r="T1767" i="9"/>
  <c r="V1767" i="9" s="1"/>
  <c r="O1767" i="9"/>
  <c r="P1767" i="9" s="1"/>
  <c r="N1767" i="9"/>
  <c r="M1767" i="9"/>
  <c r="K1767" i="9"/>
  <c r="L1767" i="9"/>
  <c r="U1759" i="9"/>
  <c r="O1759" i="9"/>
  <c r="P1759" i="9" s="1"/>
  <c r="T1759" i="9"/>
  <c r="V1759" i="9" s="1"/>
  <c r="N1759" i="9"/>
  <c r="M1759" i="9"/>
  <c r="K1759" i="9"/>
  <c r="L1759" i="9"/>
  <c r="U1751" i="9"/>
  <c r="T1751" i="9"/>
  <c r="V1751" i="9" s="1"/>
  <c r="O1751" i="9"/>
  <c r="P1751" i="9" s="1"/>
  <c r="N1751" i="9"/>
  <c r="M1751" i="9"/>
  <c r="K1751" i="9"/>
  <c r="L1751" i="9"/>
  <c r="U1743" i="9"/>
  <c r="T1743" i="9"/>
  <c r="V1743" i="9" s="1"/>
  <c r="O1743" i="9"/>
  <c r="P1743" i="9" s="1"/>
  <c r="N1743" i="9"/>
  <c r="M1743" i="9"/>
  <c r="K1743" i="9"/>
  <c r="L1743" i="9"/>
  <c r="U1735" i="9"/>
  <c r="T1735" i="9"/>
  <c r="V1735" i="9" s="1"/>
  <c r="O1735" i="9"/>
  <c r="P1735" i="9" s="1"/>
  <c r="N1735" i="9"/>
  <c r="M1735" i="9"/>
  <c r="K1735" i="9"/>
  <c r="L1735" i="9"/>
  <c r="U1727" i="9"/>
  <c r="O1727" i="9"/>
  <c r="P1727" i="9" s="1"/>
  <c r="T1727" i="9"/>
  <c r="V1727" i="9" s="1"/>
  <c r="N1727" i="9"/>
  <c r="M1727" i="9"/>
  <c r="K1727" i="9"/>
  <c r="L1727" i="9"/>
  <c r="U1719" i="9"/>
  <c r="T1719" i="9"/>
  <c r="V1719" i="9" s="1"/>
  <c r="O1719" i="9"/>
  <c r="P1719" i="9" s="1"/>
  <c r="N1719" i="9"/>
  <c r="M1719" i="9"/>
  <c r="K1719" i="9"/>
  <c r="L1719" i="9"/>
  <c r="U1711" i="9"/>
  <c r="T1711" i="9"/>
  <c r="V1711" i="9" s="1"/>
  <c r="O1711" i="9"/>
  <c r="P1711" i="9" s="1"/>
  <c r="N1711" i="9"/>
  <c r="M1711" i="9"/>
  <c r="K1711" i="9"/>
  <c r="L1711" i="9"/>
  <c r="U1703" i="9"/>
  <c r="T1703" i="9"/>
  <c r="V1703" i="9" s="1"/>
  <c r="O1703" i="9"/>
  <c r="P1703" i="9" s="1"/>
  <c r="N1703" i="9"/>
  <c r="M1703" i="9"/>
  <c r="K1703" i="9"/>
  <c r="L1703" i="9"/>
  <c r="T1691" i="9"/>
  <c r="V1691" i="9" s="1"/>
  <c r="U1691" i="9"/>
  <c r="O1691" i="9"/>
  <c r="P1691" i="9" s="1"/>
  <c r="N1691" i="9"/>
  <c r="M1691" i="9"/>
  <c r="K1691" i="9"/>
  <c r="L1691" i="9"/>
  <c r="T1683" i="9"/>
  <c r="V1683" i="9" s="1"/>
  <c r="U1683" i="9"/>
  <c r="O1683" i="9"/>
  <c r="P1683" i="9" s="1"/>
  <c r="N1683" i="9"/>
  <c r="M1683" i="9"/>
  <c r="K1683" i="9"/>
  <c r="L1683" i="9"/>
  <c r="T1675" i="9"/>
  <c r="V1675" i="9" s="1"/>
  <c r="U1675" i="9"/>
  <c r="O1675" i="9"/>
  <c r="P1675" i="9" s="1"/>
  <c r="N1675" i="9"/>
  <c r="M1675" i="9"/>
  <c r="K1675" i="9"/>
  <c r="L1675" i="9"/>
  <c r="T1667" i="9"/>
  <c r="V1667" i="9" s="1"/>
  <c r="U1667" i="9"/>
  <c r="O1667" i="9"/>
  <c r="P1667" i="9" s="1"/>
  <c r="N1667" i="9"/>
  <c r="M1667" i="9"/>
  <c r="K1667" i="9"/>
  <c r="L1667" i="9"/>
  <c r="T1659" i="9"/>
  <c r="V1659" i="9" s="1"/>
  <c r="U1659" i="9"/>
  <c r="O1659" i="9"/>
  <c r="P1659" i="9" s="1"/>
  <c r="N1659" i="9"/>
  <c r="M1659" i="9"/>
  <c r="K1659" i="9"/>
  <c r="L1659" i="9"/>
  <c r="T1651" i="9"/>
  <c r="V1651" i="9" s="1"/>
  <c r="U1651" i="9"/>
  <c r="O1651" i="9"/>
  <c r="P1651" i="9" s="1"/>
  <c r="N1651" i="9"/>
  <c r="M1651" i="9"/>
  <c r="K1651" i="9"/>
  <c r="L1651" i="9"/>
  <c r="T1643" i="9"/>
  <c r="V1643" i="9" s="1"/>
  <c r="U1643" i="9"/>
  <c r="O1643" i="9"/>
  <c r="P1643" i="9" s="1"/>
  <c r="N1643" i="9"/>
  <c r="M1643" i="9"/>
  <c r="K1643" i="9"/>
  <c r="L1643" i="9"/>
  <c r="T1635" i="9"/>
  <c r="V1635" i="9" s="1"/>
  <c r="U1635" i="9"/>
  <c r="O1635" i="9"/>
  <c r="P1635" i="9" s="1"/>
  <c r="M1635" i="9"/>
  <c r="K1635" i="9"/>
  <c r="L1635" i="9"/>
  <c r="N1635" i="9"/>
  <c r="T1627" i="9"/>
  <c r="V1627" i="9" s="1"/>
  <c r="U1627" i="9"/>
  <c r="O1627" i="9"/>
  <c r="P1627" i="9" s="1"/>
  <c r="N1627" i="9"/>
  <c r="M1627" i="9"/>
  <c r="K1627" i="9"/>
  <c r="L1627" i="9"/>
  <c r="T1619" i="9"/>
  <c r="V1619" i="9" s="1"/>
  <c r="U1619" i="9"/>
  <c r="O1619" i="9"/>
  <c r="P1619" i="9" s="1"/>
  <c r="M1619" i="9"/>
  <c r="N1619" i="9"/>
  <c r="K1619" i="9"/>
  <c r="L1619" i="9"/>
  <c r="T1611" i="9"/>
  <c r="V1611" i="9" s="1"/>
  <c r="U1611" i="9"/>
  <c r="O1611" i="9"/>
  <c r="P1611" i="9" s="1"/>
  <c r="N1611" i="9"/>
  <c r="M1611" i="9"/>
  <c r="K1611" i="9"/>
  <c r="L1611" i="9"/>
  <c r="T1603" i="9"/>
  <c r="V1603" i="9" s="1"/>
  <c r="U1603" i="9"/>
  <c r="O1603" i="9"/>
  <c r="P1603" i="9" s="1"/>
  <c r="M1603" i="9"/>
  <c r="N1603" i="9"/>
  <c r="K1603" i="9"/>
  <c r="L1603" i="9"/>
  <c r="T1595" i="9"/>
  <c r="V1595" i="9" s="1"/>
  <c r="U1595" i="9"/>
  <c r="O1595" i="9"/>
  <c r="P1595" i="9" s="1"/>
  <c r="N1595" i="9"/>
  <c r="M1595" i="9"/>
  <c r="K1595" i="9"/>
  <c r="L1595" i="9"/>
  <c r="T1587" i="9"/>
  <c r="V1587" i="9" s="1"/>
  <c r="U1587" i="9"/>
  <c r="O1587" i="9"/>
  <c r="P1587" i="9" s="1"/>
  <c r="M1587" i="9"/>
  <c r="K1587" i="9"/>
  <c r="N1587" i="9"/>
  <c r="L1587" i="9"/>
  <c r="T1579" i="9"/>
  <c r="V1579" i="9" s="1"/>
  <c r="U1579" i="9"/>
  <c r="O1579" i="9"/>
  <c r="P1579" i="9" s="1"/>
  <c r="N1579" i="9"/>
  <c r="M1579" i="9"/>
  <c r="K1579" i="9"/>
  <c r="L1579" i="9"/>
  <c r="T1571" i="9"/>
  <c r="V1571" i="9" s="1"/>
  <c r="U1571" i="9"/>
  <c r="O1571" i="9"/>
  <c r="P1571" i="9" s="1"/>
  <c r="M1571" i="9"/>
  <c r="K1571" i="9"/>
  <c r="L1571" i="9"/>
  <c r="N1571" i="9"/>
  <c r="T1563" i="9"/>
  <c r="V1563" i="9" s="1"/>
  <c r="U1563" i="9"/>
  <c r="O1563" i="9"/>
  <c r="P1563" i="9" s="1"/>
  <c r="N1563" i="9"/>
  <c r="M1563" i="9"/>
  <c r="K1563" i="9"/>
  <c r="L1563" i="9"/>
  <c r="T1555" i="9"/>
  <c r="V1555" i="9" s="1"/>
  <c r="U1555" i="9"/>
  <c r="O1555" i="9"/>
  <c r="P1555" i="9" s="1"/>
  <c r="M1555" i="9"/>
  <c r="N1555" i="9"/>
  <c r="K1555" i="9"/>
  <c r="L1555" i="9"/>
  <c r="T1547" i="9"/>
  <c r="V1547" i="9" s="1"/>
  <c r="U1547" i="9"/>
  <c r="O1547" i="9"/>
  <c r="P1547" i="9" s="1"/>
  <c r="N1547" i="9"/>
  <c r="M1547" i="9"/>
  <c r="K1547" i="9"/>
  <c r="L1547" i="9"/>
  <c r="T1539" i="9"/>
  <c r="V1539" i="9" s="1"/>
  <c r="U1539" i="9"/>
  <c r="O1539" i="9"/>
  <c r="P1539" i="9" s="1"/>
  <c r="M1539" i="9"/>
  <c r="N1539" i="9"/>
  <c r="K1539" i="9"/>
  <c r="L1539" i="9"/>
  <c r="T1531" i="9"/>
  <c r="V1531" i="9" s="1"/>
  <c r="U1531" i="9"/>
  <c r="O1531" i="9"/>
  <c r="P1531" i="9" s="1"/>
  <c r="N1531" i="9"/>
  <c r="M1531" i="9"/>
  <c r="K1531" i="9"/>
  <c r="L1531" i="9"/>
  <c r="T1523" i="9"/>
  <c r="V1523" i="9" s="1"/>
  <c r="U1523" i="9"/>
  <c r="O1523" i="9"/>
  <c r="P1523" i="9" s="1"/>
  <c r="M1523" i="9"/>
  <c r="K1523" i="9"/>
  <c r="N1523" i="9"/>
  <c r="L1523" i="9"/>
  <c r="T1515" i="9"/>
  <c r="V1515" i="9" s="1"/>
  <c r="U1515" i="9"/>
  <c r="O1515" i="9"/>
  <c r="P1515" i="9" s="1"/>
  <c r="N1515" i="9"/>
  <c r="M1515" i="9"/>
  <c r="K1515" i="9"/>
  <c r="L1515" i="9"/>
  <c r="T1507" i="9"/>
  <c r="V1507" i="9" s="1"/>
  <c r="U1507" i="9"/>
  <c r="O1507" i="9"/>
  <c r="P1507" i="9" s="1"/>
  <c r="M1507" i="9"/>
  <c r="K1507" i="9"/>
  <c r="L1507" i="9"/>
  <c r="N1507" i="9"/>
  <c r="T1499" i="9"/>
  <c r="V1499" i="9" s="1"/>
  <c r="U1499" i="9"/>
  <c r="O1499" i="9"/>
  <c r="P1499" i="9" s="1"/>
  <c r="N1499" i="9"/>
  <c r="M1499" i="9"/>
  <c r="K1499" i="9"/>
  <c r="L1499" i="9"/>
  <c r="T1491" i="9"/>
  <c r="V1491" i="9" s="1"/>
  <c r="U1491" i="9"/>
  <c r="O1491" i="9"/>
  <c r="P1491" i="9" s="1"/>
  <c r="M1491" i="9"/>
  <c r="N1491" i="9"/>
  <c r="K1491" i="9"/>
  <c r="L1491" i="9"/>
  <c r="T1483" i="9"/>
  <c r="V1483" i="9" s="1"/>
  <c r="U1483" i="9"/>
  <c r="O1483" i="9"/>
  <c r="P1483" i="9" s="1"/>
  <c r="N1483" i="9"/>
  <c r="M1483" i="9"/>
  <c r="K1483" i="9"/>
  <c r="L1483" i="9"/>
  <c r="T1475" i="9"/>
  <c r="V1475" i="9" s="1"/>
  <c r="U1475" i="9"/>
  <c r="O1475" i="9"/>
  <c r="P1475" i="9" s="1"/>
  <c r="M1475" i="9"/>
  <c r="N1475" i="9"/>
  <c r="K1475" i="9"/>
  <c r="L1475" i="9"/>
  <c r="T1467" i="9"/>
  <c r="V1467" i="9" s="1"/>
  <c r="U1467" i="9"/>
  <c r="O1467" i="9"/>
  <c r="P1467" i="9" s="1"/>
  <c r="N1467" i="9"/>
  <c r="M1467" i="9"/>
  <c r="K1467" i="9"/>
  <c r="L1467" i="9"/>
  <c r="T1459" i="9"/>
  <c r="V1459" i="9" s="1"/>
  <c r="U1459" i="9"/>
  <c r="O1459" i="9"/>
  <c r="P1459" i="9" s="1"/>
  <c r="M1459" i="9"/>
  <c r="K1459" i="9"/>
  <c r="N1459" i="9"/>
  <c r="L1459" i="9"/>
  <c r="T1451" i="9"/>
  <c r="V1451" i="9" s="1"/>
  <c r="U1451" i="9"/>
  <c r="O1451" i="9"/>
  <c r="P1451" i="9" s="1"/>
  <c r="N1451" i="9"/>
  <c r="M1451" i="9"/>
  <c r="K1451" i="9"/>
  <c r="L1451" i="9"/>
  <c r="T1443" i="9"/>
  <c r="V1443" i="9" s="1"/>
  <c r="U1443" i="9"/>
  <c r="O1443" i="9"/>
  <c r="P1443" i="9" s="1"/>
  <c r="M1443" i="9"/>
  <c r="K1443" i="9"/>
  <c r="L1443" i="9"/>
  <c r="N1443" i="9"/>
  <c r="T1435" i="9"/>
  <c r="V1435" i="9" s="1"/>
  <c r="U1435" i="9"/>
  <c r="O1435" i="9"/>
  <c r="P1435" i="9" s="1"/>
  <c r="N1435" i="9"/>
  <c r="M1435" i="9"/>
  <c r="K1435" i="9"/>
  <c r="L1435" i="9"/>
  <c r="T1427" i="9"/>
  <c r="V1427" i="9" s="1"/>
  <c r="U1427" i="9"/>
  <c r="O1427" i="9"/>
  <c r="P1427" i="9" s="1"/>
  <c r="M1427" i="9"/>
  <c r="N1427" i="9"/>
  <c r="K1427" i="9"/>
  <c r="L1427" i="9"/>
  <c r="T1419" i="9"/>
  <c r="V1419" i="9" s="1"/>
  <c r="U1419" i="9"/>
  <c r="O1419" i="9"/>
  <c r="P1419" i="9" s="1"/>
  <c r="N1419" i="9"/>
  <c r="M1419" i="9"/>
  <c r="K1419" i="9"/>
  <c r="L1419" i="9"/>
  <c r="T1411" i="9"/>
  <c r="V1411" i="9" s="1"/>
  <c r="U1411" i="9"/>
  <c r="O1411" i="9"/>
  <c r="P1411" i="9" s="1"/>
  <c r="M1411" i="9"/>
  <c r="N1411" i="9"/>
  <c r="K1411" i="9"/>
  <c r="L1411" i="9"/>
  <c r="T1403" i="9"/>
  <c r="V1403" i="9" s="1"/>
  <c r="U1403" i="9"/>
  <c r="O1403" i="9"/>
  <c r="P1403" i="9" s="1"/>
  <c r="N1403" i="9"/>
  <c r="M1403" i="9"/>
  <c r="K1403" i="9"/>
  <c r="L1403" i="9"/>
  <c r="T1395" i="9"/>
  <c r="V1395" i="9" s="1"/>
  <c r="U1395" i="9"/>
  <c r="O1395" i="9"/>
  <c r="P1395" i="9" s="1"/>
  <c r="M1395" i="9"/>
  <c r="K1395" i="9"/>
  <c r="N1395" i="9"/>
  <c r="L1395" i="9"/>
  <c r="T1387" i="9"/>
  <c r="V1387" i="9" s="1"/>
  <c r="U1387" i="9"/>
  <c r="O1387" i="9"/>
  <c r="P1387" i="9" s="1"/>
  <c r="N1387" i="9"/>
  <c r="M1387" i="9"/>
  <c r="K1387" i="9"/>
  <c r="L1387" i="9"/>
  <c r="T1379" i="9"/>
  <c r="V1379" i="9" s="1"/>
  <c r="U1379" i="9"/>
  <c r="O1379" i="9"/>
  <c r="P1379" i="9" s="1"/>
  <c r="M1379" i="9"/>
  <c r="K1379" i="9"/>
  <c r="L1379" i="9"/>
  <c r="N1379" i="9"/>
  <c r="T1371" i="9"/>
  <c r="V1371" i="9" s="1"/>
  <c r="U1371" i="9"/>
  <c r="O1371" i="9"/>
  <c r="P1371" i="9" s="1"/>
  <c r="N1371" i="9"/>
  <c r="M1371" i="9"/>
  <c r="K1371" i="9"/>
  <c r="L1371" i="9"/>
  <c r="U1367" i="9"/>
  <c r="T1367" i="9"/>
  <c r="V1367" i="9" s="1"/>
  <c r="O1367" i="9"/>
  <c r="P1367" i="9" s="1"/>
  <c r="N1367" i="9"/>
  <c r="M1367" i="9"/>
  <c r="K1367" i="9"/>
  <c r="L1367" i="9"/>
  <c r="U1359" i="9"/>
  <c r="T1359" i="9"/>
  <c r="V1359" i="9" s="1"/>
  <c r="O1359" i="9"/>
  <c r="P1359" i="9" s="1"/>
  <c r="N1359" i="9"/>
  <c r="M1359" i="9"/>
  <c r="K1359" i="9"/>
  <c r="L1359" i="9"/>
  <c r="U1351" i="9"/>
  <c r="T1351" i="9"/>
  <c r="V1351" i="9" s="1"/>
  <c r="O1351" i="9"/>
  <c r="P1351" i="9" s="1"/>
  <c r="N1351" i="9"/>
  <c r="M1351" i="9"/>
  <c r="K1351" i="9"/>
  <c r="L1351" i="9"/>
  <c r="U1343" i="9"/>
  <c r="O1343" i="9"/>
  <c r="P1343" i="9" s="1"/>
  <c r="T1343" i="9"/>
  <c r="V1343" i="9" s="1"/>
  <c r="N1343" i="9"/>
  <c r="M1343" i="9"/>
  <c r="K1343" i="9"/>
  <c r="L1343" i="9"/>
  <c r="U1335" i="9"/>
  <c r="T1335" i="9"/>
  <c r="V1335" i="9" s="1"/>
  <c r="O1335" i="9"/>
  <c r="P1335" i="9" s="1"/>
  <c r="N1335" i="9"/>
  <c r="M1335" i="9"/>
  <c r="K1335" i="9"/>
  <c r="L1335" i="9"/>
  <c r="U1327" i="9"/>
  <c r="T1327" i="9"/>
  <c r="V1327" i="9" s="1"/>
  <c r="O1327" i="9"/>
  <c r="P1327" i="9" s="1"/>
  <c r="N1327" i="9"/>
  <c r="M1327" i="9"/>
  <c r="K1327" i="9"/>
  <c r="L1327" i="9"/>
  <c r="U1319" i="9"/>
  <c r="T1319" i="9"/>
  <c r="V1319" i="9" s="1"/>
  <c r="O1319" i="9"/>
  <c r="P1319" i="9" s="1"/>
  <c r="N1319" i="9"/>
  <c r="M1319" i="9"/>
  <c r="K1319" i="9"/>
  <c r="L1319" i="9"/>
  <c r="U1311" i="9"/>
  <c r="O1311" i="9"/>
  <c r="P1311" i="9" s="1"/>
  <c r="T1311" i="9"/>
  <c r="V1311" i="9" s="1"/>
  <c r="N1311" i="9"/>
  <c r="M1311" i="9"/>
  <c r="K1311" i="9"/>
  <c r="L1311" i="9"/>
  <c r="U1303" i="9"/>
  <c r="T1303" i="9"/>
  <c r="V1303" i="9" s="1"/>
  <c r="O1303" i="9"/>
  <c r="P1303" i="9" s="1"/>
  <c r="N1303" i="9"/>
  <c r="M1303" i="9"/>
  <c r="K1303" i="9"/>
  <c r="L1303" i="9"/>
  <c r="U1295" i="9"/>
  <c r="T1295" i="9"/>
  <c r="V1295" i="9" s="1"/>
  <c r="O1295" i="9"/>
  <c r="P1295" i="9" s="1"/>
  <c r="N1295" i="9"/>
  <c r="M1295" i="9"/>
  <c r="K1295" i="9"/>
  <c r="L1295" i="9"/>
  <c r="U1287" i="9"/>
  <c r="T1287" i="9"/>
  <c r="V1287" i="9" s="1"/>
  <c r="O1287" i="9"/>
  <c r="P1287" i="9" s="1"/>
  <c r="N1287" i="9"/>
  <c r="M1287" i="9"/>
  <c r="K1287" i="9"/>
  <c r="L1287" i="9"/>
  <c r="U1279" i="9"/>
  <c r="O1279" i="9"/>
  <c r="P1279" i="9" s="1"/>
  <c r="N1279" i="9"/>
  <c r="M1279" i="9"/>
  <c r="K1279" i="9"/>
  <c r="T1279" i="9"/>
  <c r="V1279" i="9" s="1"/>
  <c r="L1279" i="9"/>
  <c r="U1271" i="9"/>
  <c r="T1271" i="9"/>
  <c r="V1271" i="9" s="1"/>
  <c r="O1271" i="9"/>
  <c r="P1271" i="9" s="1"/>
  <c r="N1271" i="9"/>
  <c r="M1271" i="9"/>
  <c r="K1271" i="9"/>
  <c r="L1271" i="9"/>
  <c r="U1263" i="9"/>
  <c r="T1263" i="9"/>
  <c r="V1263" i="9" s="1"/>
  <c r="O1263" i="9"/>
  <c r="P1263" i="9" s="1"/>
  <c r="N1263" i="9"/>
  <c r="M1263" i="9"/>
  <c r="K1263" i="9"/>
  <c r="L1263" i="9"/>
  <c r="U1255" i="9"/>
  <c r="T1255" i="9"/>
  <c r="V1255" i="9" s="1"/>
  <c r="O1255" i="9"/>
  <c r="P1255" i="9" s="1"/>
  <c r="N1255" i="9"/>
  <c r="M1255" i="9"/>
  <c r="L1255" i="9"/>
  <c r="K1255" i="9"/>
  <c r="U1247" i="9"/>
  <c r="O1247" i="9"/>
  <c r="P1247" i="9" s="1"/>
  <c r="T1247" i="9"/>
  <c r="V1247" i="9" s="1"/>
  <c r="N1247" i="9"/>
  <c r="M1247" i="9"/>
  <c r="L1247" i="9"/>
  <c r="K1247" i="9"/>
  <c r="U1239" i="9"/>
  <c r="T1239" i="9"/>
  <c r="V1239" i="9" s="1"/>
  <c r="O1239" i="9"/>
  <c r="P1239" i="9" s="1"/>
  <c r="N1239" i="9"/>
  <c r="M1239" i="9"/>
  <c r="L1239" i="9"/>
  <c r="K1239" i="9"/>
  <c r="U1231" i="9"/>
  <c r="O1231" i="9"/>
  <c r="P1231" i="9" s="1"/>
  <c r="T1231" i="9"/>
  <c r="V1231" i="9" s="1"/>
  <c r="N1231" i="9"/>
  <c r="M1231" i="9"/>
  <c r="L1231" i="9"/>
  <c r="K1231" i="9"/>
  <c r="U1223" i="9"/>
  <c r="O1223" i="9"/>
  <c r="P1223" i="9" s="1"/>
  <c r="T1223" i="9"/>
  <c r="V1223" i="9" s="1"/>
  <c r="N1223" i="9"/>
  <c r="M1223" i="9"/>
  <c r="L1223" i="9"/>
  <c r="K1223" i="9"/>
  <c r="U1215" i="9"/>
  <c r="O1215" i="9"/>
  <c r="P1215" i="9" s="1"/>
  <c r="T1215" i="9"/>
  <c r="V1215" i="9" s="1"/>
  <c r="N1215" i="9"/>
  <c r="M1215" i="9"/>
  <c r="L1215" i="9"/>
  <c r="K1215" i="9"/>
  <c r="U1207" i="9"/>
  <c r="O1207" i="9"/>
  <c r="P1207" i="9" s="1"/>
  <c r="T1207" i="9"/>
  <c r="V1207" i="9" s="1"/>
  <c r="N1207" i="9"/>
  <c r="M1207" i="9"/>
  <c r="L1207" i="9"/>
  <c r="K1207" i="9"/>
  <c r="U1199" i="9"/>
  <c r="O1199" i="9"/>
  <c r="P1199" i="9" s="1"/>
  <c r="T1199" i="9"/>
  <c r="V1199" i="9" s="1"/>
  <c r="N1199" i="9"/>
  <c r="M1199" i="9"/>
  <c r="L1199" i="9"/>
  <c r="K1199" i="9"/>
  <c r="U1191" i="9"/>
  <c r="O1191" i="9"/>
  <c r="P1191" i="9" s="1"/>
  <c r="T1191" i="9"/>
  <c r="V1191" i="9" s="1"/>
  <c r="N1191" i="9"/>
  <c r="M1191" i="9"/>
  <c r="L1191" i="9"/>
  <c r="K1191" i="9"/>
  <c r="U1183" i="9"/>
  <c r="O1183" i="9"/>
  <c r="P1183" i="9" s="1"/>
  <c r="T1183" i="9"/>
  <c r="V1183" i="9" s="1"/>
  <c r="N1183" i="9"/>
  <c r="M1183" i="9"/>
  <c r="L1183" i="9"/>
  <c r="K1183" i="9"/>
  <c r="U1175" i="9"/>
  <c r="O1175" i="9"/>
  <c r="P1175" i="9" s="1"/>
  <c r="T1175" i="9"/>
  <c r="V1175" i="9" s="1"/>
  <c r="N1175" i="9"/>
  <c r="M1175" i="9"/>
  <c r="L1175" i="9"/>
  <c r="K1175" i="9"/>
  <c r="U1167" i="9"/>
  <c r="O1167" i="9"/>
  <c r="P1167" i="9" s="1"/>
  <c r="T1167" i="9"/>
  <c r="V1167" i="9" s="1"/>
  <c r="N1167" i="9"/>
  <c r="M1167" i="9"/>
  <c r="L1167" i="9"/>
  <c r="K1167" i="9"/>
  <c r="U1159" i="9"/>
  <c r="O1159" i="9"/>
  <c r="P1159" i="9" s="1"/>
  <c r="T1159" i="9"/>
  <c r="V1159" i="9" s="1"/>
  <c r="N1159" i="9"/>
  <c r="M1159" i="9"/>
  <c r="L1159" i="9"/>
  <c r="K1159" i="9"/>
  <c r="U1151" i="9"/>
  <c r="O1151" i="9"/>
  <c r="P1151" i="9" s="1"/>
  <c r="T1151" i="9"/>
  <c r="V1151" i="9" s="1"/>
  <c r="N1151" i="9"/>
  <c r="M1151" i="9"/>
  <c r="L1151" i="9"/>
  <c r="K1151" i="9"/>
  <c r="U1143" i="9"/>
  <c r="O1143" i="9"/>
  <c r="P1143" i="9" s="1"/>
  <c r="T1143" i="9"/>
  <c r="V1143" i="9" s="1"/>
  <c r="N1143" i="9"/>
  <c r="M1143" i="9"/>
  <c r="L1143" i="9"/>
  <c r="K1143" i="9"/>
  <c r="U1135" i="9"/>
  <c r="O1135" i="9"/>
  <c r="P1135" i="9" s="1"/>
  <c r="T1135" i="9"/>
  <c r="V1135" i="9" s="1"/>
  <c r="N1135" i="9"/>
  <c r="M1135" i="9"/>
  <c r="L1135" i="9"/>
  <c r="K1135" i="9"/>
  <c r="U1127" i="9"/>
  <c r="O1127" i="9"/>
  <c r="P1127" i="9" s="1"/>
  <c r="T1127" i="9"/>
  <c r="V1127" i="9" s="1"/>
  <c r="N1127" i="9"/>
  <c r="M1127" i="9"/>
  <c r="L1127" i="9"/>
  <c r="K1127" i="9"/>
  <c r="U1119" i="9"/>
  <c r="O1119" i="9"/>
  <c r="P1119" i="9" s="1"/>
  <c r="T1119" i="9"/>
  <c r="V1119" i="9" s="1"/>
  <c r="N1119" i="9"/>
  <c r="M1119" i="9"/>
  <c r="L1119" i="9"/>
  <c r="K1119" i="9"/>
  <c r="U1111" i="9"/>
  <c r="O1111" i="9"/>
  <c r="P1111" i="9" s="1"/>
  <c r="T1111" i="9"/>
  <c r="V1111" i="9" s="1"/>
  <c r="N1111" i="9"/>
  <c r="M1111" i="9"/>
  <c r="L1111" i="9"/>
  <c r="K1111" i="9"/>
  <c r="U1103" i="9"/>
  <c r="O1103" i="9"/>
  <c r="P1103" i="9" s="1"/>
  <c r="T1103" i="9"/>
  <c r="V1103" i="9" s="1"/>
  <c r="N1103" i="9"/>
  <c r="M1103" i="9"/>
  <c r="L1103" i="9"/>
  <c r="K1103" i="9"/>
  <c r="U1095" i="9"/>
  <c r="O1095" i="9"/>
  <c r="P1095" i="9" s="1"/>
  <c r="T1095" i="9"/>
  <c r="V1095" i="9" s="1"/>
  <c r="N1095" i="9"/>
  <c r="M1095" i="9"/>
  <c r="L1095" i="9"/>
  <c r="K1095" i="9"/>
  <c r="U1087" i="9"/>
  <c r="O1087" i="9"/>
  <c r="P1087" i="9" s="1"/>
  <c r="T1087" i="9"/>
  <c r="V1087" i="9" s="1"/>
  <c r="N1087" i="9"/>
  <c r="M1087" i="9"/>
  <c r="L1087" i="9"/>
  <c r="K1087" i="9"/>
  <c r="U1079" i="9"/>
  <c r="O1079" i="9"/>
  <c r="P1079" i="9" s="1"/>
  <c r="T1079" i="9"/>
  <c r="V1079" i="9" s="1"/>
  <c r="N1079" i="9"/>
  <c r="M1079" i="9"/>
  <c r="L1079" i="9"/>
  <c r="K1079" i="9"/>
  <c r="U1071" i="9"/>
  <c r="O1071" i="9"/>
  <c r="P1071" i="9" s="1"/>
  <c r="T1071" i="9"/>
  <c r="V1071" i="9" s="1"/>
  <c r="N1071" i="9"/>
  <c r="M1071" i="9"/>
  <c r="L1071" i="9"/>
  <c r="K1071" i="9"/>
  <c r="U1063" i="9"/>
  <c r="O1063" i="9"/>
  <c r="P1063" i="9" s="1"/>
  <c r="T1063" i="9"/>
  <c r="V1063" i="9" s="1"/>
  <c r="N1063" i="9"/>
  <c r="M1063" i="9"/>
  <c r="L1063" i="9"/>
  <c r="K1063" i="9"/>
  <c r="U1055" i="9"/>
  <c r="O1055" i="9"/>
  <c r="P1055" i="9" s="1"/>
  <c r="T1055" i="9"/>
  <c r="V1055" i="9" s="1"/>
  <c r="N1055" i="9"/>
  <c r="M1055" i="9"/>
  <c r="L1055" i="9"/>
  <c r="K1055" i="9"/>
  <c r="U1047" i="9"/>
  <c r="O1047" i="9"/>
  <c r="P1047" i="9" s="1"/>
  <c r="T1047" i="9"/>
  <c r="V1047" i="9" s="1"/>
  <c r="N1047" i="9"/>
  <c r="M1047" i="9"/>
  <c r="L1047" i="9"/>
  <c r="K1047" i="9"/>
  <c r="U1039" i="9"/>
  <c r="O1039" i="9"/>
  <c r="P1039" i="9" s="1"/>
  <c r="T1039" i="9"/>
  <c r="V1039" i="9" s="1"/>
  <c r="N1039" i="9"/>
  <c r="M1039" i="9"/>
  <c r="L1039" i="9"/>
  <c r="K1039" i="9"/>
  <c r="U1031" i="9"/>
  <c r="O1031" i="9"/>
  <c r="P1031" i="9" s="1"/>
  <c r="T1031" i="9"/>
  <c r="V1031" i="9" s="1"/>
  <c r="N1031" i="9"/>
  <c r="M1031" i="9"/>
  <c r="L1031" i="9"/>
  <c r="K1031" i="9"/>
  <c r="U1023" i="9"/>
  <c r="O1023" i="9"/>
  <c r="P1023" i="9" s="1"/>
  <c r="T1023" i="9"/>
  <c r="V1023" i="9" s="1"/>
  <c r="N1023" i="9"/>
  <c r="M1023" i="9"/>
  <c r="L1023" i="9"/>
  <c r="K1023" i="9"/>
  <c r="U1015" i="9"/>
  <c r="O1015" i="9"/>
  <c r="P1015" i="9" s="1"/>
  <c r="T1015" i="9"/>
  <c r="V1015" i="9" s="1"/>
  <c r="N1015" i="9"/>
  <c r="M1015" i="9"/>
  <c r="L1015" i="9"/>
  <c r="K1015" i="9"/>
  <c r="U1007" i="9"/>
  <c r="O1007" i="9"/>
  <c r="P1007" i="9" s="1"/>
  <c r="T1007" i="9"/>
  <c r="V1007" i="9" s="1"/>
  <c r="N1007" i="9"/>
  <c r="M1007" i="9"/>
  <c r="L1007" i="9"/>
  <c r="K1007" i="9"/>
  <c r="U999" i="9"/>
  <c r="O999" i="9"/>
  <c r="P999" i="9" s="1"/>
  <c r="T999" i="9"/>
  <c r="V999" i="9" s="1"/>
  <c r="N999" i="9"/>
  <c r="M999" i="9"/>
  <c r="L999" i="9"/>
  <c r="K999" i="9"/>
  <c r="U991" i="9"/>
  <c r="O991" i="9"/>
  <c r="P991" i="9" s="1"/>
  <c r="T991" i="9"/>
  <c r="V991" i="9" s="1"/>
  <c r="N991" i="9"/>
  <c r="M991" i="9"/>
  <c r="L991" i="9"/>
  <c r="K991" i="9"/>
  <c r="U987" i="9"/>
  <c r="O987" i="9"/>
  <c r="P987" i="9" s="1"/>
  <c r="T987" i="9"/>
  <c r="V987" i="9" s="1"/>
  <c r="N987" i="9"/>
  <c r="M987" i="9"/>
  <c r="L987" i="9"/>
  <c r="K987" i="9"/>
  <c r="U979" i="9"/>
  <c r="O979" i="9"/>
  <c r="P979" i="9" s="1"/>
  <c r="T979" i="9"/>
  <c r="V979" i="9" s="1"/>
  <c r="M979" i="9"/>
  <c r="N979" i="9"/>
  <c r="L979" i="9"/>
  <c r="K979" i="9"/>
  <c r="U971" i="9"/>
  <c r="O971" i="9"/>
  <c r="P971" i="9" s="1"/>
  <c r="N971" i="9"/>
  <c r="M971" i="9"/>
  <c r="L971" i="9"/>
  <c r="K971" i="9"/>
  <c r="T971" i="9"/>
  <c r="V971" i="9" s="1"/>
  <c r="U963" i="9"/>
  <c r="O963" i="9"/>
  <c r="P963" i="9" s="1"/>
  <c r="N963" i="9"/>
  <c r="T963" i="9"/>
  <c r="V963" i="9" s="1"/>
  <c r="M963" i="9"/>
  <c r="L963" i="9"/>
  <c r="K963" i="9"/>
  <c r="U955" i="9"/>
  <c r="O955" i="9"/>
  <c r="P955" i="9" s="1"/>
  <c r="N955" i="9"/>
  <c r="T955" i="9"/>
  <c r="V955" i="9" s="1"/>
  <c r="M955" i="9"/>
  <c r="L955" i="9"/>
  <c r="K955" i="9"/>
  <c r="U947" i="9"/>
  <c r="O947" i="9"/>
  <c r="P947" i="9" s="1"/>
  <c r="T947" i="9"/>
  <c r="V947" i="9" s="1"/>
  <c r="N947" i="9"/>
  <c r="M947" i="9"/>
  <c r="L947" i="9"/>
  <c r="K947" i="9"/>
  <c r="U939" i="9"/>
  <c r="O939" i="9"/>
  <c r="P939" i="9" s="1"/>
  <c r="N939" i="9"/>
  <c r="M939" i="9"/>
  <c r="T939" i="9"/>
  <c r="V939" i="9" s="1"/>
  <c r="L939" i="9"/>
  <c r="K939" i="9"/>
  <c r="U931" i="9"/>
  <c r="O931" i="9"/>
  <c r="P931" i="9" s="1"/>
  <c r="N931" i="9"/>
  <c r="T931" i="9"/>
  <c r="V931" i="9" s="1"/>
  <c r="M931" i="9"/>
  <c r="L931" i="9"/>
  <c r="K931" i="9"/>
  <c r="U923" i="9"/>
  <c r="O923" i="9"/>
  <c r="P923" i="9" s="1"/>
  <c r="N923" i="9"/>
  <c r="T923" i="9"/>
  <c r="V923" i="9" s="1"/>
  <c r="M923" i="9"/>
  <c r="L923" i="9"/>
  <c r="K923" i="9"/>
  <c r="U915" i="9"/>
  <c r="O915" i="9"/>
  <c r="P915" i="9" s="1"/>
  <c r="T915" i="9"/>
  <c r="V915" i="9" s="1"/>
  <c r="N915" i="9"/>
  <c r="M915" i="9"/>
  <c r="L915" i="9"/>
  <c r="K915" i="9"/>
  <c r="U907" i="9"/>
  <c r="O907" i="9"/>
  <c r="P907" i="9" s="1"/>
  <c r="N907" i="9"/>
  <c r="M907" i="9"/>
  <c r="T907" i="9"/>
  <c r="V907" i="9" s="1"/>
  <c r="L907" i="9"/>
  <c r="K907" i="9"/>
  <c r="U899" i="9"/>
  <c r="O899" i="9"/>
  <c r="P899" i="9" s="1"/>
  <c r="N899" i="9"/>
  <c r="T899" i="9"/>
  <c r="V899" i="9" s="1"/>
  <c r="M899" i="9"/>
  <c r="L899" i="9"/>
  <c r="K899" i="9"/>
  <c r="U891" i="9"/>
  <c r="O891" i="9"/>
  <c r="P891" i="9" s="1"/>
  <c r="N891" i="9"/>
  <c r="T891" i="9"/>
  <c r="V891" i="9" s="1"/>
  <c r="M891" i="9"/>
  <c r="L891" i="9"/>
  <c r="K891" i="9"/>
  <c r="U883" i="9"/>
  <c r="O883" i="9"/>
  <c r="P883" i="9" s="1"/>
  <c r="T883" i="9"/>
  <c r="V883" i="9" s="1"/>
  <c r="N883" i="9"/>
  <c r="M883" i="9"/>
  <c r="L883" i="9"/>
  <c r="K883" i="9"/>
  <c r="U875" i="9"/>
  <c r="O875" i="9"/>
  <c r="P875" i="9" s="1"/>
  <c r="N875" i="9"/>
  <c r="M875" i="9"/>
  <c r="T875" i="9"/>
  <c r="V875" i="9" s="1"/>
  <c r="L875" i="9"/>
  <c r="K875" i="9"/>
  <c r="U867" i="9"/>
  <c r="O867" i="9"/>
  <c r="P867" i="9" s="1"/>
  <c r="N867" i="9"/>
  <c r="T867" i="9"/>
  <c r="V867" i="9" s="1"/>
  <c r="M867" i="9"/>
  <c r="L867" i="9"/>
  <c r="K867" i="9"/>
  <c r="U859" i="9"/>
  <c r="O859" i="9"/>
  <c r="P859" i="9" s="1"/>
  <c r="N859" i="9"/>
  <c r="T859" i="9"/>
  <c r="V859" i="9" s="1"/>
  <c r="M859" i="9"/>
  <c r="L859" i="9"/>
  <c r="K859" i="9"/>
  <c r="U855" i="9"/>
  <c r="O855" i="9"/>
  <c r="P855" i="9" s="1"/>
  <c r="T855" i="9"/>
  <c r="V855" i="9" s="1"/>
  <c r="N855" i="9"/>
  <c r="M855" i="9"/>
  <c r="L855" i="9"/>
  <c r="K855" i="9"/>
  <c r="U847" i="9"/>
  <c r="O847" i="9"/>
  <c r="P847" i="9" s="1"/>
  <c r="T847" i="9"/>
  <c r="V847" i="9" s="1"/>
  <c r="N847" i="9"/>
  <c r="M847" i="9"/>
  <c r="L847" i="9"/>
  <c r="K847" i="9"/>
  <c r="U839" i="9"/>
  <c r="O839" i="9"/>
  <c r="P839" i="9" s="1"/>
  <c r="T839" i="9"/>
  <c r="V839" i="9" s="1"/>
  <c r="N839" i="9"/>
  <c r="M839" i="9"/>
  <c r="L839" i="9"/>
  <c r="K839" i="9"/>
  <c r="U831" i="9"/>
  <c r="O831" i="9"/>
  <c r="P831" i="9" s="1"/>
  <c r="T831" i="9"/>
  <c r="V831" i="9" s="1"/>
  <c r="N831" i="9"/>
  <c r="M831" i="9"/>
  <c r="L831" i="9"/>
  <c r="K831" i="9"/>
  <c r="U823" i="9"/>
  <c r="O823" i="9"/>
  <c r="P823" i="9" s="1"/>
  <c r="T823" i="9"/>
  <c r="V823" i="9" s="1"/>
  <c r="N823" i="9"/>
  <c r="M823" i="9"/>
  <c r="L823" i="9"/>
  <c r="K823" i="9"/>
  <c r="U815" i="9"/>
  <c r="O815" i="9"/>
  <c r="P815" i="9" s="1"/>
  <c r="T815" i="9"/>
  <c r="V815" i="9" s="1"/>
  <c r="N815" i="9"/>
  <c r="M815" i="9"/>
  <c r="L815" i="9"/>
  <c r="K815" i="9"/>
  <c r="U807" i="9"/>
  <c r="O807" i="9"/>
  <c r="P807" i="9" s="1"/>
  <c r="T807" i="9"/>
  <c r="V807" i="9" s="1"/>
  <c r="N807" i="9"/>
  <c r="M807" i="9"/>
  <c r="L807" i="9"/>
  <c r="K807" i="9"/>
  <c r="U799" i="9"/>
  <c r="O799" i="9"/>
  <c r="P799" i="9" s="1"/>
  <c r="T799" i="9"/>
  <c r="V799" i="9" s="1"/>
  <c r="N799" i="9"/>
  <c r="M799" i="9"/>
  <c r="L799" i="9"/>
  <c r="K799" i="9"/>
  <c r="U791" i="9"/>
  <c r="O791" i="9"/>
  <c r="P791" i="9" s="1"/>
  <c r="T791" i="9"/>
  <c r="V791" i="9" s="1"/>
  <c r="N791" i="9"/>
  <c r="M791" i="9"/>
  <c r="L791" i="9"/>
  <c r="K791" i="9"/>
  <c r="U783" i="9"/>
  <c r="O783" i="9"/>
  <c r="P783" i="9" s="1"/>
  <c r="T783" i="9"/>
  <c r="V783" i="9" s="1"/>
  <c r="N783" i="9"/>
  <c r="M783" i="9"/>
  <c r="L783" i="9"/>
  <c r="K783" i="9"/>
  <c r="U779" i="9"/>
  <c r="O779" i="9"/>
  <c r="P779" i="9" s="1"/>
  <c r="N779" i="9"/>
  <c r="M779" i="9"/>
  <c r="T779" i="9"/>
  <c r="V779" i="9" s="1"/>
  <c r="L779" i="9"/>
  <c r="K779" i="9"/>
  <c r="U771" i="9"/>
  <c r="O771" i="9"/>
  <c r="P771" i="9" s="1"/>
  <c r="N771" i="9"/>
  <c r="T771" i="9"/>
  <c r="V771" i="9" s="1"/>
  <c r="M771" i="9"/>
  <c r="L771" i="9"/>
  <c r="K771" i="9"/>
  <c r="U763" i="9"/>
  <c r="O763" i="9"/>
  <c r="P763" i="9" s="1"/>
  <c r="N763" i="9"/>
  <c r="T763" i="9"/>
  <c r="V763" i="9" s="1"/>
  <c r="M763" i="9"/>
  <c r="L763" i="9"/>
  <c r="K763" i="9"/>
  <c r="U755" i="9"/>
  <c r="O755" i="9"/>
  <c r="P755" i="9" s="1"/>
  <c r="T755" i="9"/>
  <c r="V755" i="9" s="1"/>
  <c r="N755" i="9"/>
  <c r="M755" i="9"/>
  <c r="L755" i="9"/>
  <c r="K755" i="9"/>
  <c r="U747" i="9"/>
  <c r="O747" i="9"/>
  <c r="P747" i="9" s="1"/>
  <c r="N747" i="9"/>
  <c r="M747" i="9"/>
  <c r="L747" i="9"/>
  <c r="T747" i="9"/>
  <c r="V747" i="9" s="1"/>
  <c r="K747" i="9"/>
  <c r="U735" i="9"/>
  <c r="O735" i="9"/>
  <c r="P735" i="9" s="1"/>
  <c r="T735" i="9"/>
  <c r="V735" i="9" s="1"/>
  <c r="N735" i="9"/>
  <c r="M735" i="9"/>
  <c r="L735" i="9"/>
  <c r="K735" i="9"/>
  <c r="U727" i="9"/>
  <c r="O727" i="9"/>
  <c r="P727" i="9" s="1"/>
  <c r="T727" i="9"/>
  <c r="V727" i="9" s="1"/>
  <c r="N727" i="9"/>
  <c r="M727" i="9"/>
  <c r="L727" i="9"/>
  <c r="K727" i="9"/>
  <c r="U719" i="9"/>
  <c r="O719" i="9"/>
  <c r="P719" i="9" s="1"/>
  <c r="T719" i="9"/>
  <c r="V719" i="9" s="1"/>
  <c r="N719" i="9"/>
  <c r="M719" i="9"/>
  <c r="L719" i="9"/>
  <c r="K719" i="9"/>
  <c r="U711" i="9"/>
  <c r="O711" i="9"/>
  <c r="P711" i="9" s="1"/>
  <c r="T711" i="9"/>
  <c r="V711" i="9" s="1"/>
  <c r="N711" i="9"/>
  <c r="M711" i="9"/>
  <c r="L711" i="9"/>
  <c r="K711" i="9"/>
  <c r="U703" i="9"/>
  <c r="O703" i="9"/>
  <c r="P703" i="9" s="1"/>
  <c r="T703" i="9"/>
  <c r="V703" i="9" s="1"/>
  <c r="N703" i="9"/>
  <c r="M703" i="9"/>
  <c r="L703" i="9"/>
  <c r="K703" i="9"/>
  <c r="U695" i="9"/>
  <c r="O695" i="9"/>
  <c r="P695" i="9" s="1"/>
  <c r="T695" i="9"/>
  <c r="V695" i="9" s="1"/>
  <c r="N695" i="9"/>
  <c r="M695" i="9"/>
  <c r="L695" i="9"/>
  <c r="K695" i="9"/>
  <c r="U687" i="9"/>
  <c r="O687" i="9"/>
  <c r="P687" i="9" s="1"/>
  <c r="T687" i="9"/>
  <c r="V687" i="9" s="1"/>
  <c r="N687" i="9"/>
  <c r="M687" i="9"/>
  <c r="L687" i="9"/>
  <c r="K687" i="9"/>
  <c r="U679" i="9"/>
  <c r="O679" i="9"/>
  <c r="P679" i="9" s="1"/>
  <c r="T679" i="9"/>
  <c r="V679" i="9" s="1"/>
  <c r="N679" i="9"/>
  <c r="M679" i="9"/>
  <c r="L679" i="9"/>
  <c r="K679" i="9"/>
  <c r="U671" i="9"/>
  <c r="O671" i="9"/>
  <c r="P671" i="9" s="1"/>
  <c r="T671" i="9"/>
  <c r="V671" i="9" s="1"/>
  <c r="N671" i="9"/>
  <c r="M671" i="9"/>
  <c r="L671" i="9"/>
  <c r="K671" i="9"/>
  <c r="U663" i="9"/>
  <c r="O663" i="9"/>
  <c r="P663" i="9" s="1"/>
  <c r="N663" i="9"/>
  <c r="T663" i="9"/>
  <c r="V663" i="9" s="1"/>
  <c r="M663" i="9"/>
  <c r="L663" i="9"/>
  <c r="K663" i="9"/>
  <c r="U655" i="9"/>
  <c r="O655" i="9"/>
  <c r="P655" i="9" s="1"/>
  <c r="N655" i="9"/>
  <c r="T655" i="9"/>
  <c r="V655" i="9" s="1"/>
  <c r="M655" i="9"/>
  <c r="L655" i="9"/>
  <c r="K655" i="9"/>
  <c r="U647" i="9"/>
  <c r="O647" i="9"/>
  <c r="P647" i="9" s="1"/>
  <c r="N647" i="9"/>
  <c r="T647" i="9"/>
  <c r="V647" i="9" s="1"/>
  <c r="M647" i="9"/>
  <c r="L647" i="9"/>
  <c r="K647" i="9"/>
  <c r="U639" i="9"/>
  <c r="O639" i="9"/>
  <c r="P639" i="9" s="1"/>
  <c r="N639" i="9"/>
  <c r="T639" i="9"/>
  <c r="V639" i="9" s="1"/>
  <c r="M639" i="9"/>
  <c r="L639" i="9"/>
  <c r="K639" i="9"/>
  <c r="U631" i="9"/>
  <c r="O631" i="9"/>
  <c r="P631" i="9" s="1"/>
  <c r="N631" i="9"/>
  <c r="T631" i="9"/>
  <c r="V631" i="9" s="1"/>
  <c r="M631" i="9"/>
  <c r="L631" i="9"/>
  <c r="K631" i="9"/>
  <c r="U623" i="9"/>
  <c r="O623" i="9"/>
  <c r="P623" i="9" s="1"/>
  <c r="N623" i="9"/>
  <c r="T623" i="9"/>
  <c r="V623" i="9" s="1"/>
  <c r="M623" i="9"/>
  <c r="L623" i="9"/>
  <c r="K623" i="9"/>
  <c r="U615" i="9"/>
  <c r="O615" i="9"/>
  <c r="P615" i="9" s="1"/>
  <c r="N615" i="9"/>
  <c r="T615" i="9"/>
  <c r="V615" i="9" s="1"/>
  <c r="M615" i="9"/>
  <c r="L615" i="9"/>
  <c r="K615" i="9"/>
  <c r="U607" i="9"/>
  <c r="O607" i="9"/>
  <c r="P607" i="9" s="1"/>
  <c r="N607" i="9"/>
  <c r="T607" i="9"/>
  <c r="V607" i="9" s="1"/>
  <c r="M607" i="9"/>
  <c r="L607" i="9"/>
  <c r="K607" i="9"/>
  <c r="U603" i="9"/>
  <c r="O603" i="9"/>
  <c r="P603" i="9" s="1"/>
  <c r="N603" i="9"/>
  <c r="T603" i="9"/>
  <c r="V603" i="9" s="1"/>
  <c r="M603" i="9"/>
  <c r="L603" i="9"/>
  <c r="K603" i="9"/>
  <c r="U595" i="9"/>
  <c r="O595" i="9"/>
  <c r="P595" i="9" s="1"/>
  <c r="N595" i="9"/>
  <c r="T595" i="9"/>
  <c r="V595" i="9" s="1"/>
  <c r="M595" i="9"/>
  <c r="L595" i="9"/>
  <c r="K595" i="9"/>
  <c r="U587" i="9"/>
  <c r="O587" i="9"/>
  <c r="P587" i="9" s="1"/>
  <c r="N587" i="9"/>
  <c r="M587" i="9"/>
  <c r="L587" i="9"/>
  <c r="K587" i="9"/>
  <c r="T587" i="9"/>
  <c r="V587" i="9" s="1"/>
  <c r="U579" i="9"/>
  <c r="O579" i="9"/>
  <c r="P579" i="9" s="1"/>
  <c r="N579" i="9"/>
  <c r="T579" i="9"/>
  <c r="V579" i="9" s="1"/>
  <c r="M579" i="9"/>
  <c r="L579" i="9"/>
  <c r="K579" i="9"/>
  <c r="U575" i="9"/>
  <c r="O575" i="9"/>
  <c r="P575" i="9" s="1"/>
  <c r="N575" i="9"/>
  <c r="T575" i="9"/>
  <c r="V575" i="9" s="1"/>
  <c r="M575" i="9"/>
  <c r="L575" i="9"/>
  <c r="K575" i="9"/>
  <c r="U567" i="9"/>
  <c r="O567" i="9"/>
  <c r="P567" i="9" s="1"/>
  <c r="N567" i="9"/>
  <c r="T567" i="9"/>
  <c r="V567" i="9" s="1"/>
  <c r="M567" i="9"/>
  <c r="L567" i="9"/>
  <c r="K567" i="9"/>
  <c r="U559" i="9"/>
  <c r="O559" i="9"/>
  <c r="P559" i="9" s="1"/>
  <c r="N559" i="9"/>
  <c r="T559" i="9"/>
  <c r="V559" i="9" s="1"/>
  <c r="M559" i="9"/>
  <c r="L559" i="9"/>
  <c r="K559" i="9"/>
  <c r="U551" i="9"/>
  <c r="O551" i="9"/>
  <c r="P551" i="9" s="1"/>
  <c r="N551" i="9"/>
  <c r="T551" i="9"/>
  <c r="V551" i="9" s="1"/>
  <c r="M551" i="9"/>
  <c r="L551" i="9"/>
  <c r="K551" i="9"/>
  <c r="U543" i="9"/>
  <c r="O543" i="9"/>
  <c r="P543" i="9" s="1"/>
  <c r="N543" i="9"/>
  <c r="T543" i="9"/>
  <c r="V543" i="9" s="1"/>
  <c r="M543" i="9"/>
  <c r="L543" i="9"/>
  <c r="K543" i="9"/>
  <c r="U535" i="9"/>
  <c r="O535" i="9"/>
  <c r="P535" i="9" s="1"/>
  <c r="N535" i="9"/>
  <c r="T535" i="9"/>
  <c r="V535" i="9" s="1"/>
  <c r="M535" i="9"/>
  <c r="L535" i="9"/>
  <c r="K535" i="9"/>
  <c r="U527" i="9"/>
  <c r="O527" i="9"/>
  <c r="P527" i="9" s="1"/>
  <c r="N527" i="9"/>
  <c r="T527" i="9"/>
  <c r="V527" i="9" s="1"/>
  <c r="M527" i="9"/>
  <c r="L527" i="9"/>
  <c r="K527" i="9"/>
  <c r="U519" i="9"/>
  <c r="O519" i="9"/>
  <c r="P519" i="9" s="1"/>
  <c r="N519" i="9"/>
  <c r="T519" i="9"/>
  <c r="V519" i="9" s="1"/>
  <c r="M519" i="9"/>
  <c r="L519" i="9"/>
  <c r="K519" i="9"/>
  <c r="U511" i="9"/>
  <c r="O511" i="9"/>
  <c r="P511" i="9" s="1"/>
  <c r="N511" i="9"/>
  <c r="T511" i="9"/>
  <c r="V511" i="9" s="1"/>
  <c r="M511" i="9"/>
  <c r="L511" i="9"/>
  <c r="K511" i="9"/>
  <c r="U503" i="9"/>
  <c r="O503" i="9"/>
  <c r="P503" i="9" s="1"/>
  <c r="N503" i="9"/>
  <c r="T503" i="9"/>
  <c r="V503" i="9" s="1"/>
  <c r="M503" i="9"/>
  <c r="L503" i="9"/>
  <c r="K503" i="9"/>
  <c r="U495" i="9"/>
  <c r="O495" i="9"/>
  <c r="P495" i="9" s="1"/>
  <c r="N495" i="9"/>
  <c r="T495" i="9"/>
  <c r="V495" i="9" s="1"/>
  <c r="M495" i="9"/>
  <c r="L495" i="9"/>
  <c r="K495" i="9"/>
  <c r="U487" i="9"/>
  <c r="O487" i="9"/>
  <c r="P487" i="9" s="1"/>
  <c r="N487" i="9"/>
  <c r="T487" i="9"/>
  <c r="V487" i="9" s="1"/>
  <c r="M487" i="9"/>
  <c r="L487" i="9"/>
  <c r="K487" i="9"/>
  <c r="U479" i="9"/>
  <c r="O479" i="9"/>
  <c r="P479" i="9" s="1"/>
  <c r="N479" i="9"/>
  <c r="T479" i="9"/>
  <c r="V479" i="9" s="1"/>
  <c r="M479" i="9"/>
  <c r="L479" i="9"/>
  <c r="K479" i="9"/>
  <c r="U471" i="9"/>
  <c r="O471" i="9"/>
  <c r="P471" i="9" s="1"/>
  <c r="N471" i="9"/>
  <c r="T471" i="9"/>
  <c r="V471" i="9" s="1"/>
  <c r="M471" i="9"/>
  <c r="L471" i="9"/>
  <c r="K471" i="9"/>
  <c r="U463" i="9"/>
  <c r="O463" i="9"/>
  <c r="P463" i="9" s="1"/>
  <c r="N463" i="9"/>
  <c r="T463" i="9"/>
  <c r="V463" i="9" s="1"/>
  <c r="M463" i="9"/>
  <c r="L463" i="9"/>
  <c r="K463" i="9"/>
  <c r="U455" i="9"/>
  <c r="O455" i="9"/>
  <c r="P455" i="9" s="1"/>
  <c r="N455" i="9"/>
  <c r="T455" i="9"/>
  <c r="V455" i="9" s="1"/>
  <c r="M455" i="9"/>
  <c r="L455" i="9"/>
  <c r="K455" i="9"/>
  <c r="U447" i="9"/>
  <c r="O447" i="9"/>
  <c r="P447" i="9" s="1"/>
  <c r="N447" i="9"/>
  <c r="T447" i="9"/>
  <c r="V447" i="9" s="1"/>
  <c r="M447" i="9"/>
  <c r="L447" i="9"/>
  <c r="K447" i="9"/>
  <c r="U439" i="9"/>
  <c r="O439" i="9"/>
  <c r="P439" i="9" s="1"/>
  <c r="N439" i="9"/>
  <c r="T439" i="9"/>
  <c r="V439" i="9" s="1"/>
  <c r="M439" i="9"/>
  <c r="L439" i="9"/>
  <c r="K439" i="9"/>
  <c r="U431" i="9"/>
  <c r="O431" i="9"/>
  <c r="P431" i="9" s="1"/>
  <c r="N431" i="9"/>
  <c r="T431" i="9"/>
  <c r="V431" i="9" s="1"/>
  <c r="M431" i="9"/>
  <c r="L431" i="9"/>
  <c r="K431" i="9"/>
  <c r="U423" i="9"/>
  <c r="O423" i="9"/>
  <c r="P423" i="9" s="1"/>
  <c r="N423" i="9"/>
  <c r="T423" i="9"/>
  <c r="V423" i="9" s="1"/>
  <c r="M423" i="9"/>
  <c r="L423" i="9"/>
  <c r="K423" i="9"/>
  <c r="U415" i="9"/>
  <c r="O415" i="9"/>
  <c r="P415" i="9" s="1"/>
  <c r="N415" i="9"/>
  <c r="T415" i="9"/>
  <c r="V415" i="9" s="1"/>
  <c r="M415" i="9"/>
  <c r="L415" i="9"/>
  <c r="K415" i="9"/>
  <c r="U407" i="9"/>
  <c r="O407" i="9"/>
  <c r="P407" i="9" s="1"/>
  <c r="N407" i="9"/>
  <c r="T407" i="9"/>
  <c r="V407" i="9" s="1"/>
  <c r="M407" i="9"/>
  <c r="L407" i="9"/>
  <c r="K407" i="9"/>
  <c r="U399" i="9"/>
  <c r="O399" i="9"/>
  <c r="P399" i="9" s="1"/>
  <c r="N399" i="9"/>
  <c r="T399" i="9"/>
  <c r="V399" i="9" s="1"/>
  <c r="M399" i="9"/>
  <c r="L399" i="9"/>
  <c r="K399" i="9"/>
  <c r="U395" i="9"/>
  <c r="O395" i="9"/>
  <c r="P395" i="9" s="1"/>
  <c r="N395" i="9"/>
  <c r="M395" i="9"/>
  <c r="L395" i="9"/>
  <c r="T395" i="9"/>
  <c r="V395" i="9" s="1"/>
  <c r="K395" i="9"/>
  <c r="U387" i="9"/>
  <c r="O387" i="9"/>
  <c r="P387" i="9" s="1"/>
  <c r="N387" i="9"/>
  <c r="T387" i="9"/>
  <c r="V387" i="9" s="1"/>
  <c r="M387" i="9"/>
  <c r="L387" i="9"/>
  <c r="K387" i="9"/>
  <c r="U379" i="9"/>
  <c r="O379" i="9"/>
  <c r="P379" i="9" s="1"/>
  <c r="N379" i="9"/>
  <c r="T379" i="9"/>
  <c r="V379" i="9" s="1"/>
  <c r="M379" i="9"/>
  <c r="L379" i="9"/>
  <c r="K379" i="9"/>
  <c r="U371" i="9"/>
  <c r="O371" i="9"/>
  <c r="P371" i="9" s="1"/>
  <c r="N371" i="9"/>
  <c r="T371" i="9"/>
  <c r="V371" i="9" s="1"/>
  <c r="M371" i="9"/>
  <c r="L371" i="9"/>
  <c r="K371" i="9"/>
  <c r="U363" i="9"/>
  <c r="O363" i="9"/>
  <c r="P363" i="9" s="1"/>
  <c r="N363" i="9"/>
  <c r="M363" i="9"/>
  <c r="L363" i="9"/>
  <c r="T363" i="9"/>
  <c r="V363" i="9" s="1"/>
  <c r="K363" i="9"/>
  <c r="U355" i="9"/>
  <c r="O355" i="9"/>
  <c r="P355" i="9" s="1"/>
  <c r="N355" i="9"/>
  <c r="T355" i="9"/>
  <c r="V355" i="9" s="1"/>
  <c r="M355" i="9"/>
  <c r="L355" i="9"/>
  <c r="K355" i="9"/>
  <c r="U351" i="9"/>
  <c r="O351" i="9"/>
  <c r="P351" i="9" s="1"/>
  <c r="N351" i="9"/>
  <c r="T351" i="9"/>
  <c r="V351" i="9" s="1"/>
  <c r="M351" i="9"/>
  <c r="L351" i="9"/>
  <c r="K351" i="9"/>
  <c r="U343" i="9"/>
  <c r="O343" i="9"/>
  <c r="P343" i="9" s="1"/>
  <c r="N343" i="9"/>
  <c r="T343" i="9"/>
  <c r="V343" i="9" s="1"/>
  <c r="M343" i="9"/>
  <c r="L343" i="9"/>
  <c r="K343" i="9"/>
  <c r="U335" i="9"/>
  <c r="O335" i="9"/>
  <c r="P335" i="9" s="1"/>
  <c r="N335" i="9"/>
  <c r="T335" i="9"/>
  <c r="V335" i="9" s="1"/>
  <c r="M335" i="9"/>
  <c r="L335" i="9"/>
  <c r="K335" i="9"/>
  <c r="U327" i="9"/>
  <c r="O327" i="9"/>
  <c r="P327" i="9" s="1"/>
  <c r="N327" i="9"/>
  <c r="T327" i="9"/>
  <c r="V327" i="9" s="1"/>
  <c r="M327" i="9"/>
  <c r="L327" i="9"/>
  <c r="K327" i="9"/>
  <c r="U319" i="9"/>
  <c r="O319" i="9"/>
  <c r="P319" i="9" s="1"/>
  <c r="N319" i="9"/>
  <c r="T319" i="9"/>
  <c r="V319" i="9" s="1"/>
  <c r="M319" i="9"/>
  <c r="L319" i="9"/>
  <c r="K319" i="9"/>
  <c r="U311" i="9"/>
  <c r="O311" i="9"/>
  <c r="P311" i="9" s="1"/>
  <c r="N311" i="9"/>
  <c r="T311" i="9"/>
  <c r="V311" i="9" s="1"/>
  <c r="M311" i="9"/>
  <c r="L311" i="9"/>
  <c r="K311" i="9"/>
  <c r="U303" i="9"/>
  <c r="O303" i="9"/>
  <c r="P303" i="9" s="1"/>
  <c r="N303" i="9"/>
  <c r="T303" i="9"/>
  <c r="V303" i="9" s="1"/>
  <c r="M303" i="9"/>
  <c r="L303" i="9"/>
  <c r="K303" i="9"/>
  <c r="U295" i="9"/>
  <c r="O295" i="9"/>
  <c r="P295" i="9" s="1"/>
  <c r="N295" i="9"/>
  <c r="T295" i="9"/>
  <c r="V295" i="9" s="1"/>
  <c r="M295" i="9"/>
  <c r="L295" i="9"/>
  <c r="K295" i="9"/>
  <c r="U287" i="9"/>
  <c r="O287" i="9"/>
  <c r="P287" i="9" s="1"/>
  <c r="N287" i="9"/>
  <c r="T287" i="9"/>
  <c r="V287" i="9" s="1"/>
  <c r="M287" i="9"/>
  <c r="L287" i="9"/>
  <c r="K287" i="9"/>
  <c r="U279" i="9"/>
  <c r="O279" i="9"/>
  <c r="P279" i="9" s="1"/>
  <c r="N279" i="9"/>
  <c r="T279" i="9"/>
  <c r="V279" i="9" s="1"/>
  <c r="M279" i="9"/>
  <c r="L279" i="9"/>
  <c r="K279" i="9"/>
  <c r="U271" i="9"/>
  <c r="O271" i="9"/>
  <c r="P271" i="9" s="1"/>
  <c r="N271" i="9"/>
  <c r="T271" i="9"/>
  <c r="V271" i="9" s="1"/>
  <c r="M271" i="9"/>
  <c r="L271" i="9"/>
  <c r="K271" i="9"/>
  <c r="U263" i="9"/>
  <c r="O263" i="9"/>
  <c r="P263" i="9" s="1"/>
  <c r="N263" i="9"/>
  <c r="T263" i="9"/>
  <c r="V263" i="9" s="1"/>
  <c r="M263" i="9"/>
  <c r="L263" i="9"/>
  <c r="K263" i="9"/>
  <c r="U255" i="9"/>
  <c r="O255" i="9"/>
  <c r="P255" i="9" s="1"/>
  <c r="N255" i="9"/>
  <c r="T255" i="9"/>
  <c r="V255" i="9" s="1"/>
  <c r="M255" i="9"/>
  <c r="L255" i="9"/>
  <c r="K255" i="9"/>
  <c r="U243" i="9"/>
  <c r="T243" i="9"/>
  <c r="V243" i="9" s="1"/>
  <c r="O243" i="9"/>
  <c r="P243" i="9" s="1"/>
  <c r="N243" i="9"/>
  <c r="M243" i="9"/>
  <c r="L243" i="9"/>
  <c r="K243" i="9"/>
  <c r="U235" i="9"/>
  <c r="T235" i="9"/>
  <c r="V235" i="9" s="1"/>
  <c r="O235" i="9"/>
  <c r="P235" i="9" s="1"/>
  <c r="N235" i="9"/>
  <c r="M235" i="9"/>
  <c r="L235" i="9"/>
  <c r="K235" i="9"/>
  <c r="U231" i="9"/>
  <c r="O231" i="9"/>
  <c r="P231" i="9" s="1"/>
  <c r="N231" i="9"/>
  <c r="T231" i="9"/>
  <c r="V231" i="9" s="1"/>
  <c r="M231" i="9"/>
  <c r="L231" i="9"/>
  <c r="K231" i="9"/>
  <c r="U223" i="9"/>
  <c r="O223" i="9"/>
  <c r="P223" i="9" s="1"/>
  <c r="N223" i="9"/>
  <c r="T223" i="9"/>
  <c r="V223" i="9" s="1"/>
  <c r="M223" i="9"/>
  <c r="L223" i="9"/>
  <c r="K223" i="9"/>
  <c r="U215" i="9"/>
  <c r="O215" i="9"/>
  <c r="P215" i="9" s="1"/>
  <c r="N215" i="9"/>
  <c r="T215" i="9"/>
  <c r="V215" i="9" s="1"/>
  <c r="M215" i="9"/>
  <c r="L215" i="9"/>
  <c r="K215" i="9"/>
  <c r="U207" i="9"/>
  <c r="O207" i="9"/>
  <c r="P207" i="9" s="1"/>
  <c r="N207" i="9"/>
  <c r="T207" i="9"/>
  <c r="V207" i="9" s="1"/>
  <c r="M207" i="9"/>
  <c r="L207" i="9"/>
  <c r="K207" i="9"/>
  <c r="U199" i="9"/>
  <c r="O199" i="9"/>
  <c r="P199" i="9" s="1"/>
  <c r="N199" i="9"/>
  <c r="T199" i="9"/>
  <c r="V199" i="9" s="1"/>
  <c r="M199" i="9"/>
  <c r="L199" i="9"/>
  <c r="K199" i="9"/>
  <c r="U191" i="9"/>
  <c r="O191" i="9"/>
  <c r="P191" i="9" s="1"/>
  <c r="N191" i="9"/>
  <c r="T191" i="9"/>
  <c r="V191" i="9" s="1"/>
  <c r="M191" i="9"/>
  <c r="L191" i="9"/>
  <c r="K191" i="9"/>
  <c r="U179" i="9"/>
  <c r="T179" i="9"/>
  <c r="V179" i="9" s="1"/>
  <c r="O179" i="9"/>
  <c r="P179" i="9" s="1"/>
  <c r="N179" i="9"/>
  <c r="M179" i="9"/>
  <c r="L179" i="9"/>
  <c r="K179" i="9"/>
  <c r="U171" i="9"/>
  <c r="T171" i="9"/>
  <c r="V171" i="9" s="1"/>
  <c r="O171" i="9"/>
  <c r="P171" i="9" s="1"/>
  <c r="N171" i="9"/>
  <c r="M171" i="9"/>
  <c r="L171" i="9"/>
  <c r="K171" i="9"/>
  <c r="U163" i="9"/>
  <c r="T163" i="9"/>
  <c r="V163" i="9" s="1"/>
  <c r="O163" i="9"/>
  <c r="P163" i="9" s="1"/>
  <c r="N163" i="9"/>
  <c r="M163" i="9"/>
  <c r="L163" i="9"/>
  <c r="K163" i="9"/>
  <c r="U155" i="9"/>
  <c r="T155" i="9"/>
  <c r="V155" i="9" s="1"/>
  <c r="O155" i="9"/>
  <c r="P155" i="9" s="1"/>
  <c r="N155" i="9"/>
  <c r="M155" i="9"/>
  <c r="L155" i="9"/>
  <c r="K155" i="9"/>
  <c r="U147" i="9"/>
  <c r="T147" i="9"/>
  <c r="V147" i="9" s="1"/>
  <c r="O147" i="9"/>
  <c r="P147" i="9" s="1"/>
  <c r="N147" i="9"/>
  <c r="M147" i="9"/>
  <c r="L147" i="9"/>
  <c r="K147" i="9"/>
  <c r="U139" i="9"/>
  <c r="T139" i="9"/>
  <c r="V139" i="9" s="1"/>
  <c r="O139" i="9"/>
  <c r="P139" i="9" s="1"/>
  <c r="N139" i="9"/>
  <c r="M139" i="9"/>
  <c r="L139" i="9"/>
  <c r="K139" i="9"/>
  <c r="U131" i="9"/>
  <c r="T131" i="9"/>
  <c r="V131" i="9" s="1"/>
  <c r="O131" i="9"/>
  <c r="P131" i="9" s="1"/>
  <c r="N131" i="9"/>
  <c r="M131" i="9"/>
  <c r="L131" i="9"/>
  <c r="K131" i="9"/>
  <c r="U123" i="9"/>
  <c r="T123" i="9"/>
  <c r="V123" i="9" s="1"/>
  <c r="O123" i="9"/>
  <c r="P123" i="9" s="1"/>
  <c r="N123" i="9"/>
  <c r="M123" i="9"/>
  <c r="L123" i="9"/>
  <c r="K123" i="9"/>
  <c r="U115" i="9"/>
  <c r="T115" i="9"/>
  <c r="V115" i="9" s="1"/>
  <c r="O115" i="9"/>
  <c r="P115" i="9" s="1"/>
  <c r="N115" i="9"/>
  <c r="M115" i="9"/>
  <c r="L115" i="9"/>
  <c r="K115" i="9"/>
  <c r="U107" i="9"/>
  <c r="T107" i="9"/>
  <c r="V107" i="9" s="1"/>
  <c r="O107" i="9"/>
  <c r="P107" i="9" s="1"/>
  <c r="N107" i="9"/>
  <c r="M107" i="9"/>
  <c r="L107" i="9"/>
  <c r="K107" i="9"/>
  <c r="U99" i="9"/>
  <c r="T99" i="9"/>
  <c r="V99" i="9" s="1"/>
  <c r="O99" i="9"/>
  <c r="P99" i="9" s="1"/>
  <c r="N99" i="9"/>
  <c r="M99" i="9"/>
  <c r="L99" i="9"/>
  <c r="K99" i="9"/>
  <c r="U91" i="9"/>
  <c r="T91" i="9"/>
  <c r="V91" i="9" s="1"/>
  <c r="O91" i="9"/>
  <c r="P91" i="9" s="1"/>
  <c r="N91" i="9"/>
  <c r="M91" i="9"/>
  <c r="L91" i="9"/>
  <c r="K91" i="9"/>
  <c r="U83" i="9"/>
  <c r="T83" i="9"/>
  <c r="V83" i="9" s="1"/>
  <c r="O83" i="9"/>
  <c r="P83" i="9" s="1"/>
  <c r="N83" i="9"/>
  <c r="M83" i="9"/>
  <c r="L83" i="9"/>
  <c r="K83" i="9"/>
  <c r="U71" i="9"/>
  <c r="O71" i="9"/>
  <c r="P71" i="9" s="1"/>
  <c r="N71" i="9"/>
  <c r="T71" i="9"/>
  <c r="V71" i="9" s="1"/>
  <c r="M71" i="9"/>
  <c r="L71" i="9"/>
  <c r="K71" i="9"/>
  <c r="U59" i="9"/>
  <c r="T59" i="9"/>
  <c r="V59" i="9" s="1"/>
  <c r="O59" i="9"/>
  <c r="P59" i="9" s="1"/>
  <c r="N59" i="9"/>
  <c r="M59" i="9"/>
  <c r="L59" i="9"/>
  <c r="K59" i="9"/>
  <c r="U51" i="9"/>
  <c r="T51" i="9"/>
  <c r="V51" i="9" s="1"/>
  <c r="O51" i="9"/>
  <c r="P51" i="9" s="1"/>
  <c r="N51" i="9"/>
  <c r="M51" i="9"/>
  <c r="L51" i="9"/>
  <c r="K51" i="9"/>
  <c r="U47" i="9"/>
  <c r="O47" i="9"/>
  <c r="P47" i="9" s="1"/>
  <c r="N47" i="9"/>
  <c r="T47" i="9"/>
  <c r="V47" i="9" s="1"/>
  <c r="M47" i="9"/>
  <c r="L47" i="9"/>
  <c r="K47" i="9"/>
  <c r="U39" i="9"/>
  <c r="O39" i="9"/>
  <c r="P39" i="9" s="1"/>
  <c r="N39" i="9"/>
  <c r="T39" i="9"/>
  <c r="V39" i="9" s="1"/>
  <c r="M39" i="9"/>
  <c r="L39" i="9"/>
  <c r="K39" i="9"/>
  <c r="U27" i="9"/>
  <c r="T27" i="9"/>
  <c r="V27" i="9" s="1"/>
  <c r="O27" i="9"/>
  <c r="P27" i="9" s="1"/>
  <c r="N27" i="9"/>
  <c r="M27" i="9"/>
  <c r="L27" i="9"/>
  <c r="K27" i="9"/>
  <c r="U19" i="9"/>
  <c r="T19" i="9"/>
  <c r="V19" i="9" s="1"/>
  <c r="O19" i="9"/>
  <c r="P19" i="9" s="1"/>
  <c r="N19" i="9"/>
  <c r="M19" i="9"/>
  <c r="L19" i="9"/>
  <c r="K19" i="9"/>
  <c r="U7" i="9"/>
  <c r="T7" i="9"/>
  <c r="V7" i="9" s="1"/>
  <c r="O7" i="9"/>
  <c r="P7" i="9" s="1"/>
  <c r="M7" i="9"/>
  <c r="L7" i="9"/>
  <c r="N7" i="9"/>
  <c r="K7" i="9"/>
  <c r="H2500" i="9"/>
  <c r="I2500" i="9"/>
  <c r="E2500" i="9"/>
  <c r="G2500" i="9"/>
  <c r="F2500" i="9"/>
  <c r="D2500" i="9"/>
  <c r="B2500" i="9"/>
  <c r="C2500" i="9"/>
  <c r="H2496" i="9"/>
  <c r="I2496" i="9"/>
  <c r="G2496" i="9"/>
  <c r="E2496" i="9"/>
  <c r="F2496" i="9"/>
  <c r="D2496" i="9"/>
  <c r="B2496" i="9"/>
  <c r="C2496" i="9"/>
  <c r="H2492" i="9"/>
  <c r="I2492" i="9"/>
  <c r="G2492" i="9"/>
  <c r="E2492" i="9"/>
  <c r="F2492" i="9"/>
  <c r="D2492" i="9"/>
  <c r="B2492" i="9"/>
  <c r="C2492" i="9"/>
  <c r="H2488" i="9"/>
  <c r="I2488" i="9"/>
  <c r="G2488" i="9"/>
  <c r="E2488" i="9"/>
  <c r="F2488" i="9"/>
  <c r="D2488" i="9"/>
  <c r="B2488" i="9"/>
  <c r="C2488" i="9"/>
  <c r="H2484" i="9"/>
  <c r="I2484" i="9"/>
  <c r="E2484" i="9"/>
  <c r="G2484" i="9"/>
  <c r="F2484" i="9"/>
  <c r="D2484" i="9"/>
  <c r="B2484" i="9"/>
  <c r="C2484" i="9"/>
  <c r="H2480" i="9"/>
  <c r="I2480" i="9"/>
  <c r="G2480" i="9"/>
  <c r="E2480" i="9"/>
  <c r="F2480" i="9"/>
  <c r="D2480" i="9"/>
  <c r="B2480" i="9"/>
  <c r="C2480" i="9"/>
  <c r="H2476" i="9"/>
  <c r="I2476" i="9"/>
  <c r="G2476" i="9"/>
  <c r="E2476" i="9"/>
  <c r="F2476" i="9"/>
  <c r="D2476" i="9"/>
  <c r="B2476" i="9"/>
  <c r="C2476" i="9"/>
  <c r="H2472" i="9"/>
  <c r="I2472" i="9"/>
  <c r="E2472" i="9"/>
  <c r="F2472" i="9"/>
  <c r="D2472" i="9"/>
  <c r="G2472" i="9"/>
  <c r="B2472" i="9"/>
  <c r="C2472" i="9"/>
  <c r="H2468" i="9"/>
  <c r="I2468" i="9"/>
  <c r="E2468" i="9"/>
  <c r="G2468" i="9"/>
  <c r="F2468" i="9"/>
  <c r="D2468" i="9"/>
  <c r="B2468" i="9"/>
  <c r="C2468" i="9"/>
  <c r="H2464" i="9"/>
  <c r="I2464" i="9"/>
  <c r="G2464" i="9"/>
  <c r="E2464" i="9"/>
  <c r="F2464" i="9"/>
  <c r="D2464" i="9"/>
  <c r="B2464" i="9"/>
  <c r="C2464" i="9"/>
  <c r="H2460" i="9"/>
  <c r="I2460" i="9"/>
  <c r="G2460" i="9"/>
  <c r="E2460" i="9"/>
  <c r="F2460" i="9"/>
  <c r="D2460" i="9"/>
  <c r="B2460" i="9"/>
  <c r="C2460" i="9"/>
  <c r="H2456" i="9"/>
  <c r="I2456" i="9"/>
  <c r="G2456" i="9"/>
  <c r="E2456" i="9"/>
  <c r="F2456" i="9"/>
  <c r="D2456" i="9"/>
  <c r="B2456" i="9"/>
  <c r="C2456" i="9"/>
  <c r="H2452" i="9"/>
  <c r="I2452" i="9"/>
  <c r="E2452" i="9"/>
  <c r="G2452" i="9"/>
  <c r="F2452" i="9"/>
  <c r="D2452" i="9"/>
  <c r="B2452" i="9"/>
  <c r="C2452" i="9"/>
  <c r="H2448" i="9"/>
  <c r="I2448" i="9"/>
  <c r="G2448" i="9"/>
  <c r="E2448" i="9"/>
  <c r="F2448" i="9"/>
  <c r="D2448" i="9"/>
  <c r="B2448" i="9"/>
  <c r="C2448" i="9"/>
  <c r="H2444" i="9"/>
  <c r="I2444" i="9"/>
  <c r="G2444" i="9"/>
  <c r="E2444" i="9"/>
  <c r="F2444" i="9"/>
  <c r="D2444" i="9"/>
  <c r="B2444" i="9"/>
  <c r="C2444" i="9"/>
  <c r="H2440" i="9"/>
  <c r="I2440" i="9"/>
  <c r="E2440" i="9"/>
  <c r="F2440" i="9"/>
  <c r="D2440" i="9"/>
  <c r="G2440" i="9"/>
  <c r="B2440" i="9"/>
  <c r="C2440" i="9"/>
  <c r="H2436" i="9"/>
  <c r="I2436" i="9"/>
  <c r="E2436" i="9"/>
  <c r="G2436" i="9"/>
  <c r="F2436" i="9"/>
  <c r="D2436" i="9"/>
  <c r="B2436" i="9"/>
  <c r="C2436" i="9"/>
  <c r="H2432" i="9"/>
  <c r="I2432" i="9"/>
  <c r="G2432" i="9"/>
  <c r="E2432" i="9"/>
  <c r="F2432" i="9"/>
  <c r="D2432" i="9"/>
  <c r="B2432" i="9"/>
  <c r="C2432" i="9"/>
  <c r="H2428" i="9"/>
  <c r="I2428" i="9"/>
  <c r="G2428" i="9"/>
  <c r="E2428" i="9"/>
  <c r="F2428" i="9"/>
  <c r="D2428" i="9"/>
  <c r="B2428" i="9"/>
  <c r="C2428" i="9"/>
  <c r="H2424" i="9"/>
  <c r="I2424" i="9"/>
  <c r="G2424" i="9"/>
  <c r="E2424" i="9"/>
  <c r="F2424" i="9"/>
  <c r="D2424" i="9"/>
  <c r="B2424" i="9"/>
  <c r="C2424" i="9"/>
  <c r="H2420" i="9"/>
  <c r="I2420" i="9"/>
  <c r="E2420" i="9"/>
  <c r="G2420" i="9"/>
  <c r="F2420" i="9"/>
  <c r="D2420" i="9"/>
  <c r="B2420" i="9"/>
  <c r="C2420" i="9"/>
  <c r="H2416" i="9"/>
  <c r="I2416" i="9"/>
  <c r="G2416" i="9"/>
  <c r="E2416" i="9"/>
  <c r="F2416" i="9"/>
  <c r="D2416" i="9"/>
  <c r="B2416" i="9"/>
  <c r="C2416" i="9"/>
  <c r="H2412" i="9"/>
  <c r="I2412" i="9"/>
  <c r="G2412" i="9"/>
  <c r="E2412" i="9"/>
  <c r="F2412" i="9"/>
  <c r="D2412" i="9"/>
  <c r="B2412" i="9"/>
  <c r="C2412" i="9"/>
  <c r="H2408" i="9"/>
  <c r="I2408" i="9"/>
  <c r="E2408" i="9"/>
  <c r="F2408" i="9"/>
  <c r="D2408" i="9"/>
  <c r="G2408" i="9"/>
  <c r="B2408" i="9"/>
  <c r="C2408" i="9"/>
  <c r="H2404" i="9"/>
  <c r="I2404" i="9"/>
  <c r="E2404" i="9"/>
  <c r="G2404" i="9"/>
  <c r="F2404" i="9"/>
  <c r="D2404" i="9"/>
  <c r="B2404" i="9"/>
  <c r="C2404" i="9"/>
  <c r="H2400" i="9"/>
  <c r="I2400" i="9"/>
  <c r="G2400" i="9"/>
  <c r="E2400" i="9"/>
  <c r="F2400" i="9"/>
  <c r="D2400" i="9"/>
  <c r="B2400" i="9"/>
  <c r="C2400" i="9"/>
  <c r="H2396" i="9"/>
  <c r="I2396" i="9"/>
  <c r="G2396" i="9"/>
  <c r="E2396" i="9"/>
  <c r="F2396" i="9"/>
  <c r="D2396" i="9"/>
  <c r="B2396" i="9"/>
  <c r="C2396" i="9"/>
  <c r="H2392" i="9"/>
  <c r="I2392" i="9"/>
  <c r="G2392" i="9"/>
  <c r="E2392" i="9"/>
  <c r="F2392" i="9"/>
  <c r="D2392" i="9"/>
  <c r="B2392" i="9"/>
  <c r="C2392" i="9"/>
  <c r="H2388" i="9"/>
  <c r="I2388" i="9"/>
  <c r="E2388" i="9"/>
  <c r="G2388" i="9"/>
  <c r="F2388" i="9"/>
  <c r="D2388" i="9"/>
  <c r="B2388" i="9"/>
  <c r="C2388" i="9"/>
  <c r="H2384" i="9"/>
  <c r="I2384" i="9"/>
  <c r="G2384" i="9"/>
  <c r="E2384" i="9"/>
  <c r="F2384" i="9"/>
  <c r="D2384" i="9"/>
  <c r="B2384" i="9"/>
  <c r="C2384" i="9"/>
  <c r="H2380" i="9"/>
  <c r="I2380" i="9"/>
  <c r="G2380" i="9"/>
  <c r="E2380" i="9"/>
  <c r="F2380" i="9"/>
  <c r="D2380" i="9"/>
  <c r="B2380" i="9"/>
  <c r="C2380" i="9"/>
  <c r="H2376" i="9"/>
  <c r="I2376" i="9"/>
  <c r="E2376" i="9"/>
  <c r="F2376" i="9"/>
  <c r="D2376" i="9"/>
  <c r="G2376" i="9"/>
  <c r="B2376" i="9"/>
  <c r="C2376" i="9"/>
  <c r="H2372" i="9"/>
  <c r="I2372" i="9"/>
  <c r="E2372" i="9"/>
  <c r="G2372" i="9"/>
  <c r="F2372" i="9"/>
  <c r="D2372" i="9"/>
  <c r="B2372" i="9"/>
  <c r="C2372" i="9"/>
  <c r="H2368" i="9"/>
  <c r="I2368" i="9"/>
  <c r="G2368" i="9"/>
  <c r="E2368" i="9"/>
  <c r="F2368" i="9"/>
  <c r="D2368" i="9"/>
  <c r="B2368" i="9"/>
  <c r="C2368" i="9"/>
  <c r="H2364" i="9"/>
  <c r="I2364" i="9"/>
  <c r="G2364" i="9"/>
  <c r="E2364" i="9"/>
  <c r="F2364" i="9"/>
  <c r="D2364" i="9"/>
  <c r="B2364" i="9"/>
  <c r="C2364" i="9"/>
  <c r="H2360" i="9"/>
  <c r="I2360" i="9"/>
  <c r="G2360" i="9"/>
  <c r="E2360" i="9"/>
  <c r="F2360" i="9"/>
  <c r="D2360" i="9"/>
  <c r="B2360" i="9"/>
  <c r="C2360" i="9"/>
  <c r="H2356" i="9"/>
  <c r="I2356" i="9"/>
  <c r="E2356" i="9"/>
  <c r="G2356" i="9"/>
  <c r="F2356" i="9"/>
  <c r="D2356" i="9"/>
  <c r="B2356" i="9"/>
  <c r="C2356" i="9"/>
  <c r="H2352" i="9"/>
  <c r="I2352" i="9"/>
  <c r="G2352" i="9"/>
  <c r="E2352" i="9"/>
  <c r="F2352" i="9"/>
  <c r="D2352" i="9"/>
  <c r="B2352" i="9"/>
  <c r="C2352" i="9"/>
  <c r="H2348" i="9"/>
  <c r="I2348" i="9"/>
  <c r="G2348" i="9"/>
  <c r="E2348" i="9"/>
  <c r="F2348" i="9"/>
  <c r="D2348" i="9"/>
  <c r="B2348" i="9"/>
  <c r="C2348" i="9"/>
  <c r="H2344" i="9"/>
  <c r="I2344" i="9"/>
  <c r="E2344" i="9"/>
  <c r="F2344" i="9"/>
  <c r="D2344" i="9"/>
  <c r="G2344" i="9"/>
  <c r="B2344" i="9"/>
  <c r="C2344" i="9"/>
  <c r="H2340" i="9"/>
  <c r="I2340" i="9"/>
  <c r="E2340" i="9"/>
  <c r="G2340" i="9"/>
  <c r="F2340" i="9"/>
  <c r="D2340" i="9"/>
  <c r="B2340" i="9"/>
  <c r="C2340" i="9"/>
  <c r="H2336" i="9"/>
  <c r="I2336" i="9"/>
  <c r="G2336" i="9"/>
  <c r="E2336" i="9"/>
  <c r="F2336" i="9"/>
  <c r="D2336" i="9"/>
  <c r="B2336" i="9"/>
  <c r="C2336" i="9"/>
  <c r="H2332" i="9"/>
  <c r="I2332" i="9"/>
  <c r="G2332" i="9"/>
  <c r="E2332" i="9"/>
  <c r="F2332" i="9"/>
  <c r="D2332" i="9"/>
  <c r="B2332" i="9"/>
  <c r="C2332" i="9"/>
  <c r="H2328" i="9"/>
  <c r="I2328" i="9"/>
  <c r="G2328" i="9"/>
  <c r="E2328" i="9"/>
  <c r="F2328" i="9"/>
  <c r="D2328" i="9"/>
  <c r="B2328" i="9"/>
  <c r="C2328" i="9"/>
  <c r="H2324" i="9"/>
  <c r="I2324" i="9"/>
  <c r="E2324" i="9"/>
  <c r="G2324" i="9"/>
  <c r="F2324" i="9"/>
  <c r="D2324" i="9"/>
  <c r="B2324" i="9"/>
  <c r="C2324" i="9"/>
  <c r="H2320" i="9"/>
  <c r="I2320" i="9"/>
  <c r="G2320" i="9"/>
  <c r="E2320" i="9"/>
  <c r="F2320" i="9"/>
  <c r="D2320" i="9"/>
  <c r="B2320" i="9"/>
  <c r="C2320" i="9"/>
  <c r="H2316" i="9"/>
  <c r="I2316" i="9"/>
  <c r="G2316" i="9"/>
  <c r="E2316" i="9"/>
  <c r="F2316" i="9"/>
  <c r="D2316" i="9"/>
  <c r="B2316" i="9"/>
  <c r="C2316" i="9"/>
  <c r="H2312" i="9"/>
  <c r="I2312" i="9"/>
  <c r="E2312" i="9"/>
  <c r="F2312" i="9"/>
  <c r="D2312" i="9"/>
  <c r="G2312" i="9"/>
  <c r="B2312" i="9"/>
  <c r="C2312" i="9"/>
  <c r="H2308" i="9"/>
  <c r="I2308" i="9"/>
  <c r="E2308" i="9"/>
  <c r="G2308" i="9"/>
  <c r="F2308" i="9"/>
  <c r="D2308" i="9"/>
  <c r="B2308" i="9"/>
  <c r="C2308" i="9"/>
  <c r="H2304" i="9"/>
  <c r="I2304" i="9"/>
  <c r="G2304" i="9"/>
  <c r="E2304" i="9"/>
  <c r="F2304" i="9"/>
  <c r="D2304" i="9"/>
  <c r="B2304" i="9"/>
  <c r="C2304" i="9"/>
  <c r="H2300" i="9"/>
  <c r="I2300" i="9"/>
  <c r="G2300" i="9"/>
  <c r="E2300" i="9"/>
  <c r="F2300" i="9"/>
  <c r="D2300" i="9"/>
  <c r="B2300" i="9"/>
  <c r="C2300" i="9"/>
  <c r="H2296" i="9"/>
  <c r="I2296" i="9"/>
  <c r="G2296" i="9"/>
  <c r="E2296" i="9"/>
  <c r="F2296" i="9"/>
  <c r="D2296" i="9"/>
  <c r="B2296" i="9"/>
  <c r="C2296" i="9"/>
  <c r="H2292" i="9"/>
  <c r="I2292" i="9"/>
  <c r="E2292" i="9"/>
  <c r="G2292" i="9"/>
  <c r="F2292" i="9"/>
  <c r="D2292" i="9"/>
  <c r="B2292" i="9"/>
  <c r="C2292" i="9"/>
  <c r="H2288" i="9"/>
  <c r="I2288" i="9"/>
  <c r="G2288" i="9"/>
  <c r="E2288" i="9"/>
  <c r="F2288" i="9"/>
  <c r="D2288" i="9"/>
  <c r="B2288" i="9"/>
  <c r="C2288" i="9"/>
  <c r="H2284" i="9"/>
  <c r="I2284" i="9"/>
  <c r="G2284" i="9"/>
  <c r="E2284" i="9"/>
  <c r="F2284" i="9"/>
  <c r="D2284" i="9"/>
  <c r="B2284" i="9"/>
  <c r="C2284" i="9"/>
  <c r="H2280" i="9"/>
  <c r="I2280" i="9"/>
  <c r="E2280" i="9"/>
  <c r="F2280" i="9"/>
  <c r="D2280" i="9"/>
  <c r="G2280" i="9"/>
  <c r="B2280" i="9"/>
  <c r="C2280" i="9"/>
  <c r="H2276" i="9"/>
  <c r="I2276" i="9"/>
  <c r="E2276" i="9"/>
  <c r="G2276" i="9"/>
  <c r="F2276" i="9"/>
  <c r="D2276" i="9"/>
  <c r="B2276" i="9"/>
  <c r="C2276" i="9"/>
  <c r="H2272" i="9"/>
  <c r="I2272" i="9"/>
  <c r="G2272" i="9"/>
  <c r="E2272" i="9"/>
  <c r="F2272" i="9"/>
  <c r="D2272" i="9"/>
  <c r="B2272" i="9"/>
  <c r="C2272" i="9"/>
  <c r="H2268" i="9"/>
  <c r="I2268" i="9"/>
  <c r="G2268" i="9"/>
  <c r="E2268" i="9"/>
  <c r="F2268" i="9"/>
  <c r="D2268" i="9"/>
  <c r="B2268" i="9"/>
  <c r="C2268" i="9"/>
  <c r="H2264" i="9"/>
  <c r="I2264" i="9"/>
  <c r="G2264" i="9"/>
  <c r="E2264" i="9"/>
  <c r="F2264" i="9"/>
  <c r="D2264" i="9"/>
  <c r="B2264" i="9"/>
  <c r="C2264" i="9"/>
  <c r="H2260" i="9"/>
  <c r="I2260" i="9"/>
  <c r="E2260" i="9"/>
  <c r="G2260" i="9"/>
  <c r="F2260" i="9"/>
  <c r="D2260" i="9"/>
  <c r="B2260" i="9"/>
  <c r="C2260" i="9"/>
  <c r="H2256" i="9"/>
  <c r="I2256" i="9"/>
  <c r="G2256" i="9"/>
  <c r="E2256" i="9"/>
  <c r="F2256" i="9"/>
  <c r="D2256" i="9"/>
  <c r="B2256" i="9"/>
  <c r="C2256" i="9"/>
  <c r="H2252" i="9"/>
  <c r="I2252" i="9"/>
  <c r="G2252" i="9"/>
  <c r="E2252" i="9"/>
  <c r="F2252" i="9"/>
  <c r="D2252" i="9"/>
  <c r="B2252" i="9"/>
  <c r="C2252" i="9"/>
  <c r="H2248" i="9"/>
  <c r="I2248" i="9"/>
  <c r="E2248" i="9"/>
  <c r="F2248" i="9"/>
  <c r="D2248" i="9"/>
  <c r="G2248" i="9"/>
  <c r="B2248" i="9"/>
  <c r="C2248" i="9"/>
  <c r="H2244" i="9"/>
  <c r="I2244" i="9"/>
  <c r="E2244" i="9"/>
  <c r="G2244" i="9"/>
  <c r="F2244" i="9"/>
  <c r="D2244" i="9"/>
  <c r="B2244" i="9"/>
  <c r="C2244" i="9"/>
  <c r="H2240" i="9"/>
  <c r="I2240" i="9"/>
  <c r="G2240" i="9"/>
  <c r="E2240" i="9"/>
  <c r="F2240" i="9"/>
  <c r="D2240" i="9"/>
  <c r="B2240" i="9"/>
  <c r="C2240" i="9"/>
  <c r="H2236" i="9"/>
  <c r="I2236" i="9"/>
  <c r="G2236" i="9"/>
  <c r="E2236" i="9"/>
  <c r="F2236" i="9"/>
  <c r="D2236" i="9"/>
  <c r="B2236" i="9"/>
  <c r="C2236" i="9"/>
  <c r="H2232" i="9"/>
  <c r="I2232" i="9"/>
  <c r="G2232" i="9"/>
  <c r="E2232" i="9"/>
  <c r="F2232" i="9"/>
  <c r="D2232" i="9"/>
  <c r="B2232" i="9"/>
  <c r="C2232" i="9"/>
  <c r="H2228" i="9"/>
  <c r="I2228" i="9"/>
  <c r="E2228" i="9"/>
  <c r="G2228" i="9"/>
  <c r="F2228" i="9"/>
  <c r="D2228" i="9"/>
  <c r="B2228" i="9"/>
  <c r="C2228" i="9"/>
  <c r="H2224" i="9"/>
  <c r="I2224" i="9"/>
  <c r="G2224" i="9"/>
  <c r="E2224" i="9"/>
  <c r="F2224" i="9"/>
  <c r="D2224" i="9"/>
  <c r="B2224" i="9"/>
  <c r="C2224" i="9"/>
  <c r="H2220" i="9"/>
  <c r="I2220" i="9"/>
  <c r="G2220" i="9"/>
  <c r="E2220" i="9"/>
  <c r="F2220" i="9"/>
  <c r="D2220" i="9"/>
  <c r="B2220" i="9"/>
  <c r="C2220" i="9"/>
  <c r="H2216" i="9"/>
  <c r="I2216" i="9"/>
  <c r="E2216" i="9"/>
  <c r="F2216" i="9"/>
  <c r="D2216" i="9"/>
  <c r="G2216" i="9"/>
  <c r="B2216" i="9"/>
  <c r="C2216" i="9"/>
  <c r="H2212" i="9"/>
  <c r="I2212" i="9"/>
  <c r="E2212" i="9"/>
  <c r="G2212" i="9"/>
  <c r="F2212" i="9"/>
  <c r="D2212" i="9"/>
  <c r="B2212" i="9"/>
  <c r="C2212" i="9"/>
  <c r="H2208" i="9"/>
  <c r="I2208" i="9"/>
  <c r="G2208" i="9"/>
  <c r="E2208" i="9"/>
  <c r="F2208" i="9"/>
  <c r="D2208" i="9"/>
  <c r="B2208" i="9"/>
  <c r="C2208" i="9"/>
  <c r="H2204" i="9"/>
  <c r="I2204" i="9"/>
  <c r="G2204" i="9"/>
  <c r="E2204" i="9"/>
  <c r="F2204" i="9"/>
  <c r="D2204" i="9"/>
  <c r="B2204" i="9"/>
  <c r="C2204" i="9"/>
  <c r="H2200" i="9"/>
  <c r="I2200" i="9"/>
  <c r="G2200" i="9"/>
  <c r="E2200" i="9"/>
  <c r="F2200" i="9"/>
  <c r="D2200" i="9"/>
  <c r="B2200" i="9"/>
  <c r="C2200" i="9"/>
  <c r="H2196" i="9"/>
  <c r="I2196" i="9"/>
  <c r="E2196" i="9"/>
  <c r="G2196" i="9"/>
  <c r="F2196" i="9"/>
  <c r="D2196" i="9"/>
  <c r="B2196" i="9"/>
  <c r="C2196" i="9"/>
  <c r="H2192" i="9"/>
  <c r="I2192" i="9"/>
  <c r="G2192" i="9"/>
  <c r="E2192" i="9"/>
  <c r="F2192" i="9"/>
  <c r="D2192" i="9"/>
  <c r="B2192" i="9"/>
  <c r="C2192" i="9"/>
  <c r="H2188" i="9"/>
  <c r="I2188" i="9"/>
  <c r="G2188" i="9"/>
  <c r="E2188" i="9"/>
  <c r="F2188" i="9"/>
  <c r="D2188" i="9"/>
  <c r="B2188" i="9"/>
  <c r="C2188" i="9"/>
  <c r="H2184" i="9"/>
  <c r="I2184" i="9"/>
  <c r="E2184" i="9"/>
  <c r="F2184" i="9"/>
  <c r="D2184" i="9"/>
  <c r="G2184" i="9"/>
  <c r="B2184" i="9"/>
  <c r="C2184" i="9"/>
  <c r="H2180" i="9"/>
  <c r="I2180" i="9"/>
  <c r="E2180" i="9"/>
  <c r="G2180" i="9"/>
  <c r="F2180" i="9"/>
  <c r="D2180" i="9"/>
  <c r="B2180" i="9"/>
  <c r="C2180" i="9"/>
  <c r="H2176" i="9"/>
  <c r="I2176" i="9"/>
  <c r="G2176" i="9"/>
  <c r="E2176" i="9"/>
  <c r="F2176" i="9"/>
  <c r="D2176" i="9"/>
  <c r="B2176" i="9"/>
  <c r="C2176" i="9"/>
  <c r="H2172" i="9"/>
  <c r="I2172" i="9"/>
  <c r="G2172" i="9"/>
  <c r="E2172" i="9"/>
  <c r="F2172" i="9"/>
  <c r="D2172" i="9"/>
  <c r="B2172" i="9"/>
  <c r="C2172" i="9"/>
  <c r="H2168" i="9"/>
  <c r="I2168" i="9"/>
  <c r="G2168" i="9"/>
  <c r="E2168" i="9"/>
  <c r="F2168" i="9"/>
  <c r="D2168" i="9"/>
  <c r="B2168" i="9"/>
  <c r="C2168" i="9"/>
  <c r="H2164" i="9"/>
  <c r="I2164" i="9"/>
  <c r="E2164" i="9"/>
  <c r="G2164" i="9"/>
  <c r="F2164" i="9"/>
  <c r="D2164" i="9"/>
  <c r="B2164" i="9"/>
  <c r="C2164" i="9"/>
  <c r="H2160" i="9"/>
  <c r="I2160" i="9"/>
  <c r="G2160" i="9"/>
  <c r="E2160" i="9"/>
  <c r="F2160" i="9"/>
  <c r="D2160" i="9"/>
  <c r="B2160" i="9"/>
  <c r="C2160" i="9"/>
  <c r="H2156" i="9"/>
  <c r="I2156" i="9"/>
  <c r="G2156" i="9"/>
  <c r="E2156" i="9"/>
  <c r="F2156" i="9"/>
  <c r="D2156" i="9"/>
  <c r="B2156" i="9"/>
  <c r="C2156" i="9"/>
  <c r="H2152" i="9"/>
  <c r="I2152" i="9"/>
  <c r="E2152" i="9"/>
  <c r="F2152" i="9"/>
  <c r="D2152" i="9"/>
  <c r="G2152" i="9"/>
  <c r="B2152" i="9"/>
  <c r="C2152" i="9"/>
  <c r="H2148" i="9"/>
  <c r="I2148" i="9"/>
  <c r="E2148" i="9"/>
  <c r="G2148" i="9"/>
  <c r="F2148" i="9"/>
  <c r="D2148" i="9"/>
  <c r="B2148" i="9"/>
  <c r="C2148" i="9"/>
  <c r="H2144" i="9"/>
  <c r="I2144" i="9"/>
  <c r="G2144" i="9"/>
  <c r="E2144" i="9"/>
  <c r="F2144" i="9"/>
  <c r="D2144" i="9"/>
  <c r="B2144" i="9"/>
  <c r="C2144" i="9"/>
  <c r="H2140" i="9"/>
  <c r="I2140" i="9"/>
  <c r="G2140" i="9"/>
  <c r="E2140" i="9"/>
  <c r="F2140" i="9"/>
  <c r="D2140" i="9"/>
  <c r="B2140" i="9"/>
  <c r="C2140" i="9"/>
  <c r="H2136" i="9"/>
  <c r="I2136" i="9"/>
  <c r="G2136" i="9"/>
  <c r="E2136" i="9"/>
  <c r="F2136" i="9"/>
  <c r="D2136" i="9"/>
  <c r="B2136" i="9"/>
  <c r="C2136" i="9"/>
  <c r="H2132" i="9"/>
  <c r="I2132" i="9"/>
  <c r="E2132" i="9"/>
  <c r="G2132" i="9"/>
  <c r="F2132" i="9"/>
  <c r="D2132" i="9"/>
  <c r="B2132" i="9"/>
  <c r="C2132" i="9"/>
  <c r="H2128" i="9"/>
  <c r="I2128" i="9"/>
  <c r="G2128" i="9"/>
  <c r="E2128" i="9"/>
  <c r="F2128" i="9"/>
  <c r="D2128" i="9"/>
  <c r="B2128" i="9"/>
  <c r="C2128" i="9"/>
  <c r="H2124" i="9"/>
  <c r="I2124" i="9"/>
  <c r="G2124" i="9"/>
  <c r="E2124" i="9"/>
  <c r="F2124" i="9"/>
  <c r="D2124" i="9"/>
  <c r="B2124" i="9"/>
  <c r="C2124" i="9"/>
  <c r="H2120" i="9"/>
  <c r="I2120" i="9"/>
  <c r="E2120" i="9"/>
  <c r="F2120" i="9"/>
  <c r="D2120" i="9"/>
  <c r="G2120" i="9"/>
  <c r="B2120" i="9"/>
  <c r="C2120" i="9"/>
  <c r="H2116" i="9"/>
  <c r="I2116" i="9"/>
  <c r="E2116" i="9"/>
  <c r="G2116" i="9"/>
  <c r="F2116" i="9"/>
  <c r="D2116" i="9"/>
  <c r="B2116" i="9"/>
  <c r="C2116" i="9"/>
  <c r="H2112" i="9"/>
  <c r="I2112" i="9"/>
  <c r="G2112" i="9"/>
  <c r="E2112" i="9"/>
  <c r="F2112" i="9"/>
  <c r="D2112" i="9"/>
  <c r="B2112" i="9"/>
  <c r="C2112" i="9"/>
  <c r="H2108" i="9"/>
  <c r="I2108" i="9"/>
  <c r="G2108" i="9"/>
  <c r="E2108" i="9"/>
  <c r="F2108" i="9"/>
  <c r="D2108" i="9"/>
  <c r="B2108" i="9"/>
  <c r="C2108" i="9"/>
  <c r="H2104" i="9"/>
  <c r="I2104" i="9"/>
  <c r="G2104" i="9"/>
  <c r="E2104" i="9"/>
  <c r="F2104" i="9"/>
  <c r="D2104" i="9"/>
  <c r="B2104" i="9"/>
  <c r="C2104" i="9"/>
  <c r="H2100" i="9"/>
  <c r="I2100" i="9"/>
  <c r="E2100" i="9"/>
  <c r="G2100" i="9"/>
  <c r="F2100" i="9"/>
  <c r="D2100" i="9"/>
  <c r="B2100" i="9"/>
  <c r="C2100" i="9"/>
  <c r="H2096" i="9"/>
  <c r="I2096" i="9"/>
  <c r="G2096" i="9"/>
  <c r="E2096" i="9"/>
  <c r="F2096" i="9"/>
  <c r="D2096" i="9"/>
  <c r="B2096" i="9"/>
  <c r="C2096" i="9"/>
  <c r="H2092" i="9"/>
  <c r="I2092" i="9"/>
  <c r="G2092" i="9"/>
  <c r="E2092" i="9"/>
  <c r="F2092" i="9"/>
  <c r="D2092" i="9"/>
  <c r="B2092" i="9"/>
  <c r="C2092" i="9"/>
  <c r="H2088" i="9"/>
  <c r="I2088" i="9"/>
  <c r="E2088" i="9"/>
  <c r="F2088" i="9"/>
  <c r="D2088" i="9"/>
  <c r="G2088" i="9"/>
  <c r="B2088" i="9"/>
  <c r="C2088" i="9"/>
  <c r="H2084" i="9"/>
  <c r="I2084" i="9"/>
  <c r="E2084" i="9"/>
  <c r="G2084" i="9"/>
  <c r="F2084" i="9"/>
  <c r="D2084" i="9"/>
  <c r="B2084" i="9"/>
  <c r="C2084" i="9"/>
  <c r="H2080" i="9"/>
  <c r="I2080" i="9"/>
  <c r="G2080" i="9"/>
  <c r="E2080" i="9"/>
  <c r="F2080" i="9"/>
  <c r="D2080" i="9"/>
  <c r="B2080" i="9"/>
  <c r="C2080" i="9"/>
  <c r="H2076" i="9"/>
  <c r="I2076" i="9"/>
  <c r="G2076" i="9"/>
  <c r="E2076" i="9"/>
  <c r="F2076" i="9"/>
  <c r="D2076" i="9"/>
  <c r="B2076" i="9"/>
  <c r="C2076" i="9"/>
  <c r="H2072" i="9"/>
  <c r="I2072" i="9"/>
  <c r="G2072" i="9"/>
  <c r="E2072" i="9"/>
  <c r="F2072" i="9"/>
  <c r="D2072" i="9"/>
  <c r="B2072" i="9"/>
  <c r="C2072" i="9"/>
  <c r="H2068" i="9"/>
  <c r="I2068" i="9"/>
  <c r="E2068" i="9"/>
  <c r="G2068" i="9"/>
  <c r="F2068" i="9"/>
  <c r="D2068" i="9"/>
  <c r="B2068" i="9"/>
  <c r="C2068" i="9"/>
  <c r="H2064" i="9"/>
  <c r="I2064" i="9"/>
  <c r="G2064" i="9"/>
  <c r="E2064" i="9"/>
  <c r="F2064" i="9"/>
  <c r="D2064" i="9"/>
  <c r="B2064" i="9"/>
  <c r="C2064" i="9"/>
  <c r="H2060" i="9"/>
  <c r="I2060" i="9"/>
  <c r="G2060" i="9"/>
  <c r="E2060" i="9"/>
  <c r="F2060" i="9"/>
  <c r="D2060" i="9"/>
  <c r="B2060" i="9"/>
  <c r="C2060" i="9"/>
  <c r="H2056" i="9"/>
  <c r="I2056" i="9"/>
  <c r="E2056" i="9"/>
  <c r="F2056" i="9"/>
  <c r="D2056" i="9"/>
  <c r="G2056" i="9"/>
  <c r="B2056" i="9"/>
  <c r="C2056" i="9"/>
  <c r="H2052" i="9"/>
  <c r="I2052" i="9"/>
  <c r="E2052" i="9"/>
  <c r="G2052" i="9"/>
  <c r="F2052" i="9"/>
  <c r="D2052" i="9"/>
  <c r="B2052" i="9"/>
  <c r="C2052" i="9"/>
  <c r="H2048" i="9"/>
  <c r="I2048" i="9"/>
  <c r="G2048" i="9"/>
  <c r="E2048" i="9"/>
  <c r="F2048" i="9"/>
  <c r="D2048" i="9"/>
  <c r="B2048" i="9"/>
  <c r="C2048" i="9"/>
  <c r="H2044" i="9"/>
  <c r="I2044" i="9"/>
  <c r="G2044" i="9"/>
  <c r="E2044" i="9"/>
  <c r="F2044" i="9"/>
  <c r="D2044" i="9"/>
  <c r="B2044" i="9"/>
  <c r="C2044" i="9"/>
  <c r="H2040" i="9"/>
  <c r="I2040" i="9"/>
  <c r="G2040" i="9"/>
  <c r="E2040" i="9"/>
  <c r="F2040" i="9"/>
  <c r="D2040" i="9"/>
  <c r="B2040" i="9"/>
  <c r="C2040" i="9"/>
  <c r="H2036" i="9"/>
  <c r="I2036" i="9"/>
  <c r="E2036" i="9"/>
  <c r="G2036" i="9"/>
  <c r="F2036" i="9"/>
  <c r="D2036" i="9"/>
  <c r="B2036" i="9"/>
  <c r="C2036" i="9"/>
  <c r="H2032" i="9"/>
  <c r="I2032" i="9"/>
  <c r="G2032" i="9"/>
  <c r="E2032" i="9"/>
  <c r="F2032" i="9"/>
  <c r="D2032" i="9"/>
  <c r="B2032" i="9"/>
  <c r="C2032" i="9"/>
  <c r="H2028" i="9"/>
  <c r="I2028" i="9"/>
  <c r="G2028" i="9"/>
  <c r="E2028" i="9"/>
  <c r="F2028" i="9"/>
  <c r="D2028" i="9"/>
  <c r="B2028" i="9"/>
  <c r="C2028" i="9"/>
  <c r="H2024" i="9"/>
  <c r="I2024" i="9"/>
  <c r="E2024" i="9"/>
  <c r="F2024" i="9"/>
  <c r="D2024" i="9"/>
  <c r="G2024" i="9"/>
  <c r="B2024" i="9"/>
  <c r="C2024" i="9"/>
  <c r="H2020" i="9"/>
  <c r="I2020" i="9"/>
  <c r="E2020" i="9"/>
  <c r="G2020" i="9"/>
  <c r="F2020" i="9"/>
  <c r="D2020" i="9"/>
  <c r="B2020" i="9"/>
  <c r="C2020" i="9"/>
  <c r="H2016" i="9"/>
  <c r="I2016" i="9"/>
  <c r="G2016" i="9"/>
  <c r="E2016" i="9"/>
  <c r="F2016" i="9"/>
  <c r="D2016" i="9"/>
  <c r="B2016" i="9"/>
  <c r="C2016" i="9"/>
  <c r="H2012" i="9"/>
  <c r="I2012" i="9"/>
  <c r="G2012" i="9"/>
  <c r="E2012" i="9"/>
  <c r="F2012" i="9"/>
  <c r="D2012" i="9"/>
  <c r="B2012" i="9"/>
  <c r="C2012" i="9"/>
  <c r="H2008" i="9"/>
  <c r="I2008" i="9"/>
  <c r="G2008" i="9"/>
  <c r="E2008" i="9"/>
  <c r="F2008" i="9"/>
  <c r="D2008" i="9"/>
  <c r="B2008" i="9"/>
  <c r="C2008" i="9"/>
  <c r="H2004" i="9"/>
  <c r="I2004" i="9"/>
  <c r="E2004" i="9"/>
  <c r="G2004" i="9"/>
  <c r="F2004" i="9"/>
  <c r="D2004" i="9"/>
  <c r="B2004" i="9"/>
  <c r="C2004" i="9"/>
  <c r="H2000" i="9"/>
  <c r="I2000" i="9"/>
  <c r="G2000" i="9"/>
  <c r="E2000" i="9"/>
  <c r="F2000" i="9"/>
  <c r="D2000" i="9"/>
  <c r="B2000" i="9"/>
  <c r="C2000" i="9"/>
  <c r="H1996" i="9"/>
  <c r="I1996" i="9"/>
  <c r="G1996" i="9"/>
  <c r="E1996" i="9"/>
  <c r="F1996" i="9"/>
  <c r="D1996" i="9"/>
  <c r="B1996" i="9"/>
  <c r="C1996" i="9"/>
  <c r="H1992" i="9"/>
  <c r="I1992" i="9"/>
  <c r="E1992" i="9"/>
  <c r="F1992" i="9"/>
  <c r="D1992" i="9"/>
  <c r="G1992" i="9"/>
  <c r="B1992" i="9"/>
  <c r="C1992" i="9"/>
  <c r="H1988" i="9"/>
  <c r="I1988" i="9"/>
  <c r="E1988" i="9"/>
  <c r="G1988" i="9"/>
  <c r="F1988" i="9"/>
  <c r="D1988" i="9"/>
  <c r="B1988" i="9"/>
  <c r="C1988" i="9"/>
  <c r="H1984" i="9"/>
  <c r="I1984" i="9"/>
  <c r="G1984" i="9"/>
  <c r="E1984" i="9"/>
  <c r="F1984" i="9"/>
  <c r="D1984" i="9"/>
  <c r="B1984" i="9"/>
  <c r="C1984" i="9"/>
  <c r="H1980" i="9"/>
  <c r="I1980" i="9"/>
  <c r="G1980" i="9"/>
  <c r="E1980" i="9"/>
  <c r="F1980" i="9"/>
  <c r="D1980" i="9"/>
  <c r="B1980" i="9"/>
  <c r="C1980" i="9"/>
  <c r="H1976" i="9"/>
  <c r="I1976" i="9"/>
  <c r="G1976" i="9"/>
  <c r="E1976" i="9"/>
  <c r="F1976" i="9"/>
  <c r="D1976" i="9"/>
  <c r="B1976" i="9"/>
  <c r="C1976" i="9"/>
  <c r="H1972" i="9"/>
  <c r="I1972" i="9"/>
  <c r="E1972" i="9"/>
  <c r="G1972" i="9"/>
  <c r="F1972" i="9"/>
  <c r="D1972" i="9"/>
  <c r="B1972" i="9"/>
  <c r="C1972" i="9"/>
  <c r="H1968" i="9"/>
  <c r="I1968" i="9"/>
  <c r="G1968" i="9"/>
  <c r="E1968" i="9"/>
  <c r="F1968" i="9"/>
  <c r="D1968" i="9"/>
  <c r="B1968" i="9"/>
  <c r="C1968" i="9"/>
  <c r="H1964" i="9"/>
  <c r="I1964" i="9"/>
  <c r="G1964" i="9"/>
  <c r="E1964" i="9"/>
  <c r="F1964" i="9"/>
  <c r="D1964" i="9"/>
  <c r="B1964" i="9"/>
  <c r="C1964" i="9"/>
  <c r="H1960" i="9"/>
  <c r="I1960" i="9"/>
  <c r="E1960" i="9"/>
  <c r="F1960" i="9"/>
  <c r="D1960" i="9"/>
  <c r="G1960" i="9"/>
  <c r="B1960" i="9"/>
  <c r="C1960" i="9"/>
  <c r="H1956" i="9"/>
  <c r="I1956" i="9"/>
  <c r="E1956" i="9"/>
  <c r="G1956" i="9"/>
  <c r="F1956" i="9"/>
  <c r="D1956" i="9"/>
  <c r="B1956" i="9"/>
  <c r="C1956" i="9"/>
  <c r="H1952" i="9"/>
  <c r="I1952" i="9"/>
  <c r="G1952" i="9"/>
  <c r="E1952" i="9"/>
  <c r="F1952" i="9"/>
  <c r="D1952" i="9"/>
  <c r="B1952" i="9"/>
  <c r="C1952" i="9"/>
  <c r="H1948" i="9"/>
  <c r="I1948" i="9"/>
  <c r="G1948" i="9"/>
  <c r="E1948" i="9"/>
  <c r="F1948" i="9"/>
  <c r="D1948" i="9"/>
  <c r="B1948" i="9"/>
  <c r="C1948" i="9"/>
  <c r="H1944" i="9"/>
  <c r="I1944" i="9"/>
  <c r="G1944" i="9"/>
  <c r="E1944" i="9"/>
  <c r="F1944" i="9"/>
  <c r="D1944" i="9"/>
  <c r="B1944" i="9"/>
  <c r="C1944" i="9"/>
  <c r="H1940" i="9"/>
  <c r="I1940" i="9"/>
  <c r="E1940" i="9"/>
  <c r="G1940" i="9"/>
  <c r="F1940" i="9"/>
  <c r="D1940" i="9"/>
  <c r="B1940" i="9"/>
  <c r="C1940" i="9"/>
  <c r="H1936" i="9"/>
  <c r="I1936" i="9"/>
  <c r="G1936" i="9"/>
  <c r="E1936" i="9"/>
  <c r="F1936" i="9"/>
  <c r="D1936" i="9"/>
  <c r="B1936" i="9"/>
  <c r="C1936" i="9"/>
  <c r="H1932" i="9"/>
  <c r="I1932" i="9"/>
  <c r="G1932" i="9"/>
  <c r="E1932" i="9"/>
  <c r="F1932" i="9"/>
  <c r="D1932" i="9"/>
  <c r="B1932" i="9"/>
  <c r="C1932" i="9"/>
  <c r="H1928" i="9"/>
  <c r="I1928" i="9"/>
  <c r="E1928" i="9"/>
  <c r="F1928" i="9"/>
  <c r="D1928" i="9"/>
  <c r="G1928" i="9"/>
  <c r="B1928" i="9"/>
  <c r="C1928" i="9"/>
  <c r="H1924" i="9"/>
  <c r="I1924" i="9"/>
  <c r="E1924" i="9"/>
  <c r="G1924" i="9"/>
  <c r="F1924" i="9"/>
  <c r="D1924" i="9"/>
  <c r="B1924" i="9"/>
  <c r="C1924" i="9"/>
  <c r="H1920" i="9"/>
  <c r="I1920" i="9"/>
  <c r="G1920" i="9"/>
  <c r="E1920" i="9"/>
  <c r="F1920" i="9"/>
  <c r="D1920" i="9"/>
  <c r="B1920" i="9"/>
  <c r="C1920" i="9"/>
  <c r="H1916" i="9"/>
  <c r="I1916" i="9"/>
  <c r="G1916" i="9"/>
  <c r="E1916" i="9"/>
  <c r="F1916" i="9"/>
  <c r="D1916" i="9"/>
  <c r="B1916" i="9"/>
  <c r="C1916" i="9"/>
  <c r="H1912" i="9"/>
  <c r="I1912" i="9"/>
  <c r="G1912" i="9"/>
  <c r="E1912" i="9"/>
  <c r="F1912" i="9"/>
  <c r="D1912" i="9"/>
  <c r="B1912" i="9"/>
  <c r="C1912" i="9"/>
  <c r="H1908" i="9"/>
  <c r="I1908" i="9"/>
  <c r="E1908" i="9"/>
  <c r="G1908" i="9"/>
  <c r="F1908" i="9"/>
  <c r="D1908" i="9"/>
  <c r="B1908" i="9"/>
  <c r="C1908" i="9"/>
  <c r="H1904" i="9"/>
  <c r="I1904" i="9"/>
  <c r="G1904" i="9"/>
  <c r="E1904" i="9"/>
  <c r="F1904" i="9"/>
  <c r="D1904" i="9"/>
  <c r="B1904" i="9"/>
  <c r="C1904" i="9"/>
  <c r="H1900" i="9"/>
  <c r="I1900" i="9"/>
  <c r="G1900" i="9"/>
  <c r="E1900" i="9"/>
  <c r="F1900" i="9"/>
  <c r="D1900" i="9"/>
  <c r="B1900" i="9"/>
  <c r="C1900" i="9"/>
  <c r="H1896" i="9"/>
  <c r="I1896" i="9"/>
  <c r="E1896" i="9"/>
  <c r="F1896" i="9"/>
  <c r="D1896" i="9"/>
  <c r="G1896" i="9"/>
  <c r="B1896" i="9"/>
  <c r="C1896" i="9"/>
  <c r="H1892" i="9"/>
  <c r="I1892" i="9"/>
  <c r="E1892" i="9"/>
  <c r="G1892" i="9"/>
  <c r="F1892" i="9"/>
  <c r="D1892" i="9"/>
  <c r="B1892" i="9"/>
  <c r="C1892" i="9"/>
  <c r="H1888" i="9"/>
  <c r="I1888" i="9"/>
  <c r="G1888" i="9"/>
  <c r="E1888" i="9"/>
  <c r="F1888" i="9"/>
  <c r="D1888" i="9"/>
  <c r="B1888" i="9"/>
  <c r="C1888" i="9"/>
  <c r="H1884" i="9"/>
  <c r="I1884" i="9"/>
  <c r="G1884" i="9"/>
  <c r="E1884" i="9"/>
  <c r="F1884" i="9"/>
  <c r="D1884" i="9"/>
  <c r="B1884" i="9"/>
  <c r="C1884" i="9"/>
  <c r="H1880" i="9"/>
  <c r="I1880" i="9"/>
  <c r="G1880" i="9"/>
  <c r="E1880" i="9"/>
  <c r="F1880" i="9"/>
  <c r="D1880" i="9"/>
  <c r="B1880" i="9"/>
  <c r="C1880" i="9"/>
  <c r="H1876" i="9"/>
  <c r="I1876" i="9"/>
  <c r="E1876" i="9"/>
  <c r="G1876" i="9"/>
  <c r="F1876" i="9"/>
  <c r="D1876" i="9"/>
  <c r="B1876" i="9"/>
  <c r="C1876" i="9"/>
  <c r="H1872" i="9"/>
  <c r="I1872" i="9"/>
  <c r="G1872" i="9"/>
  <c r="E1872" i="9"/>
  <c r="F1872" i="9"/>
  <c r="D1872" i="9"/>
  <c r="B1872" i="9"/>
  <c r="C1872" i="9"/>
  <c r="H1868" i="9"/>
  <c r="I1868" i="9"/>
  <c r="G1868" i="9"/>
  <c r="E1868" i="9"/>
  <c r="F1868" i="9"/>
  <c r="D1868" i="9"/>
  <c r="B1868" i="9"/>
  <c r="C1868" i="9"/>
  <c r="H1864" i="9"/>
  <c r="I1864" i="9"/>
  <c r="E1864" i="9"/>
  <c r="F1864" i="9"/>
  <c r="D1864" i="9"/>
  <c r="G1864" i="9"/>
  <c r="B1864" i="9"/>
  <c r="C1864" i="9"/>
  <c r="H1860" i="9"/>
  <c r="I1860" i="9"/>
  <c r="E1860" i="9"/>
  <c r="G1860" i="9"/>
  <c r="F1860" i="9"/>
  <c r="D1860" i="9"/>
  <c r="B1860" i="9"/>
  <c r="C1860" i="9"/>
  <c r="H1856" i="9"/>
  <c r="I1856" i="9"/>
  <c r="G1856" i="9"/>
  <c r="E1856" i="9"/>
  <c r="F1856" i="9"/>
  <c r="D1856" i="9"/>
  <c r="B1856" i="9"/>
  <c r="C1856" i="9"/>
  <c r="H1852" i="9"/>
  <c r="I1852" i="9"/>
  <c r="G1852" i="9"/>
  <c r="E1852" i="9"/>
  <c r="F1852" i="9"/>
  <c r="D1852" i="9"/>
  <c r="B1852" i="9"/>
  <c r="C1852" i="9"/>
  <c r="H1848" i="9"/>
  <c r="I1848" i="9"/>
  <c r="G1848" i="9"/>
  <c r="E1848" i="9"/>
  <c r="F1848" i="9"/>
  <c r="D1848" i="9"/>
  <c r="B1848" i="9"/>
  <c r="C1848" i="9"/>
  <c r="H1844" i="9"/>
  <c r="I1844" i="9"/>
  <c r="E1844" i="9"/>
  <c r="G1844" i="9"/>
  <c r="F1844" i="9"/>
  <c r="D1844" i="9"/>
  <c r="B1844" i="9"/>
  <c r="C1844" i="9"/>
  <c r="H1840" i="9"/>
  <c r="I1840" i="9"/>
  <c r="G1840" i="9"/>
  <c r="E1840" i="9"/>
  <c r="F1840" i="9"/>
  <c r="D1840" i="9"/>
  <c r="B1840" i="9"/>
  <c r="C1840" i="9"/>
  <c r="H1836" i="9"/>
  <c r="I1836" i="9"/>
  <c r="G1836" i="9"/>
  <c r="E1836" i="9"/>
  <c r="F1836" i="9"/>
  <c r="D1836" i="9"/>
  <c r="B1836" i="9"/>
  <c r="C1836" i="9"/>
  <c r="H1832" i="9"/>
  <c r="I1832" i="9"/>
  <c r="E1832" i="9"/>
  <c r="F1832" i="9"/>
  <c r="D1832" i="9"/>
  <c r="G1832" i="9"/>
  <c r="B1832" i="9"/>
  <c r="C1832" i="9"/>
  <c r="H1828" i="9"/>
  <c r="I1828" i="9"/>
  <c r="E1828" i="9"/>
  <c r="G1828" i="9"/>
  <c r="F1828" i="9"/>
  <c r="D1828" i="9"/>
  <c r="B1828" i="9"/>
  <c r="C1828" i="9"/>
  <c r="H1824" i="9"/>
  <c r="I1824" i="9"/>
  <c r="G1824" i="9"/>
  <c r="E1824" i="9"/>
  <c r="F1824" i="9"/>
  <c r="D1824" i="9"/>
  <c r="B1824" i="9"/>
  <c r="C1824" i="9"/>
  <c r="H1820" i="9"/>
  <c r="I1820" i="9"/>
  <c r="G1820" i="9"/>
  <c r="E1820" i="9"/>
  <c r="F1820" i="9"/>
  <c r="D1820" i="9"/>
  <c r="B1820" i="9"/>
  <c r="C1820" i="9"/>
  <c r="H1816" i="9"/>
  <c r="I1816" i="9"/>
  <c r="G1816" i="9"/>
  <c r="E1816" i="9"/>
  <c r="F1816" i="9"/>
  <c r="D1816" i="9"/>
  <c r="B1816" i="9"/>
  <c r="C1816" i="9"/>
  <c r="H1812" i="9"/>
  <c r="I1812" i="9"/>
  <c r="E1812" i="9"/>
  <c r="G1812" i="9"/>
  <c r="F1812" i="9"/>
  <c r="D1812" i="9"/>
  <c r="B1812" i="9"/>
  <c r="C1812" i="9"/>
  <c r="H1808" i="9"/>
  <c r="I1808" i="9"/>
  <c r="G1808" i="9"/>
  <c r="E1808" i="9"/>
  <c r="F1808" i="9"/>
  <c r="D1808" i="9"/>
  <c r="B1808" i="9"/>
  <c r="C1808" i="9"/>
  <c r="H1804" i="9"/>
  <c r="I1804" i="9"/>
  <c r="G1804" i="9"/>
  <c r="E1804" i="9"/>
  <c r="F1804" i="9"/>
  <c r="D1804" i="9"/>
  <c r="B1804" i="9"/>
  <c r="C1804" i="9"/>
  <c r="H1800" i="9"/>
  <c r="I1800" i="9"/>
  <c r="E1800" i="9"/>
  <c r="F1800" i="9"/>
  <c r="D1800" i="9"/>
  <c r="G1800" i="9"/>
  <c r="B1800" i="9"/>
  <c r="C1800" i="9"/>
  <c r="H1796" i="9"/>
  <c r="I1796" i="9"/>
  <c r="E1796" i="9"/>
  <c r="G1796" i="9"/>
  <c r="F1796" i="9"/>
  <c r="D1796" i="9"/>
  <c r="B1796" i="9"/>
  <c r="C1796" i="9"/>
  <c r="H1792" i="9"/>
  <c r="I1792" i="9"/>
  <c r="G1792" i="9"/>
  <c r="E1792" i="9"/>
  <c r="F1792" i="9"/>
  <c r="D1792" i="9"/>
  <c r="B1792" i="9"/>
  <c r="C1792" i="9"/>
  <c r="H1788" i="9"/>
  <c r="I1788" i="9"/>
  <c r="G1788" i="9"/>
  <c r="E1788" i="9"/>
  <c r="F1788" i="9"/>
  <c r="D1788" i="9"/>
  <c r="B1788" i="9"/>
  <c r="C1788" i="9"/>
  <c r="H1784" i="9"/>
  <c r="I1784" i="9"/>
  <c r="G1784" i="9"/>
  <c r="E1784" i="9"/>
  <c r="F1784" i="9"/>
  <c r="D1784" i="9"/>
  <c r="B1784" i="9"/>
  <c r="C1784" i="9"/>
  <c r="H1780" i="9"/>
  <c r="I1780" i="9"/>
  <c r="E1780" i="9"/>
  <c r="G1780" i="9"/>
  <c r="F1780" i="9"/>
  <c r="D1780" i="9"/>
  <c r="B1780" i="9"/>
  <c r="C1780" i="9"/>
  <c r="H1776" i="9"/>
  <c r="I1776" i="9"/>
  <c r="G1776" i="9"/>
  <c r="E1776" i="9"/>
  <c r="F1776" i="9"/>
  <c r="D1776" i="9"/>
  <c r="B1776" i="9"/>
  <c r="C1776" i="9"/>
  <c r="H1772" i="9"/>
  <c r="I1772" i="9"/>
  <c r="G1772" i="9"/>
  <c r="E1772" i="9"/>
  <c r="F1772" i="9"/>
  <c r="D1772" i="9"/>
  <c r="B1772" i="9"/>
  <c r="C1772" i="9"/>
  <c r="H1768" i="9"/>
  <c r="I1768" i="9"/>
  <c r="E1768" i="9"/>
  <c r="F1768" i="9"/>
  <c r="D1768" i="9"/>
  <c r="G1768" i="9"/>
  <c r="B1768" i="9"/>
  <c r="C1768" i="9"/>
  <c r="H1764" i="9"/>
  <c r="I1764" i="9"/>
  <c r="E1764" i="9"/>
  <c r="G1764" i="9"/>
  <c r="F1764" i="9"/>
  <c r="D1764" i="9"/>
  <c r="B1764" i="9"/>
  <c r="C1764" i="9"/>
  <c r="H1760" i="9"/>
  <c r="I1760" i="9"/>
  <c r="G1760" i="9"/>
  <c r="E1760" i="9"/>
  <c r="F1760" i="9"/>
  <c r="D1760" i="9"/>
  <c r="B1760" i="9"/>
  <c r="C1760" i="9"/>
  <c r="H1756" i="9"/>
  <c r="I1756" i="9"/>
  <c r="G1756" i="9"/>
  <c r="E1756" i="9"/>
  <c r="F1756" i="9"/>
  <c r="D1756" i="9"/>
  <c r="B1756" i="9"/>
  <c r="C1756" i="9"/>
  <c r="H1752" i="9"/>
  <c r="I1752" i="9"/>
  <c r="G1752" i="9"/>
  <c r="E1752" i="9"/>
  <c r="F1752" i="9"/>
  <c r="D1752" i="9"/>
  <c r="B1752" i="9"/>
  <c r="C1752" i="9"/>
  <c r="H1748" i="9"/>
  <c r="I1748" i="9"/>
  <c r="E1748" i="9"/>
  <c r="G1748" i="9"/>
  <c r="F1748" i="9"/>
  <c r="D1748" i="9"/>
  <c r="B1748" i="9"/>
  <c r="C1748" i="9"/>
  <c r="H1744" i="9"/>
  <c r="I1744" i="9"/>
  <c r="G1744" i="9"/>
  <c r="E1744" i="9"/>
  <c r="F1744" i="9"/>
  <c r="D1744" i="9"/>
  <c r="B1744" i="9"/>
  <c r="C1744" i="9"/>
  <c r="H1740" i="9"/>
  <c r="I1740" i="9"/>
  <c r="G1740" i="9"/>
  <c r="E1740" i="9"/>
  <c r="F1740" i="9"/>
  <c r="D1740" i="9"/>
  <c r="B1740" i="9"/>
  <c r="C1740" i="9"/>
  <c r="H1736" i="9"/>
  <c r="I1736" i="9"/>
  <c r="E1736" i="9"/>
  <c r="F1736" i="9"/>
  <c r="D1736" i="9"/>
  <c r="G1736" i="9"/>
  <c r="B1736" i="9"/>
  <c r="C1736" i="9"/>
  <c r="H1732" i="9"/>
  <c r="I1732" i="9"/>
  <c r="E1732" i="9"/>
  <c r="G1732" i="9"/>
  <c r="F1732" i="9"/>
  <c r="D1732" i="9"/>
  <c r="B1732" i="9"/>
  <c r="C1732" i="9"/>
  <c r="H1728" i="9"/>
  <c r="I1728" i="9"/>
  <c r="G1728" i="9"/>
  <c r="E1728" i="9"/>
  <c r="F1728" i="9"/>
  <c r="D1728" i="9"/>
  <c r="B1728" i="9"/>
  <c r="C1728" i="9"/>
  <c r="H1724" i="9"/>
  <c r="I1724" i="9"/>
  <c r="G1724" i="9"/>
  <c r="E1724" i="9"/>
  <c r="F1724" i="9"/>
  <c r="D1724" i="9"/>
  <c r="B1724" i="9"/>
  <c r="C1724" i="9"/>
  <c r="H1720" i="9"/>
  <c r="I1720" i="9"/>
  <c r="G1720" i="9"/>
  <c r="E1720" i="9"/>
  <c r="F1720" i="9"/>
  <c r="D1720" i="9"/>
  <c r="B1720" i="9"/>
  <c r="C1720" i="9"/>
  <c r="H1716" i="9"/>
  <c r="I1716" i="9"/>
  <c r="E1716" i="9"/>
  <c r="G1716" i="9"/>
  <c r="F1716" i="9"/>
  <c r="D1716" i="9"/>
  <c r="B1716" i="9"/>
  <c r="C1716" i="9"/>
  <c r="H1712" i="9"/>
  <c r="I1712" i="9"/>
  <c r="G1712" i="9"/>
  <c r="E1712" i="9"/>
  <c r="F1712" i="9"/>
  <c r="D1712" i="9"/>
  <c r="B1712" i="9"/>
  <c r="C1712" i="9"/>
  <c r="H1708" i="9"/>
  <c r="I1708" i="9"/>
  <c r="G1708" i="9"/>
  <c r="E1708" i="9"/>
  <c r="F1708" i="9"/>
  <c r="D1708" i="9"/>
  <c r="B1708" i="9"/>
  <c r="C1708" i="9"/>
  <c r="H1704" i="9"/>
  <c r="I1704" i="9"/>
  <c r="E1704" i="9"/>
  <c r="F1704" i="9"/>
  <c r="D1704" i="9"/>
  <c r="G1704" i="9"/>
  <c r="B1704" i="9"/>
  <c r="C1704" i="9"/>
  <c r="H1700" i="9"/>
  <c r="I1700" i="9"/>
  <c r="E1700" i="9"/>
  <c r="G1700" i="9"/>
  <c r="F1700" i="9"/>
  <c r="D1700" i="9"/>
  <c r="B1700" i="9"/>
  <c r="C1700" i="9"/>
  <c r="H1696" i="9"/>
  <c r="I1696" i="9"/>
  <c r="G1696" i="9"/>
  <c r="E1696" i="9"/>
  <c r="F1696" i="9"/>
  <c r="D1696" i="9"/>
  <c r="B1696" i="9"/>
  <c r="C1696" i="9"/>
  <c r="H1692" i="9"/>
  <c r="I1692" i="9"/>
  <c r="G1692" i="9"/>
  <c r="E1692" i="9"/>
  <c r="F1692" i="9"/>
  <c r="D1692" i="9"/>
  <c r="B1692" i="9"/>
  <c r="C1692" i="9"/>
  <c r="H1688" i="9"/>
  <c r="I1688" i="9"/>
  <c r="G1688" i="9"/>
  <c r="E1688" i="9"/>
  <c r="F1688" i="9"/>
  <c r="D1688" i="9"/>
  <c r="B1688" i="9"/>
  <c r="C1688" i="9"/>
  <c r="H1684" i="9"/>
  <c r="I1684" i="9"/>
  <c r="E1684" i="9"/>
  <c r="G1684" i="9"/>
  <c r="F1684" i="9"/>
  <c r="D1684" i="9"/>
  <c r="B1684" i="9"/>
  <c r="C1684" i="9"/>
  <c r="H1680" i="9"/>
  <c r="I1680" i="9"/>
  <c r="G1680" i="9"/>
  <c r="E1680" i="9"/>
  <c r="F1680" i="9"/>
  <c r="D1680" i="9"/>
  <c r="B1680" i="9"/>
  <c r="C1680" i="9"/>
  <c r="H1676" i="9"/>
  <c r="I1676" i="9"/>
  <c r="G1676" i="9"/>
  <c r="E1676" i="9"/>
  <c r="F1676" i="9"/>
  <c r="D1676" i="9"/>
  <c r="B1676" i="9"/>
  <c r="C1676" i="9"/>
  <c r="H1672" i="9"/>
  <c r="I1672" i="9"/>
  <c r="E1672" i="9"/>
  <c r="F1672" i="9"/>
  <c r="D1672" i="9"/>
  <c r="G1672" i="9"/>
  <c r="B1672" i="9"/>
  <c r="C1672" i="9"/>
  <c r="H1668" i="9"/>
  <c r="I1668" i="9"/>
  <c r="E1668" i="9"/>
  <c r="G1668" i="9"/>
  <c r="F1668" i="9"/>
  <c r="D1668" i="9"/>
  <c r="B1668" i="9"/>
  <c r="C1668" i="9"/>
  <c r="H1664" i="9"/>
  <c r="I1664" i="9"/>
  <c r="G1664" i="9"/>
  <c r="E1664" i="9"/>
  <c r="F1664" i="9"/>
  <c r="D1664" i="9"/>
  <c r="B1664" i="9"/>
  <c r="C1664" i="9"/>
  <c r="H1660" i="9"/>
  <c r="I1660" i="9"/>
  <c r="G1660" i="9"/>
  <c r="E1660" i="9"/>
  <c r="F1660" i="9"/>
  <c r="D1660" i="9"/>
  <c r="B1660" i="9"/>
  <c r="C1660" i="9"/>
  <c r="H1656" i="9"/>
  <c r="I1656" i="9"/>
  <c r="G1656" i="9"/>
  <c r="E1656" i="9"/>
  <c r="F1656" i="9"/>
  <c r="D1656" i="9"/>
  <c r="B1656" i="9"/>
  <c r="C1656" i="9"/>
  <c r="H1652" i="9"/>
  <c r="I1652" i="9"/>
  <c r="E1652" i="9"/>
  <c r="G1652" i="9"/>
  <c r="F1652" i="9"/>
  <c r="D1652" i="9"/>
  <c r="B1652" i="9"/>
  <c r="C1652" i="9"/>
  <c r="H1648" i="9"/>
  <c r="I1648" i="9"/>
  <c r="G1648" i="9"/>
  <c r="E1648" i="9"/>
  <c r="F1648" i="9"/>
  <c r="D1648" i="9"/>
  <c r="B1648" i="9"/>
  <c r="C1648" i="9"/>
  <c r="H1644" i="9"/>
  <c r="I1644" i="9"/>
  <c r="G1644" i="9"/>
  <c r="E1644" i="9"/>
  <c r="F1644" i="9"/>
  <c r="D1644" i="9"/>
  <c r="B1644" i="9"/>
  <c r="C1644" i="9"/>
  <c r="H1640" i="9"/>
  <c r="I1640" i="9"/>
  <c r="E1640" i="9"/>
  <c r="F1640" i="9"/>
  <c r="D1640" i="9"/>
  <c r="G1640" i="9"/>
  <c r="B1640" i="9"/>
  <c r="C1640" i="9"/>
  <c r="H1636" i="9"/>
  <c r="I1636" i="9"/>
  <c r="E1636" i="9"/>
  <c r="G1636" i="9"/>
  <c r="F1636" i="9"/>
  <c r="D1636" i="9"/>
  <c r="B1636" i="9"/>
  <c r="C1636" i="9"/>
  <c r="H1632" i="9"/>
  <c r="I1632" i="9"/>
  <c r="G1632" i="9"/>
  <c r="E1632" i="9"/>
  <c r="F1632" i="9"/>
  <c r="D1632" i="9"/>
  <c r="B1632" i="9"/>
  <c r="C1632" i="9"/>
  <c r="H1628" i="9"/>
  <c r="I1628" i="9"/>
  <c r="G1628" i="9"/>
  <c r="E1628" i="9"/>
  <c r="F1628" i="9"/>
  <c r="D1628" i="9"/>
  <c r="B1628" i="9"/>
  <c r="C1628" i="9"/>
  <c r="H1624" i="9"/>
  <c r="I1624" i="9"/>
  <c r="G1624" i="9"/>
  <c r="E1624" i="9"/>
  <c r="F1624" i="9"/>
  <c r="D1624" i="9"/>
  <c r="B1624" i="9"/>
  <c r="C1624" i="9"/>
  <c r="H1620" i="9"/>
  <c r="I1620" i="9"/>
  <c r="E1620" i="9"/>
  <c r="G1620" i="9"/>
  <c r="F1620" i="9"/>
  <c r="D1620" i="9"/>
  <c r="B1620" i="9"/>
  <c r="C1620" i="9"/>
  <c r="H1616" i="9"/>
  <c r="I1616" i="9"/>
  <c r="G1616" i="9"/>
  <c r="E1616" i="9"/>
  <c r="F1616" i="9"/>
  <c r="D1616" i="9"/>
  <c r="B1616" i="9"/>
  <c r="C1616" i="9"/>
  <c r="H1612" i="9"/>
  <c r="I1612" i="9"/>
  <c r="G1612" i="9"/>
  <c r="E1612" i="9"/>
  <c r="F1612" i="9"/>
  <c r="D1612" i="9"/>
  <c r="B1612" i="9"/>
  <c r="C1612" i="9"/>
  <c r="H1608" i="9"/>
  <c r="I1608" i="9"/>
  <c r="E1608" i="9"/>
  <c r="F1608" i="9"/>
  <c r="D1608" i="9"/>
  <c r="G1608" i="9"/>
  <c r="B1608" i="9"/>
  <c r="C1608" i="9"/>
  <c r="H1604" i="9"/>
  <c r="I1604" i="9"/>
  <c r="E1604" i="9"/>
  <c r="G1604" i="9"/>
  <c r="F1604" i="9"/>
  <c r="D1604" i="9"/>
  <c r="B1604" i="9"/>
  <c r="C1604" i="9"/>
  <c r="H1600" i="9"/>
  <c r="I1600" i="9"/>
  <c r="G1600" i="9"/>
  <c r="E1600" i="9"/>
  <c r="F1600" i="9"/>
  <c r="D1600" i="9"/>
  <c r="B1600" i="9"/>
  <c r="C1600" i="9"/>
  <c r="H1596" i="9"/>
  <c r="I1596" i="9"/>
  <c r="G1596" i="9"/>
  <c r="E1596" i="9"/>
  <c r="F1596" i="9"/>
  <c r="D1596" i="9"/>
  <c r="B1596" i="9"/>
  <c r="C1596" i="9"/>
  <c r="H1592" i="9"/>
  <c r="I1592" i="9"/>
  <c r="E1592" i="9"/>
  <c r="F1592" i="9"/>
  <c r="D1592" i="9"/>
  <c r="G1592" i="9"/>
  <c r="B1592" i="9"/>
  <c r="C1592" i="9"/>
  <c r="H1588" i="9"/>
  <c r="I1588" i="9"/>
  <c r="E1588" i="9"/>
  <c r="G1588" i="9"/>
  <c r="F1588" i="9"/>
  <c r="D1588" i="9"/>
  <c r="B1588" i="9"/>
  <c r="C1588" i="9"/>
  <c r="H1584" i="9"/>
  <c r="I1584" i="9"/>
  <c r="G1584" i="9"/>
  <c r="E1584" i="9"/>
  <c r="F1584" i="9"/>
  <c r="D1584" i="9"/>
  <c r="B1584" i="9"/>
  <c r="C1584" i="9"/>
  <c r="H1580" i="9"/>
  <c r="I1580" i="9"/>
  <c r="G1580" i="9"/>
  <c r="E1580" i="9"/>
  <c r="F1580" i="9"/>
  <c r="D1580" i="9"/>
  <c r="B1580" i="9"/>
  <c r="C1580" i="9"/>
  <c r="H1576" i="9"/>
  <c r="I1576" i="9"/>
  <c r="E1576" i="9"/>
  <c r="F1576" i="9"/>
  <c r="D1576" i="9"/>
  <c r="G1576" i="9"/>
  <c r="B1576" i="9"/>
  <c r="C1576" i="9"/>
  <c r="H1572" i="9"/>
  <c r="I1572" i="9"/>
  <c r="E1572" i="9"/>
  <c r="G1572" i="9"/>
  <c r="F1572" i="9"/>
  <c r="D1572" i="9"/>
  <c r="B1572" i="9"/>
  <c r="C1572" i="9"/>
  <c r="H1568" i="9"/>
  <c r="I1568" i="9"/>
  <c r="G1568" i="9"/>
  <c r="E1568" i="9"/>
  <c r="F1568" i="9"/>
  <c r="D1568" i="9"/>
  <c r="B1568" i="9"/>
  <c r="C1568" i="9"/>
  <c r="H1564" i="9"/>
  <c r="I1564" i="9"/>
  <c r="G1564" i="9"/>
  <c r="E1564" i="9"/>
  <c r="F1564" i="9"/>
  <c r="D1564" i="9"/>
  <c r="B1564" i="9"/>
  <c r="C1564" i="9"/>
  <c r="H1560" i="9"/>
  <c r="I1560" i="9"/>
  <c r="G1560" i="9"/>
  <c r="E1560" i="9"/>
  <c r="F1560" i="9"/>
  <c r="D1560" i="9"/>
  <c r="B1560" i="9"/>
  <c r="C1560" i="9"/>
  <c r="H1556" i="9"/>
  <c r="I1556" i="9"/>
  <c r="E1556" i="9"/>
  <c r="G1556" i="9"/>
  <c r="F1556" i="9"/>
  <c r="D1556" i="9"/>
  <c r="B1556" i="9"/>
  <c r="C1556" i="9"/>
  <c r="H1552" i="9"/>
  <c r="I1552" i="9"/>
  <c r="F1552" i="9"/>
  <c r="G1552" i="9"/>
  <c r="E1552" i="9"/>
  <c r="D1552" i="9"/>
  <c r="B1552" i="9"/>
  <c r="C1552" i="9"/>
  <c r="H1548" i="9"/>
  <c r="I1548" i="9"/>
  <c r="G1548" i="9"/>
  <c r="E1548" i="9"/>
  <c r="F1548" i="9"/>
  <c r="D1548" i="9"/>
  <c r="B1548" i="9"/>
  <c r="C1548" i="9"/>
  <c r="H1544" i="9"/>
  <c r="I1544" i="9"/>
  <c r="F1544" i="9"/>
  <c r="E1544" i="9"/>
  <c r="D1544" i="9"/>
  <c r="G1544" i="9"/>
  <c r="B1544" i="9"/>
  <c r="C1544" i="9"/>
  <c r="H1540" i="9"/>
  <c r="I1540" i="9"/>
  <c r="E1540" i="9"/>
  <c r="G1540" i="9"/>
  <c r="F1540" i="9"/>
  <c r="D1540" i="9"/>
  <c r="B1540" i="9"/>
  <c r="C1540" i="9"/>
  <c r="H1536" i="9"/>
  <c r="I1536" i="9"/>
  <c r="F1536" i="9"/>
  <c r="G1536" i="9"/>
  <c r="E1536" i="9"/>
  <c r="D1536" i="9"/>
  <c r="B1536" i="9"/>
  <c r="C1536" i="9"/>
  <c r="H1532" i="9"/>
  <c r="I1532" i="9"/>
  <c r="G1532" i="9"/>
  <c r="E1532" i="9"/>
  <c r="F1532" i="9"/>
  <c r="D1532" i="9"/>
  <c r="B1532" i="9"/>
  <c r="C1532" i="9"/>
  <c r="H1528" i="9"/>
  <c r="I1528" i="9"/>
  <c r="F1528" i="9"/>
  <c r="G1528" i="9"/>
  <c r="E1528" i="9"/>
  <c r="D1528" i="9"/>
  <c r="B1528" i="9"/>
  <c r="C1528" i="9"/>
  <c r="H1524" i="9"/>
  <c r="I1524" i="9"/>
  <c r="E1524" i="9"/>
  <c r="G1524" i="9"/>
  <c r="F1524" i="9"/>
  <c r="D1524" i="9"/>
  <c r="B1524" i="9"/>
  <c r="C1524" i="9"/>
  <c r="H1520" i="9"/>
  <c r="I1520" i="9"/>
  <c r="F1520" i="9"/>
  <c r="G1520" i="9"/>
  <c r="E1520" i="9"/>
  <c r="D1520" i="9"/>
  <c r="B1520" i="9"/>
  <c r="C1520" i="9"/>
  <c r="H1516" i="9"/>
  <c r="I1516" i="9"/>
  <c r="G1516" i="9"/>
  <c r="E1516" i="9"/>
  <c r="F1516" i="9"/>
  <c r="D1516" i="9"/>
  <c r="B1516" i="9"/>
  <c r="C1516" i="9"/>
  <c r="H1512" i="9"/>
  <c r="I1512" i="9"/>
  <c r="F1512" i="9"/>
  <c r="E1512" i="9"/>
  <c r="D1512" i="9"/>
  <c r="G1512" i="9"/>
  <c r="B1512" i="9"/>
  <c r="C1512" i="9"/>
  <c r="H1508" i="9"/>
  <c r="I1508" i="9"/>
  <c r="E1508" i="9"/>
  <c r="G1508" i="9"/>
  <c r="F1508" i="9"/>
  <c r="D1508" i="9"/>
  <c r="B1508" i="9"/>
  <c r="C1508" i="9"/>
  <c r="H1504" i="9"/>
  <c r="I1504" i="9"/>
  <c r="F1504" i="9"/>
  <c r="G1504" i="9"/>
  <c r="E1504" i="9"/>
  <c r="D1504" i="9"/>
  <c r="B1504" i="9"/>
  <c r="C1504" i="9"/>
  <c r="H1500" i="9"/>
  <c r="I1500" i="9"/>
  <c r="G1500" i="9"/>
  <c r="E1500" i="9"/>
  <c r="F1500" i="9"/>
  <c r="D1500" i="9"/>
  <c r="B1500" i="9"/>
  <c r="C1500" i="9"/>
  <c r="H1496" i="9"/>
  <c r="I1496" i="9"/>
  <c r="F1496" i="9"/>
  <c r="G1496" i="9"/>
  <c r="E1496" i="9"/>
  <c r="D1496" i="9"/>
  <c r="B1496" i="9"/>
  <c r="C1496" i="9"/>
  <c r="H1492" i="9"/>
  <c r="I1492" i="9"/>
  <c r="E1492" i="9"/>
  <c r="G1492" i="9"/>
  <c r="F1492" i="9"/>
  <c r="D1492" i="9"/>
  <c r="B1492" i="9"/>
  <c r="C1492" i="9"/>
  <c r="H1488" i="9"/>
  <c r="I1488" i="9"/>
  <c r="F1488" i="9"/>
  <c r="G1488" i="9"/>
  <c r="E1488" i="9"/>
  <c r="D1488" i="9"/>
  <c r="B1488" i="9"/>
  <c r="C1488" i="9"/>
  <c r="H1484" i="9"/>
  <c r="I1484" i="9"/>
  <c r="G1484" i="9"/>
  <c r="E1484" i="9"/>
  <c r="F1484" i="9"/>
  <c r="D1484" i="9"/>
  <c r="B1484" i="9"/>
  <c r="C1484" i="9"/>
  <c r="H1480" i="9"/>
  <c r="I1480" i="9"/>
  <c r="F1480" i="9"/>
  <c r="E1480" i="9"/>
  <c r="D1480" i="9"/>
  <c r="G1480" i="9"/>
  <c r="B1480" i="9"/>
  <c r="C1480" i="9"/>
  <c r="H1476" i="9"/>
  <c r="I1476" i="9"/>
  <c r="E1476" i="9"/>
  <c r="G1476" i="9"/>
  <c r="F1476" i="9"/>
  <c r="D1476" i="9"/>
  <c r="B1476" i="9"/>
  <c r="C1476" i="9"/>
  <c r="H1472" i="9"/>
  <c r="I1472" i="9"/>
  <c r="F1472" i="9"/>
  <c r="G1472" i="9"/>
  <c r="E1472" i="9"/>
  <c r="D1472" i="9"/>
  <c r="B1472" i="9"/>
  <c r="C1472" i="9"/>
  <c r="H1468" i="9"/>
  <c r="I1468" i="9"/>
  <c r="G1468" i="9"/>
  <c r="E1468" i="9"/>
  <c r="F1468" i="9"/>
  <c r="D1468" i="9"/>
  <c r="B1468" i="9"/>
  <c r="C1468" i="9"/>
  <c r="H1464" i="9"/>
  <c r="I1464" i="9"/>
  <c r="F1464" i="9"/>
  <c r="G1464" i="9"/>
  <c r="E1464" i="9"/>
  <c r="D1464" i="9"/>
  <c r="B1464" i="9"/>
  <c r="C1464" i="9"/>
  <c r="H1460" i="9"/>
  <c r="I1460" i="9"/>
  <c r="E1460" i="9"/>
  <c r="G1460" i="9"/>
  <c r="F1460" i="9"/>
  <c r="D1460" i="9"/>
  <c r="B1460" i="9"/>
  <c r="C1460" i="9"/>
  <c r="H1456" i="9"/>
  <c r="I1456" i="9"/>
  <c r="F1456" i="9"/>
  <c r="G1456" i="9"/>
  <c r="E1456" i="9"/>
  <c r="D1456" i="9"/>
  <c r="B1456" i="9"/>
  <c r="C1456" i="9"/>
  <c r="H1452" i="9"/>
  <c r="I1452" i="9"/>
  <c r="G1452" i="9"/>
  <c r="E1452" i="9"/>
  <c r="F1452" i="9"/>
  <c r="D1452" i="9"/>
  <c r="B1452" i="9"/>
  <c r="C1452" i="9"/>
  <c r="H1448" i="9"/>
  <c r="I1448" i="9"/>
  <c r="F1448" i="9"/>
  <c r="E1448" i="9"/>
  <c r="D1448" i="9"/>
  <c r="G1448" i="9"/>
  <c r="B1448" i="9"/>
  <c r="C1448" i="9"/>
  <c r="H1444" i="9"/>
  <c r="I1444" i="9"/>
  <c r="E1444" i="9"/>
  <c r="G1444" i="9"/>
  <c r="F1444" i="9"/>
  <c r="D1444" i="9"/>
  <c r="B1444" i="9"/>
  <c r="C1444" i="9"/>
  <c r="H1440" i="9"/>
  <c r="I1440" i="9"/>
  <c r="F1440" i="9"/>
  <c r="G1440" i="9"/>
  <c r="E1440" i="9"/>
  <c r="D1440" i="9"/>
  <c r="B1440" i="9"/>
  <c r="C1440" i="9"/>
  <c r="H1436" i="9"/>
  <c r="I1436" i="9"/>
  <c r="G1436" i="9"/>
  <c r="E1436" i="9"/>
  <c r="F1436" i="9"/>
  <c r="D1436" i="9"/>
  <c r="B1436" i="9"/>
  <c r="C1436" i="9"/>
  <c r="H1432" i="9"/>
  <c r="I1432" i="9"/>
  <c r="F1432" i="9"/>
  <c r="G1432" i="9"/>
  <c r="E1432" i="9"/>
  <c r="D1432" i="9"/>
  <c r="B1432" i="9"/>
  <c r="C1432" i="9"/>
  <c r="H1428" i="9"/>
  <c r="I1428" i="9"/>
  <c r="E1428" i="9"/>
  <c r="G1428" i="9"/>
  <c r="F1428" i="9"/>
  <c r="D1428" i="9"/>
  <c r="B1428" i="9"/>
  <c r="C1428" i="9"/>
  <c r="H1424" i="9"/>
  <c r="I1424" i="9"/>
  <c r="F1424" i="9"/>
  <c r="G1424" i="9"/>
  <c r="E1424" i="9"/>
  <c r="D1424" i="9"/>
  <c r="B1424" i="9"/>
  <c r="C1424" i="9"/>
  <c r="H1420" i="9"/>
  <c r="I1420" i="9"/>
  <c r="G1420" i="9"/>
  <c r="E1420" i="9"/>
  <c r="F1420" i="9"/>
  <c r="D1420" i="9"/>
  <c r="B1420" i="9"/>
  <c r="C1420" i="9"/>
  <c r="H1416" i="9"/>
  <c r="I1416" i="9"/>
  <c r="F1416" i="9"/>
  <c r="E1416" i="9"/>
  <c r="D1416" i="9"/>
  <c r="G1416" i="9"/>
  <c r="B1416" i="9"/>
  <c r="C1416" i="9"/>
  <c r="H1412" i="9"/>
  <c r="I1412" i="9"/>
  <c r="E1412" i="9"/>
  <c r="G1412" i="9"/>
  <c r="F1412" i="9"/>
  <c r="D1412" i="9"/>
  <c r="B1412" i="9"/>
  <c r="C1412" i="9"/>
  <c r="H1408" i="9"/>
  <c r="I1408" i="9"/>
  <c r="F1408" i="9"/>
  <c r="G1408" i="9"/>
  <c r="E1408" i="9"/>
  <c r="D1408" i="9"/>
  <c r="B1408" i="9"/>
  <c r="C1408" i="9"/>
  <c r="H1404" i="9"/>
  <c r="I1404" i="9"/>
  <c r="G1404" i="9"/>
  <c r="E1404" i="9"/>
  <c r="F1404" i="9"/>
  <c r="D1404" i="9"/>
  <c r="B1404" i="9"/>
  <c r="C1404" i="9"/>
  <c r="H1400" i="9"/>
  <c r="I1400" i="9"/>
  <c r="F1400" i="9"/>
  <c r="G1400" i="9"/>
  <c r="E1400" i="9"/>
  <c r="D1400" i="9"/>
  <c r="B1400" i="9"/>
  <c r="C1400" i="9"/>
  <c r="H1396" i="9"/>
  <c r="I1396" i="9"/>
  <c r="E1396" i="9"/>
  <c r="G1396" i="9"/>
  <c r="F1396" i="9"/>
  <c r="D1396" i="9"/>
  <c r="B1396" i="9"/>
  <c r="C1396" i="9"/>
  <c r="H1392" i="9"/>
  <c r="I1392" i="9"/>
  <c r="F1392" i="9"/>
  <c r="G1392" i="9"/>
  <c r="E1392" i="9"/>
  <c r="D1392" i="9"/>
  <c r="B1392" i="9"/>
  <c r="C1392" i="9"/>
  <c r="H1388" i="9"/>
  <c r="I1388" i="9"/>
  <c r="G1388" i="9"/>
  <c r="E1388" i="9"/>
  <c r="F1388" i="9"/>
  <c r="D1388" i="9"/>
  <c r="B1388" i="9"/>
  <c r="C1388" i="9"/>
  <c r="H1384" i="9"/>
  <c r="I1384" i="9"/>
  <c r="F1384" i="9"/>
  <c r="E1384" i="9"/>
  <c r="D1384" i="9"/>
  <c r="G1384" i="9"/>
  <c r="B1384" i="9"/>
  <c r="C1384" i="9"/>
  <c r="H1380" i="9"/>
  <c r="I1380" i="9"/>
  <c r="E1380" i="9"/>
  <c r="G1380" i="9"/>
  <c r="F1380" i="9"/>
  <c r="D1380" i="9"/>
  <c r="B1380" i="9"/>
  <c r="C1380" i="9"/>
  <c r="H1376" i="9"/>
  <c r="I1376" i="9"/>
  <c r="F1376" i="9"/>
  <c r="G1376" i="9"/>
  <c r="E1376" i="9"/>
  <c r="D1376" i="9"/>
  <c r="B1376" i="9"/>
  <c r="C1376" i="9"/>
  <c r="H1372" i="9"/>
  <c r="I1372" i="9"/>
  <c r="G1372" i="9"/>
  <c r="E1372" i="9"/>
  <c r="F1372" i="9"/>
  <c r="D1372" i="9"/>
  <c r="B1372" i="9"/>
  <c r="C1372" i="9"/>
  <c r="H1368" i="9"/>
  <c r="I1368" i="9"/>
  <c r="F1368" i="9"/>
  <c r="G1368" i="9"/>
  <c r="E1368" i="9"/>
  <c r="D1368" i="9"/>
  <c r="B1368" i="9"/>
  <c r="C1368" i="9"/>
  <c r="H1364" i="9"/>
  <c r="I1364" i="9"/>
  <c r="E1364" i="9"/>
  <c r="G1364" i="9"/>
  <c r="F1364" i="9"/>
  <c r="D1364" i="9"/>
  <c r="B1364" i="9"/>
  <c r="C1364" i="9"/>
  <c r="H1360" i="9"/>
  <c r="I1360" i="9"/>
  <c r="F1360" i="9"/>
  <c r="G1360" i="9"/>
  <c r="E1360" i="9"/>
  <c r="D1360" i="9"/>
  <c r="B1360" i="9"/>
  <c r="C1360" i="9"/>
  <c r="H1356" i="9"/>
  <c r="I1356" i="9"/>
  <c r="G1356" i="9"/>
  <c r="E1356" i="9"/>
  <c r="F1356" i="9"/>
  <c r="D1356" i="9"/>
  <c r="B1356" i="9"/>
  <c r="C1356" i="9"/>
  <c r="H1352" i="9"/>
  <c r="I1352" i="9"/>
  <c r="F1352" i="9"/>
  <c r="E1352" i="9"/>
  <c r="D1352" i="9"/>
  <c r="G1352" i="9"/>
  <c r="B1352" i="9"/>
  <c r="C1352" i="9"/>
  <c r="H1348" i="9"/>
  <c r="I1348" i="9"/>
  <c r="E1348" i="9"/>
  <c r="G1348" i="9"/>
  <c r="F1348" i="9"/>
  <c r="D1348" i="9"/>
  <c r="B1348" i="9"/>
  <c r="C1348" i="9"/>
  <c r="H1344" i="9"/>
  <c r="I1344" i="9"/>
  <c r="F1344" i="9"/>
  <c r="G1344" i="9"/>
  <c r="E1344" i="9"/>
  <c r="D1344" i="9"/>
  <c r="B1344" i="9"/>
  <c r="C1344" i="9"/>
  <c r="H1340" i="9"/>
  <c r="I1340" i="9"/>
  <c r="G1340" i="9"/>
  <c r="E1340" i="9"/>
  <c r="F1340" i="9"/>
  <c r="D1340" i="9"/>
  <c r="B1340" i="9"/>
  <c r="C1340" i="9"/>
  <c r="H1336" i="9"/>
  <c r="I1336" i="9"/>
  <c r="F1336" i="9"/>
  <c r="G1336" i="9"/>
  <c r="E1336" i="9"/>
  <c r="D1336" i="9"/>
  <c r="B1336" i="9"/>
  <c r="C1336" i="9"/>
  <c r="H1332" i="9"/>
  <c r="I1332" i="9"/>
  <c r="E1332" i="9"/>
  <c r="G1332" i="9"/>
  <c r="F1332" i="9"/>
  <c r="D1332" i="9"/>
  <c r="B1332" i="9"/>
  <c r="C1332" i="9"/>
  <c r="H1328" i="9"/>
  <c r="I1328" i="9"/>
  <c r="F1328" i="9"/>
  <c r="G1328" i="9"/>
  <c r="E1328" i="9"/>
  <c r="D1328" i="9"/>
  <c r="B1328" i="9"/>
  <c r="C1328" i="9"/>
  <c r="H1324" i="9"/>
  <c r="I1324" i="9"/>
  <c r="G1324" i="9"/>
  <c r="E1324" i="9"/>
  <c r="F1324" i="9"/>
  <c r="D1324" i="9"/>
  <c r="B1324" i="9"/>
  <c r="C1324" i="9"/>
  <c r="H1320" i="9"/>
  <c r="I1320" i="9"/>
  <c r="F1320" i="9"/>
  <c r="E1320" i="9"/>
  <c r="D1320" i="9"/>
  <c r="G1320" i="9"/>
  <c r="B1320" i="9"/>
  <c r="C1320" i="9"/>
  <c r="H1316" i="9"/>
  <c r="I1316" i="9"/>
  <c r="E1316" i="9"/>
  <c r="G1316" i="9"/>
  <c r="F1316" i="9"/>
  <c r="D1316" i="9"/>
  <c r="B1316" i="9"/>
  <c r="C1316" i="9"/>
  <c r="H1312" i="9"/>
  <c r="I1312" i="9"/>
  <c r="F1312" i="9"/>
  <c r="G1312" i="9"/>
  <c r="E1312" i="9"/>
  <c r="D1312" i="9"/>
  <c r="B1312" i="9"/>
  <c r="C1312" i="9"/>
  <c r="H1308" i="9"/>
  <c r="I1308" i="9"/>
  <c r="G1308" i="9"/>
  <c r="E1308" i="9"/>
  <c r="F1308" i="9"/>
  <c r="D1308" i="9"/>
  <c r="B1308" i="9"/>
  <c r="C1308" i="9"/>
  <c r="H1304" i="9"/>
  <c r="I1304" i="9"/>
  <c r="F1304" i="9"/>
  <c r="G1304" i="9"/>
  <c r="E1304" i="9"/>
  <c r="D1304" i="9"/>
  <c r="B1304" i="9"/>
  <c r="C1304" i="9"/>
  <c r="H1300" i="9"/>
  <c r="I1300" i="9"/>
  <c r="E1300" i="9"/>
  <c r="G1300" i="9"/>
  <c r="F1300" i="9"/>
  <c r="D1300" i="9"/>
  <c r="B1300" i="9"/>
  <c r="C1300" i="9"/>
  <c r="H1296" i="9"/>
  <c r="I1296" i="9"/>
  <c r="G1296" i="9"/>
  <c r="F1296" i="9"/>
  <c r="E1296" i="9"/>
  <c r="D1296" i="9"/>
  <c r="B1296" i="9"/>
  <c r="C1296" i="9"/>
  <c r="H1292" i="9"/>
  <c r="I1292" i="9"/>
  <c r="G1292" i="9"/>
  <c r="F1292" i="9"/>
  <c r="E1292" i="9"/>
  <c r="D1292" i="9"/>
  <c r="B1292" i="9"/>
  <c r="C1292" i="9"/>
  <c r="H1288" i="9"/>
  <c r="I1288" i="9"/>
  <c r="E1288" i="9"/>
  <c r="D1288" i="9"/>
  <c r="G1288" i="9"/>
  <c r="F1288" i="9"/>
  <c r="B1288" i="9"/>
  <c r="C1288" i="9"/>
  <c r="H1284" i="9"/>
  <c r="I1284" i="9"/>
  <c r="E1284" i="9"/>
  <c r="G1284" i="9"/>
  <c r="F1284" i="9"/>
  <c r="D1284" i="9"/>
  <c r="B1284" i="9"/>
  <c r="C1284" i="9"/>
  <c r="H1280" i="9"/>
  <c r="I1280" i="9"/>
  <c r="G1280" i="9"/>
  <c r="F1280" i="9"/>
  <c r="E1280" i="9"/>
  <c r="D1280" i="9"/>
  <c r="B1280" i="9"/>
  <c r="C1280" i="9"/>
  <c r="H1276" i="9"/>
  <c r="I1276" i="9"/>
  <c r="G1276" i="9"/>
  <c r="F1276" i="9"/>
  <c r="E1276" i="9"/>
  <c r="D1276" i="9"/>
  <c r="B1276" i="9"/>
  <c r="C1276" i="9"/>
  <c r="H1272" i="9"/>
  <c r="I1272" i="9"/>
  <c r="G1272" i="9"/>
  <c r="E1272" i="9"/>
  <c r="D1272" i="9"/>
  <c r="F1272" i="9"/>
  <c r="B1272" i="9"/>
  <c r="C1272" i="9"/>
  <c r="H1268" i="9"/>
  <c r="I1268" i="9"/>
  <c r="E1268" i="9"/>
  <c r="G1268" i="9"/>
  <c r="F1268" i="9"/>
  <c r="D1268" i="9"/>
  <c r="B1268" i="9"/>
  <c r="C1268" i="9"/>
  <c r="H1264" i="9"/>
  <c r="I1264" i="9"/>
  <c r="G1264" i="9"/>
  <c r="F1264" i="9"/>
  <c r="E1264" i="9"/>
  <c r="D1264" i="9"/>
  <c r="B1264" i="9"/>
  <c r="C1264" i="9"/>
  <c r="H1260" i="9"/>
  <c r="I1260" i="9"/>
  <c r="G1260" i="9"/>
  <c r="F1260" i="9"/>
  <c r="E1260" i="9"/>
  <c r="D1260" i="9"/>
  <c r="B1260" i="9"/>
  <c r="C1260" i="9"/>
  <c r="H1256" i="9"/>
  <c r="I1256" i="9"/>
  <c r="E1256" i="9"/>
  <c r="D1256" i="9"/>
  <c r="G1256" i="9"/>
  <c r="F1256" i="9"/>
  <c r="B1256" i="9"/>
  <c r="C1256" i="9"/>
  <c r="H1252" i="9"/>
  <c r="I1252" i="9"/>
  <c r="E1252" i="9"/>
  <c r="G1252" i="9"/>
  <c r="F1252" i="9"/>
  <c r="D1252" i="9"/>
  <c r="B1252" i="9"/>
  <c r="C1252" i="9"/>
  <c r="H1248" i="9"/>
  <c r="I1248" i="9"/>
  <c r="G1248" i="9"/>
  <c r="F1248" i="9"/>
  <c r="E1248" i="9"/>
  <c r="D1248" i="9"/>
  <c r="B1248" i="9"/>
  <c r="C1248" i="9"/>
  <c r="H1244" i="9"/>
  <c r="I1244" i="9"/>
  <c r="G1244" i="9"/>
  <c r="F1244" i="9"/>
  <c r="E1244" i="9"/>
  <c r="D1244" i="9"/>
  <c r="B1244" i="9"/>
  <c r="C1244" i="9"/>
  <c r="H1240" i="9"/>
  <c r="I1240" i="9"/>
  <c r="G1240" i="9"/>
  <c r="E1240" i="9"/>
  <c r="D1240" i="9"/>
  <c r="F1240" i="9"/>
  <c r="B1240" i="9"/>
  <c r="C1240" i="9"/>
  <c r="H1236" i="9"/>
  <c r="I1236" i="9"/>
  <c r="E1236" i="9"/>
  <c r="G1236" i="9"/>
  <c r="F1236" i="9"/>
  <c r="D1236" i="9"/>
  <c r="B1236" i="9"/>
  <c r="C1236" i="9"/>
  <c r="H1232" i="9"/>
  <c r="I1232" i="9"/>
  <c r="G1232" i="9"/>
  <c r="F1232" i="9"/>
  <c r="E1232" i="9"/>
  <c r="D1232" i="9"/>
  <c r="B1232" i="9"/>
  <c r="C1232" i="9"/>
  <c r="H1228" i="9"/>
  <c r="I1228" i="9"/>
  <c r="G1228" i="9"/>
  <c r="F1228" i="9"/>
  <c r="E1228" i="9"/>
  <c r="D1228" i="9"/>
  <c r="B1228" i="9"/>
  <c r="C1228" i="9"/>
  <c r="H1224" i="9"/>
  <c r="I1224" i="9"/>
  <c r="E1224" i="9"/>
  <c r="D1224" i="9"/>
  <c r="G1224" i="9"/>
  <c r="F1224" i="9"/>
  <c r="B1224" i="9"/>
  <c r="C1224" i="9"/>
  <c r="H1220" i="9"/>
  <c r="I1220" i="9"/>
  <c r="E1220" i="9"/>
  <c r="G1220" i="9"/>
  <c r="F1220" i="9"/>
  <c r="D1220" i="9"/>
  <c r="B1220" i="9"/>
  <c r="C1220" i="9"/>
  <c r="H1216" i="9"/>
  <c r="I1216" i="9"/>
  <c r="G1216" i="9"/>
  <c r="F1216" i="9"/>
  <c r="E1216" i="9"/>
  <c r="D1216" i="9"/>
  <c r="B1216" i="9"/>
  <c r="C1216" i="9"/>
  <c r="H1212" i="9"/>
  <c r="I1212" i="9"/>
  <c r="G1212" i="9"/>
  <c r="F1212" i="9"/>
  <c r="E1212" i="9"/>
  <c r="D1212" i="9"/>
  <c r="B1212" i="9"/>
  <c r="C1212" i="9"/>
  <c r="H1208" i="9"/>
  <c r="I1208" i="9"/>
  <c r="G1208" i="9"/>
  <c r="E1208" i="9"/>
  <c r="D1208" i="9"/>
  <c r="F1208" i="9"/>
  <c r="B1208" i="9"/>
  <c r="C1208" i="9"/>
  <c r="H1204" i="9"/>
  <c r="I1204" i="9"/>
  <c r="E1204" i="9"/>
  <c r="G1204" i="9"/>
  <c r="F1204" i="9"/>
  <c r="D1204" i="9"/>
  <c r="B1204" i="9"/>
  <c r="C1204" i="9"/>
  <c r="H1200" i="9"/>
  <c r="I1200" i="9"/>
  <c r="G1200" i="9"/>
  <c r="F1200" i="9"/>
  <c r="E1200" i="9"/>
  <c r="D1200" i="9"/>
  <c r="B1200" i="9"/>
  <c r="C1200" i="9"/>
  <c r="H1196" i="9"/>
  <c r="I1196" i="9"/>
  <c r="G1196" i="9"/>
  <c r="F1196" i="9"/>
  <c r="E1196" i="9"/>
  <c r="D1196" i="9"/>
  <c r="B1196" i="9"/>
  <c r="C1196" i="9"/>
  <c r="H1192" i="9"/>
  <c r="I1192" i="9"/>
  <c r="F1192" i="9"/>
  <c r="E1192" i="9"/>
  <c r="D1192" i="9"/>
  <c r="G1192" i="9"/>
  <c r="B1192" i="9"/>
  <c r="C1192" i="9"/>
  <c r="H1188" i="9"/>
  <c r="I1188" i="9"/>
  <c r="E1188" i="9"/>
  <c r="G1188" i="9"/>
  <c r="F1188" i="9"/>
  <c r="D1188" i="9"/>
  <c r="B1188" i="9"/>
  <c r="C1188" i="9"/>
  <c r="H1184" i="9"/>
  <c r="I1184" i="9"/>
  <c r="G1184" i="9"/>
  <c r="F1184" i="9"/>
  <c r="E1184" i="9"/>
  <c r="D1184" i="9"/>
  <c r="B1184" i="9"/>
  <c r="C1184" i="9"/>
  <c r="H1180" i="9"/>
  <c r="I1180" i="9"/>
  <c r="G1180" i="9"/>
  <c r="F1180" i="9"/>
  <c r="E1180" i="9"/>
  <c r="D1180" i="9"/>
  <c r="B1180" i="9"/>
  <c r="C1180" i="9"/>
  <c r="H1176" i="9"/>
  <c r="I1176" i="9"/>
  <c r="G1176" i="9"/>
  <c r="E1176" i="9"/>
  <c r="D1176" i="9"/>
  <c r="F1176" i="9"/>
  <c r="B1176" i="9"/>
  <c r="C1176" i="9"/>
  <c r="H1172" i="9"/>
  <c r="I1172" i="9"/>
  <c r="E1172" i="9"/>
  <c r="G1172" i="9"/>
  <c r="F1172" i="9"/>
  <c r="D1172" i="9"/>
  <c r="B1172" i="9"/>
  <c r="C1172" i="9"/>
  <c r="H1168" i="9"/>
  <c r="I1168" i="9"/>
  <c r="G1168" i="9"/>
  <c r="F1168" i="9"/>
  <c r="E1168" i="9"/>
  <c r="D1168" i="9"/>
  <c r="B1168" i="9"/>
  <c r="C1168" i="9"/>
  <c r="H1164" i="9"/>
  <c r="I1164" i="9"/>
  <c r="G1164" i="9"/>
  <c r="F1164" i="9"/>
  <c r="E1164" i="9"/>
  <c r="D1164" i="9"/>
  <c r="B1164" i="9"/>
  <c r="C1164" i="9"/>
  <c r="H1160" i="9"/>
  <c r="I1160" i="9"/>
  <c r="F1160" i="9"/>
  <c r="E1160" i="9"/>
  <c r="D1160" i="9"/>
  <c r="G1160" i="9"/>
  <c r="B1160" i="9"/>
  <c r="C1160" i="9"/>
  <c r="H1156" i="9"/>
  <c r="I1156" i="9"/>
  <c r="E1156" i="9"/>
  <c r="G1156" i="9"/>
  <c r="F1156" i="9"/>
  <c r="D1156" i="9"/>
  <c r="B1156" i="9"/>
  <c r="C1156" i="9"/>
  <c r="H1152" i="9"/>
  <c r="I1152" i="9"/>
  <c r="G1152" i="9"/>
  <c r="F1152" i="9"/>
  <c r="E1152" i="9"/>
  <c r="D1152" i="9"/>
  <c r="B1152" i="9"/>
  <c r="C1152" i="9"/>
  <c r="H1148" i="9"/>
  <c r="I1148" i="9"/>
  <c r="G1148" i="9"/>
  <c r="F1148" i="9"/>
  <c r="E1148" i="9"/>
  <c r="D1148" i="9"/>
  <c r="B1148" i="9"/>
  <c r="C1148" i="9"/>
  <c r="H1144" i="9"/>
  <c r="I1144" i="9"/>
  <c r="G1144" i="9"/>
  <c r="E1144" i="9"/>
  <c r="D1144" i="9"/>
  <c r="F1144" i="9"/>
  <c r="B1144" i="9"/>
  <c r="C1144" i="9"/>
  <c r="H1140" i="9"/>
  <c r="I1140" i="9"/>
  <c r="E1140" i="9"/>
  <c r="G1140" i="9"/>
  <c r="F1140" i="9"/>
  <c r="D1140" i="9"/>
  <c r="B1140" i="9"/>
  <c r="C1140" i="9"/>
  <c r="H1136" i="9"/>
  <c r="I1136" i="9"/>
  <c r="G1136" i="9"/>
  <c r="F1136" i="9"/>
  <c r="E1136" i="9"/>
  <c r="D1136" i="9"/>
  <c r="B1136" i="9"/>
  <c r="C1136" i="9"/>
  <c r="H1132" i="9"/>
  <c r="I1132" i="9"/>
  <c r="G1132" i="9"/>
  <c r="F1132" i="9"/>
  <c r="E1132" i="9"/>
  <c r="D1132" i="9"/>
  <c r="B1132" i="9"/>
  <c r="C1132" i="9"/>
  <c r="H1128" i="9"/>
  <c r="I1128" i="9"/>
  <c r="F1128" i="9"/>
  <c r="E1128" i="9"/>
  <c r="D1128" i="9"/>
  <c r="G1128" i="9"/>
  <c r="B1128" i="9"/>
  <c r="C1128" i="9"/>
  <c r="H1124" i="9"/>
  <c r="I1124" i="9"/>
  <c r="E1124" i="9"/>
  <c r="G1124" i="9"/>
  <c r="F1124" i="9"/>
  <c r="D1124" i="9"/>
  <c r="B1124" i="9"/>
  <c r="C1124" i="9"/>
  <c r="H1120" i="9"/>
  <c r="I1120" i="9"/>
  <c r="G1120" i="9"/>
  <c r="F1120" i="9"/>
  <c r="E1120" i="9"/>
  <c r="D1120" i="9"/>
  <c r="B1120" i="9"/>
  <c r="C1120" i="9"/>
  <c r="H1116" i="9"/>
  <c r="I1116" i="9"/>
  <c r="G1116" i="9"/>
  <c r="F1116" i="9"/>
  <c r="E1116" i="9"/>
  <c r="D1116" i="9"/>
  <c r="B1116" i="9"/>
  <c r="C1116" i="9"/>
  <c r="H1112" i="9"/>
  <c r="I1112" i="9"/>
  <c r="G1112" i="9"/>
  <c r="E1112" i="9"/>
  <c r="D1112" i="9"/>
  <c r="F1112" i="9"/>
  <c r="B1112" i="9"/>
  <c r="C1112" i="9"/>
  <c r="H1108" i="9"/>
  <c r="I1108" i="9"/>
  <c r="E1108" i="9"/>
  <c r="G1108" i="9"/>
  <c r="F1108" i="9"/>
  <c r="D1108" i="9"/>
  <c r="B1108" i="9"/>
  <c r="C1108" i="9"/>
  <c r="H1104" i="9"/>
  <c r="I1104" i="9"/>
  <c r="G1104" i="9"/>
  <c r="F1104" i="9"/>
  <c r="E1104" i="9"/>
  <c r="D1104" i="9"/>
  <c r="B1104" i="9"/>
  <c r="C1104" i="9"/>
  <c r="H1100" i="9"/>
  <c r="I1100" i="9"/>
  <c r="G1100" i="9"/>
  <c r="F1100" i="9"/>
  <c r="E1100" i="9"/>
  <c r="D1100" i="9"/>
  <c r="B1100" i="9"/>
  <c r="C1100" i="9"/>
  <c r="H1096" i="9"/>
  <c r="I1096" i="9"/>
  <c r="F1096" i="9"/>
  <c r="E1096" i="9"/>
  <c r="D1096" i="9"/>
  <c r="G1096" i="9"/>
  <c r="B1096" i="9"/>
  <c r="C1096" i="9"/>
  <c r="H1092" i="9"/>
  <c r="I1092" i="9"/>
  <c r="E1092" i="9"/>
  <c r="G1092" i="9"/>
  <c r="F1092" i="9"/>
  <c r="D1092" i="9"/>
  <c r="B1092" i="9"/>
  <c r="C1092" i="9"/>
  <c r="H1088" i="9"/>
  <c r="I1088" i="9"/>
  <c r="G1088" i="9"/>
  <c r="F1088" i="9"/>
  <c r="E1088" i="9"/>
  <c r="D1088" i="9"/>
  <c r="B1088" i="9"/>
  <c r="C1088" i="9"/>
  <c r="H1084" i="9"/>
  <c r="I1084" i="9"/>
  <c r="G1084" i="9"/>
  <c r="F1084" i="9"/>
  <c r="E1084" i="9"/>
  <c r="D1084" i="9"/>
  <c r="B1084" i="9"/>
  <c r="C1084" i="9"/>
  <c r="H1080" i="9"/>
  <c r="I1080" i="9"/>
  <c r="G1080" i="9"/>
  <c r="E1080" i="9"/>
  <c r="D1080" i="9"/>
  <c r="F1080" i="9"/>
  <c r="B1080" i="9"/>
  <c r="C1080" i="9"/>
  <c r="H1076" i="9"/>
  <c r="I1076" i="9"/>
  <c r="E1076" i="9"/>
  <c r="G1076" i="9"/>
  <c r="F1076" i="9"/>
  <c r="D1076" i="9"/>
  <c r="B1076" i="9"/>
  <c r="C1076" i="9"/>
  <c r="H1072" i="9"/>
  <c r="I1072" i="9"/>
  <c r="G1072" i="9"/>
  <c r="F1072" i="9"/>
  <c r="E1072" i="9"/>
  <c r="D1072" i="9"/>
  <c r="B1072" i="9"/>
  <c r="C1072" i="9"/>
  <c r="H1068" i="9"/>
  <c r="I1068" i="9"/>
  <c r="G1068" i="9"/>
  <c r="F1068" i="9"/>
  <c r="E1068" i="9"/>
  <c r="D1068" i="9"/>
  <c r="B1068" i="9"/>
  <c r="C1068" i="9"/>
  <c r="H1064" i="9"/>
  <c r="I1064" i="9"/>
  <c r="G1064" i="9"/>
  <c r="F1064" i="9"/>
  <c r="E1064" i="9"/>
  <c r="D1064" i="9"/>
  <c r="B1064" i="9"/>
  <c r="C1064" i="9"/>
  <c r="H1060" i="9"/>
  <c r="I1060" i="9"/>
  <c r="E1060" i="9"/>
  <c r="G1060" i="9"/>
  <c r="F1060" i="9"/>
  <c r="D1060" i="9"/>
  <c r="B1060" i="9"/>
  <c r="C1060" i="9"/>
  <c r="H1056" i="9"/>
  <c r="I1056" i="9"/>
  <c r="G1056" i="9"/>
  <c r="F1056" i="9"/>
  <c r="E1056" i="9"/>
  <c r="D1056" i="9"/>
  <c r="B1056" i="9"/>
  <c r="C1056" i="9"/>
  <c r="H1052" i="9"/>
  <c r="I1052" i="9"/>
  <c r="G1052" i="9"/>
  <c r="F1052" i="9"/>
  <c r="E1052" i="9"/>
  <c r="D1052" i="9"/>
  <c r="B1052" i="9"/>
  <c r="C1052" i="9"/>
  <c r="H1048" i="9"/>
  <c r="I1048" i="9"/>
  <c r="G1048" i="9"/>
  <c r="E1048" i="9"/>
  <c r="D1048" i="9"/>
  <c r="F1048" i="9"/>
  <c r="B1048" i="9"/>
  <c r="C1048" i="9"/>
  <c r="H1044" i="9"/>
  <c r="I1044" i="9"/>
  <c r="E1044" i="9"/>
  <c r="G1044" i="9"/>
  <c r="F1044" i="9"/>
  <c r="D1044" i="9"/>
  <c r="B1044" i="9"/>
  <c r="C1044" i="9"/>
  <c r="H1040" i="9"/>
  <c r="I1040" i="9"/>
  <c r="G1040" i="9"/>
  <c r="F1040" i="9"/>
  <c r="E1040" i="9"/>
  <c r="D1040" i="9"/>
  <c r="B1040" i="9"/>
  <c r="C1040" i="9"/>
  <c r="H1036" i="9"/>
  <c r="I1036" i="9"/>
  <c r="G1036" i="9"/>
  <c r="F1036" i="9"/>
  <c r="E1036" i="9"/>
  <c r="D1036" i="9"/>
  <c r="B1036" i="9"/>
  <c r="C1036" i="9"/>
  <c r="H1032" i="9"/>
  <c r="I1032" i="9"/>
  <c r="G1032" i="9"/>
  <c r="F1032" i="9"/>
  <c r="E1032" i="9"/>
  <c r="D1032" i="9"/>
  <c r="B1032" i="9"/>
  <c r="C1032" i="9"/>
  <c r="H1028" i="9"/>
  <c r="I1028" i="9"/>
  <c r="E1028" i="9"/>
  <c r="G1028" i="9"/>
  <c r="F1028" i="9"/>
  <c r="D1028" i="9"/>
  <c r="B1028" i="9"/>
  <c r="C1028" i="9"/>
  <c r="H1024" i="9"/>
  <c r="I1024" i="9"/>
  <c r="G1024" i="9"/>
  <c r="F1024" i="9"/>
  <c r="E1024" i="9"/>
  <c r="D1024" i="9"/>
  <c r="B1024" i="9"/>
  <c r="C1024" i="9"/>
  <c r="H1020" i="9"/>
  <c r="I1020" i="9"/>
  <c r="G1020" i="9"/>
  <c r="F1020" i="9"/>
  <c r="E1020" i="9"/>
  <c r="D1020" i="9"/>
  <c r="B1020" i="9"/>
  <c r="C1020" i="9"/>
  <c r="H1016" i="9"/>
  <c r="I1016" i="9"/>
  <c r="G1016" i="9"/>
  <c r="E1016" i="9"/>
  <c r="D1016" i="9"/>
  <c r="F1016" i="9"/>
  <c r="B1016" i="9"/>
  <c r="C1016" i="9"/>
  <c r="H1012" i="9"/>
  <c r="I1012" i="9"/>
  <c r="E1012" i="9"/>
  <c r="G1012" i="9"/>
  <c r="F1012" i="9"/>
  <c r="D1012" i="9"/>
  <c r="B1012" i="9"/>
  <c r="C1012" i="9"/>
  <c r="H1008" i="9"/>
  <c r="I1008" i="9"/>
  <c r="G1008" i="9"/>
  <c r="F1008" i="9"/>
  <c r="E1008" i="9"/>
  <c r="D1008" i="9"/>
  <c r="B1008" i="9"/>
  <c r="C1008" i="9"/>
  <c r="H1004" i="9"/>
  <c r="I1004" i="9"/>
  <c r="G1004" i="9"/>
  <c r="F1004" i="9"/>
  <c r="E1004" i="9"/>
  <c r="D1004" i="9"/>
  <c r="B1004" i="9"/>
  <c r="C1004" i="9"/>
  <c r="H1000" i="9"/>
  <c r="I1000" i="9"/>
  <c r="F1000" i="9"/>
  <c r="E1000" i="9"/>
  <c r="D1000" i="9"/>
  <c r="G1000" i="9"/>
  <c r="B1000" i="9"/>
  <c r="C1000" i="9"/>
  <c r="H996" i="9"/>
  <c r="I996" i="9"/>
  <c r="E996" i="9"/>
  <c r="G996" i="9"/>
  <c r="F996" i="9"/>
  <c r="D996" i="9"/>
  <c r="B996" i="9"/>
  <c r="C996" i="9"/>
  <c r="H992" i="9"/>
  <c r="I992" i="9"/>
  <c r="G992" i="9"/>
  <c r="F992" i="9"/>
  <c r="E992" i="9"/>
  <c r="D992" i="9"/>
  <c r="B992" i="9"/>
  <c r="C992" i="9"/>
  <c r="H988" i="9"/>
  <c r="I988" i="9"/>
  <c r="G988" i="9"/>
  <c r="F988" i="9"/>
  <c r="E988" i="9"/>
  <c r="D988" i="9"/>
  <c r="B988" i="9"/>
  <c r="C988" i="9"/>
  <c r="H984" i="9"/>
  <c r="I984" i="9"/>
  <c r="G984" i="9"/>
  <c r="E984" i="9"/>
  <c r="D984" i="9"/>
  <c r="F984" i="9"/>
  <c r="B984" i="9"/>
  <c r="C984" i="9"/>
  <c r="H980" i="9"/>
  <c r="I980" i="9"/>
  <c r="E980" i="9"/>
  <c r="G980" i="9"/>
  <c r="F980" i="9"/>
  <c r="D980" i="9"/>
  <c r="B980" i="9"/>
  <c r="C980" i="9"/>
  <c r="H976" i="9"/>
  <c r="I976" i="9"/>
  <c r="G976" i="9"/>
  <c r="F976" i="9"/>
  <c r="E976" i="9"/>
  <c r="D976" i="9"/>
  <c r="B976" i="9"/>
  <c r="C976" i="9"/>
  <c r="H972" i="9"/>
  <c r="I972" i="9"/>
  <c r="G972" i="9"/>
  <c r="F972" i="9"/>
  <c r="E972" i="9"/>
  <c r="D972" i="9"/>
  <c r="B972" i="9"/>
  <c r="C972" i="9"/>
  <c r="H968" i="9"/>
  <c r="I968" i="9"/>
  <c r="G968" i="9"/>
  <c r="F968" i="9"/>
  <c r="E968" i="9"/>
  <c r="D968" i="9"/>
  <c r="B968" i="9"/>
  <c r="C968" i="9"/>
  <c r="H964" i="9"/>
  <c r="I964" i="9"/>
  <c r="E964" i="9"/>
  <c r="G964" i="9"/>
  <c r="F964" i="9"/>
  <c r="D964" i="9"/>
  <c r="B964" i="9"/>
  <c r="C964" i="9"/>
  <c r="H960" i="9"/>
  <c r="I960" i="9"/>
  <c r="G960" i="9"/>
  <c r="F960" i="9"/>
  <c r="E960" i="9"/>
  <c r="D960" i="9"/>
  <c r="B960" i="9"/>
  <c r="C960" i="9"/>
  <c r="H956" i="9"/>
  <c r="I956" i="9"/>
  <c r="G956" i="9"/>
  <c r="F956" i="9"/>
  <c r="E956" i="9"/>
  <c r="D956" i="9"/>
  <c r="B956" i="9"/>
  <c r="C956" i="9"/>
  <c r="H952" i="9"/>
  <c r="I952" i="9"/>
  <c r="G952" i="9"/>
  <c r="E952" i="9"/>
  <c r="D952" i="9"/>
  <c r="F952" i="9"/>
  <c r="B952" i="9"/>
  <c r="C952" i="9"/>
  <c r="H948" i="9"/>
  <c r="I948" i="9"/>
  <c r="E948" i="9"/>
  <c r="G948" i="9"/>
  <c r="F948" i="9"/>
  <c r="D948" i="9"/>
  <c r="B948" i="9"/>
  <c r="C948" i="9"/>
  <c r="H944" i="9"/>
  <c r="I944" i="9"/>
  <c r="G944" i="9"/>
  <c r="F944" i="9"/>
  <c r="E944" i="9"/>
  <c r="D944" i="9"/>
  <c r="B944" i="9"/>
  <c r="C944" i="9"/>
  <c r="H940" i="9"/>
  <c r="I940" i="9"/>
  <c r="G940" i="9"/>
  <c r="F940" i="9"/>
  <c r="E940" i="9"/>
  <c r="D940" i="9"/>
  <c r="B940" i="9"/>
  <c r="C940" i="9"/>
  <c r="H936" i="9"/>
  <c r="I936" i="9"/>
  <c r="G936" i="9"/>
  <c r="F936" i="9"/>
  <c r="E936" i="9"/>
  <c r="D936" i="9"/>
  <c r="B936" i="9"/>
  <c r="C936" i="9"/>
  <c r="H932" i="9"/>
  <c r="I932" i="9"/>
  <c r="E932" i="9"/>
  <c r="G932" i="9"/>
  <c r="F932" i="9"/>
  <c r="D932" i="9"/>
  <c r="B932" i="9"/>
  <c r="C932" i="9"/>
  <c r="H928" i="9"/>
  <c r="I928" i="9"/>
  <c r="G928" i="9"/>
  <c r="F928" i="9"/>
  <c r="E928" i="9"/>
  <c r="D928" i="9"/>
  <c r="B928" i="9"/>
  <c r="C928" i="9"/>
  <c r="H924" i="9"/>
  <c r="I924" i="9"/>
  <c r="G924" i="9"/>
  <c r="F924" i="9"/>
  <c r="E924" i="9"/>
  <c r="D924" i="9"/>
  <c r="B924" i="9"/>
  <c r="C924" i="9"/>
  <c r="H920" i="9"/>
  <c r="I920" i="9"/>
  <c r="G920" i="9"/>
  <c r="E920" i="9"/>
  <c r="D920" i="9"/>
  <c r="F920" i="9"/>
  <c r="B920" i="9"/>
  <c r="C920" i="9"/>
  <c r="H916" i="9"/>
  <c r="I916" i="9"/>
  <c r="E916" i="9"/>
  <c r="G916" i="9"/>
  <c r="F916" i="9"/>
  <c r="D916" i="9"/>
  <c r="B916" i="9"/>
  <c r="C916" i="9"/>
  <c r="H912" i="9"/>
  <c r="I912" i="9"/>
  <c r="G912" i="9"/>
  <c r="F912" i="9"/>
  <c r="E912" i="9"/>
  <c r="D912" i="9"/>
  <c r="B912" i="9"/>
  <c r="C912" i="9"/>
  <c r="H908" i="9"/>
  <c r="I908" i="9"/>
  <c r="G908" i="9"/>
  <c r="F908" i="9"/>
  <c r="E908" i="9"/>
  <c r="D908" i="9"/>
  <c r="B908" i="9"/>
  <c r="C908" i="9"/>
  <c r="H904" i="9"/>
  <c r="I904" i="9"/>
  <c r="G904" i="9"/>
  <c r="F904" i="9"/>
  <c r="E904" i="9"/>
  <c r="D904" i="9"/>
  <c r="B904" i="9"/>
  <c r="C904" i="9"/>
  <c r="H900" i="9"/>
  <c r="I900" i="9"/>
  <c r="E900" i="9"/>
  <c r="G900" i="9"/>
  <c r="F900" i="9"/>
  <c r="D900" i="9"/>
  <c r="B900" i="9"/>
  <c r="C900" i="9"/>
  <c r="H896" i="9"/>
  <c r="I896" i="9"/>
  <c r="G896" i="9"/>
  <c r="F896" i="9"/>
  <c r="E896" i="9"/>
  <c r="D896" i="9"/>
  <c r="B896" i="9"/>
  <c r="C896" i="9"/>
  <c r="H892" i="9"/>
  <c r="I892" i="9"/>
  <c r="G892" i="9"/>
  <c r="F892" i="9"/>
  <c r="E892" i="9"/>
  <c r="D892" i="9"/>
  <c r="B892" i="9"/>
  <c r="C892" i="9"/>
  <c r="H888" i="9"/>
  <c r="I888" i="9"/>
  <c r="G888" i="9"/>
  <c r="E888" i="9"/>
  <c r="D888" i="9"/>
  <c r="F888" i="9"/>
  <c r="B888" i="9"/>
  <c r="C888" i="9"/>
  <c r="H884" i="9"/>
  <c r="I884" i="9"/>
  <c r="E884" i="9"/>
  <c r="G884" i="9"/>
  <c r="F884" i="9"/>
  <c r="D884" i="9"/>
  <c r="B884" i="9"/>
  <c r="C884" i="9"/>
  <c r="H880" i="9"/>
  <c r="I880" i="9"/>
  <c r="G880" i="9"/>
  <c r="F880" i="9"/>
  <c r="E880" i="9"/>
  <c r="D880" i="9"/>
  <c r="B880" i="9"/>
  <c r="C880" i="9"/>
  <c r="H876" i="9"/>
  <c r="I876" i="9"/>
  <c r="G876" i="9"/>
  <c r="F876" i="9"/>
  <c r="E876" i="9"/>
  <c r="D876" i="9"/>
  <c r="B876" i="9"/>
  <c r="C876" i="9"/>
  <c r="H872" i="9"/>
  <c r="I872" i="9"/>
  <c r="G872" i="9"/>
  <c r="F872" i="9"/>
  <c r="E872" i="9"/>
  <c r="D872" i="9"/>
  <c r="B872" i="9"/>
  <c r="C872" i="9"/>
  <c r="H868" i="9"/>
  <c r="I868" i="9"/>
  <c r="E868" i="9"/>
  <c r="G868" i="9"/>
  <c r="F868" i="9"/>
  <c r="D868" i="9"/>
  <c r="B868" i="9"/>
  <c r="C868" i="9"/>
  <c r="H864" i="9"/>
  <c r="I864" i="9"/>
  <c r="G864" i="9"/>
  <c r="F864" i="9"/>
  <c r="E864" i="9"/>
  <c r="D864" i="9"/>
  <c r="B864" i="9"/>
  <c r="C864" i="9"/>
  <c r="H860" i="9"/>
  <c r="I860" i="9"/>
  <c r="G860" i="9"/>
  <c r="F860" i="9"/>
  <c r="E860" i="9"/>
  <c r="D860" i="9"/>
  <c r="B860" i="9"/>
  <c r="C860" i="9"/>
  <c r="H856" i="9"/>
  <c r="I856" i="9"/>
  <c r="G856" i="9"/>
  <c r="E856" i="9"/>
  <c r="D856" i="9"/>
  <c r="F856" i="9"/>
  <c r="B856" i="9"/>
  <c r="C856" i="9"/>
  <c r="H852" i="9"/>
  <c r="I852" i="9"/>
  <c r="E852" i="9"/>
  <c r="G852" i="9"/>
  <c r="F852" i="9"/>
  <c r="D852" i="9"/>
  <c r="B852" i="9"/>
  <c r="C852" i="9"/>
  <c r="H848" i="9"/>
  <c r="I848" i="9"/>
  <c r="G848" i="9"/>
  <c r="F848" i="9"/>
  <c r="E848" i="9"/>
  <c r="D848" i="9"/>
  <c r="B848" i="9"/>
  <c r="C848" i="9"/>
  <c r="H844" i="9"/>
  <c r="I844" i="9"/>
  <c r="G844" i="9"/>
  <c r="F844" i="9"/>
  <c r="E844" i="9"/>
  <c r="D844" i="9"/>
  <c r="B844" i="9"/>
  <c r="C844" i="9"/>
  <c r="H840" i="9"/>
  <c r="I840" i="9"/>
  <c r="G840" i="9"/>
  <c r="F840" i="9"/>
  <c r="E840" i="9"/>
  <c r="D840" i="9"/>
  <c r="B840" i="9"/>
  <c r="C840" i="9"/>
  <c r="H836" i="9"/>
  <c r="I836" i="9"/>
  <c r="E836" i="9"/>
  <c r="G836" i="9"/>
  <c r="F836" i="9"/>
  <c r="D836" i="9"/>
  <c r="B836" i="9"/>
  <c r="C836" i="9"/>
  <c r="H832" i="9"/>
  <c r="I832" i="9"/>
  <c r="G832" i="9"/>
  <c r="F832" i="9"/>
  <c r="E832" i="9"/>
  <c r="D832" i="9"/>
  <c r="B832" i="9"/>
  <c r="C832" i="9"/>
  <c r="H828" i="9"/>
  <c r="I828" i="9"/>
  <c r="G828" i="9"/>
  <c r="F828" i="9"/>
  <c r="E828" i="9"/>
  <c r="D828" i="9"/>
  <c r="B828" i="9"/>
  <c r="C828" i="9"/>
  <c r="H824" i="9"/>
  <c r="I824" i="9"/>
  <c r="G824" i="9"/>
  <c r="E824" i="9"/>
  <c r="D824" i="9"/>
  <c r="F824" i="9"/>
  <c r="B824" i="9"/>
  <c r="C824" i="9"/>
  <c r="H820" i="9"/>
  <c r="I820" i="9"/>
  <c r="E820" i="9"/>
  <c r="G820" i="9"/>
  <c r="F820" i="9"/>
  <c r="D820" i="9"/>
  <c r="B820" i="9"/>
  <c r="C820" i="9"/>
  <c r="H816" i="9"/>
  <c r="I816" i="9"/>
  <c r="G816" i="9"/>
  <c r="F816" i="9"/>
  <c r="E816" i="9"/>
  <c r="D816" i="9"/>
  <c r="B816" i="9"/>
  <c r="C816" i="9"/>
  <c r="H812" i="9"/>
  <c r="I812" i="9"/>
  <c r="G812" i="9"/>
  <c r="F812" i="9"/>
  <c r="E812" i="9"/>
  <c r="D812" i="9"/>
  <c r="B812" i="9"/>
  <c r="C812" i="9"/>
  <c r="H808" i="9"/>
  <c r="I808" i="9"/>
  <c r="G808" i="9"/>
  <c r="F808" i="9"/>
  <c r="E808" i="9"/>
  <c r="D808" i="9"/>
  <c r="B808" i="9"/>
  <c r="C808" i="9"/>
  <c r="H804" i="9"/>
  <c r="I804" i="9"/>
  <c r="E804" i="9"/>
  <c r="G804" i="9"/>
  <c r="F804" i="9"/>
  <c r="D804" i="9"/>
  <c r="B804" i="9"/>
  <c r="C804" i="9"/>
  <c r="H800" i="9"/>
  <c r="I800" i="9"/>
  <c r="G800" i="9"/>
  <c r="F800" i="9"/>
  <c r="E800" i="9"/>
  <c r="D800" i="9"/>
  <c r="B800" i="9"/>
  <c r="C800" i="9"/>
  <c r="H796" i="9"/>
  <c r="I796" i="9"/>
  <c r="G796" i="9"/>
  <c r="F796" i="9"/>
  <c r="E796" i="9"/>
  <c r="D796" i="9"/>
  <c r="B796" i="9"/>
  <c r="C796" i="9"/>
  <c r="H792" i="9"/>
  <c r="I792" i="9"/>
  <c r="G792" i="9"/>
  <c r="E792" i="9"/>
  <c r="D792" i="9"/>
  <c r="F792" i="9"/>
  <c r="B792" i="9"/>
  <c r="C792" i="9"/>
  <c r="H788" i="9"/>
  <c r="I788" i="9"/>
  <c r="E788" i="9"/>
  <c r="G788" i="9"/>
  <c r="F788" i="9"/>
  <c r="D788" i="9"/>
  <c r="B788" i="9"/>
  <c r="C788" i="9"/>
  <c r="H784" i="9"/>
  <c r="I784" i="9"/>
  <c r="G784" i="9"/>
  <c r="F784" i="9"/>
  <c r="E784" i="9"/>
  <c r="D784" i="9"/>
  <c r="B784" i="9"/>
  <c r="C784" i="9"/>
  <c r="H780" i="9"/>
  <c r="I780" i="9"/>
  <c r="G780" i="9"/>
  <c r="F780" i="9"/>
  <c r="E780" i="9"/>
  <c r="D780" i="9"/>
  <c r="B780" i="9"/>
  <c r="C780" i="9"/>
  <c r="H776" i="9"/>
  <c r="I776" i="9"/>
  <c r="G776" i="9"/>
  <c r="F776" i="9"/>
  <c r="E776" i="9"/>
  <c r="D776" i="9"/>
  <c r="B776" i="9"/>
  <c r="C776" i="9"/>
  <c r="H772" i="9"/>
  <c r="I772" i="9"/>
  <c r="E772" i="9"/>
  <c r="G772" i="9"/>
  <c r="F772" i="9"/>
  <c r="D772" i="9"/>
  <c r="B772" i="9"/>
  <c r="C772" i="9"/>
  <c r="H768" i="9"/>
  <c r="I768" i="9"/>
  <c r="E768" i="9"/>
  <c r="G768" i="9"/>
  <c r="F768" i="9"/>
  <c r="D768" i="9"/>
  <c r="B768" i="9"/>
  <c r="C768" i="9"/>
  <c r="H764" i="9"/>
  <c r="I764" i="9"/>
  <c r="G764" i="9"/>
  <c r="F764" i="9"/>
  <c r="E764" i="9"/>
  <c r="D764" i="9"/>
  <c r="B764" i="9"/>
  <c r="C764" i="9"/>
  <c r="H760" i="9"/>
  <c r="I760" i="9"/>
  <c r="E760" i="9"/>
  <c r="G760" i="9"/>
  <c r="D760" i="9"/>
  <c r="F760" i="9"/>
  <c r="B760" i="9"/>
  <c r="C760" i="9"/>
  <c r="H756" i="9"/>
  <c r="I756" i="9"/>
  <c r="E756" i="9"/>
  <c r="G756" i="9"/>
  <c r="F756" i="9"/>
  <c r="D756" i="9"/>
  <c r="B756" i="9"/>
  <c r="C756" i="9"/>
  <c r="H752" i="9"/>
  <c r="I752" i="9"/>
  <c r="E752" i="9"/>
  <c r="G752" i="9"/>
  <c r="F752" i="9"/>
  <c r="D752" i="9"/>
  <c r="B752" i="9"/>
  <c r="C752" i="9"/>
  <c r="H748" i="9"/>
  <c r="I748" i="9"/>
  <c r="G748" i="9"/>
  <c r="F748" i="9"/>
  <c r="E748" i="9"/>
  <c r="D748" i="9"/>
  <c r="B748" i="9"/>
  <c r="C748" i="9"/>
  <c r="H744" i="9"/>
  <c r="I744" i="9"/>
  <c r="E744" i="9"/>
  <c r="G744" i="9"/>
  <c r="F744" i="9"/>
  <c r="D744" i="9"/>
  <c r="B744" i="9"/>
  <c r="C744" i="9"/>
  <c r="H740" i="9"/>
  <c r="I740" i="9"/>
  <c r="E740" i="9"/>
  <c r="G740" i="9"/>
  <c r="F740" i="9"/>
  <c r="D740" i="9"/>
  <c r="B740" i="9"/>
  <c r="C740" i="9"/>
  <c r="H736" i="9"/>
  <c r="I736" i="9"/>
  <c r="E736" i="9"/>
  <c r="G736" i="9"/>
  <c r="F736" i="9"/>
  <c r="D736" i="9"/>
  <c r="B736" i="9"/>
  <c r="C736" i="9"/>
  <c r="H732" i="9"/>
  <c r="I732" i="9"/>
  <c r="G732" i="9"/>
  <c r="F732" i="9"/>
  <c r="E732" i="9"/>
  <c r="D732" i="9"/>
  <c r="B732" i="9"/>
  <c r="C732" i="9"/>
  <c r="H728" i="9"/>
  <c r="I728" i="9"/>
  <c r="E728" i="9"/>
  <c r="G728" i="9"/>
  <c r="D728" i="9"/>
  <c r="F728" i="9"/>
  <c r="B728" i="9"/>
  <c r="C728" i="9"/>
  <c r="H724" i="9"/>
  <c r="I724" i="9"/>
  <c r="E724" i="9"/>
  <c r="G724" i="9"/>
  <c r="F724" i="9"/>
  <c r="D724" i="9"/>
  <c r="B724" i="9"/>
  <c r="C724" i="9"/>
  <c r="H720" i="9"/>
  <c r="I720" i="9"/>
  <c r="E720" i="9"/>
  <c r="G720" i="9"/>
  <c r="F720" i="9"/>
  <c r="D720" i="9"/>
  <c r="B720" i="9"/>
  <c r="C720" i="9"/>
  <c r="H716" i="9"/>
  <c r="I716" i="9"/>
  <c r="G716" i="9"/>
  <c r="F716" i="9"/>
  <c r="E716" i="9"/>
  <c r="D716" i="9"/>
  <c r="B716" i="9"/>
  <c r="C716" i="9"/>
  <c r="H712" i="9"/>
  <c r="I712" i="9"/>
  <c r="E712" i="9"/>
  <c r="G712" i="9"/>
  <c r="F712" i="9"/>
  <c r="D712" i="9"/>
  <c r="B712" i="9"/>
  <c r="C712" i="9"/>
  <c r="H708" i="9"/>
  <c r="I708" i="9"/>
  <c r="E708" i="9"/>
  <c r="G708" i="9"/>
  <c r="F708" i="9"/>
  <c r="D708" i="9"/>
  <c r="B708" i="9"/>
  <c r="C708" i="9"/>
  <c r="H704" i="9"/>
  <c r="I704" i="9"/>
  <c r="E704" i="9"/>
  <c r="G704" i="9"/>
  <c r="F704" i="9"/>
  <c r="D704" i="9"/>
  <c r="B704" i="9"/>
  <c r="C704" i="9"/>
  <c r="H700" i="9"/>
  <c r="I700" i="9"/>
  <c r="G700" i="9"/>
  <c r="F700" i="9"/>
  <c r="E700" i="9"/>
  <c r="D700" i="9"/>
  <c r="B700" i="9"/>
  <c r="C700" i="9"/>
  <c r="H696" i="9"/>
  <c r="I696" i="9"/>
  <c r="E696" i="9"/>
  <c r="G696" i="9"/>
  <c r="D696" i="9"/>
  <c r="F696" i="9"/>
  <c r="B696" i="9"/>
  <c r="C696" i="9"/>
  <c r="H692" i="9"/>
  <c r="I692" i="9"/>
  <c r="E692" i="9"/>
  <c r="G692" i="9"/>
  <c r="F692" i="9"/>
  <c r="D692" i="9"/>
  <c r="B692" i="9"/>
  <c r="C692" i="9"/>
  <c r="H688" i="9"/>
  <c r="I688" i="9"/>
  <c r="E688" i="9"/>
  <c r="G688" i="9"/>
  <c r="F688" i="9"/>
  <c r="D688" i="9"/>
  <c r="B688" i="9"/>
  <c r="C688" i="9"/>
  <c r="H684" i="9"/>
  <c r="I684" i="9"/>
  <c r="G684" i="9"/>
  <c r="F684" i="9"/>
  <c r="E684" i="9"/>
  <c r="D684" i="9"/>
  <c r="B684" i="9"/>
  <c r="C684" i="9"/>
  <c r="H680" i="9"/>
  <c r="I680" i="9"/>
  <c r="E680" i="9"/>
  <c r="G680" i="9"/>
  <c r="F680" i="9"/>
  <c r="D680" i="9"/>
  <c r="B680" i="9"/>
  <c r="C680" i="9"/>
  <c r="H676" i="9"/>
  <c r="I676" i="9"/>
  <c r="E676" i="9"/>
  <c r="G676" i="9"/>
  <c r="F676" i="9"/>
  <c r="D676" i="9"/>
  <c r="B676" i="9"/>
  <c r="C676" i="9"/>
  <c r="H672" i="9"/>
  <c r="I672" i="9"/>
  <c r="E672" i="9"/>
  <c r="G672" i="9"/>
  <c r="F672" i="9"/>
  <c r="D672" i="9"/>
  <c r="B672" i="9"/>
  <c r="C672" i="9"/>
  <c r="H668" i="9"/>
  <c r="I668" i="9"/>
  <c r="G668" i="9"/>
  <c r="F668" i="9"/>
  <c r="E668" i="9"/>
  <c r="D668" i="9"/>
  <c r="B668" i="9"/>
  <c r="C668" i="9"/>
  <c r="H664" i="9"/>
  <c r="I664" i="9"/>
  <c r="E664" i="9"/>
  <c r="G664" i="9"/>
  <c r="D664" i="9"/>
  <c r="F664" i="9"/>
  <c r="B664" i="9"/>
  <c r="C664" i="9"/>
  <c r="H660" i="9"/>
  <c r="I660" i="9"/>
  <c r="E660" i="9"/>
  <c r="G660" i="9"/>
  <c r="F660" i="9"/>
  <c r="D660" i="9"/>
  <c r="B660" i="9"/>
  <c r="C660" i="9"/>
  <c r="H656" i="9"/>
  <c r="I656" i="9"/>
  <c r="E656" i="9"/>
  <c r="G656" i="9"/>
  <c r="F656" i="9"/>
  <c r="D656" i="9"/>
  <c r="B656" i="9"/>
  <c r="C656" i="9"/>
  <c r="H652" i="9"/>
  <c r="I652" i="9"/>
  <c r="G652" i="9"/>
  <c r="F652" i="9"/>
  <c r="E652" i="9"/>
  <c r="D652" i="9"/>
  <c r="B652" i="9"/>
  <c r="C652" i="9"/>
  <c r="H648" i="9"/>
  <c r="I648" i="9"/>
  <c r="E648" i="9"/>
  <c r="G648" i="9"/>
  <c r="D648" i="9"/>
  <c r="F648" i="9"/>
  <c r="B648" i="9"/>
  <c r="C648" i="9"/>
  <c r="H644" i="9"/>
  <c r="I644" i="9"/>
  <c r="E644" i="9"/>
  <c r="G644" i="9"/>
  <c r="F644" i="9"/>
  <c r="D644" i="9"/>
  <c r="B644" i="9"/>
  <c r="C644" i="9"/>
  <c r="H640" i="9"/>
  <c r="I640" i="9"/>
  <c r="E640" i="9"/>
  <c r="G640" i="9"/>
  <c r="F640" i="9"/>
  <c r="D640" i="9"/>
  <c r="B640" i="9"/>
  <c r="C640" i="9"/>
  <c r="H636" i="9"/>
  <c r="I636" i="9"/>
  <c r="G636" i="9"/>
  <c r="F636" i="9"/>
  <c r="E636" i="9"/>
  <c r="D636" i="9"/>
  <c r="B636" i="9"/>
  <c r="C636" i="9"/>
  <c r="H632" i="9"/>
  <c r="I632" i="9"/>
  <c r="E632" i="9"/>
  <c r="G632" i="9"/>
  <c r="F632" i="9"/>
  <c r="D632" i="9"/>
  <c r="B632" i="9"/>
  <c r="C632" i="9"/>
  <c r="H628" i="9"/>
  <c r="I628" i="9"/>
  <c r="E628" i="9"/>
  <c r="G628" i="9"/>
  <c r="F628" i="9"/>
  <c r="D628" i="9"/>
  <c r="B628" i="9"/>
  <c r="C628" i="9"/>
  <c r="H624" i="9"/>
  <c r="I624" i="9"/>
  <c r="E624" i="9"/>
  <c r="G624" i="9"/>
  <c r="F624" i="9"/>
  <c r="D624" i="9"/>
  <c r="B624" i="9"/>
  <c r="C624" i="9"/>
  <c r="H620" i="9"/>
  <c r="I620" i="9"/>
  <c r="G620" i="9"/>
  <c r="F620" i="9"/>
  <c r="E620" i="9"/>
  <c r="D620" i="9"/>
  <c r="B620" i="9"/>
  <c r="C620" i="9"/>
  <c r="H616" i="9"/>
  <c r="I616" i="9"/>
  <c r="E616" i="9"/>
  <c r="G616" i="9"/>
  <c r="D616" i="9"/>
  <c r="F616" i="9"/>
  <c r="B616" i="9"/>
  <c r="C616" i="9"/>
  <c r="H612" i="9"/>
  <c r="I612" i="9"/>
  <c r="E612" i="9"/>
  <c r="G612" i="9"/>
  <c r="F612" i="9"/>
  <c r="D612" i="9"/>
  <c r="B612" i="9"/>
  <c r="C612" i="9"/>
  <c r="H608" i="9"/>
  <c r="I608" i="9"/>
  <c r="E608" i="9"/>
  <c r="G608" i="9"/>
  <c r="F608" i="9"/>
  <c r="D608" i="9"/>
  <c r="B608" i="9"/>
  <c r="C608" i="9"/>
  <c r="H604" i="9"/>
  <c r="I604" i="9"/>
  <c r="G604" i="9"/>
  <c r="F604" i="9"/>
  <c r="E604" i="9"/>
  <c r="D604" i="9"/>
  <c r="B604" i="9"/>
  <c r="C604" i="9"/>
  <c r="H600" i="9"/>
  <c r="I600" i="9"/>
  <c r="E600" i="9"/>
  <c r="G600" i="9"/>
  <c r="F600" i="9"/>
  <c r="D600" i="9"/>
  <c r="B600" i="9"/>
  <c r="C600" i="9"/>
  <c r="H596" i="9"/>
  <c r="I596" i="9"/>
  <c r="E596" i="9"/>
  <c r="G596" i="9"/>
  <c r="F596" i="9"/>
  <c r="D596" i="9"/>
  <c r="B596" i="9"/>
  <c r="C596" i="9"/>
  <c r="H592" i="9"/>
  <c r="I592" i="9"/>
  <c r="E592" i="9"/>
  <c r="G592" i="9"/>
  <c r="F592" i="9"/>
  <c r="D592" i="9"/>
  <c r="B592" i="9"/>
  <c r="C592" i="9"/>
  <c r="H588" i="9"/>
  <c r="I588" i="9"/>
  <c r="G588" i="9"/>
  <c r="F588" i="9"/>
  <c r="E588" i="9"/>
  <c r="D588" i="9"/>
  <c r="B588" i="9"/>
  <c r="C588" i="9"/>
  <c r="H584" i="9"/>
  <c r="I584" i="9"/>
  <c r="E584" i="9"/>
  <c r="D584" i="9"/>
  <c r="G584" i="9"/>
  <c r="F584" i="9"/>
  <c r="B584" i="9"/>
  <c r="C584" i="9"/>
  <c r="H580" i="9"/>
  <c r="I580" i="9"/>
  <c r="E580" i="9"/>
  <c r="G580" i="9"/>
  <c r="F580" i="9"/>
  <c r="D580" i="9"/>
  <c r="B580" i="9"/>
  <c r="C580" i="9"/>
  <c r="H576" i="9"/>
  <c r="I576" i="9"/>
  <c r="E576" i="9"/>
  <c r="G576" i="9"/>
  <c r="F576" i="9"/>
  <c r="D576" i="9"/>
  <c r="B576" i="9"/>
  <c r="C576" i="9"/>
  <c r="H572" i="9"/>
  <c r="I572" i="9"/>
  <c r="G572" i="9"/>
  <c r="F572" i="9"/>
  <c r="E572" i="9"/>
  <c r="D572" i="9"/>
  <c r="B572" i="9"/>
  <c r="C572" i="9"/>
  <c r="H568" i="9"/>
  <c r="I568" i="9"/>
  <c r="E568" i="9"/>
  <c r="G568" i="9"/>
  <c r="F568" i="9"/>
  <c r="D568" i="9"/>
  <c r="B568" i="9"/>
  <c r="C568" i="9"/>
  <c r="H564" i="9"/>
  <c r="I564" i="9"/>
  <c r="E564" i="9"/>
  <c r="G564" i="9"/>
  <c r="F564" i="9"/>
  <c r="D564" i="9"/>
  <c r="B564" i="9"/>
  <c r="C564" i="9"/>
  <c r="H560" i="9"/>
  <c r="I560" i="9"/>
  <c r="E560" i="9"/>
  <c r="G560" i="9"/>
  <c r="F560" i="9"/>
  <c r="D560" i="9"/>
  <c r="B560" i="9"/>
  <c r="C560" i="9"/>
  <c r="H556" i="9"/>
  <c r="I556" i="9"/>
  <c r="G556" i="9"/>
  <c r="F556" i="9"/>
  <c r="E556" i="9"/>
  <c r="D556" i="9"/>
  <c r="B556" i="9"/>
  <c r="C556" i="9"/>
  <c r="H552" i="9"/>
  <c r="I552" i="9"/>
  <c r="E552" i="9"/>
  <c r="G552" i="9"/>
  <c r="D552" i="9"/>
  <c r="F552" i="9"/>
  <c r="B552" i="9"/>
  <c r="C552" i="9"/>
  <c r="H548" i="9"/>
  <c r="I548" i="9"/>
  <c r="E548" i="9"/>
  <c r="G548" i="9"/>
  <c r="F548" i="9"/>
  <c r="D548" i="9"/>
  <c r="B548" i="9"/>
  <c r="C548" i="9"/>
  <c r="H544" i="9"/>
  <c r="I544" i="9"/>
  <c r="E544" i="9"/>
  <c r="G544" i="9"/>
  <c r="F544" i="9"/>
  <c r="D544" i="9"/>
  <c r="B544" i="9"/>
  <c r="C544" i="9"/>
  <c r="H540" i="9"/>
  <c r="I540" i="9"/>
  <c r="G540" i="9"/>
  <c r="F540" i="9"/>
  <c r="E540" i="9"/>
  <c r="D540" i="9"/>
  <c r="B540" i="9"/>
  <c r="C540" i="9"/>
  <c r="H536" i="9"/>
  <c r="I536" i="9"/>
  <c r="E536" i="9"/>
  <c r="G536" i="9"/>
  <c r="F536" i="9"/>
  <c r="D536" i="9"/>
  <c r="B536" i="9"/>
  <c r="C536" i="9"/>
  <c r="H532" i="9"/>
  <c r="I532" i="9"/>
  <c r="E532" i="9"/>
  <c r="G532" i="9"/>
  <c r="F532" i="9"/>
  <c r="D532" i="9"/>
  <c r="B532" i="9"/>
  <c r="C532" i="9"/>
  <c r="H528" i="9"/>
  <c r="I528" i="9"/>
  <c r="E528" i="9"/>
  <c r="G528" i="9"/>
  <c r="F528" i="9"/>
  <c r="D528" i="9"/>
  <c r="B528" i="9"/>
  <c r="C528" i="9"/>
  <c r="H524" i="9"/>
  <c r="I524" i="9"/>
  <c r="G524" i="9"/>
  <c r="F524" i="9"/>
  <c r="E524" i="9"/>
  <c r="D524" i="9"/>
  <c r="B524" i="9"/>
  <c r="C524" i="9"/>
  <c r="H520" i="9"/>
  <c r="I520" i="9"/>
  <c r="E520" i="9"/>
  <c r="G520" i="9"/>
  <c r="D520" i="9"/>
  <c r="F520" i="9"/>
  <c r="B520" i="9"/>
  <c r="C520" i="9"/>
  <c r="H516" i="9"/>
  <c r="I516" i="9"/>
  <c r="E516" i="9"/>
  <c r="G516" i="9"/>
  <c r="F516" i="9"/>
  <c r="D516" i="9"/>
  <c r="B516" i="9"/>
  <c r="C516" i="9"/>
  <c r="H512" i="9"/>
  <c r="I512" i="9"/>
  <c r="E512" i="9"/>
  <c r="G512" i="9"/>
  <c r="F512" i="9"/>
  <c r="D512" i="9"/>
  <c r="B512" i="9"/>
  <c r="C512" i="9"/>
  <c r="H508" i="9"/>
  <c r="I508" i="9"/>
  <c r="G508" i="9"/>
  <c r="F508" i="9"/>
  <c r="E508" i="9"/>
  <c r="D508" i="9"/>
  <c r="B508" i="9"/>
  <c r="C508" i="9"/>
  <c r="H504" i="9"/>
  <c r="I504" i="9"/>
  <c r="E504" i="9"/>
  <c r="G504" i="9"/>
  <c r="F504" i="9"/>
  <c r="D504" i="9"/>
  <c r="B504" i="9"/>
  <c r="C504" i="9"/>
  <c r="H500" i="9"/>
  <c r="I500" i="9"/>
  <c r="E500" i="9"/>
  <c r="G500" i="9"/>
  <c r="F500" i="9"/>
  <c r="D500" i="9"/>
  <c r="B500" i="9"/>
  <c r="C500" i="9"/>
  <c r="H496" i="9"/>
  <c r="I496" i="9"/>
  <c r="E496" i="9"/>
  <c r="G496" i="9"/>
  <c r="F496" i="9"/>
  <c r="D496" i="9"/>
  <c r="B496" i="9"/>
  <c r="C496" i="9"/>
  <c r="H492" i="9"/>
  <c r="I492" i="9"/>
  <c r="G492" i="9"/>
  <c r="F492" i="9"/>
  <c r="E492" i="9"/>
  <c r="D492" i="9"/>
  <c r="B492" i="9"/>
  <c r="C492" i="9"/>
  <c r="H488" i="9"/>
  <c r="I488" i="9"/>
  <c r="E488" i="9"/>
  <c r="G488" i="9"/>
  <c r="D488" i="9"/>
  <c r="F488" i="9"/>
  <c r="B488" i="9"/>
  <c r="C488" i="9"/>
  <c r="H484" i="9"/>
  <c r="I484" i="9"/>
  <c r="E484" i="9"/>
  <c r="G484" i="9"/>
  <c r="F484" i="9"/>
  <c r="D484" i="9"/>
  <c r="B484" i="9"/>
  <c r="C484" i="9"/>
  <c r="H480" i="9"/>
  <c r="I480" i="9"/>
  <c r="E480" i="9"/>
  <c r="G480" i="9"/>
  <c r="F480" i="9"/>
  <c r="D480" i="9"/>
  <c r="B480" i="9"/>
  <c r="C480" i="9"/>
  <c r="H476" i="9"/>
  <c r="I476" i="9"/>
  <c r="G476" i="9"/>
  <c r="F476" i="9"/>
  <c r="E476" i="9"/>
  <c r="D476" i="9"/>
  <c r="B476" i="9"/>
  <c r="C476" i="9"/>
  <c r="H472" i="9"/>
  <c r="I472" i="9"/>
  <c r="E472" i="9"/>
  <c r="G472" i="9"/>
  <c r="F472" i="9"/>
  <c r="D472" i="9"/>
  <c r="B472" i="9"/>
  <c r="C472" i="9"/>
  <c r="H468" i="9"/>
  <c r="I468" i="9"/>
  <c r="E468" i="9"/>
  <c r="G468" i="9"/>
  <c r="F468" i="9"/>
  <c r="D468" i="9"/>
  <c r="B468" i="9"/>
  <c r="C468" i="9"/>
  <c r="H464" i="9"/>
  <c r="I464" i="9"/>
  <c r="E464" i="9"/>
  <c r="G464" i="9"/>
  <c r="F464" i="9"/>
  <c r="D464" i="9"/>
  <c r="B464" i="9"/>
  <c r="C464" i="9"/>
  <c r="H460" i="9"/>
  <c r="I460" i="9"/>
  <c r="G460" i="9"/>
  <c r="F460" i="9"/>
  <c r="E460" i="9"/>
  <c r="D460" i="9"/>
  <c r="B460" i="9"/>
  <c r="C460" i="9"/>
  <c r="H456" i="9"/>
  <c r="I456" i="9"/>
  <c r="E456" i="9"/>
  <c r="G456" i="9"/>
  <c r="D456" i="9"/>
  <c r="F456" i="9"/>
  <c r="B456" i="9"/>
  <c r="C456" i="9"/>
  <c r="H452" i="9"/>
  <c r="I452" i="9"/>
  <c r="E452" i="9"/>
  <c r="G452" i="9"/>
  <c r="F452" i="9"/>
  <c r="D452" i="9"/>
  <c r="B452" i="9"/>
  <c r="C452" i="9"/>
  <c r="H448" i="9"/>
  <c r="I448" i="9"/>
  <c r="E448" i="9"/>
  <c r="G448" i="9"/>
  <c r="F448" i="9"/>
  <c r="D448" i="9"/>
  <c r="B448" i="9"/>
  <c r="C448" i="9"/>
  <c r="H444" i="9"/>
  <c r="I444" i="9"/>
  <c r="G444" i="9"/>
  <c r="F444" i="9"/>
  <c r="E444" i="9"/>
  <c r="D444" i="9"/>
  <c r="B444" i="9"/>
  <c r="C444" i="9"/>
  <c r="H440" i="9"/>
  <c r="I440" i="9"/>
  <c r="E440" i="9"/>
  <c r="G440" i="9"/>
  <c r="F440" i="9"/>
  <c r="D440" i="9"/>
  <c r="B440" i="9"/>
  <c r="C440" i="9"/>
  <c r="H436" i="9"/>
  <c r="I436" i="9"/>
  <c r="E436" i="9"/>
  <c r="G436" i="9"/>
  <c r="F436" i="9"/>
  <c r="D436" i="9"/>
  <c r="B436" i="9"/>
  <c r="C436" i="9"/>
  <c r="H432" i="9"/>
  <c r="I432" i="9"/>
  <c r="E432" i="9"/>
  <c r="G432" i="9"/>
  <c r="F432" i="9"/>
  <c r="D432" i="9"/>
  <c r="B432" i="9"/>
  <c r="C432" i="9"/>
  <c r="H428" i="9"/>
  <c r="I428" i="9"/>
  <c r="G428" i="9"/>
  <c r="F428" i="9"/>
  <c r="E428" i="9"/>
  <c r="D428" i="9"/>
  <c r="B428" i="9"/>
  <c r="C428" i="9"/>
  <c r="H424" i="9"/>
  <c r="I424" i="9"/>
  <c r="E424" i="9"/>
  <c r="G424" i="9"/>
  <c r="D424" i="9"/>
  <c r="F424" i="9"/>
  <c r="B424" i="9"/>
  <c r="C424" i="9"/>
  <c r="H420" i="9"/>
  <c r="I420" i="9"/>
  <c r="E420" i="9"/>
  <c r="G420" i="9"/>
  <c r="F420" i="9"/>
  <c r="D420" i="9"/>
  <c r="B420" i="9"/>
  <c r="C420" i="9"/>
  <c r="H416" i="9"/>
  <c r="I416" i="9"/>
  <c r="E416" i="9"/>
  <c r="G416" i="9"/>
  <c r="F416" i="9"/>
  <c r="D416" i="9"/>
  <c r="B416" i="9"/>
  <c r="C416" i="9"/>
  <c r="H412" i="9"/>
  <c r="I412" i="9"/>
  <c r="G412" i="9"/>
  <c r="F412" i="9"/>
  <c r="E412" i="9"/>
  <c r="D412" i="9"/>
  <c r="B412" i="9"/>
  <c r="C412" i="9"/>
  <c r="H408" i="9"/>
  <c r="I408" i="9"/>
  <c r="E408" i="9"/>
  <c r="G408" i="9"/>
  <c r="F408" i="9"/>
  <c r="D408" i="9"/>
  <c r="B408" i="9"/>
  <c r="C408" i="9"/>
  <c r="H404" i="9"/>
  <c r="I404" i="9"/>
  <c r="E404" i="9"/>
  <c r="G404" i="9"/>
  <c r="F404" i="9"/>
  <c r="D404" i="9"/>
  <c r="B404" i="9"/>
  <c r="C404" i="9"/>
  <c r="H400" i="9"/>
  <c r="I400" i="9"/>
  <c r="E400" i="9"/>
  <c r="G400" i="9"/>
  <c r="F400" i="9"/>
  <c r="D400" i="9"/>
  <c r="B400" i="9"/>
  <c r="C400" i="9"/>
  <c r="H396" i="9"/>
  <c r="I396" i="9"/>
  <c r="G396" i="9"/>
  <c r="F396" i="9"/>
  <c r="E396" i="9"/>
  <c r="D396" i="9"/>
  <c r="B396" i="9"/>
  <c r="C396" i="9"/>
  <c r="H392" i="9"/>
  <c r="I392" i="9"/>
  <c r="E392" i="9"/>
  <c r="G392" i="9"/>
  <c r="D392" i="9"/>
  <c r="F392" i="9"/>
  <c r="B392" i="9"/>
  <c r="C392" i="9"/>
  <c r="H388" i="9"/>
  <c r="I388" i="9"/>
  <c r="E388" i="9"/>
  <c r="G388" i="9"/>
  <c r="F388" i="9"/>
  <c r="D388" i="9"/>
  <c r="B388" i="9"/>
  <c r="C388" i="9"/>
  <c r="H384" i="9"/>
  <c r="I384" i="9"/>
  <c r="E384" i="9"/>
  <c r="G384" i="9"/>
  <c r="F384" i="9"/>
  <c r="D384" i="9"/>
  <c r="B384" i="9"/>
  <c r="C384" i="9"/>
  <c r="H380" i="9"/>
  <c r="I380" i="9"/>
  <c r="G380" i="9"/>
  <c r="F380" i="9"/>
  <c r="E380" i="9"/>
  <c r="D380" i="9"/>
  <c r="B380" i="9"/>
  <c r="C380" i="9"/>
  <c r="H376" i="9"/>
  <c r="I376" i="9"/>
  <c r="E376" i="9"/>
  <c r="G376" i="9"/>
  <c r="F376" i="9"/>
  <c r="D376" i="9"/>
  <c r="B376" i="9"/>
  <c r="C376" i="9"/>
  <c r="H372" i="9"/>
  <c r="I372" i="9"/>
  <c r="E372" i="9"/>
  <c r="G372" i="9"/>
  <c r="F372" i="9"/>
  <c r="D372" i="9"/>
  <c r="B372" i="9"/>
  <c r="C372" i="9"/>
  <c r="H368" i="9"/>
  <c r="I368" i="9"/>
  <c r="E368" i="9"/>
  <c r="G368" i="9"/>
  <c r="F368" i="9"/>
  <c r="D368" i="9"/>
  <c r="B368" i="9"/>
  <c r="C368" i="9"/>
  <c r="H364" i="9"/>
  <c r="I364" i="9"/>
  <c r="G364" i="9"/>
  <c r="F364" i="9"/>
  <c r="E364" i="9"/>
  <c r="D364" i="9"/>
  <c r="B364" i="9"/>
  <c r="C364" i="9"/>
  <c r="H360" i="9"/>
  <c r="I360" i="9"/>
  <c r="E360" i="9"/>
  <c r="G360" i="9"/>
  <c r="D360" i="9"/>
  <c r="F360" i="9"/>
  <c r="B360" i="9"/>
  <c r="C360" i="9"/>
  <c r="H356" i="9"/>
  <c r="I356" i="9"/>
  <c r="E356" i="9"/>
  <c r="G356" i="9"/>
  <c r="F356" i="9"/>
  <c r="D356" i="9"/>
  <c r="B356" i="9"/>
  <c r="C356" i="9"/>
  <c r="H352" i="9"/>
  <c r="I352" i="9"/>
  <c r="E352" i="9"/>
  <c r="G352" i="9"/>
  <c r="F352" i="9"/>
  <c r="D352" i="9"/>
  <c r="B352" i="9"/>
  <c r="C352" i="9"/>
  <c r="H348" i="9"/>
  <c r="I348" i="9"/>
  <c r="G348" i="9"/>
  <c r="F348" i="9"/>
  <c r="E348" i="9"/>
  <c r="D348" i="9"/>
  <c r="B348" i="9"/>
  <c r="C348" i="9"/>
  <c r="H344" i="9"/>
  <c r="I344" i="9"/>
  <c r="E344" i="9"/>
  <c r="G344" i="9"/>
  <c r="F344" i="9"/>
  <c r="D344" i="9"/>
  <c r="B344" i="9"/>
  <c r="C344" i="9"/>
  <c r="H340" i="9"/>
  <c r="I340" i="9"/>
  <c r="E340" i="9"/>
  <c r="G340" i="9"/>
  <c r="F340" i="9"/>
  <c r="D340" i="9"/>
  <c r="B340" i="9"/>
  <c r="C340" i="9"/>
  <c r="H336" i="9"/>
  <c r="I336" i="9"/>
  <c r="E336" i="9"/>
  <c r="G336" i="9"/>
  <c r="F336" i="9"/>
  <c r="D336" i="9"/>
  <c r="B336" i="9"/>
  <c r="C336" i="9"/>
  <c r="H332" i="9"/>
  <c r="I332" i="9"/>
  <c r="G332" i="9"/>
  <c r="F332" i="9"/>
  <c r="E332" i="9"/>
  <c r="D332" i="9"/>
  <c r="B332" i="9"/>
  <c r="C332" i="9"/>
  <c r="H328" i="9"/>
  <c r="I328" i="9"/>
  <c r="E328" i="9"/>
  <c r="G328" i="9"/>
  <c r="D328" i="9"/>
  <c r="F328" i="9"/>
  <c r="B328" i="9"/>
  <c r="C328" i="9"/>
  <c r="H324" i="9"/>
  <c r="I324" i="9"/>
  <c r="E324" i="9"/>
  <c r="G324" i="9"/>
  <c r="F324" i="9"/>
  <c r="D324" i="9"/>
  <c r="B324" i="9"/>
  <c r="C324" i="9"/>
  <c r="H320" i="9"/>
  <c r="I320" i="9"/>
  <c r="E320" i="9"/>
  <c r="G320" i="9"/>
  <c r="F320" i="9"/>
  <c r="D320" i="9"/>
  <c r="B320" i="9"/>
  <c r="C320" i="9"/>
  <c r="H316" i="9"/>
  <c r="I316" i="9"/>
  <c r="G316" i="9"/>
  <c r="F316" i="9"/>
  <c r="E316" i="9"/>
  <c r="D316" i="9"/>
  <c r="B316" i="9"/>
  <c r="C316" i="9"/>
  <c r="H312" i="9"/>
  <c r="I312" i="9"/>
  <c r="E312" i="9"/>
  <c r="G312" i="9"/>
  <c r="F312" i="9"/>
  <c r="D312" i="9"/>
  <c r="B312" i="9"/>
  <c r="C312" i="9"/>
  <c r="H308" i="9"/>
  <c r="I308" i="9"/>
  <c r="E308" i="9"/>
  <c r="G308" i="9"/>
  <c r="F308" i="9"/>
  <c r="D308" i="9"/>
  <c r="B308" i="9"/>
  <c r="C308" i="9"/>
  <c r="H304" i="9"/>
  <c r="I304" i="9"/>
  <c r="E304" i="9"/>
  <c r="G304" i="9"/>
  <c r="F304" i="9"/>
  <c r="D304" i="9"/>
  <c r="B304" i="9"/>
  <c r="C304" i="9"/>
  <c r="H300" i="9"/>
  <c r="I300" i="9"/>
  <c r="G300" i="9"/>
  <c r="F300" i="9"/>
  <c r="E300" i="9"/>
  <c r="D300" i="9"/>
  <c r="B300" i="9"/>
  <c r="C300" i="9"/>
  <c r="H296" i="9"/>
  <c r="I296" i="9"/>
  <c r="E296" i="9"/>
  <c r="G296" i="9"/>
  <c r="D296" i="9"/>
  <c r="F296" i="9"/>
  <c r="B296" i="9"/>
  <c r="C296" i="9"/>
  <c r="H292" i="9"/>
  <c r="I292" i="9"/>
  <c r="E292" i="9"/>
  <c r="G292" i="9"/>
  <c r="F292" i="9"/>
  <c r="D292" i="9"/>
  <c r="B292" i="9"/>
  <c r="C292" i="9"/>
  <c r="H288" i="9"/>
  <c r="I288" i="9"/>
  <c r="E288" i="9"/>
  <c r="G288" i="9"/>
  <c r="F288" i="9"/>
  <c r="D288" i="9"/>
  <c r="B288" i="9"/>
  <c r="C288" i="9"/>
  <c r="H284" i="9"/>
  <c r="I284" i="9"/>
  <c r="G284" i="9"/>
  <c r="F284" i="9"/>
  <c r="E284" i="9"/>
  <c r="D284" i="9"/>
  <c r="B284" i="9"/>
  <c r="C284" i="9"/>
  <c r="H280" i="9"/>
  <c r="I280" i="9"/>
  <c r="E280" i="9"/>
  <c r="G280" i="9"/>
  <c r="F280" i="9"/>
  <c r="D280" i="9"/>
  <c r="B280" i="9"/>
  <c r="C280" i="9"/>
  <c r="H276" i="9"/>
  <c r="I276" i="9"/>
  <c r="E276" i="9"/>
  <c r="G276" i="9"/>
  <c r="F276" i="9"/>
  <c r="D276" i="9"/>
  <c r="B276" i="9"/>
  <c r="C276" i="9"/>
  <c r="H272" i="9"/>
  <c r="I272" i="9"/>
  <c r="E272" i="9"/>
  <c r="G272" i="9"/>
  <c r="F272" i="9"/>
  <c r="D272" i="9"/>
  <c r="B272" i="9"/>
  <c r="C272" i="9"/>
  <c r="H268" i="9"/>
  <c r="I268" i="9"/>
  <c r="G268" i="9"/>
  <c r="F268" i="9"/>
  <c r="E268" i="9"/>
  <c r="D268" i="9"/>
  <c r="B268" i="9"/>
  <c r="C268" i="9"/>
  <c r="H264" i="9"/>
  <c r="I264" i="9"/>
  <c r="E264" i="9"/>
  <c r="G264" i="9"/>
  <c r="D264" i="9"/>
  <c r="F264" i="9"/>
  <c r="B264" i="9"/>
  <c r="C264" i="9"/>
  <c r="H260" i="9"/>
  <c r="I260" i="9"/>
  <c r="E260" i="9"/>
  <c r="G260" i="9"/>
  <c r="F260" i="9"/>
  <c r="D260" i="9"/>
  <c r="B260" i="9"/>
  <c r="C260" i="9"/>
  <c r="H256" i="9"/>
  <c r="I256" i="9"/>
  <c r="E256" i="9"/>
  <c r="G256" i="9"/>
  <c r="F256" i="9"/>
  <c r="D256" i="9"/>
  <c r="B256" i="9"/>
  <c r="C256" i="9"/>
  <c r="H252" i="9"/>
  <c r="I252" i="9"/>
  <c r="G252" i="9"/>
  <c r="F252" i="9"/>
  <c r="E252" i="9"/>
  <c r="D252" i="9"/>
  <c r="B252" i="9"/>
  <c r="C252" i="9"/>
  <c r="H248" i="9"/>
  <c r="I248" i="9"/>
  <c r="E248" i="9"/>
  <c r="G248" i="9"/>
  <c r="F248" i="9"/>
  <c r="D248" i="9"/>
  <c r="B248" i="9"/>
  <c r="C248" i="9"/>
  <c r="H244" i="9"/>
  <c r="I244" i="9"/>
  <c r="E244" i="9"/>
  <c r="G244" i="9"/>
  <c r="F244" i="9"/>
  <c r="D244" i="9"/>
  <c r="B244" i="9"/>
  <c r="C244" i="9"/>
  <c r="H240" i="9"/>
  <c r="I240" i="9"/>
  <c r="E240" i="9"/>
  <c r="G240" i="9"/>
  <c r="F240" i="9"/>
  <c r="D240" i="9"/>
  <c r="B240" i="9"/>
  <c r="C240" i="9"/>
  <c r="H236" i="9"/>
  <c r="I236" i="9"/>
  <c r="G236" i="9"/>
  <c r="F236" i="9"/>
  <c r="E236" i="9"/>
  <c r="D236" i="9"/>
  <c r="B236" i="9"/>
  <c r="C236" i="9"/>
  <c r="H232" i="9"/>
  <c r="I232" i="9"/>
  <c r="E232" i="9"/>
  <c r="G232" i="9"/>
  <c r="D232" i="9"/>
  <c r="F232" i="9"/>
  <c r="B232" i="9"/>
  <c r="C232" i="9"/>
  <c r="H228" i="9"/>
  <c r="I228" i="9"/>
  <c r="E228" i="9"/>
  <c r="G228" i="9"/>
  <c r="F228" i="9"/>
  <c r="D228" i="9"/>
  <c r="B228" i="9"/>
  <c r="C228" i="9"/>
  <c r="H224" i="9"/>
  <c r="I224" i="9"/>
  <c r="E224" i="9"/>
  <c r="G224" i="9"/>
  <c r="F224" i="9"/>
  <c r="D224" i="9"/>
  <c r="B224" i="9"/>
  <c r="C224" i="9"/>
  <c r="H220" i="9"/>
  <c r="I220" i="9"/>
  <c r="G220" i="9"/>
  <c r="F220" i="9"/>
  <c r="E220" i="9"/>
  <c r="D220" i="9"/>
  <c r="B220" i="9"/>
  <c r="C220" i="9"/>
  <c r="H216" i="9"/>
  <c r="I216" i="9"/>
  <c r="E216" i="9"/>
  <c r="G216" i="9"/>
  <c r="F216" i="9"/>
  <c r="D216" i="9"/>
  <c r="B216" i="9"/>
  <c r="C216" i="9"/>
  <c r="H212" i="9"/>
  <c r="I212" i="9"/>
  <c r="E212" i="9"/>
  <c r="G212" i="9"/>
  <c r="F212" i="9"/>
  <c r="D212" i="9"/>
  <c r="B212" i="9"/>
  <c r="C212" i="9"/>
  <c r="H208" i="9"/>
  <c r="I208" i="9"/>
  <c r="E208" i="9"/>
  <c r="G208" i="9"/>
  <c r="F208" i="9"/>
  <c r="D208" i="9"/>
  <c r="B208" i="9"/>
  <c r="C208" i="9"/>
  <c r="H204" i="9"/>
  <c r="I204" i="9"/>
  <c r="G204" i="9"/>
  <c r="F204" i="9"/>
  <c r="E204" i="9"/>
  <c r="D204" i="9"/>
  <c r="B204" i="9"/>
  <c r="C204" i="9"/>
  <c r="H200" i="9"/>
  <c r="I200" i="9"/>
  <c r="E200" i="9"/>
  <c r="G200" i="9"/>
  <c r="D200" i="9"/>
  <c r="F200" i="9"/>
  <c r="B200" i="9"/>
  <c r="C200" i="9"/>
  <c r="H196" i="9"/>
  <c r="I196" i="9"/>
  <c r="E196" i="9"/>
  <c r="G196" i="9"/>
  <c r="F196" i="9"/>
  <c r="D196" i="9"/>
  <c r="B196" i="9"/>
  <c r="C196" i="9"/>
  <c r="H192" i="9"/>
  <c r="I192" i="9"/>
  <c r="E192" i="9"/>
  <c r="G192" i="9"/>
  <c r="F192" i="9"/>
  <c r="D192" i="9"/>
  <c r="B192" i="9"/>
  <c r="C192" i="9"/>
  <c r="H188" i="9"/>
  <c r="I188" i="9"/>
  <c r="G188" i="9"/>
  <c r="F188" i="9"/>
  <c r="E188" i="9"/>
  <c r="D188" i="9"/>
  <c r="B188" i="9"/>
  <c r="C188" i="9"/>
  <c r="H184" i="9"/>
  <c r="I184" i="9"/>
  <c r="E184" i="9"/>
  <c r="G184" i="9"/>
  <c r="F184" i="9"/>
  <c r="D184" i="9"/>
  <c r="B184" i="9"/>
  <c r="C184" i="9"/>
  <c r="H180" i="9"/>
  <c r="I180" i="9"/>
  <c r="E180" i="9"/>
  <c r="G180" i="9"/>
  <c r="F180" i="9"/>
  <c r="D180" i="9"/>
  <c r="B180" i="9"/>
  <c r="C180" i="9"/>
  <c r="H176" i="9"/>
  <c r="I176" i="9"/>
  <c r="E176" i="9"/>
  <c r="G176" i="9"/>
  <c r="F176" i="9"/>
  <c r="D176" i="9"/>
  <c r="B176" i="9"/>
  <c r="C176" i="9"/>
  <c r="H172" i="9"/>
  <c r="I172" i="9"/>
  <c r="G172" i="9"/>
  <c r="F172" i="9"/>
  <c r="E172" i="9"/>
  <c r="D172" i="9"/>
  <c r="B172" i="9"/>
  <c r="C172" i="9"/>
  <c r="H168" i="9"/>
  <c r="I168" i="9"/>
  <c r="E168" i="9"/>
  <c r="G168" i="9"/>
  <c r="D168" i="9"/>
  <c r="F168" i="9"/>
  <c r="B168" i="9"/>
  <c r="C168" i="9"/>
  <c r="H164" i="9"/>
  <c r="I164" i="9"/>
  <c r="E164" i="9"/>
  <c r="G164" i="9"/>
  <c r="F164" i="9"/>
  <c r="D164" i="9"/>
  <c r="B164" i="9"/>
  <c r="C164" i="9"/>
  <c r="H160" i="9"/>
  <c r="I160" i="9"/>
  <c r="E160" i="9"/>
  <c r="G160" i="9"/>
  <c r="F160" i="9"/>
  <c r="D160" i="9"/>
  <c r="B160" i="9"/>
  <c r="C160" i="9"/>
  <c r="H156" i="9"/>
  <c r="I156" i="9"/>
  <c r="G156" i="9"/>
  <c r="F156" i="9"/>
  <c r="E156" i="9"/>
  <c r="D156" i="9"/>
  <c r="B156" i="9"/>
  <c r="C156" i="9"/>
  <c r="H152" i="9"/>
  <c r="I152" i="9"/>
  <c r="E152" i="9"/>
  <c r="G152" i="9"/>
  <c r="F152" i="9"/>
  <c r="D152" i="9"/>
  <c r="B152" i="9"/>
  <c r="C152" i="9"/>
  <c r="H148" i="9"/>
  <c r="I148" i="9"/>
  <c r="E148" i="9"/>
  <c r="G148" i="9"/>
  <c r="F148" i="9"/>
  <c r="D148" i="9"/>
  <c r="B148" i="9"/>
  <c r="C148" i="9"/>
  <c r="H144" i="9"/>
  <c r="I144" i="9"/>
  <c r="E144" i="9"/>
  <c r="G144" i="9"/>
  <c r="F144" i="9"/>
  <c r="D144" i="9"/>
  <c r="B144" i="9"/>
  <c r="C144" i="9"/>
  <c r="H140" i="9"/>
  <c r="I140" i="9"/>
  <c r="G140" i="9"/>
  <c r="F140" i="9"/>
  <c r="E140" i="9"/>
  <c r="D140" i="9"/>
  <c r="B140" i="9"/>
  <c r="C140" i="9"/>
  <c r="H136" i="9"/>
  <c r="I136" i="9"/>
  <c r="E136" i="9"/>
  <c r="G136" i="9"/>
  <c r="D136" i="9"/>
  <c r="F136" i="9"/>
  <c r="B136" i="9"/>
  <c r="C136" i="9"/>
  <c r="H132" i="9"/>
  <c r="I132" i="9"/>
  <c r="E132" i="9"/>
  <c r="G132" i="9"/>
  <c r="F132" i="9"/>
  <c r="D132" i="9"/>
  <c r="B132" i="9"/>
  <c r="C132" i="9"/>
  <c r="H128" i="9"/>
  <c r="I128" i="9"/>
  <c r="E128" i="9"/>
  <c r="G128" i="9"/>
  <c r="F128" i="9"/>
  <c r="D128" i="9"/>
  <c r="B128" i="9"/>
  <c r="C128" i="9"/>
  <c r="H124" i="9"/>
  <c r="I124" i="9"/>
  <c r="G124" i="9"/>
  <c r="F124" i="9"/>
  <c r="E124" i="9"/>
  <c r="D124" i="9"/>
  <c r="B124" i="9"/>
  <c r="C124" i="9"/>
  <c r="H120" i="9"/>
  <c r="I120" i="9"/>
  <c r="E120" i="9"/>
  <c r="G120" i="9"/>
  <c r="F120" i="9"/>
  <c r="D120" i="9"/>
  <c r="B120" i="9"/>
  <c r="C120" i="9"/>
  <c r="H116" i="9"/>
  <c r="I116" i="9"/>
  <c r="E116" i="9"/>
  <c r="G116" i="9"/>
  <c r="F116" i="9"/>
  <c r="D116" i="9"/>
  <c r="B116" i="9"/>
  <c r="C116" i="9"/>
  <c r="H112" i="9"/>
  <c r="I112" i="9"/>
  <c r="E112" i="9"/>
  <c r="G112" i="9"/>
  <c r="F112" i="9"/>
  <c r="D112" i="9"/>
  <c r="B112" i="9"/>
  <c r="C112" i="9"/>
  <c r="H108" i="9"/>
  <c r="I108" i="9"/>
  <c r="G108" i="9"/>
  <c r="F108" i="9"/>
  <c r="E108" i="9"/>
  <c r="D108" i="9"/>
  <c r="B108" i="9"/>
  <c r="C108" i="9"/>
  <c r="H104" i="9"/>
  <c r="I104" i="9"/>
  <c r="E104" i="9"/>
  <c r="G104" i="9"/>
  <c r="D104" i="9"/>
  <c r="F104" i="9"/>
  <c r="B104" i="9"/>
  <c r="C104" i="9"/>
  <c r="H100" i="9"/>
  <c r="I100" i="9"/>
  <c r="E100" i="9"/>
  <c r="G100" i="9"/>
  <c r="F100" i="9"/>
  <c r="D100" i="9"/>
  <c r="B100" i="9"/>
  <c r="C100" i="9"/>
  <c r="H96" i="9"/>
  <c r="I96" i="9"/>
  <c r="E96" i="9"/>
  <c r="G96" i="9"/>
  <c r="F96" i="9"/>
  <c r="D96" i="9"/>
  <c r="B96" i="9"/>
  <c r="C96" i="9"/>
  <c r="H92" i="9"/>
  <c r="I92" i="9"/>
  <c r="G92" i="9"/>
  <c r="F92" i="9"/>
  <c r="E92" i="9"/>
  <c r="D92" i="9"/>
  <c r="B92" i="9"/>
  <c r="C92" i="9"/>
  <c r="H88" i="9"/>
  <c r="I88" i="9"/>
  <c r="E88" i="9"/>
  <c r="G88" i="9"/>
  <c r="F88" i="9"/>
  <c r="D88" i="9"/>
  <c r="B88" i="9"/>
  <c r="C88" i="9"/>
  <c r="H84" i="9"/>
  <c r="I84" i="9"/>
  <c r="E84" i="9"/>
  <c r="G84" i="9"/>
  <c r="F84" i="9"/>
  <c r="D84" i="9"/>
  <c r="B84" i="9"/>
  <c r="C84" i="9"/>
  <c r="H80" i="9"/>
  <c r="I80" i="9"/>
  <c r="E80" i="9"/>
  <c r="G80" i="9"/>
  <c r="F80" i="9"/>
  <c r="D80" i="9"/>
  <c r="B80" i="9"/>
  <c r="C80" i="9"/>
  <c r="H76" i="9"/>
  <c r="I76" i="9"/>
  <c r="G76" i="9"/>
  <c r="F76" i="9"/>
  <c r="E76" i="9"/>
  <c r="D76" i="9"/>
  <c r="B76" i="9"/>
  <c r="C76" i="9"/>
  <c r="H72" i="9"/>
  <c r="I72" i="9"/>
  <c r="E72" i="9"/>
  <c r="G72" i="9"/>
  <c r="D72" i="9"/>
  <c r="F72" i="9"/>
  <c r="B72" i="9"/>
  <c r="C72" i="9"/>
  <c r="H68" i="9"/>
  <c r="I68" i="9"/>
  <c r="E68" i="9"/>
  <c r="G68" i="9"/>
  <c r="F68" i="9"/>
  <c r="D68" i="9"/>
  <c r="B68" i="9"/>
  <c r="C68" i="9"/>
  <c r="H64" i="9"/>
  <c r="I64" i="9"/>
  <c r="E64" i="9"/>
  <c r="G64" i="9"/>
  <c r="F64" i="9"/>
  <c r="D64" i="9"/>
  <c r="B64" i="9"/>
  <c r="C64" i="9"/>
  <c r="H60" i="9"/>
  <c r="I60" i="9"/>
  <c r="G60" i="9"/>
  <c r="F60" i="9"/>
  <c r="E60" i="9"/>
  <c r="D60" i="9"/>
  <c r="B60" i="9"/>
  <c r="C60" i="9"/>
  <c r="H56" i="9"/>
  <c r="I56" i="9"/>
  <c r="E56" i="9"/>
  <c r="G56" i="9"/>
  <c r="F56" i="9"/>
  <c r="D56" i="9"/>
  <c r="B56" i="9"/>
  <c r="C56" i="9"/>
  <c r="H52" i="9"/>
  <c r="I52" i="9"/>
  <c r="E52" i="9"/>
  <c r="G52" i="9"/>
  <c r="F52" i="9"/>
  <c r="D52" i="9"/>
  <c r="B52" i="9"/>
  <c r="C52" i="9"/>
  <c r="H48" i="9"/>
  <c r="I48" i="9"/>
  <c r="E48" i="9"/>
  <c r="G48" i="9"/>
  <c r="F48" i="9"/>
  <c r="D48" i="9"/>
  <c r="B48" i="9"/>
  <c r="C48" i="9"/>
  <c r="H44" i="9"/>
  <c r="I44" i="9"/>
  <c r="G44" i="9"/>
  <c r="F44" i="9"/>
  <c r="E44" i="9"/>
  <c r="D44" i="9"/>
  <c r="B44" i="9"/>
  <c r="C44" i="9"/>
  <c r="H40" i="9"/>
  <c r="I40" i="9"/>
  <c r="E40" i="9"/>
  <c r="G40" i="9"/>
  <c r="D40" i="9"/>
  <c r="F40" i="9"/>
  <c r="B40" i="9"/>
  <c r="C40" i="9"/>
  <c r="H36" i="9"/>
  <c r="I36" i="9"/>
  <c r="E36" i="9"/>
  <c r="G36" i="9"/>
  <c r="F36" i="9"/>
  <c r="D36" i="9"/>
  <c r="B36" i="9"/>
  <c r="C36" i="9"/>
  <c r="B32" i="9"/>
  <c r="H32" i="9"/>
  <c r="I32" i="9"/>
  <c r="E32" i="9"/>
  <c r="G32" i="9"/>
  <c r="F32" i="9"/>
  <c r="D32" i="9"/>
  <c r="C32" i="9"/>
  <c r="B28" i="9"/>
  <c r="H28" i="9"/>
  <c r="I28" i="9"/>
  <c r="G28" i="9"/>
  <c r="F28" i="9"/>
  <c r="E28" i="9"/>
  <c r="D28" i="9"/>
  <c r="C28" i="9"/>
  <c r="B24" i="9"/>
  <c r="H24" i="9"/>
  <c r="I24" i="9"/>
  <c r="E24" i="9"/>
  <c r="G24" i="9"/>
  <c r="F24" i="9"/>
  <c r="D24" i="9"/>
  <c r="C24" i="9"/>
  <c r="B20" i="9"/>
  <c r="H20" i="9"/>
  <c r="I20" i="9"/>
  <c r="E20" i="9"/>
  <c r="G20" i="9"/>
  <c r="F20" i="9"/>
  <c r="D20" i="9"/>
  <c r="C20" i="9"/>
  <c r="B16" i="9"/>
  <c r="H16" i="9"/>
  <c r="I16" i="9"/>
  <c r="E16" i="9"/>
  <c r="D16" i="9"/>
  <c r="G16" i="9"/>
  <c r="F16" i="9"/>
  <c r="C16" i="9"/>
  <c r="B12" i="9"/>
  <c r="H12" i="9"/>
  <c r="I12" i="9"/>
  <c r="G12" i="9"/>
  <c r="F12" i="9"/>
  <c r="E12" i="9"/>
  <c r="D12" i="9"/>
  <c r="C12" i="9"/>
  <c r="B8" i="9"/>
  <c r="H8" i="9"/>
  <c r="I8" i="9"/>
  <c r="E8" i="9"/>
  <c r="D8" i="9"/>
  <c r="G8" i="9"/>
  <c r="F8" i="9"/>
  <c r="C8" i="9"/>
  <c r="T2502" i="9"/>
  <c r="V2502" i="9" s="1"/>
  <c r="O2502" i="9"/>
  <c r="P2502" i="9" s="1"/>
  <c r="U2502" i="9"/>
  <c r="N2502" i="9"/>
  <c r="M2502" i="9"/>
  <c r="K2502" i="9"/>
  <c r="L2502" i="9"/>
  <c r="T2498" i="9"/>
  <c r="V2498" i="9" s="1"/>
  <c r="O2498" i="9"/>
  <c r="P2498" i="9" s="1"/>
  <c r="U2498" i="9"/>
  <c r="N2498" i="9"/>
  <c r="M2498" i="9"/>
  <c r="K2498" i="9"/>
  <c r="L2498" i="9"/>
  <c r="T2494" i="9"/>
  <c r="V2494" i="9" s="1"/>
  <c r="O2494" i="9"/>
  <c r="P2494" i="9" s="1"/>
  <c r="U2494" i="9"/>
  <c r="N2494" i="9"/>
  <c r="M2494" i="9"/>
  <c r="K2494" i="9"/>
  <c r="L2494" i="9"/>
  <c r="T2490" i="9"/>
  <c r="V2490" i="9" s="1"/>
  <c r="O2490" i="9"/>
  <c r="P2490" i="9" s="1"/>
  <c r="N2490" i="9"/>
  <c r="M2490" i="9"/>
  <c r="K2490" i="9"/>
  <c r="U2490" i="9"/>
  <c r="L2490" i="9"/>
  <c r="T2486" i="9"/>
  <c r="V2486" i="9" s="1"/>
  <c r="O2486" i="9"/>
  <c r="P2486" i="9" s="1"/>
  <c r="U2486" i="9"/>
  <c r="N2486" i="9"/>
  <c r="M2486" i="9"/>
  <c r="K2486" i="9"/>
  <c r="L2486" i="9"/>
  <c r="T2482" i="9"/>
  <c r="V2482" i="9" s="1"/>
  <c r="O2482" i="9"/>
  <c r="P2482" i="9" s="1"/>
  <c r="U2482" i="9"/>
  <c r="N2482" i="9"/>
  <c r="M2482" i="9"/>
  <c r="K2482" i="9"/>
  <c r="L2482" i="9"/>
  <c r="T2478" i="9"/>
  <c r="V2478" i="9" s="1"/>
  <c r="O2478" i="9"/>
  <c r="P2478" i="9" s="1"/>
  <c r="U2478" i="9"/>
  <c r="N2478" i="9"/>
  <c r="M2478" i="9"/>
  <c r="K2478" i="9"/>
  <c r="L2478" i="9"/>
  <c r="T2474" i="9"/>
  <c r="V2474" i="9" s="1"/>
  <c r="O2474" i="9"/>
  <c r="P2474" i="9" s="1"/>
  <c r="N2474" i="9"/>
  <c r="M2474" i="9"/>
  <c r="U2474" i="9"/>
  <c r="K2474" i="9"/>
  <c r="L2474" i="9"/>
  <c r="T2470" i="9"/>
  <c r="V2470" i="9" s="1"/>
  <c r="O2470" i="9"/>
  <c r="P2470" i="9" s="1"/>
  <c r="U2470" i="9"/>
  <c r="N2470" i="9"/>
  <c r="M2470" i="9"/>
  <c r="K2470" i="9"/>
  <c r="L2470" i="9"/>
  <c r="T2466" i="9"/>
  <c r="V2466" i="9" s="1"/>
  <c r="O2466" i="9"/>
  <c r="P2466" i="9" s="1"/>
  <c r="U2466" i="9"/>
  <c r="N2466" i="9"/>
  <c r="M2466" i="9"/>
  <c r="K2466" i="9"/>
  <c r="L2466" i="9"/>
  <c r="T2462" i="9"/>
  <c r="V2462" i="9" s="1"/>
  <c r="O2462" i="9"/>
  <c r="P2462" i="9" s="1"/>
  <c r="U2462" i="9"/>
  <c r="N2462" i="9"/>
  <c r="M2462" i="9"/>
  <c r="K2462" i="9"/>
  <c r="L2462" i="9"/>
  <c r="T2458" i="9"/>
  <c r="V2458" i="9" s="1"/>
  <c r="O2458" i="9"/>
  <c r="P2458" i="9" s="1"/>
  <c r="U2458" i="9"/>
  <c r="N2458" i="9"/>
  <c r="M2458" i="9"/>
  <c r="K2458" i="9"/>
  <c r="L2458" i="9"/>
  <c r="T2454" i="9"/>
  <c r="V2454" i="9" s="1"/>
  <c r="O2454" i="9"/>
  <c r="P2454" i="9" s="1"/>
  <c r="U2454" i="9"/>
  <c r="N2454" i="9"/>
  <c r="M2454" i="9"/>
  <c r="K2454" i="9"/>
  <c r="L2454" i="9"/>
  <c r="T2450" i="9"/>
  <c r="V2450" i="9" s="1"/>
  <c r="O2450" i="9"/>
  <c r="P2450" i="9" s="1"/>
  <c r="U2450" i="9"/>
  <c r="N2450" i="9"/>
  <c r="M2450" i="9"/>
  <c r="K2450" i="9"/>
  <c r="L2450" i="9"/>
  <c r="T2446" i="9"/>
  <c r="V2446" i="9" s="1"/>
  <c r="O2446" i="9"/>
  <c r="P2446" i="9" s="1"/>
  <c r="U2446" i="9"/>
  <c r="N2446" i="9"/>
  <c r="M2446" i="9"/>
  <c r="K2446" i="9"/>
  <c r="L2446" i="9"/>
  <c r="T2442" i="9"/>
  <c r="V2442" i="9" s="1"/>
  <c r="O2442" i="9"/>
  <c r="P2442" i="9" s="1"/>
  <c r="U2442" i="9"/>
  <c r="N2442" i="9"/>
  <c r="M2442" i="9"/>
  <c r="K2442" i="9"/>
  <c r="L2442" i="9"/>
  <c r="T2438" i="9"/>
  <c r="V2438" i="9" s="1"/>
  <c r="O2438" i="9"/>
  <c r="P2438" i="9" s="1"/>
  <c r="U2438" i="9"/>
  <c r="N2438" i="9"/>
  <c r="M2438" i="9"/>
  <c r="K2438" i="9"/>
  <c r="L2438" i="9"/>
  <c r="T2434" i="9"/>
  <c r="V2434" i="9" s="1"/>
  <c r="O2434" i="9"/>
  <c r="P2434" i="9" s="1"/>
  <c r="U2434" i="9"/>
  <c r="N2434" i="9"/>
  <c r="M2434" i="9"/>
  <c r="K2434" i="9"/>
  <c r="L2434" i="9"/>
  <c r="T2430" i="9"/>
  <c r="V2430" i="9" s="1"/>
  <c r="O2430" i="9"/>
  <c r="P2430" i="9" s="1"/>
  <c r="U2430" i="9"/>
  <c r="N2430" i="9"/>
  <c r="M2430" i="9"/>
  <c r="K2430" i="9"/>
  <c r="L2430" i="9"/>
  <c r="T2426" i="9"/>
  <c r="V2426" i="9" s="1"/>
  <c r="O2426" i="9"/>
  <c r="P2426" i="9" s="1"/>
  <c r="N2426" i="9"/>
  <c r="M2426" i="9"/>
  <c r="U2426" i="9"/>
  <c r="K2426" i="9"/>
  <c r="L2426" i="9"/>
  <c r="T2422" i="9"/>
  <c r="V2422" i="9" s="1"/>
  <c r="O2422" i="9"/>
  <c r="P2422" i="9" s="1"/>
  <c r="U2422" i="9"/>
  <c r="N2422" i="9"/>
  <c r="M2422" i="9"/>
  <c r="K2422" i="9"/>
  <c r="L2422" i="9"/>
  <c r="T2418" i="9"/>
  <c r="V2418" i="9" s="1"/>
  <c r="O2418" i="9"/>
  <c r="P2418" i="9" s="1"/>
  <c r="U2418" i="9"/>
  <c r="N2418" i="9"/>
  <c r="M2418" i="9"/>
  <c r="K2418" i="9"/>
  <c r="L2418" i="9"/>
  <c r="T2414" i="9"/>
  <c r="V2414" i="9" s="1"/>
  <c r="O2414" i="9"/>
  <c r="P2414" i="9" s="1"/>
  <c r="U2414" i="9"/>
  <c r="N2414" i="9"/>
  <c r="M2414" i="9"/>
  <c r="K2414" i="9"/>
  <c r="L2414" i="9"/>
  <c r="T2410" i="9"/>
  <c r="V2410" i="9" s="1"/>
  <c r="O2410" i="9"/>
  <c r="P2410" i="9" s="1"/>
  <c r="N2410" i="9"/>
  <c r="M2410" i="9"/>
  <c r="U2410" i="9"/>
  <c r="K2410" i="9"/>
  <c r="L2410" i="9"/>
  <c r="T2406" i="9"/>
  <c r="V2406" i="9" s="1"/>
  <c r="O2406" i="9"/>
  <c r="P2406" i="9" s="1"/>
  <c r="U2406" i="9"/>
  <c r="N2406" i="9"/>
  <c r="M2406" i="9"/>
  <c r="K2406" i="9"/>
  <c r="L2406" i="9"/>
  <c r="T2402" i="9"/>
  <c r="V2402" i="9" s="1"/>
  <c r="O2402" i="9"/>
  <c r="P2402" i="9" s="1"/>
  <c r="U2402" i="9"/>
  <c r="N2402" i="9"/>
  <c r="M2402" i="9"/>
  <c r="K2402" i="9"/>
  <c r="L2402" i="9"/>
  <c r="T2398" i="9"/>
  <c r="V2398" i="9" s="1"/>
  <c r="O2398" i="9"/>
  <c r="P2398" i="9" s="1"/>
  <c r="U2398" i="9"/>
  <c r="N2398" i="9"/>
  <c r="M2398" i="9"/>
  <c r="K2398" i="9"/>
  <c r="L2398" i="9"/>
  <c r="T2394" i="9"/>
  <c r="V2394" i="9" s="1"/>
  <c r="O2394" i="9"/>
  <c r="P2394" i="9" s="1"/>
  <c r="U2394" i="9"/>
  <c r="N2394" i="9"/>
  <c r="M2394" i="9"/>
  <c r="K2394" i="9"/>
  <c r="L2394" i="9"/>
  <c r="T2390" i="9"/>
  <c r="V2390" i="9" s="1"/>
  <c r="O2390" i="9"/>
  <c r="P2390" i="9" s="1"/>
  <c r="U2390" i="9"/>
  <c r="N2390" i="9"/>
  <c r="M2390" i="9"/>
  <c r="K2390" i="9"/>
  <c r="L2390" i="9"/>
  <c r="T2386" i="9"/>
  <c r="V2386" i="9" s="1"/>
  <c r="O2386" i="9"/>
  <c r="P2386" i="9" s="1"/>
  <c r="U2386" i="9"/>
  <c r="N2386" i="9"/>
  <c r="M2386" i="9"/>
  <c r="K2386" i="9"/>
  <c r="L2386" i="9"/>
  <c r="T2382" i="9"/>
  <c r="V2382" i="9" s="1"/>
  <c r="O2382" i="9"/>
  <c r="P2382" i="9" s="1"/>
  <c r="U2382" i="9"/>
  <c r="N2382" i="9"/>
  <c r="M2382" i="9"/>
  <c r="K2382" i="9"/>
  <c r="L2382" i="9"/>
  <c r="T2378" i="9"/>
  <c r="V2378" i="9" s="1"/>
  <c r="O2378" i="9"/>
  <c r="P2378" i="9" s="1"/>
  <c r="U2378" i="9"/>
  <c r="N2378" i="9"/>
  <c r="M2378" i="9"/>
  <c r="K2378" i="9"/>
  <c r="L2378" i="9"/>
  <c r="T2374" i="9"/>
  <c r="V2374" i="9" s="1"/>
  <c r="O2374" i="9"/>
  <c r="P2374" i="9" s="1"/>
  <c r="U2374" i="9"/>
  <c r="N2374" i="9"/>
  <c r="M2374" i="9"/>
  <c r="K2374" i="9"/>
  <c r="L2374" i="9"/>
  <c r="T2370" i="9"/>
  <c r="V2370" i="9" s="1"/>
  <c r="O2370" i="9"/>
  <c r="P2370" i="9" s="1"/>
  <c r="U2370" i="9"/>
  <c r="N2370" i="9"/>
  <c r="M2370" i="9"/>
  <c r="K2370" i="9"/>
  <c r="L2370" i="9"/>
  <c r="T2366" i="9"/>
  <c r="V2366" i="9" s="1"/>
  <c r="O2366" i="9"/>
  <c r="P2366" i="9" s="1"/>
  <c r="U2366" i="9"/>
  <c r="N2366" i="9"/>
  <c r="M2366" i="9"/>
  <c r="K2366" i="9"/>
  <c r="L2366" i="9"/>
  <c r="T2362" i="9"/>
  <c r="V2362" i="9" s="1"/>
  <c r="O2362" i="9"/>
  <c r="P2362" i="9" s="1"/>
  <c r="N2362" i="9"/>
  <c r="M2362" i="9"/>
  <c r="K2362" i="9"/>
  <c r="L2362" i="9"/>
  <c r="U2362" i="9"/>
  <c r="T2358" i="9"/>
  <c r="V2358" i="9" s="1"/>
  <c r="O2358" i="9"/>
  <c r="P2358" i="9" s="1"/>
  <c r="U2358" i="9"/>
  <c r="N2358" i="9"/>
  <c r="M2358" i="9"/>
  <c r="K2358" i="9"/>
  <c r="L2358" i="9"/>
  <c r="T2354" i="9"/>
  <c r="V2354" i="9" s="1"/>
  <c r="O2354" i="9"/>
  <c r="P2354" i="9" s="1"/>
  <c r="U2354" i="9"/>
  <c r="N2354" i="9"/>
  <c r="M2354" i="9"/>
  <c r="K2354" i="9"/>
  <c r="L2354" i="9"/>
  <c r="T2350" i="9"/>
  <c r="V2350" i="9" s="1"/>
  <c r="O2350" i="9"/>
  <c r="P2350" i="9" s="1"/>
  <c r="U2350" i="9"/>
  <c r="N2350" i="9"/>
  <c r="M2350" i="9"/>
  <c r="K2350" i="9"/>
  <c r="L2350" i="9"/>
  <c r="T2346" i="9"/>
  <c r="V2346" i="9" s="1"/>
  <c r="O2346" i="9"/>
  <c r="P2346" i="9" s="1"/>
  <c r="N2346" i="9"/>
  <c r="M2346" i="9"/>
  <c r="U2346" i="9"/>
  <c r="K2346" i="9"/>
  <c r="L2346" i="9"/>
  <c r="T2342" i="9"/>
  <c r="V2342" i="9" s="1"/>
  <c r="O2342" i="9"/>
  <c r="P2342" i="9" s="1"/>
  <c r="U2342" i="9"/>
  <c r="N2342" i="9"/>
  <c r="M2342" i="9"/>
  <c r="K2342" i="9"/>
  <c r="L2342" i="9"/>
  <c r="T2338" i="9"/>
  <c r="V2338" i="9" s="1"/>
  <c r="O2338" i="9"/>
  <c r="P2338" i="9" s="1"/>
  <c r="U2338" i="9"/>
  <c r="N2338" i="9"/>
  <c r="M2338" i="9"/>
  <c r="K2338" i="9"/>
  <c r="L2338" i="9"/>
  <c r="T2334" i="9"/>
  <c r="V2334" i="9" s="1"/>
  <c r="O2334" i="9"/>
  <c r="P2334" i="9" s="1"/>
  <c r="U2334" i="9"/>
  <c r="N2334" i="9"/>
  <c r="M2334" i="9"/>
  <c r="K2334" i="9"/>
  <c r="L2334" i="9"/>
  <c r="T2330" i="9"/>
  <c r="V2330" i="9" s="1"/>
  <c r="O2330" i="9"/>
  <c r="P2330" i="9" s="1"/>
  <c r="U2330" i="9"/>
  <c r="N2330" i="9"/>
  <c r="M2330" i="9"/>
  <c r="K2330" i="9"/>
  <c r="L2330" i="9"/>
  <c r="T2326" i="9"/>
  <c r="V2326" i="9" s="1"/>
  <c r="O2326" i="9"/>
  <c r="P2326" i="9" s="1"/>
  <c r="U2326" i="9"/>
  <c r="N2326" i="9"/>
  <c r="M2326" i="9"/>
  <c r="K2326" i="9"/>
  <c r="L2326" i="9"/>
  <c r="T2322" i="9"/>
  <c r="V2322" i="9" s="1"/>
  <c r="O2322" i="9"/>
  <c r="P2322" i="9" s="1"/>
  <c r="U2322" i="9"/>
  <c r="N2322" i="9"/>
  <c r="M2322" i="9"/>
  <c r="K2322" i="9"/>
  <c r="L2322" i="9"/>
  <c r="T2318" i="9"/>
  <c r="V2318" i="9" s="1"/>
  <c r="O2318" i="9"/>
  <c r="P2318" i="9" s="1"/>
  <c r="U2318" i="9"/>
  <c r="N2318" i="9"/>
  <c r="M2318" i="9"/>
  <c r="K2318" i="9"/>
  <c r="L2318" i="9"/>
  <c r="T2314" i="9"/>
  <c r="V2314" i="9" s="1"/>
  <c r="O2314" i="9"/>
  <c r="P2314" i="9" s="1"/>
  <c r="U2314" i="9"/>
  <c r="N2314" i="9"/>
  <c r="M2314" i="9"/>
  <c r="K2314" i="9"/>
  <c r="L2314" i="9"/>
  <c r="T2310" i="9"/>
  <c r="V2310" i="9" s="1"/>
  <c r="O2310" i="9"/>
  <c r="P2310" i="9" s="1"/>
  <c r="U2310" i="9"/>
  <c r="N2310" i="9"/>
  <c r="M2310" i="9"/>
  <c r="K2310" i="9"/>
  <c r="L2310" i="9"/>
  <c r="T2306" i="9"/>
  <c r="V2306" i="9" s="1"/>
  <c r="O2306" i="9"/>
  <c r="P2306" i="9" s="1"/>
  <c r="U2306" i="9"/>
  <c r="N2306" i="9"/>
  <c r="M2306" i="9"/>
  <c r="K2306" i="9"/>
  <c r="L2306" i="9"/>
  <c r="T2302" i="9"/>
  <c r="V2302" i="9" s="1"/>
  <c r="O2302" i="9"/>
  <c r="P2302" i="9" s="1"/>
  <c r="U2302" i="9"/>
  <c r="N2302" i="9"/>
  <c r="M2302" i="9"/>
  <c r="K2302" i="9"/>
  <c r="L2302" i="9"/>
  <c r="T2298" i="9"/>
  <c r="V2298" i="9" s="1"/>
  <c r="O2298" i="9"/>
  <c r="P2298" i="9" s="1"/>
  <c r="N2298" i="9"/>
  <c r="M2298" i="9"/>
  <c r="K2298" i="9"/>
  <c r="L2298" i="9"/>
  <c r="U2298" i="9"/>
  <c r="T2294" i="9"/>
  <c r="V2294" i="9" s="1"/>
  <c r="O2294" i="9"/>
  <c r="P2294" i="9" s="1"/>
  <c r="U2294" i="9"/>
  <c r="N2294" i="9"/>
  <c r="M2294" i="9"/>
  <c r="K2294" i="9"/>
  <c r="L2294" i="9"/>
  <c r="T2290" i="9"/>
  <c r="V2290" i="9" s="1"/>
  <c r="O2290" i="9"/>
  <c r="P2290" i="9" s="1"/>
  <c r="U2290" i="9"/>
  <c r="N2290" i="9"/>
  <c r="M2290" i="9"/>
  <c r="K2290" i="9"/>
  <c r="L2290" i="9"/>
  <c r="T2286" i="9"/>
  <c r="V2286" i="9" s="1"/>
  <c r="O2286" i="9"/>
  <c r="P2286" i="9" s="1"/>
  <c r="U2286" i="9"/>
  <c r="N2286" i="9"/>
  <c r="M2286" i="9"/>
  <c r="K2286" i="9"/>
  <c r="L2286" i="9"/>
  <c r="T2282" i="9"/>
  <c r="V2282" i="9" s="1"/>
  <c r="O2282" i="9"/>
  <c r="P2282" i="9" s="1"/>
  <c r="N2282" i="9"/>
  <c r="M2282" i="9"/>
  <c r="U2282" i="9"/>
  <c r="K2282" i="9"/>
  <c r="L2282" i="9"/>
  <c r="T2278" i="9"/>
  <c r="V2278" i="9" s="1"/>
  <c r="O2278" i="9"/>
  <c r="P2278" i="9" s="1"/>
  <c r="U2278" i="9"/>
  <c r="N2278" i="9"/>
  <c r="M2278" i="9"/>
  <c r="K2278" i="9"/>
  <c r="L2278" i="9"/>
  <c r="T2274" i="9"/>
  <c r="V2274" i="9" s="1"/>
  <c r="O2274" i="9"/>
  <c r="P2274" i="9" s="1"/>
  <c r="U2274" i="9"/>
  <c r="N2274" i="9"/>
  <c r="M2274" i="9"/>
  <c r="K2274" i="9"/>
  <c r="L2274" i="9"/>
  <c r="T2270" i="9"/>
  <c r="V2270" i="9" s="1"/>
  <c r="O2270" i="9"/>
  <c r="P2270" i="9" s="1"/>
  <c r="U2270" i="9"/>
  <c r="N2270" i="9"/>
  <c r="M2270" i="9"/>
  <c r="K2270" i="9"/>
  <c r="L2270" i="9"/>
  <c r="T2266" i="9"/>
  <c r="V2266" i="9" s="1"/>
  <c r="O2266" i="9"/>
  <c r="P2266" i="9" s="1"/>
  <c r="U2266" i="9"/>
  <c r="N2266" i="9"/>
  <c r="M2266" i="9"/>
  <c r="K2266" i="9"/>
  <c r="L2266" i="9"/>
  <c r="T2262" i="9"/>
  <c r="V2262" i="9" s="1"/>
  <c r="O2262" i="9"/>
  <c r="P2262" i="9" s="1"/>
  <c r="U2262" i="9"/>
  <c r="N2262" i="9"/>
  <c r="M2262" i="9"/>
  <c r="K2262" i="9"/>
  <c r="L2262" i="9"/>
  <c r="T2258" i="9"/>
  <c r="V2258" i="9" s="1"/>
  <c r="O2258" i="9"/>
  <c r="P2258" i="9" s="1"/>
  <c r="U2258" i="9"/>
  <c r="N2258" i="9"/>
  <c r="M2258" i="9"/>
  <c r="K2258" i="9"/>
  <c r="L2258" i="9"/>
  <c r="T2254" i="9"/>
  <c r="V2254" i="9" s="1"/>
  <c r="O2254" i="9"/>
  <c r="P2254" i="9" s="1"/>
  <c r="U2254" i="9"/>
  <c r="N2254" i="9"/>
  <c r="M2254" i="9"/>
  <c r="K2254" i="9"/>
  <c r="L2254" i="9"/>
  <c r="T2250" i="9"/>
  <c r="V2250" i="9" s="1"/>
  <c r="O2250" i="9"/>
  <c r="P2250" i="9" s="1"/>
  <c r="U2250" i="9"/>
  <c r="N2250" i="9"/>
  <c r="M2250" i="9"/>
  <c r="K2250" i="9"/>
  <c r="L2250" i="9"/>
  <c r="T2246" i="9"/>
  <c r="V2246" i="9" s="1"/>
  <c r="O2246" i="9"/>
  <c r="P2246" i="9" s="1"/>
  <c r="U2246" i="9"/>
  <c r="N2246" i="9"/>
  <c r="M2246" i="9"/>
  <c r="K2246" i="9"/>
  <c r="L2246" i="9"/>
  <c r="T2242" i="9"/>
  <c r="V2242" i="9" s="1"/>
  <c r="O2242" i="9"/>
  <c r="P2242" i="9" s="1"/>
  <c r="U2242" i="9"/>
  <c r="N2242" i="9"/>
  <c r="M2242" i="9"/>
  <c r="K2242" i="9"/>
  <c r="L2242" i="9"/>
  <c r="T2238" i="9"/>
  <c r="V2238" i="9" s="1"/>
  <c r="O2238" i="9"/>
  <c r="P2238" i="9" s="1"/>
  <c r="U2238" i="9"/>
  <c r="N2238" i="9"/>
  <c r="M2238" i="9"/>
  <c r="K2238" i="9"/>
  <c r="L2238" i="9"/>
  <c r="T2234" i="9"/>
  <c r="V2234" i="9" s="1"/>
  <c r="O2234" i="9"/>
  <c r="P2234" i="9" s="1"/>
  <c r="N2234" i="9"/>
  <c r="M2234" i="9"/>
  <c r="K2234" i="9"/>
  <c r="U2234" i="9"/>
  <c r="L2234" i="9"/>
  <c r="T2230" i="9"/>
  <c r="V2230" i="9" s="1"/>
  <c r="O2230" i="9"/>
  <c r="P2230" i="9" s="1"/>
  <c r="U2230" i="9"/>
  <c r="N2230" i="9"/>
  <c r="M2230" i="9"/>
  <c r="K2230" i="9"/>
  <c r="L2230" i="9"/>
  <c r="T2226" i="9"/>
  <c r="V2226" i="9" s="1"/>
  <c r="O2226" i="9"/>
  <c r="P2226" i="9" s="1"/>
  <c r="U2226" i="9"/>
  <c r="N2226" i="9"/>
  <c r="M2226" i="9"/>
  <c r="K2226" i="9"/>
  <c r="L2226" i="9"/>
  <c r="T2222" i="9"/>
  <c r="V2222" i="9" s="1"/>
  <c r="O2222" i="9"/>
  <c r="P2222" i="9" s="1"/>
  <c r="U2222" i="9"/>
  <c r="N2222" i="9"/>
  <c r="M2222" i="9"/>
  <c r="K2222" i="9"/>
  <c r="L2222" i="9"/>
  <c r="T2218" i="9"/>
  <c r="V2218" i="9" s="1"/>
  <c r="O2218" i="9"/>
  <c r="P2218" i="9" s="1"/>
  <c r="N2218" i="9"/>
  <c r="M2218" i="9"/>
  <c r="U2218" i="9"/>
  <c r="K2218" i="9"/>
  <c r="L2218" i="9"/>
  <c r="T2214" i="9"/>
  <c r="V2214" i="9" s="1"/>
  <c r="O2214" i="9"/>
  <c r="P2214" i="9" s="1"/>
  <c r="U2214" i="9"/>
  <c r="N2214" i="9"/>
  <c r="M2214" i="9"/>
  <c r="K2214" i="9"/>
  <c r="L2214" i="9"/>
  <c r="T2210" i="9"/>
  <c r="V2210" i="9" s="1"/>
  <c r="O2210" i="9"/>
  <c r="P2210" i="9" s="1"/>
  <c r="U2210" i="9"/>
  <c r="N2210" i="9"/>
  <c r="M2210" i="9"/>
  <c r="K2210" i="9"/>
  <c r="L2210" i="9"/>
  <c r="T2206" i="9"/>
  <c r="V2206" i="9" s="1"/>
  <c r="O2206" i="9"/>
  <c r="P2206" i="9" s="1"/>
  <c r="U2206" i="9"/>
  <c r="N2206" i="9"/>
  <c r="M2206" i="9"/>
  <c r="K2206" i="9"/>
  <c r="L2206" i="9"/>
  <c r="T2202" i="9"/>
  <c r="V2202" i="9" s="1"/>
  <c r="O2202" i="9"/>
  <c r="P2202" i="9" s="1"/>
  <c r="U2202" i="9"/>
  <c r="N2202" i="9"/>
  <c r="M2202" i="9"/>
  <c r="K2202" i="9"/>
  <c r="L2202" i="9"/>
  <c r="T2198" i="9"/>
  <c r="V2198" i="9" s="1"/>
  <c r="O2198" i="9"/>
  <c r="P2198" i="9" s="1"/>
  <c r="U2198" i="9"/>
  <c r="N2198" i="9"/>
  <c r="M2198" i="9"/>
  <c r="K2198" i="9"/>
  <c r="L2198" i="9"/>
  <c r="T2194" i="9"/>
  <c r="V2194" i="9" s="1"/>
  <c r="O2194" i="9"/>
  <c r="P2194" i="9" s="1"/>
  <c r="U2194" i="9"/>
  <c r="N2194" i="9"/>
  <c r="M2194" i="9"/>
  <c r="K2194" i="9"/>
  <c r="L2194" i="9"/>
  <c r="T2190" i="9"/>
  <c r="V2190" i="9" s="1"/>
  <c r="O2190" i="9"/>
  <c r="P2190" i="9" s="1"/>
  <c r="U2190" i="9"/>
  <c r="N2190" i="9"/>
  <c r="M2190" i="9"/>
  <c r="K2190" i="9"/>
  <c r="L2190" i="9"/>
  <c r="T2186" i="9"/>
  <c r="V2186" i="9" s="1"/>
  <c r="O2186" i="9"/>
  <c r="P2186" i="9" s="1"/>
  <c r="U2186" i="9"/>
  <c r="N2186" i="9"/>
  <c r="M2186" i="9"/>
  <c r="K2186" i="9"/>
  <c r="L2186" i="9"/>
  <c r="T2182" i="9"/>
  <c r="V2182" i="9" s="1"/>
  <c r="O2182" i="9"/>
  <c r="P2182" i="9" s="1"/>
  <c r="U2182" i="9"/>
  <c r="N2182" i="9"/>
  <c r="M2182" i="9"/>
  <c r="K2182" i="9"/>
  <c r="L2182" i="9"/>
  <c r="T2178" i="9"/>
  <c r="V2178" i="9" s="1"/>
  <c r="O2178" i="9"/>
  <c r="P2178" i="9" s="1"/>
  <c r="U2178" i="9"/>
  <c r="N2178" i="9"/>
  <c r="M2178" i="9"/>
  <c r="K2178" i="9"/>
  <c r="L2178" i="9"/>
  <c r="T2174" i="9"/>
  <c r="V2174" i="9" s="1"/>
  <c r="O2174" i="9"/>
  <c r="P2174" i="9" s="1"/>
  <c r="U2174" i="9"/>
  <c r="N2174" i="9"/>
  <c r="M2174" i="9"/>
  <c r="K2174" i="9"/>
  <c r="L2174" i="9"/>
  <c r="T2170" i="9"/>
  <c r="V2170" i="9" s="1"/>
  <c r="O2170" i="9"/>
  <c r="P2170" i="9" s="1"/>
  <c r="N2170" i="9"/>
  <c r="M2170" i="9"/>
  <c r="U2170" i="9"/>
  <c r="K2170" i="9"/>
  <c r="L2170" i="9"/>
  <c r="T2166" i="9"/>
  <c r="V2166" i="9" s="1"/>
  <c r="O2166" i="9"/>
  <c r="P2166" i="9" s="1"/>
  <c r="U2166" i="9"/>
  <c r="N2166" i="9"/>
  <c r="M2166" i="9"/>
  <c r="K2166" i="9"/>
  <c r="L2166" i="9"/>
  <c r="T2162" i="9"/>
  <c r="V2162" i="9" s="1"/>
  <c r="O2162" i="9"/>
  <c r="P2162" i="9" s="1"/>
  <c r="U2162" i="9"/>
  <c r="N2162" i="9"/>
  <c r="M2162" i="9"/>
  <c r="K2162" i="9"/>
  <c r="L2162" i="9"/>
  <c r="T2158" i="9"/>
  <c r="V2158" i="9" s="1"/>
  <c r="O2158" i="9"/>
  <c r="P2158" i="9" s="1"/>
  <c r="U2158" i="9"/>
  <c r="N2158" i="9"/>
  <c r="M2158" i="9"/>
  <c r="K2158" i="9"/>
  <c r="L2158" i="9"/>
  <c r="T2154" i="9"/>
  <c r="V2154" i="9" s="1"/>
  <c r="O2154" i="9"/>
  <c r="P2154" i="9" s="1"/>
  <c r="N2154" i="9"/>
  <c r="M2154" i="9"/>
  <c r="U2154" i="9"/>
  <c r="K2154" i="9"/>
  <c r="L2154" i="9"/>
  <c r="T2150" i="9"/>
  <c r="V2150" i="9" s="1"/>
  <c r="O2150" i="9"/>
  <c r="P2150" i="9" s="1"/>
  <c r="U2150" i="9"/>
  <c r="N2150" i="9"/>
  <c r="M2150" i="9"/>
  <c r="K2150" i="9"/>
  <c r="L2150" i="9"/>
  <c r="T2146" i="9"/>
  <c r="V2146" i="9" s="1"/>
  <c r="O2146" i="9"/>
  <c r="P2146" i="9" s="1"/>
  <c r="U2146" i="9"/>
  <c r="N2146" i="9"/>
  <c r="M2146" i="9"/>
  <c r="K2146" i="9"/>
  <c r="L2146" i="9"/>
  <c r="T2142" i="9"/>
  <c r="V2142" i="9" s="1"/>
  <c r="O2142" i="9"/>
  <c r="P2142" i="9" s="1"/>
  <c r="U2142" i="9"/>
  <c r="N2142" i="9"/>
  <c r="M2142" i="9"/>
  <c r="K2142" i="9"/>
  <c r="L2142" i="9"/>
  <c r="T2138" i="9"/>
  <c r="V2138" i="9" s="1"/>
  <c r="O2138" i="9"/>
  <c r="P2138" i="9" s="1"/>
  <c r="U2138" i="9"/>
  <c r="N2138" i="9"/>
  <c r="M2138" i="9"/>
  <c r="K2138" i="9"/>
  <c r="L2138" i="9"/>
  <c r="T2134" i="9"/>
  <c r="V2134" i="9" s="1"/>
  <c r="O2134" i="9"/>
  <c r="P2134" i="9" s="1"/>
  <c r="U2134" i="9"/>
  <c r="N2134" i="9"/>
  <c r="M2134" i="9"/>
  <c r="K2134" i="9"/>
  <c r="L2134" i="9"/>
  <c r="T2130" i="9"/>
  <c r="V2130" i="9" s="1"/>
  <c r="O2130" i="9"/>
  <c r="P2130" i="9" s="1"/>
  <c r="U2130" i="9"/>
  <c r="N2130" i="9"/>
  <c r="M2130" i="9"/>
  <c r="K2130" i="9"/>
  <c r="L2130" i="9"/>
  <c r="T2126" i="9"/>
  <c r="V2126" i="9" s="1"/>
  <c r="O2126" i="9"/>
  <c r="P2126" i="9" s="1"/>
  <c r="U2126" i="9"/>
  <c r="N2126" i="9"/>
  <c r="M2126" i="9"/>
  <c r="K2126" i="9"/>
  <c r="L2126" i="9"/>
  <c r="T2122" i="9"/>
  <c r="V2122" i="9" s="1"/>
  <c r="O2122" i="9"/>
  <c r="P2122" i="9" s="1"/>
  <c r="U2122" i="9"/>
  <c r="N2122" i="9"/>
  <c r="M2122" i="9"/>
  <c r="K2122" i="9"/>
  <c r="L2122" i="9"/>
  <c r="T2118" i="9"/>
  <c r="V2118" i="9" s="1"/>
  <c r="O2118" i="9"/>
  <c r="P2118" i="9" s="1"/>
  <c r="U2118" i="9"/>
  <c r="N2118" i="9"/>
  <c r="M2118" i="9"/>
  <c r="K2118" i="9"/>
  <c r="L2118" i="9"/>
  <c r="T2114" i="9"/>
  <c r="V2114" i="9" s="1"/>
  <c r="O2114" i="9"/>
  <c r="P2114" i="9" s="1"/>
  <c r="U2114" i="9"/>
  <c r="N2114" i="9"/>
  <c r="M2114" i="9"/>
  <c r="K2114" i="9"/>
  <c r="L2114" i="9"/>
  <c r="T2110" i="9"/>
  <c r="V2110" i="9" s="1"/>
  <c r="O2110" i="9"/>
  <c r="P2110" i="9" s="1"/>
  <c r="U2110" i="9"/>
  <c r="N2110" i="9"/>
  <c r="M2110" i="9"/>
  <c r="K2110" i="9"/>
  <c r="L2110" i="9"/>
  <c r="T2106" i="9"/>
  <c r="V2106" i="9" s="1"/>
  <c r="O2106" i="9"/>
  <c r="P2106" i="9" s="1"/>
  <c r="N2106" i="9"/>
  <c r="M2106" i="9"/>
  <c r="K2106" i="9"/>
  <c r="L2106" i="9"/>
  <c r="U2106" i="9"/>
  <c r="T2102" i="9"/>
  <c r="V2102" i="9" s="1"/>
  <c r="O2102" i="9"/>
  <c r="P2102" i="9" s="1"/>
  <c r="U2102" i="9"/>
  <c r="N2102" i="9"/>
  <c r="M2102" i="9"/>
  <c r="K2102" i="9"/>
  <c r="L2102" i="9"/>
  <c r="T2098" i="9"/>
  <c r="V2098" i="9" s="1"/>
  <c r="O2098" i="9"/>
  <c r="P2098" i="9" s="1"/>
  <c r="U2098" i="9"/>
  <c r="N2098" i="9"/>
  <c r="M2098" i="9"/>
  <c r="K2098" i="9"/>
  <c r="L2098" i="9"/>
  <c r="T2094" i="9"/>
  <c r="V2094" i="9" s="1"/>
  <c r="O2094" i="9"/>
  <c r="P2094" i="9" s="1"/>
  <c r="U2094" i="9"/>
  <c r="N2094" i="9"/>
  <c r="M2094" i="9"/>
  <c r="K2094" i="9"/>
  <c r="L2094" i="9"/>
  <c r="T2090" i="9"/>
  <c r="V2090" i="9" s="1"/>
  <c r="O2090" i="9"/>
  <c r="P2090" i="9" s="1"/>
  <c r="N2090" i="9"/>
  <c r="M2090" i="9"/>
  <c r="U2090" i="9"/>
  <c r="K2090" i="9"/>
  <c r="L2090" i="9"/>
  <c r="T2086" i="9"/>
  <c r="V2086" i="9" s="1"/>
  <c r="O2086" i="9"/>
  <c r="P2086" i="9" s="1"/>
  <c r="U2086" i="9"/>
  <c r="N2086" i="9"/>
  <c r="M2086" i="9"/>
  <c r="K2086" i="9"/>
  <c r="L2086" i="9"/>
  <c r="T2082" i="9"/>
  <c r="V2082" i="9" s="1"/>
  <c r="O2082" i="9"/>
  <c r="P2082" i="9" s="1"/>
  <c r="U2082" i="9"/>
  <c r="N2082" i="9"/>
  <c r="M2082" i="9"/>
  <c r="K2082" i="9"/>
  <c r="L2082" i="9"/>
  <c r="T2078" i="9"/>
  <c r="V2078" i="9" s="1"/>
  <c r="O2078" i="9"/>
  <c r="P2078" i="9" s="1"/>
  <c r="U2078" i="9"/>
  <c r="N2078" i="9"/>
  <c r="M2078" i="9"/>
  <c r="K2078" i="9"/>
  <c r="L2078" i="9"/>
  <c r="T2074" i="9"/>
  <c r="V2074" i="9" s="1"/>
  <c r="O2074" i="9"/>
  <c r="P2074" i="9" s="1"/>
  <c r="U2074" i="9"/>
  <c r="N2074" i="9"/>
  <c r="M2074" i="9"/>
  <c r="K2074" i="9"/>
  <c r="L2074" i="9"/>
  <c r="T2070" i="9"/>
  <c r="V2070" i="9" s="1"/>
  <c r="O2070" i="9"/>
  <c r="P2070" i="9" s="1"/>
  <c r="U2070" i="9"/>
  <c r="N2070" i="9"/>
  <c r="M2070" i="9"/>
  <c r="K2070" i="9"/>
  <c r="L2070" i="9"/>
  <c r="T2066" i="9"/>
  <c r="V2066" i="9" s="1"/>
  <c r="O2066" i="9"/>
  <c r="P2066" i="9" s="1"/>
  <c r="U2066" i="9"/>
  <c r="N2066" i="9"/>
  <c r="M2066" i="9"/>
  <c r="K2066" i="9"/>
  <c r="L2066" i="9"/>
  <c r="T2062" i="9"/>
  <c r="V2062" i="9" s="1"/>
  <c r="O2062" i="9"/>
  <c r="P2062" i="9" s="1"/>
  <c r="U2062" i="9"/>
  <c r="N2062" i="9"/>
  <c r="M2062" i="9"/>
  <c r="K2062" i="9"/>
  <c r="L2062" i="9"/>
  <c r="T2058" i="9"/>
  <c r="V2058" i="9" s="1"/>
  <c r="O2058" i="9"/>
  <c r="P2058" i="9" s="1"/>
  <c r="U2058" i="9"/>
  <c r="N2058" i="9"/>
  <c r="M2058" i="9"/>
  <c r="K2058" i="9"/>
  <c r="L2058" i="9"/>
  <c r="T2054" i="9"/>
  <c r="V2054" i="9" s="1"/>
  <c r="O2054" i="9"/>
  <c r="P2054" i="9" s="1"/>
  <c r="U2054" i="9"/>
  <c r="N2054" i="9"/>
  <c r="M2054" i="9"/>
  <c r="K2054" i="9"/>
  <c r="L2054" i="9"/>
  <c r="T2050" i="9"/>
  <c r="V2050" i="9" s="1"/>
  <c r="O2050" i="9"/>
  <c r="P2050" i="9" s="1"/>
  <c r="U2050" i="9"/>
  <c r="N2050" i="9"/>
  <c r="M2050" i="9"/>
  <c r="K2050" i="9"/>
  <c r="L2050" i="9"/>
  <c r="T2046" i="9"/>
  <c r="V2046" i="9" s="1"/>
  <c r="O2046" i="9"/>
  <c r="P2046" i="9" s="1"/>
  <c r="U2046" i="9"/>
  <c r="N2046" i="9"/>
  <c r="M2046" i="9"/>
  <c r="K2046" i="9"/>
  <c r="L2046" i="9"/>
  <c r="T2042" i="9"/>
  <c r="V2042" i="9" s="1"/>
  <c r="O2042" i="9"/>
  <c r="P2042" i="9" s="1"/>
  <c r="N2042" i="9"/>
  <c r="M2042" i="9"/>
  <c r="K2042" i="9"/>
  <c r="L2042" i="9"/>
  <c r="U2042" i="9"/>
  <c r="T2038" i="9"/>
  <c r="V2038" i="9" s="1"/>
  <c r="O2038" i="9"/>
  <c r="P2038" i="9" s="1"/>
  <c r="U2038" i="9"/>
  <c r="N2038" i="9"/>
  <c r="M2038" i="9"/>
  <c r="K2038" i="9"/>
  <c r="L2038" i="9"/>
  <c r="T2034" i="9"/>
  <c r="V2034" i="9" s="1"/>
  <c r="O2034" i="9"/>
  <c r="P2034" i="9" s="1"/>
  <c r="U2034" i="9"/>
  <c r="N2034" i="9"/>
  <c r="M2034" i="9"/>
  <c r="K2034" i="9"/>
  <c r="L2034" i="9"/>
  <c r="T2030" i="9"/>
  <c r="V2030" i="9" s="1"/>
  <c r="O2030" i="9"/>
  <c r="P2030" i="9" s="1"/>
  <c r="U2030" i="9"/>
  <c r="N2030" i="9"/>
  <c r="M2030" i="9"/>
  <c r="K2030" i="9"/>
  <c r="L2030" i="9"/>
  <c r="T2026" i="9"/>
  <c r="V2026" i="9" s="1"/>
  <c r="O2026" i="9"/>
  <c r="P2026" i="9" s="1"/>
  <c r="N2026" i="9"/>
  <c r="M2026" i="9"/>
  <c r="U2026" i="9"/>
  <c r="K2026" i="9"/>
  <c r="L2026" i="9"/>
  <c r="T2022" i="9"/>
  <c r="V2022" i="9" s="1"/>
  <c r="O2022" i="9"/>
  <c r="P2022" i="9" s="1"/>
  <c r="U2022" i="9"/>
  <c r="N2022" i="9"/>
  <c r="M2022" i="9"/>
  <c r="K2022" i="9"/>
  <c r="L2022" i="9"/>
  <c r="T2018" i="9"/>
  <c r="V2018" i="9" s="1"/>
  <c r="O2018" i="9"/>
  <c r="P2018" i="9" s="1"/>
  <c r="U2018" i="9"/>
  <c r="N2018" i="9"/>
  <c r="M2018" i="9"/>
  <c r="K2018" i="9"/>
  <c r="L2018" i="9"/>
  <c r="T2014" i="9"/>
  <c r="V2014" i="9" s="1"/>
  <c r="O2014" i="9"/>
  <c r="P2014" i="9" s="1"/>
  <c r="U2014" i="9"/>
  <c r="N2014" i="9"/>
  <c r="M2014" i="9"/>
  <c r="K2014" i="9"/>
  <c r="L2014" i="9"/>
  <c r="T2010" i="9"/>
  <c r="V2010" i="9" s="1"/>
  <c r="O2010" i="9"/>
  <c r="P2010" i="9" s="1"/>
  <c r="U2010" i="9"/>
  <c r="N2010" i="9"/>
  <c r="M2010" i="9"/>
  <c r="K2010" i="9"/>
  <c r="L2010" i="9"/>
  <c r="T2006" i="9"/>
  <c r="V2006" i="9" s="1"/>
  <c r="O2006" i="9"/>
  <c r="P2006" i="9" s="1"/>
  <c r="U2006" i="9"/>
  <c r="N2006" i="9"/>
  <c r="M2006" i="9"/>
  <c r="K2006" i="9"/>
  <c r="L2006" i="9"/>
  <c r="T2002" i="9"/>
  <c r="V2002" i="9" s="1"/>
  <c r="O2002" i="9"/>
  <c r="P2002" i="9" s="1"/>
  <c r="U2002" i="9"/>
  <c r="N2002" i="9"/>
  <c r="M2002" i="9"/>
  <c r="K2002" i="9"/>
  <c r="L2002" i="9"/>
  <c r="T1998" i="9"/>
  <c r="V1998" i="9" s="1"/>
  <c r="O1998" i="9"/>
  <c r="P1998" i="9" s="1"/>
  <c r="U1998" i="9"/>
  <c r="N1998" i="9"/>
  <c r="M1998" i="9"/>
  <c r="K1998" i="9"/>
  <c r="L1998" i="9"/>
  <c r="T1994" i="9"/>
  <c r="V1994" i="9" s="1"/>
  <c r="O1994" i="9"/>
  <c r="P1994" i="9" s="1"/>
  <c r="U1994" i="9"/>
  <c r="N1994" i="9"/>
  <c r="M1994" i="9"/>
  <c r="K1994" i="9"/>
  <c r="L1994" i="9"/>
  <c r="T1990" i="9"/>
  <c r="V1990" i="9" s="1"/>
  <c r="O1990" i="9"/>
  <c r="P1990" i="9" s="1"/>
  <c r="U1990" i="9"/>
  <c r="N1990" i="9"/>
  <c r="M1990" i="9"/>
  <c r="K1990" i="9"/>
  <c r="L1990" i="9"/>
  <c r="T1986" i="9"/>
  <c r="V1986" i="9" s="1"/>
  <c r="O1986" i="9"/>
  <c r="P1986" i="9" s="1"/>
  <c r="U1986" i="9"/>
  <c r="N1986" i="9"/>
  <c r="M1986" i="9"/>
  <c r="K1986" i="9"/>
  <c r="L1986" i="9"/>
  <c r="T1982" i="9"/>
  <c r="V1982" i="9" s="1"/>
  <c r="O1982" i="9"/>
  <c r="P1982" i="9" s="1"/>
  <c r="U1982" i="9"/>
  <c r="N1982" i="9"/>
  <c r="M1982" i="9"/>
  <c r="K1982" i="9"/>
  <c r="L1982" i="9"/>
  <c r="T1978" i="9"/>
  <c r="V1978" i="9" s="1"/>
  <c r="O1978" i="9"/>
  <c r="P1978" i="9" s="1"/>
  <c r="N1978" i="9"/>
  <c r="M1978" i="9"/>
  <c r="K1978" i="9"/>
  <c r="U1978" i="9"/>
  <c r="L1978" i="9"/>
  <c r="T1974" i="9"/>
  <c r="V1974" i="9" s="1"/>
  <c r="O1974" i="9"/>
  <c r="P1974" i="9" s="1"/>
  <c r="U1974" i="9"/>
  <c r="N1974" i="9"/>
  <c r="M1974" i="9"/>
  <c r="K1974" i="9"/>
  <c r="L1974" i="9"/>
  <c r="T1970" i="9"/>
  <c r="V1970" i="9" s="1"/>
  <c r="O1970" i="9"/>
  <c r="P1970" i="9" s="1"/>
  <c r="U1970" i="9"/>
  <c r="N1970" i="9"/>
  <c r="M1970" i="9"/>
  <c r="K1970" i="9"/>
  <c r="L1970" i="9"/>
  <c r="T1966" i="9"/>
  <c r="V1966" i="9" s="1"/>
  <c r="O1966" i="9"/>
  <c r="P1966" i="9" s="1"/>
  <c r="U1966" i="9"/>
  <c r="N1966" i="9"/>
  <c r="M1966" i="9"/>
  <c r="K1966" i="9"/>
  <c r="L1966" i="9"/>
  <c r="T1962" i="9"/>
  <c r="V1962" i="9" s="1"/>
  <c r="O1962" i="9"/>
  <c r="P1962" i="9" s="1"/>
  <c r="N1962" i="9"/>
  <c r="M1962" i="9"/>
  <c r="U1962" i="9"/>
  <c r="K1962" i="9"/>
  <c r="L1962" i="9"/>
  <c r="T1958" i="9"/>
  <c r="V1958" i="9" s="1"/>
  <c r="O1958" i="9"/>
  <c r="P1958" i="9" s="1"/>
  <c r="U1958" i="9"/>
  <c r="N1958" i="9"/>
  <c r="M1958" i="9"/>
  <c r="K1958" i="9"/>
  <c r="L1958" i="9"/>
  <c r="T1954" i="9"/>
  <c r="V1954" i="9" s="1"/>
  <c r="O1954" i="9"/>
  <c r="P1954" i="9" s="1"/>
  <c r="U1954" i="9"/>
  <c r="N1954" i="9"/>
  <c r="M1954" i="9"/>
  <c r="K1954" i="9"/>
  <c r="L1954" i="9"/>
  <c r="T1950" i="9"/>
  <c r="V1950" i="9" s="1"/>
  <c r="O1950" i="9"/>
  <c r="P1950" i="9" s="1"/>
  <c r="U1950" i="9"/>
  <c r="N1950" i="9"/>
  <c r="M1950" i="9"/>
  <c r="K1950" i="9"/>
  <c r="L1950" i="9"/>
  <c r="T1946" i="9"/>
  <c r="V1946" i="9" s="1"/>
  <c r="O1946" i="9"/>
  <c r="P1946" i="9" s="1"/>
  <c r="U1946" i="9"/>
  <c r="N1946" i="9"/>
  <c r="M1946" i="9"/>
  <c r="K1946" i="9"/>
  <c r="L1946" i="9"/>
  <c r="T1942" i="9"/>
  <c r="V1942" i="9" s="1"/>
  <c r="O1942" i="9"/>
  <c r="P1942" i="9" s="1"/>
  <c r="U1942" i="9"/>
  <c r="N1942" i="9"/>
  <c r="M1942" i="9"/>
  <c r="K1942" i="9"/>
  <c r="L1942" i="9"/>
  <c r="T1938" i="9"/>
  <c r="V1938" i="9" s="1"/>
  <c r="O1938" i="9"/>
  <c r="P1938" i="9" s="1"/>
  <c r="U1938" i="9"/>
  <c r="N1938" i="9"/>
  <c r="M1938" i="9"/>
  <c r="K1938" i="9"/>
  <c r="L1938" i="9"/>
  <c r="T1934" i="9"/>
  <c r="V1934" i="9" s="1"/>
  <c r="O1934" i="9"/>
  <c r="P1934" i="9" s="1"/>
  <c r="U1934" i="9"/>
  <c r="N1934" i="9"/>
  <c r="M1934" i="9"/>
  <c r="K1934" i="9"/>
  <c r="L1934" i="9"/>
  <c r="T1930" i="9"/>
  <c r="V1930" i="9" s="1"/>
  <c r="O1930" i="9"/>
  <c r="P1930" i="9" s="1"/>
  <c r="U1930" i="9"/>
  <c r="N1930" i="9"/>
  <c r="M1930" i="9"/>
  <c r="K1930" i="9"/>
  <c r="L1930" i="9"/>
  <c r="T1926" i="9"/>
  <c r="V1926" i="9" s="1"/>
  <c r="O1926" i="9"/>
  <c r="P1926" i="9" s="1"/>
  <c r="U1926" i="9"/>
  <c r="N1926" i="9"/>
  <c r="M1926" i="9"/>
  <c r="K1926" i="9"/>
  <c r="L1926" i="9"/>
  <c r="T1922" i="9"/>
  <c r="V1922" i="9" s="1"/>
  <c r="O1922" i="9"/>
  <c r="P1922" i="9" s="1"/>
  <c r="U1922" i="9"/>
  <c r="N1922" i="9"/>
  <c r="M1922" i="9"/>
  <c r="K1922" i="9"/>
  <c r="L1922" i="9"/>
  <c r="T1918" i="9"/>
  <c r="V1918" i="9" s="1"/>
  <c r="O1918" i="9"/>
  <c r="P1918" i="9" s="1"/>
  <c r="U1918" i="9"/>
  <c r="N1918" i="9"/>
  <c r="M1918" i="9"/>
  <c r="K1918" i="9"/>
  <c r="L1918" i="9"/>
  <c r="T1914" i="9"/>
  <c r="V1914" i="9" s="1"/>
  <c r="O1914" i="9"/>
  <c r="P1914" i="9" s="1"/>
  <c r="N1914" i="9"/>
  <c r="M1914" i="9"/>
  <c r="U1914" i="9"/>
  <c r="K1914" i="9"/>
  <c r="L1914" i="9"/>
  <c r="T1910" i="9"/>
  <c r="V1910" i="9" s="1"/>
  <c r="O1910" i="9"/>
  <c r="P1910" i="9" s="1"/>
  <c r="U1910" i="9"/>
  <c r="N1910" i="9"/>
  <c r="M1910" i="9"/>
  <c r="K1910" i="9"/>
  <c r="L1910" i="9"/>
  <c r="T1906" i="9"/>
  <c r="V1906" i="9" s="1"/>
  <c r="O1906" i="9"/>
  <c r="P1906" i="9" s="1"/>
  <c r="U1906" i="9"/>
  <c r="N1906" i="9"/>
  <c r="M1906" i="9"/>
  <c r="K1906" i="9"/>
  <c r="L1906" i="9"/>
  <c r="T1902" i="9"/>
  <c r="V1902" i="9" s="1"/>
  <c r="O1902" i="9"/>
  <c r="P1902" i="9" s="1"/>
  <c r="U1902" i="9"/>
  <c r="N1902" i="9"/>
  <c r="M1902" i="9"/>
  <c r="K1902" i="9"/>
  <c r="L1902" i="9"/>
  <c r="T1898" i="9"/>
  <c r="V1898" i="9" s="1"/>
  <c r="O1898" i="9"/>
  <c r="P1898" i="9" s="1"/>
  <c r="N1898" i="9"/>
  <c r="M1898" i="9"/>
  <c r="U1898" i="9"/>
  <c r="K1898" i="9"/>
  <c r="L1898" i="9"/>
  <c r="T1894" i="9"/>
  <c r="V1894" i="9" s="1"/>
  <c r="O1894" i="9"/>
  <c r="P1894" i="9" s="1"/>
  <c r="U1894" i="9"/>
  <c r="N1894" i="9"/>
  <c r="M1894" i="9"/>
  <c r="K1894" i="9"/>
  <c r="L1894" i="9"/>
  <c r="T1890" i="9"/>
  <c r="V1890" i="9" s="1"/>
  <c r="O1890" i="9"/>
  <c r="P1890" i="9" s="1"/>
  <c r="U1890" i="9"/>
  <c r="N1890" i="9"/>
  <c r="M1890" i="9"/>
  <c r="K1890" i="9"/>
  <c r="L1890" i="9"/>
  <c r="T1886" i="9"/>
  <c r="V1886" i="9" s="1"/>
  <c r="O1886" i="9"/>
  <c r="P1886" i="9" s="1"/>
  <c r="U1886" i="9"/>
  <c r="N1886" i="9"/>
  <c r="M1886" i="9"/>
  <c r="K1886" i="9"/>
  <c r="L1886" i="9"/>
  <c r="T1882" i="9"/>
  <c r="V1882" i="9" s="1"/>
  <c r="O1882" i="9"/>
  <c r="P1882" i="9" s="1"/>
  <c r="U1882" i="9"/>
  <c r="N1882" i="9"/>
  <c r="M1882" i="9"/>
  <c r="K1882" i="9"/>
  <c r="L1882" i="9"/>
  <c r="T1878" i="9"/>
  <c r="V1878" i="9" s="1"/>
  <c r="O1878" i="9"/>
  <c r="P1878" i="9" s="1"/>
  <c r="U1878" i="9"/>
  <c r="N1878" i="9"/>
  <c r="M1878" i="9"/>
  <c r="K1878" i="9"/>
  <c r="L1878" i="9"/>
  <c r="T1874" i="9"/>
  <c r="V1874" i="9" s="1"/>
  <c r="O1874" i="9"/>
  <c r="P1874" i="9" s="1"/>
  <c r="U1874" i="9"/>
  <c r="N1874" i="9"/>
  <c r="M1874" i="9"/>
  <c r="K1874" i="9"/>
  <c r="L1874" i="9"/>
  <c r="T1870" i="9"/>
  <c r="V1870" i="9" s="1"/>
  <c r="O1870" i="9"/>
  <c r="P1870" i="9" s="1"/>
  <c r="U1870" i="9"/>
  <c r="N1870" i="9"/>
  <c r="M1870" i="9"/>
  <c r="K1870" i="9"/>
  <c r="L1870" i="9"/>
  <c r="T1866" i="9"/>
  <c r="V1866" i="9" s="1"/>
  <c r="O1866" i="9"/>
  <c r="P1866" i="9" s="1"/>
  <c r="U1866" i="9"/>
  <c r="N1866" i="9"/>
  <c r="M1866" i="9"/>
  <c r="K1866" i="9"/>
  <c r="L1866" i="9"/>
  <c r="T1862" i="9"/>
  <c r="V1862" i="9" s="1"/>
  <c r="O1862" i="9"/>
  <c r="P1862" i="9" s="1"/>
  <c r="U1862" i="9"/>
  <c r="N1862" i="9"/>
  <c r="M1862" i="9"/>
  <c r="K1862" i="9"/>
  <c r="L1862" i="9"/>
  <c r="T1858" i="9"/>
  <c r="V1858" i="9" s="1"/>
  <c r="O1858" i="9"/>
  <c r="P1858" i="9" s="1"/>
  <c r="U1858" i="9"/>
  <c r="N1858" i="9"/>
  <c r="M1858" i="9"/>
  <c r="K1858" i="9"/>
  <c r="L1858" i="9"/>
  <c r="T1854" i="9"/>
  <c r="V1854" i="9" s="1"/>
  <c r="O1854" i="9"/>
  <c r="P1854" i="9" s="1"/>
  <c r="U1854" i="9"/>
  <c r="N1854" i="9"/>
  <c r="M1854" i="9"/>
  <c r="K1854" i="9"/>
  <c r="L1854" i="9"/>
  <c r="T1850" i="9"/>
  <c r="V1850" i="9" s="1"/>
  <c r="O1850" i="9"/>
  <c r="P1850" i="9" s="1"/>
  <c r="N1850" i="9"/>
  <c r="M1850" i="9"/>
  <c r="K1850" i="9"/>
  <c r="L1850" i="9"/>
  <c r="U1850" i="9"/>
  <c r="T1846" i="9"/>
  <c r="V1846" i="9" s="1"/>
  <c r="O1846" i="9"/>
  <c r="P1846" i="9" s="1"/>
  <c r="U1846" i="9"/>
  <c r="N1846" i="9"/>
  <c r="M1846" i="9"/>
  <c r="K1846" i="9"/>
  <c r="L1846" i="9"/>
  <c r="T1842" i="9"/>
  <c r="V1842" i="9" s="1"/>
  <c r="O1842" i="9"/>
  <c r="P1842" i="9" s="1"/>
  <c r="U1842" i="9"/>
  <c r="N1842" i="9"/>
  <c r="M1842" i="9"/>
  <c r="K1842" i="9"/>
  <c r="L1842" i="9"/>
  <c r="T1838" i="9"/>
  <c r="V1838" i="9" s="1"/>
  <c r="O1838" i="9"/>
  <c r="P1838" i="9" s="1"/>
  <c r="U1838" i="9"/>
  <c r="N1838" i="9"/>
  <c r="M1838" i="9"/>
  <c r="K1838" i="9"/>
  <c r="L1838" i="9"/>
  <c r="T1834" i="9"/>
  <c r="V1834" i="9" s="1"/>
  <c r="O1834" i="9"/>
  <c r="P1834" i="9" s="1"/>
  <c r="N1834" i="9"/>
  <c r="M1834" i="9"/>
  <c r="U1834" i="9"/>
  <c r="K1834" i="9"/>
  <c r="L1834" i="9"/>
  <c r="T1830" i="9"/>
  <c r="V1830" i="9" s="1"/>
  <c r="O1830" i="9"/>
  <c r="P1830" i="9" s="1"/>
  <c r="U1830" i="9"/>
  <c r="N1830" i="9"/>
  <c r="M1830" i="9"/>
  <c r="K1830" i="9"/>
  <c r="L1830" i="9"/>
  <c r="T1826" i="9"/>
  <c r="V1826" i="9" s="1"/>
  <c r="O1826" i="9"/>
  <c r="P1826" i="9" s="1"/>
  <c r="U1826" i="9"/>
  <c r="N1826" i="9"/>
  <c r="M1826" i="9"/>
  <c r="K1826" i="9"/>
  <c r="L1826" i="9"/>
  <c r="T1822" i="9"/>
  <c r="V1822" i="9" s="1"/>
  <c r="O1822" i="9"/>
  <c r="P1822" i="9" s="1"/>
  <c r="U1822" i="9"/>
  <c r="N1822" i="9"/>
  <c r="M1822" i="9"/>
  <c r="K1822" i="9"/>
  <c r="L1822" i="9"/>
  <c r="T1818" i="9"/>
  <c r="V1818" i="9" s="1"/>
  <c r="O1818" i="9"/>
  <c r="P1818" i="9" s="1"/>
  <c r="U1818" i="9"/>
  <c r="N1818" i="9"/>
  <c r="M1818" i="9"/>
  <c r="K1818" i="9"/>
  <c r="L1818" i="9"/>
  <c r="T1814" i="9"/>
  <c r="V1814" i="9" s="1"/>
  <c r="O1814" i="9"/>
  <c r="P1814" i="9" s="1"/>
  <c r="U1814" i="9"/>
  <c r="N1814" i="9"/>
  <c r="M1814" i="9"/>
  <c r="K1814" i="9"/>
  <c r="L1814" i="9"/>
  <c r="T1810" i="9"/>
  <c r="V1810" i="9" s="1"/>
  <c r="O1810" i="9"/>
  <c r="P1810" i="9" s="1"/>
  <c r="U1810" i="9"/>
  <c r="N1810" i="9"/>
  <c r="M1810" i="9"/>
  <c r="K1810" i="9"/>
  <c r="L1810" i="9"/>
  <c r="T1806" i="9"/>
  <c r="V1806" i="9" s="1"/>
  <c r="O1806" i="9"/>
  <c r="P1806" i="9" s="1"/>
  <c r="U1806" i="9"/>
  <c r="N1806" i="9"/>
  <c r="M1806" i="9"/>
  <c r="K1806" i="9"/>
  <c r="L1806" i="9"/>
  <c r="T1802" i="9"/>
  <c r="V1802" i="9" s="1"/>
  <c r="O1802" i="9"/>
  <c r="P1802" i="9" s="1"/>
  <c r="U1802" i="9"/>
  <c r="N1802" i="9"/>
  <c r="M1802" i="9"/>
  <c r="K1802" i="9"/>
  <c r="L1802" i="9"/>
  <c r="T1798" i="9"/>
  <c r="V1798" i="9" s="1"/>
  <c r="O1798" i="9"/>
  <c r="P1798" i="9" s="1"/>
  <c r="U1798" i="9"/>
  <c r="N1798" i="9"/>
  <c r="M1798" i="9"/>
  <c r="K1798" i="9"/>
  <c r="L1798" i="9"/>
  <c r="T1794" i="9"/>
  <c r="V1794" i="9" s="1"/>
  <c r="O1794" i="9"/>
  <c r="P1794" i="9" s="1"/>
  <c r="U1794" i="9"/>
  <c r="N1794" i="9"/>
  <c r="M1794" i="9"/>
  <c r="K1794" i="9"/>
  <c r="L1794" i="9"/>
  <c r="T1790" i="9"/>
  <c r="V1790" i="9" s="1"/>
  <c r="O1790" i="9"/>
  <c r="P1790" i="9" s="1"/>
  <c r="U1790" i="9"/>
  <c r="N1790" i="9"/>
  <c r="M1790" i="9"/>
  <c r="K1790" i="9"/>
  <c r="L1790" i="9"/>
  <c r="T1786" i="9"/>
  <c r="V1786" i="9" s="1"/>
  <c r="O1786" i="9"/>
  <c r="P1786" i="9" s="1"/>
  <c r="N1786" i="9"/>
  <c r="M1786" i="9"/>
  <c r="K1786" i="9"/>
  <c r="L1786" i="9"/>
  <c r="U1786" i="9"/>
  <c r="T1782" i="9"/>
  <c r="V1782" i="9" s="1"/>
  <c r="O1782" i="9"/>
  <c r="P1782" i="9" s="1"/>
  <c r="U1782" i="9"/>
  <c r="N1782" i="9"/>
  <c r="M1782" i="9"/>
  <c r="K1782" i="9"/>
  <c r="L1782" i="9"/>
  <c r="T1778" i="9"/>
  <c r="V1778" i="9" s="1"/>
  <c r="O1778" i="9"/>
  <c r="P1778" i="9" s="1"/>
  <c r="U1778" i="9"/>
  <c r="N1778" i="9"/>
  <c r="M1778" i="9"/>
  <c r="K1778" i="9"/>
  <c r="L1778" i="9"/>
  <c r="T1774" i="9"/>
  <c r="V1774" i="9" s="1"/>
  <c r="O1774" i="9"/>
  <c r="P1774" i="9" s="1"/>
  <c r="U1774" i="9"/>
  <c r="N1774" i="9"/>
  <c r="M1774" i="9"/>
  <c r="K1774" i="9"/>
  <c r="L1774" i="9"/>
  <c r="T1770" i="9"/>
  <c r="V1770" i="9" s="1"/>
  <c r="O1770" i="9"/>
  <c r="P1770" i="9" s="1"/>
  <c r="N1770" i="9"/>
  <c r="M1770" i="9"/>
  <c r="U1770" i="9"/>
  <c r="K1770" i="9"/>
  <c r="L1770" i="9"/>
  <c r="T1766" i="9"/>
  <c r="V1766" i="9" s="1"/>
  <c r="O1766" i="9"/>
  <c r="P1766" i="9" s="1"/>
  <c r="U1766" i="9"/>
  <c r="N1766" i="9"/>
  <c r="M1766" i="9"/>
  <c r="K1766" i="9"/>
  <c r="L1766" i="9"/>
  <c r="T1762" i="9"/>
  <c r="V1762" i="9" s="1"/>
  <c r="O1762" i="9"/>
  <c r="P1762" i="9" s="1"/>
  <c r="U1762" i="9"/>
  <c r="N1762" i="9"/>
  <c r="M1762" i="9"/>
  <c r="K1762" i="9"/>
  <c r="L1762" i="9"/>
  <c r="T1758" i="9"/>
  <c r="V1758" i="9" s="1"/>
  <c r="O1758" i="9"/>
  <c r="P1758" i="9" s="1"/>
  <c r="U1758" i="9"/>
  <c r="N1758" i="9"/>
  <c r="M1758" i="9"/>
  <c r="K1758" i="9"/>
  <c r="L1758" i="9"/>
  <c r="T1754" i="9"/>
  <c r="V1754" i="9" s="1"/>
  <c r="O1754" i="9"/>
  <c r="P1754" i="9" s="1"/>
  <c r="U1754" i="9"/>
  <c r="N1754" i="9"/>
  <c r="M1754" i="9"/>
  <c r="K1754" i="9"/>
  <c r="L1754" i="9"/>
  <c r="T1750" i="9"/>
  <c r="V1750" i="9" s="1"/>
  <c r="O1750" i="9"/>
  <c r="P1750" i="9" s="1"/>
  <c r="U1750" i="9"/>
  <c r="N1750" i="9"/>
  <c r="M1750" i="9"/>
  <c r="K1750" i="9"/>
  <c r="L1750" i="9"/>
  <c r="T1746" i="9"/>
  <c r="V1746" i="9" s="1"/>
  <c r="O1746" i="9"/>
  <c r="P1746" i="9" s="1"/>
  <c r="U1746" i="9"/>
  <c r="N1746" i="9"/>
  <c r="M1746" i="9"/>
  <c r="K1746" i="9"/>
  <c r="L1746" i="9"/>
  <c r="T1742" i="9"/>
  <c r="V1742" i="9" s="1"/>
  <c r="O1742" i="9"/>
  <c r="P1742" i="9" s="1"/>
  <c r="U1742" i="9"/>
  <c r="N1742" i="9"/>
  <c r="M1742" i="9"/>
  <c r="K1742" i="9"/>
  <c r="L1742" i="9"/>
  <c r="T1738" i="9"/>
  <c r="V1738" i="9" s="1"/>
  <c r="O1738" i="9"/>
  <c r="P1738" i="9" s="1"/>
  <c r="U1738" i="9"/>
  <c r="N1738" i="9"/>
  <c r="M1738" i="9"/>
  <c r="K1738" i="9"/>
  <c r="L1738" i="9"/>
  <c r="T1734" i="9"/>
  <c r="V1734" i="9" s="1"/>
  <c r="O1734" i="9"/>
  <c r="P1734" i="9" s="1"/>
  <c r="U1734" i="9"/>
  <c r="N1734" i="9"/>
  <c r="M1734" i="9"/>
  <c r="K1734" i="9"/>
  <c r="L1734" i="9"/>
  <c r="T1730" i="9"/>
  <c r="V1730" i="9" s="1"/>
  <c r="O1730" i="9"/>
  <c r="P1730" i="9" s="1"/>
  <c r="U1730" i="9"/>
  <c r="N1730" i="9"/>
  <c r="M1730" i="9"/>
  <c r="K1730" i="9"/>
  <c r="L1730" i="9"/>
  <c r="T1726" i="9"/>
  <c r="V1726" i="9" s="1"/>
  <c r="O1726" i="9"/>
  <c r="P1726" i="9" s="1"/>
  <c r="U1726" i="9"/>
  <c r="N1726" i="9"/>
  <c r="M1726" i="9"/>
  <c r="K1726" i="9"/>
  <c r="L1726" i="9"/>
  <c r="T1722" i="9"/>
  <c r="V1722" i="9" s="1"/>
  <c r="O1722" i="9"/>
  <c r="P1722" i="9" s="1"/>
  <c r="N1722" i="9"/>
  <c r="M1722" i="9"/>
  <c r="K1722" i="9"/>
  <c r="U1722" i="9"/>
  <c r="L1722" i="9"/>
  <c r="T1718" i="9"/>
  <c r="V1718" i="9" s="1"/>
  <c r="O1718" i="9"/>
  <c r="P1718" i="9" s="1"/>
  <c r="U1718" i="9"/>
  <c r="N1718" i="9"/>
  <c r="M1718" i="9"/>
  <c r="K1718" i="9"/>
  <c r="L1718" i="9"/>
  <c r="T1714" i="9"/>
  <c r="V1714" i="9" s="1"/>
  <c r="O1714" i="9"/>
  <c r="P1714" i="9" s="1"/>
  <c r="U1714" i="9"/>
  <c r="N1714" i="9"/>
  <c r="M1714" i="9"/>
  <c r="K1714" i="9"/>
  <c r="L1714" i="9"/>
  <c r="T1710" i="9"/>
  <c r="V1710" i="9" s="1"/>
  <c r="O1710" i="9"/>
  <c r="P1710" i="9" s="1"/>
  <c r="U1710" i="9"/>
  <c r="N1710" i="9"/>
  <c r="M1710" i="9"/>
  <c r="K1710" i="9"/>
  <c r="L1710" i="9"/>
  <c r="T1706" i="9"/>
  <c r="V1706" i="9" s="1"/>
  <c r="O1706" i="9"/>
  <c r="P1706" i="9" s="1"/>
  <c r="N1706" i="9"/>
  <c r="M1706" i="9"/>
  <c r="U1706" i="9"/>
  <c r="K1706" i="9"/>
  <c r="L1706" i="9"/>
  <c r="T1702" i="9"/>
  <c r="V1702" i="9" s="1"/>
  <c r="O1702" i="9"/>
  <c r="P1702" i="9" s="1"/>
  <c r="U1702" i="9"/>
  <c r="N1702" i="9"/>
  <c r="M1702" i="9"/>
  <c r="K1702" i="9"/>
  <c r="L1702" i="9"/>
  <c r="T1698" i="9"/>
  <c r="V1698" i="9" s="1"/>
  <c r="O1698" i="9"/>
  <c r="P1698" i="9" s="1"/>
  <c r="U1698" i="9"/>
  <c r="N1698" i="9"/>
  <c r="M1698" i="9"/>
  <c r="K1698" i="9"/>
  <c r="L1698" i="9"/>
  <c r="T1694" i="9"/>
  <c r="V1694" i="9" s="1"/>
  <c r="O1694" i="9"/>
  <c r="P1694" i="9" s="1"/>
  <c r="U1694" i="9"/>
  <c r="N1694" i="9"/>
  <c r="M1694" i="9"/>
  <c r="K1694" i="9"/>
  <c r="L1694" i="9"/>
  <c r="T1690" i="9"/>
  <c r="V1690" i="9" s="1"/>
  <c r="O1690" i="9"/>
  <c r="P1690" i="9" s="1"/>
  <c r="U1690" i="9"/>
  <c r="N1690" i="9"/>
  <c r="M1690" i="9"/>
  <c r="K1690" i="9"/>
  <c r="L1690" i="9"/>
  <c r="T1686" i="9"/>
  <c r="V1686" i="9" s="1"/>
  <c r="O1686" i="9"/>
  <c r="P1686" i="9" s="1"/>
  <c r="U1686" i="9"/>
  <c r="N1686" i="9"/>
  <c r="M1686" i="9"/>
  <c r="K1686" i="9"/>
  <c r="L1686" i="9"/>
  <c r="T1682" i="9"/>
  <c r="V1682" i="9" s="1"/>
  <c r="O1682" i="9"/>
  <c r="P1682" i="9" s="1"/>
  <c r="U1682" i="9"/>
  <c r="N1682" i="9"/>
  <c r="M1682" i="9"/>
  <c r="K1682" i="9"/>
  <c r="L1682" i="9"/>
  <c r="T1678" i="9"/>
  <c r="V1678" i="9" s="1"/>
  <c r="O1678" i="9"/>
  <c r="P1678" i="9" s="1"/>
  <c r="U1678" i="9"/>
  <c r="N1678" i="9"/>
  <c r="M1678" i="9"/>
  <c r="K1678" i="9"/>
  <c r="L1678" i="9"/>
  <c r="T1674" i="9"/>
  <c r="V1674" i="9" s="1"/>
  <c r="O1674" i="9"/>
  <c r="P1674" i="9" s="1"/>
  <c r="U1674" i="9"/>
  <c r="N1674" i="9"/>
  <c r="M1674" i="9"/>
  <c r="K1674" i="9"/>
  <c r="L1674" i="9"/>
  <c r="T1670" i="9"/>
  <c r="V1670" i="9" s="1"/>
  <c r="O1670" i="9"/>
  <c r="P1670" i="9" s="1"/>
  <c r="U1670" i="9"/>
  <c r="N1670" i="9"/>
  <c r="M1670" i="9"/>
  <c r="K1670" i="9"/>
  <c r="L1670" i="9"/>
  <c r="T1666" i="9"/>
  <c r="V1666" i="9" s="1"/>
  <c r="O1666" i="9"/>
  <c r="P1666" i="9" s="1"/>
  <c r="U1666" i="9"/>
  <c r="N1666" i="9"/>
  <c r="M1666" i="9"/>
  <c r="K1666" i="9"/>
  <c r="L1666" i="9"/>
  <c r="T1662" i="9"/>
  <c r="V1662" i="9" s="1"/>
  <c r="O1662" i="9"/>
  <c r="P1662" i="9" s="1"/>
  <c r="U1662" i="9"/>
  <c r="N1662" i="9"/>
  <c r="M1662" i="9"/>
  <c r="K1662" i="9"/>
  <c r="L1662" i="9"/>
  <c r="T1658" i="9"/>
  <c r="V1658" i="9" s="1"/>
  <c r="O1658" i="9"/>
  <c r="P1658" i="9" s="1"/>
  <c r="N1658" i="9"/>
  <c r="M1658" i="9"/>
  <c r="U1658" i="9"/>
  <c r="K1658" i="9"/>
  <c r="L1658" i="9"/>
  <c r="T1654" i="9"/>
  <c r="V1654" i="9" s="1"/>
  <c r="O1654" i="9"/>
  <c r="P1654" i="9" s="1"/>
  <c r="U1654" i="9"/>
  <c r="N1654" i="9"/>
  <c r="M1654" i="9"/>
  <c r="K1654" i="9"/>
  <c r="L1654" i="9"/>
  <c r="T1650" i="9"/>
  <c r="V1650" i="9" s="1"/>
  <c r="O1650" i="9"/>
  <c r="P1650" i="9" s="1"/>
  <c r="U1650" i="9"/>
  <c r="N1650" i="9"/>
  <c r="M1650" i="9"/>
  <c r="K1650" i="9"/>
  <c r="L1650" i="9"/>
  <c r="T1646" i="9"/>
  <c r="V1646" i="9" s="1"/>
  <c r="O1646" i="9"/>
  <c r="P1646" i="9" s="1"/>
  <c r="U1646" i="9"/>
  <c r="N1646" i="9"/>
  <c r="M1646" i="9"/>
  <c r="K1646" i="9"/>
  <c r="L1646" i="9"/>
  <c r="T1642" i="9"/>
  <c r="V1642" i="9" s="1"/>
  <c r="O1642" i="9"/>
  <c r="P1642" i="9" s="1"/>
  <c r="N1642" i="9"/>
  <c r="M1642" i="9"/>
  <c r="U1642" i="9"/>
  <c r="K1642" i="9"/>
  <c r="L1642" i="9"/>
  <c r="T1638" i="9"/>
  <c r="V1638" i="9" s="1"/>
  <c r="O1638" i="9"/>
  <c r="P1638" i="9" s="1"/>
  <c r="U1638" i="9"/>
  <c r="N1638" i="9"/>
  <c r="M1638" i="9"/>
  <c r="K1638" i="9"/>
  <c r="L1638" i="9"/>
  <c r="T1634" i="9"/>
  <c r="V1634" i="9" s="1"/>
  <c r="O1634" i="9"/>
  <c r="P1634" i="9" s="1"/>
  <c r="U1634" i="9"/>
  <c r="M1634" i="9"/>
  <c r="N1634" i="9"/>
  <c r="K1634" i="9"/>
  <c r="L1634" i="9"/>
  <c r="T1630" i="9"/>
  <c r="V1630" i="9" s="1"/>
  <c r="O1630" i="9"/>
  <c r="P1630" i="9" s="1"/>
  <c r="U1630" i="9"/>
  <c r="M1630" i="9"/>
  <c r="K1630" i="9"/>
  <c r="L1630" i="9"/>
  <c r="N1630" i="9"/>
  <c r="T1626" i="9"/>
  <c r="V1626" i="9" s="1"/>
  <c r="O1626" i="9"/>
  <c r="P1626" i="9" s="1"/>
  <c r="N1626" i="9"/>
  <c r="U1626" i="9"/>
  <c r="M1626" i="9"/>
  <c r="K1626" i="9"/>
  <c r="L1626" i="9"/>
  <c r="T1622" i="9"/>
  <c r="V1622" i="9" s="1"/>
  <c r="O1622" i="9"/>
  <c r="P1622" i="9" s="1"/>
  <c r="U1622" i="9"/>
  <c r="N1622" i="9"/>
  <c r="M1622" i="9"/>
  <c r="K1622" i="9"/>
  <c r="L1622" i="9"/>
  <c r="T1618" i="9"/>
  <c r="V1618" i="9" s="1"/>
  <c r="O1618" i="9"/>
  <c r="P1618" i="9" s="1"/>
  <c r="U1618" i="9"/>
  <c r="M1618" i="9"/>
  <c r="N1618" i="9"/>
  <c r="K1618" i="9"/>
  <c r="L1618" i="9"/>
  <c r="T1614" i="9"/>
  <c r="V1614" i="9" s="1"/>
  <c r="O1614" i="9"/>
  <c r="P1614" i="9" s="1"/>
  <c r="U1614" i="9"/>
  <c r="M1614" i="9"/>
  <c r="K1614" i="9"/>
  <c r="L1614" i="9"/>
  <c r="N1614" i="9"/>
  <c r="T1610" i="9"/>
  <c r="V1610" i="9" s="1"/>
  <c r="O1610" i="9"/>
  <c r="P1610" i="9" s="1"/>
  <c r="U1610" i="9"/>
  <c r="N1610" i="9"/>
  <c r="M1610" i="9"/>
  <c r="K1610" i="9"/>
  <c r="L1610" i="9"/>
  <c r="T1606" i="9"/>
  <c r="V1606" i="9" s="1"/>
  <c r="O1606" i="9"/>
  <c r="P1606" i="9" s="1"/>
  <c r="U1606" i="9"/>
  <c r="N1606" i="9"/>
  <c r="M1606" i="9"/>
  <c r="K1606" i="9"/>
  <c r="L1606" i="9"/>
  <c r="T1602" i="9"/>
  <c r="V1602" i="9" s="1"/>
  <c r="O1602" i="9"/>
  <c r="P1602" i="9" s="1"/>
  <c r="U1602" i="9"/>
  <c r="M1602" i="9"/>
  <c r="N1602" i="9"/>
  <c r="K1602" i="9"/>
  <c r="L1602" i="9"/>
  <c r="T1598" i="9"/>
  <c r="V1598" i="9" s="1"/>
  <c r="O1598" i="9"/>
  <c r="P1598" i="9" s="1"/>
  <c r="U1598" i="9"/>
  <c r="M1598" i="9"/>
  <c r="N1598" i="9"/>
  <c r="K1598" i="9"/>
  <c r="L1598" i="9"/>
  <c r="T1594" i="9"/>
  <c r="V1594" i="9" s="1"/>
  <c r="O1594" i="9"/>
  <c r="P1594" i="9" s="1"/>
  <c r="N1594" i="9"/>
  <c r="M1594" i="9"/>
  <c r="K1594" i="9"/>
  <c r="L1594" i="9"/>
  <c r="U1594" i="9"/>
  <c r="T1590" i="9"/>
  <c r="V1590" i="9" s="1"/>
  <c r="O1590" i="9"/>
  <c r="P1590" i="9" s="1"/>
  <c r="U1590" i="9"/>
  <c r="N1590" i="9"/>
  <c r="M1590" i="9"/>
  <c r="K1590" i="9"/>
  <c r="L1590" i="9"/>
  <c r="T1586" i="9"/>
  <c r="V1586" i="9" s="1"/>
  <c r="O1586" i="9"/>
  <c r="P1586" i="9" s="1"/>
  <c r="U1586" i="9"/>
  <c r="M1586" i="9"/>
  <c r="N1586" i="9"/>
  <c r="K1586" i="9"/>
  <c r="L1586" i="9"/>
  <c r="T1582" i="9"/>
  <c r="V1582" i="9" s="1"/>
  <c r="O1582" i="9"/>
  <c r="P1582" i="9" s="1"/>
  <c r="U1582" i="9"/>
  <c r="M1582" i="9"/>
  <c r="K1582" i="9"/>
  <c r="N1582" i="9"/>
  <c r="L1582" i="9"/>
  <c r="T1578" i="9"/>
  <c r="V1578" i="9" s="1"/>
  <c r="O1578" i="9"/>
  <c r="P1578" i="9" s="1"/>
  <c r="N1578" i="9"/>
  <c r="M1578" i="9"/>
  <c r="U1578" i="9"/>
  <c r="K1578" i="9"/>
  <c r="L1578" i="9"/>
  <c r="T1574" i="9"/>
  <c r="V1574" i="9" s="1"/>
  <c r="O1574" i="9"/>
  <c r="P1574" i="9" s="1"/>
  <c r="U1574" i="9"/>
  <c r="N1574" i="9"/>
  <c r="M1574" i="9"/>
  <c r="K1574" i="9"/>
  <c r="L1574" i="9"/>
  <c r="T1570" i="9"/>
  <c r="V1570" i="9" s="1"/>
  <c r="O1570" i="9"/>
  <c r="P1570" i="9" s="1"/>
  <c r="U1570" i="9"/>
  <c r="M1570" i="9"/>
  <c r="N1570" i="9"/>
  <c r="K1570" i="9"/>
  <c r="L1570" i="9"/>
  <c r="T1566" i="9"/>
  <c r="V1566" i="9" s="1"/>
  <c r="O1566" i="9"/>
  <c r="P1566" i="9" s="1"/>
  <c r="U1566" i="9"/>
  <c r="M1566" i="9"/>
  <c r="K1566" i="9"/>
  <c r="L1566" i="9"/>
  <c r="N1566" i="9"/>
  <c r="T1562" i="9"/>
  <c r="V1562" i="9" s="1"/>
  <c r="O1562" i="9"/>
  <c r="P1562" i="9" s="1"/>
  <c r="N1562" i="9"/>
  <c r="U1562" i="9"/>
  <c r="M1562" i="9"/>
  <c r="K1562" i="9"/>
  <c r="L1562" i="9"/>
  <c r="T1558" i="9"/>
  <c r="V1558" i="9" s="1"/>
  <c r="O1558" i="9"/>
  <c r="P1558" i="9" s="1"/>
  <c r="U1558" i="9"/>
  <c r="N1558" i="9"/>
  <c r="M1558" i="9"/>
  <c r="K1558" i="9"/>
  <c r="L1558" i="9"/>
  <c r="T1554" i="9"/>
  <c r="V1554" i="9" s="1"/>
  <c r="O1554" i="9"/>
  <c r="P1554" i="9" s="1"/>
  <c r="U1554" i="9"/>
  <c r="M1554" i="9"/>
  <c r="N1554" i="9"/>
  <c r="K1554" i="9"/>
  <c r="L1554" i="9"/>
  <c r="T1550" i="9"/>
  <c r="V1550" i="9" s="1"/>
  <c r="O1550" i="9"/>
  <c r="P1550" i="9" s="1"/>
  <c r="U1550" i="9"/>
  <c r="M1550" i="9"/>
  <c r="K1550" i="9"/>
  <c r="L1550" i="9"/>
  <c r="N1550" i="9"/>
  <c r="T1546" i="9"/>
  <c r="V1546" i="9" s="1"/>
  <c r="O1546" i="9"/>
  <c r="P1546" i="9" s="1"/>
  <c r="U1546" i="9"/>
  <c r="N1546" i="9"/>
  <c r="M1546" i="9"/>
  <c r="K1546" i="9"/>
  <c r="L1546" i="9"/>
  <c r="T1542" i="9"/>
  <c r="V1542" i="9" s="1"/>
  <c r="O1542" i="9"/>
  <c r="P1542" i="9" s="1"/>
  <c r="U1542" i="9"/>
  <c r="N1542" i="9"/>
  <c r="M1542" i="9"/>
  <c r="K1542" i="9"/>
  <c r="L1542" i="9"/>
  <c r="T1538" i="9"/>
  <c r="V1538" i="9" s="1"/>
  <c r="O1538" i="9"/>
  <c r="P1538" i="9" s="1"/>
  <c r="U1538" i="9"/>
  <c r="M1538" i="9"/>
  <c r="N1538" i="9"/>
  <c r="K1538" i="9"/>
  <c r="L1538" i="9"/>
  <c r="T1534" i="9"/>
  <c r="V1534" i="9" s="1"/>
  <c r="O1534" i="9"/>
  <c r="P1534" i="9" s="1"/>
  <c r="U1534" i="9"/>
  <c r="M1534" i="9"/>
  <c r="N1534" i="9"/>
  <c r="K1534" i="9"/>
  <c r="L1534" i="9"/>
  <c r="T1530" i="9"/>
  <c r="V1530" i="9" s="1"/>
  <c r="O1530" i="9"/>
  <c r="P1530" i="9" s="1"/>
  <c r="N1530" i="9"/>
  <c r="M1530" i="9"/>
  <c r="K1530" i="9"/>
  <c r="L1530" i="9"/>
  <c r="U1530" i="9"/>
  <c r="T1526" i="9"/>
  <c r="V1526" i="9" s="1"/>
  <c r="O1526" i="9"/>
  <c r="P1526" i="9" s="1"/>
  <c r="U1526" i="9"/>
  <c r="N1526" i="9"/>
  <c r="M1526" i="9"/>
  <c r="K1526" i="9"/>
  <c r="L1526" i="9"/>
  <c r="T1522" i="9"/>
  <c r="V1522" i="9" s="1"/>
  <c r="O1522" i="9"/>
  <c r="P1522" i="9" s="1"/>
  <c r="U1522" i="9"/>
  <c r="M1522" i="9"/>
  <c r="N1522" i="9"/>
  <c r="K1522" i="9"/>
  <c r="L1522" i="9"/>
  <c r="T1518" i="9"/>
  <c r="V1518" i="9" s="1"/>
  <c r="O1518" i="9"/>
  <c r="P1518" i="9" s="1"/>
  <c r="U1518" i="9"/>
  <c r="M1518" i="9"/>
  <c r="K1518" i="9"/>
  <c r="N1518" i="9"/>
  <c r="L1518" i="9"/>
  <c r="T1514" i="9"/>
  <c r="V1514" i="9" s="1"/>
  <c r="O1514" i="9"/>
  <c r="P1514" i="9" s="1"/>
  <c r="N1514" i="9"/>
  <c r="M1514" i="9"/>
  <c r="U1514" i="9"/>
  <c r="K1514" i="9"/>
  <c r="L1514" i="9"/>
  <c r="T1510" i="9"/>
  <c r="V1510" i="9" s="1"/>
  <c r="O1510" i="9"/>
  <c r="P1510" i="9" s="1"/>
  <c r="U1510" i="9"/>
  <c r="N1510" i="9"/>
  <c r="M1510" i="9"/>
  <c r="K1510" i="9"/>
  <c r="L1510" i="9"/>
  <c r="T1506" i="9"/>
  <c r="V1506" i="9" s="1"/>
  <c r="O1506" i="9"/>
  <c r="P1506" i="9" s="1"/>
  <c r="U1506" i="9"/>
  <c r="M1506" i="9"/>
  <c r="N1506" i="9"/>
  <c r="K1506" i="9"/>
  <c r="L1506" i="9"/>
  <c r="T1502" i="9"/>
  <c r="V1502" i="9" s="1"/>
  <c r="O1502" i="9"/>
  <c r="P1502" i="9" s="1"/>
  <c r="U1502" i="9"/>
  <c r="M1502" i="9"/>
  <c r="K1502" i="9"/>
  <c r="L1502" i="9"/>
  <c r="N1502" i="9"/>
  <c r="T1498" i="9"/>
  <c r="V1498" i="9" s="1"/>
  <c r="O1498" i="9"/>
  <c r="P1498" i="9" s="1"/>
  <c r="N1498" i="9"/>
  <c r="U1498" i="9"/>
  <c r="M1498" i="9"/>
  <c r="K1498" i="9"/>
  <c r="L1498" i="9"/>
  <c r="T1494" i="9"/>
  <c r="V1494" i="9" s="1"/>
  <c r="O1494" i="9"/>
  <c r="P1494" i="9" s="1"/>
  <c r="U1494" i="9"/>
  <c r="N1494" i="9"/>
  <c r="M1494" i="9"/>
  <c r="K1494" i="9"/>
  <c r="L1494" i="9"/>
  <c r="T1490" i="9"/>
  <c r="V1490" i="9" s="1"/>
  <c r="O1490" i="9"/>
  <c r="P1490" i="9" s="1"/>
  <c r="U1490" i="9"/>
  <c r="M1490" i="9"/>
  <c r="N1490" i="9"/>
  <c r="K1490" i="9"/>
  <c r="L1490" i="9"/>
  <c r="T1486" i="9"/>
  <c r="V1486" i="9" s="1"/>
  <c r="O1486" i="9"/>
  <c r="P1486" i="9" s="1"/>
  <c r="U1486" i="9"/>
  <c r="M1486" i="9"/>
  <c r="K1486" i="9"/>
  <c r="L1486" i="9"/>
  <c r="N1486" i="9"/>
  <c r="T1482" i="9"/>
  <c r="V1482" i="9" s="1"/>
  <c r="O1482" i="9"/>
  <c r="P1482" i="9" s="1"/>
  <c r="U1482" i="9"/>
  <c r="N1482" i="9"/>
  <c r="M1482" i="9"/>
  <c r="K1482" i="9"/>
  <c r="L1482" i="9"/>
  <c r="T1478" i="9"/>
  <c r="V1478" i="9" s="1"/>
  <c r="O1478" i="9"/>
  <c r="P1478" i="9" s="1"/>
  <c r="U1478" i="9"/>
  <c r="N1478" i="9"/>
  <c r="M1478" i="9"/>
  <c r="K1478" i="9"/>
  <c r="L1478" i="9"/>
  <c r="T1474" i="9"/>
  <c r="V1474" i="9" s="1"/>
  <c r="O1474" i="9"/>
  <c r="P1474" i="9" s="1"/>
  <c r="U1474" i="9"/>
  <c r="M1474" i="9"/>
  <c r="N1474" i="9"/>
  <c r="K1474" i="9"/>
  <c r="L1474" i="9"/>
  <c r="T1470" i="9"/>
  <c r="V1470" i="9" s="1"/>
  <c r="O1470" i="9"/>
  <c r="P1470" i="9" s="1"/>
  <c r="U1470" i="9"/>
  <c r="M1470" i="9"/>
  <c r="N1470" i="9"/>
  <c r="K1470" i="9"/>
  <c r="L1470" i="9"/>
  <c r="T1466" i="9"/>
  <c r="V1466" i="9" s="1"/>
  <c r="O1466" i="9"/>
  <c r="P1466" i="9" s="1"/>
  <c r="N1466" i="9"/>
  <c r="M1466" i="9"/>
  <c r="K1466" i="9"/>
  <c r="U1466" i="9"/>
  <c r="L1466" i="9"/>
  <c r="T1462" i="9"/>
  <c r="V1462" i="9" s="1"/>
  <c r="O1462" i="9"/>
  <c r="P1462" i="9" s="1"/>
  <c r="U1462" i="9"/>
  <c r="N1462" i="9"/>
  <c r="M1462" i="9"/>
  <c r="K1462" i="9"/>
  <c r="L1462" i="9"/>
  <c r="T1458" i="9"/>
  <c r="V1458" i="9" s="1"/>
  <c r="O1458" i="9"/>
  <c r="P1458" i="9" s="1"/>
  <c r="U1458" i="9"/>
  <c r="M1458" i="9"/>
  <c r="N1458" i="9"/>
  <c r="K1458" i="9"/>
  <c r="L1458" i="9"/>
  <c r="T1454" i="9"/>
  <c r="V1454" i="9" s="1"/>
  <c r="O1454" i="9"/>
  <c r="P1454" i="9" s="1"/>
  <c r="U1454" i="9"/>
  <c r="M1454" i="9"/>
  <c r="K1454" i="9"/>
  <c r="N1454" i="9"/>
  <c r="L1454" i="9"/>
  <c r="T1450" i="9"/>
  <c r="V1450" i="9" s="1"/>
  <c r="O1450" i="9"/>
  <c r="P1450" i="9" s="1"/>
  <c r="N1450" i="9"/>
  <c r="M1450" i="9"/>
  <c r="U1450" i="9"/>
  <c r="K1450" i="9"/>
  <c r="L1450" i="9"/>
  <c r="T1446" i="9"/>
  <c r="V1446" i="9" s="1"/>
  <c r="O1446" i="9"/>
  <c r="P1446" i="9" s="1"/>
  <c r="U1446" i="9"/>
  <c r="N1446" i="9"/>
  <c r="M1446" i="9"/>
  <c r="K1446" i="9"/>
  <c r="L1446" i="9"/>
  <c r="T1442" i="9"/>
  <c r="V1442" i="9" s="1"/>
  <c r="O1442" i="9"/>
  <c r="P1442" i="9" s="1"/>
  <c r="U1442" i="9"/>
  <c r="M1442" i="9"/>
  <c r="N1442" i="9"/>
  <c r="K1442" i="9"/>
  <c r="L1442" i="9"/>
  <c r="T1438" i="9"/>
  <c r="V1438" i="9" s="1"/>
  <c r="O1438" i="9"/>
  <c r="P1438" i="9" s="1"/>
  <c r="U1438" i="9"/>
  <c r="M1438" i="9"/>
  <c r="K1438" i="9"/>
  <c r="L1438" i="9"/>
  <c r="N1438" i="9"/>
  <c r="T1434" i="9"/>
  <c r="V1434" i="9" s="1"/>
  <c r="O1434" i="9"/>
  <c r="P1434" i="9" s="1"/>
  <c r="N1434" i="9"/>
  <c r="U1434" i="9"/>
  <c r="M1434" i="9"/>
  <c r="K1434" i="9"/>
  <c r="L1434" i="9"/>
  <c r="T1430" i="9"/>
  <c r="V1430" i="9" s="1"/>
  <c r="O1430" i="9"/>
  <c r="P1430" i="9" s="1"/>
  <c r="U1430" i="9"/>
  <c r="N1430" i="9"/>
  <c r="M1430" i="9"/>
  <c r="K1430" i="9"/>
  <c r="L1430" i="9"/>
  <c r="T1426" i="9"/>
  <c r="V1426" i="9" s="1"/>
  <c r="O1426" i="9"/>
  <c r="P1426" i="9" s="1"/>
  <c r="U1426" i="9"/>
  <c r="M1426" i="9"/>
  <c r="N1426" i="9"/>
  <c r="K1426" i="9"/>
  <c r="L1426" i="9"/>
  <c r="T1422" i="9"/>
  <c r="V1422" i="9" s="1"/>
  <c r="O1422" i="9"/>
  <c r="P1422" i="9" s="1"/>
  <c r="U1422" i="9"/>
  <c r="M1422" i="9"/>
  <c r="K1422" i="9"/>
  <c r="L1422" i="9"/>
  <c r="N1422" i="9"/>
  <c r="T1418" i="9"/>
  <c r="V1418" i="9" s="1"/>
  <c r="O1418" i="9"/>
  <c r="P1418" i="9" s="1"/>
  <c r="U1418" i="9"/>
  <c r="N1418" i="9"/>
  <c r="M1418" i="9"/>
  <c r="K1418" i="9"/>
  <c r="L1418" i="9"/>
  <c r="T1414" i="9"/>
  <c r="V1414" i="9" s="1"/>
  <c r="O1414" i="9"/>
  <c r="P1414" i="9" s="1"/>
  <c r="U1414" i="9"/>
  <c r="N1414" i="9"/>
  <c r="M1414" i="9"/>
  <c r="K1414" i="9"/>
  <c r="L1414" i="9"/>
  <c r="T1410" i="9"/>
  <c r="V1410" i="9" s="1"/>
  <c r="O1410" i="9"/>
  <c r="P1410" i="9" s="1"/>
  <c r="U1410" i="9"/>
  <c r="M1410" i="9"/>
  <c r="N1410" i="9"/>
  <c r="K1410" i="9"/>
  <c r="L1410" i="9"/>
  <c r="T1406" i="9"/>
  <c r="V1406" i="9" s="1"/>
  <c r="O1406" i="9"/>
  <c r="P1406" i="9" s="1"/>
  <c r="U1406" i="9"/>
  <c r="M1406" i="9"/>
  <c r="N1406" i="9"/>
  <c r="K1406" i="9"/>
  <c r="L1406" i="9"/>
  <c r="T1402" i="9"/>
  <c r="V1402" i="9" s="1"/>
  <c r="O1402" i="9"/>
  <c r="P1402" i="9" s="1"/>
  <c r="N1402" i="9"/>
  <c r="M1402" i="9"/>
  <c r="U1402" i="9"/>
  <c r="K1402" i="9"/>
  <c r="L1402" i="9"/>
  <c r="T1398" i="9"/>
  <c r="V1398" i="9" s="1"/>
  <c r="O1398" i="9"/>
  <c r="P1398" i="9" s="1"/>
  <c r="U1398" i="9"/>
  <c r="N1398" i="9"/>
  <c r="M1398" i="9"/>
  <c r="K1398" i="9"/>
  <c r="L1398" i="9"/>
  <c r="T1394" i="9"/>
  <c r="V1394" i="9" s="1"/>
  <c r="O1394" i="9"/>
  <c r="P1394" i="9" s="1"/>
  <c r="U1394" i="9"/>
  <c r="M1394" i="9"/>
  <c r="N1394" i="9"/>
  <c r="K1394" i="9"/>
  <c r="L1394" i="9"/>
  <c r="T1390" i="9"/>
  <c r="V1390" i="9" s="1"/>
  <c r="O1390" i="9"/>
  <c r="P1390" i="9" s="1"/>
  <c r="U1390" i="9"/>
  <c r="M1390" i="9"/>
  <c r="K1390" i="9"/>
  <c r="N1390" i="9"/>
  <c r="L1390" i="9"/>
  <c r="T1386" i="9"/>
  <c r="V1386" i="9" s="1"/>
  <c r="O1386" i="9"/>
  <c r="P1386" i="9" s="1"/>
  <c r="N1386" i="9"/>
  <c r="M1386" i="9"/>
  <c r="U1386" i="9"/>
  <c r="K1386" i="9"/>
  <c r="L1386" i="9"/>
  <c r="T1382" i="9"/>
  <c r="V1382" i="9" s="1"/>
  <c r="O1382" i="9"/>
  <c r="P1382" i="9" s="1"/>
  <c r="U1382" i="9"/>
  <c r="N1382" i="9"/>
  <c r="M1382" i="9"/>
  <c r="K1382" i="9"/>
  <c r="L1382" i="9"/>
  <c r="T1378" i="9"/>
  <c r="V1378" i="9" s="1"/>
  <c r="O1378" i="9"/>
  <c r="P1378" i="9" s="1"/>
  <c r="U1378" i="9"/>
  <c r="M1378" i="9"/>
  <c r="N1378" i="9"/>
  <c r="K1378" i="9"/>
  <c r="L1378" i="9"/>
  <c r="T1374" i="9"/>
  <c r="V1374" i="9" s="1"/>
  <c r="O1374" i="9"/>
  <c r="P1374" i="9" s="1"/>
  <c r="U1374" i="9"/>
  <c r="M1374" i="9"/>
  <c r="K1374" i="9"/>
  <c r="L1374" i="9"/>
  <c r="N1374" i="9"/>
  <c r="T1370" i="9"/>
  <c r="V1370" i="9" s="1"/>
  <c r="O1370" i="9"/>
  <c r="P1370" i="9" s="1"/>
  <c r="N1370" i="9"/>
  <c r="U1370" i="9"/>
  <c r="M1370" i="9"/>
  <c r="K1370" i="9"/>
  <c r="L1370" i="9"/>
  <c r="T1366" i="9"/>
  <c r="V1366" i="9" s="1"/>
  <c r="O1366" i="9"/>
  <c r="P1366" i="9" s="1"/>
  <c r="U1366" i="9"/>
  <c r="N1366" i="9"/>
  <c r="M1366" i="9"/>
  <c r="K1366" i="9"/>
  <c r="L1366" i="9"/>
  <c r="T1362" i="9"/>
  <c r="V1362" i="9" s="1"/>
  <c r="O1362" i="9"/>
  <c r="P1362" i="9" s="1"/>
  <c r="U1362" i="9"/>
  <c r="M1362" i="9"/>
  <c r="N1362" i="9"/>
  <c r="K1362" i="9"/>
  <c r="L1362" i="9"/>
  <c r="T1358" i="9"/>
  <c r="V1358" i="9" s="1"/>
  <c r="O1358" i="9"/>
  <c r="P1358" i="9" s="1"/>
  <c r="U1358" i="9"/>
  <c r="M1358" i="9"/>
  <c r="K1358" i="9"/>
  <c r="L1358" i="9"/>
  <c r="N1358" i="9"/>
  <c r="T1354" i="9"/>
  <c r="V1354" i="9" s="1"/>
  <c r="O1354" i="9"/>
  <c r="P1354" i="9" s="1"/>
  <c r="U1354" i="9"/>
  <c r="N1354" i="9"/>
  <c r="M1354" i="9"/>
  <c r="K1354" i="9"/>
  <c r="L1354" i="9"/>
  <c r="T1350" i="9"/>
  <c r="V1350" i="9" s="1"/>
  <c r="O1350" i="9"/>
  <c r="P1350" i="9" s="1"/>
  <c r="U1350" i="9"/>
  <c r="N1350" i="9"/>
  <c r="M1350" i="9"/>
  <c r="K1350" i="9"/>
  <c r="L1350" i="9"/>
  <c r="T1346" i="9"/>
  <c r="V1346" i="9" s="1"/>
  <c r="O1346" i="9"/>
  <c r="P1346" i="9" s="1"/>
  <c r="U1346" i="9"/>
  <c r="M1346" i="9"/>
  <c r="N1346" i="9"/>
  <c r="K1346" i="9"/>
  <c r="L1346" i="9"/>
  <c r="T1342" i="9"/>
  <c r="V1342" i="9" s="1"/>
  <c r="O1342" i="9"/>
  <c r="P1342" i="9" s="1"/>
  <c r="U1342" i="9"/>
  <c r="M1342" i="9"/>
  <c r="N1342" i="9"/>
  <c r="K1342" i="9"/>
  <c r="L1342" i="9"/>
  <c r="T1338" i="9"/>
  <c r="V1338" i="9" s="1"/>
  <c r="O1338" i="9"/>
  <c r="P1338" i="9" s="1"/>
  <c r="N1338" i="9"/>
  <c r="M1338" i="9"/>
  <c r="K1338" i="9"/>
  <c r="L1338" i="9"/>
  <c r="U1338" i="9"/>
  <c r="T1334" i="9"/>
  <c r="V1334" i="9" s="1"/>
  <c r="O1334" i="9"/>
  <c r="P1334" i="9" s="1"/>
  <c r="U1334" i="9"/>
  <c r="N1334" i="9"/>
  <c r="M1334" i="9"/>
  <c r="K1334" i="9"/>
  <c r="L1334" i="9"/>
  <c r="T1330" i="9"/>
  <c r="V1330" i="9" s="1"/>
  <c r="O1330" i="9"/>
  <c r="P1330" i="9" s="1"/>
  <c r="U1330" i="9"/>
  <c r="M1330" i="9"/>
  <c r="N1330" i="9"/>
  <c r="K1330" i="9"/>
  <c r="L1330" i="9"/>
  <c r="T1326" i="9"/>
  <c r="V1326" i="9" s="1"/>
  <c r="O1326" i="9"/>
  <c r="P1326" i="9" s="1"/>
  <c r="U1326" i="9"/>
  <c r="M1326" i="9"/>
  <c r="K1326" i="9"/>
  <c r="N1326" i="9"/>
  <c r="L1326" i="9"/>
  <c r="T1322" i="9"/>
  <c r="V1322" i="9" s="1"/>
  <c r="O1322" i="9"/>
  <c r="P1322" i="9" s="1"/>
  <c r="N1322" i="9"/>
  <c r="M1322" i="9"/>
  <c r="U1322" i="9"/>
  <c r="K1322" i="9"/>
  <c r="L1322" i="9"/>
  <c r="T1318" i="9"/>
  <c r="V1318" i="9" s="1"/>
  <c r="O1318" i="9"/>
  <c r="P1318" i="9" s="1"/>
  <c r="U1318" i="9"/>
  <c r="N1318" i="9"/>
  <c r="M1318" i="9"/>
  <c r="K1318" i="9"/>
  <c r="L1318" i="9"/>
  <c r="T1314" i="9"/>
  <c r="V1314" i="9" s="1"/>
  <c r="O1314" i="9"/>
  <c r="P1314" i="9" s="1"/>
  <c r="U1314" i="9"/>
  <c r="M1314" i="9"/>
  <c r="N1314" i="9"/>
  <c r="K1314" i="9"/>
  <c r="L1314" i="9"/>
  <c r="T1310" i="9"/>
  <c r="V1310" i="9" s="1"/>
  <c r="O1310" i="9"/>
  <c r="P1310" i="9" s="1"/>
  <c r="U1310" i="9"/>
  <c r="M1310" i="9"/>
  <c r="K1310" i="9"/>
  <c r="L1310" i="9"/>
  <c r="N1310" i="9"/>
  <c r="T1306" i="9"/>
  <c r="V1306" i="9" s="1"/>
  <c r="O1306" i="9"/>
  <c r="P1306" i="9" s="1"/>
  <c r="N1306" i="9"/>
  <c r="U1306" i="9"/>
  <c r="M1306" i="9"/>
  <c r="K1306" i="9"/>
  <c r="L1306" i="9"/>
  <c r="T1302" i="9"/>
  <c r="V1302" i="9" s="1"/>
  <c r="O1302" i="9"/>
  <c r="P1302" i="9" s="1"/>
  <c r="U1302" i="9"/>
  <c r="N1302" i="9"/>
  <c r="M1302" i="9"/>
  <c r="K1302" i="9"/>
  <c r="L1302" i="9"/>
  <c r="T1298" i="9"/>
  <c r="V1298" i="9" s="1"/>
  <c r="O1298" i="9"/>
  <c r="P1298" i="9" s="1"/>
  <c r="U1298" i="9"/>
  <c r="M1298" i="9"/>
  <c r="N1298" i="9"/>
  <c r="K1298" i="9"/>
  <c r="L1298" i="9"/>
  <c r="T1294" i="9"/>
  <c r="V1294" i="9" s="1"/>
  <c r="O1294" i="9"/>
  <c r="P1294" i="9" s="1"/>
  <c r="U1294" i="9"/>
  <c r="M1294" i="9"/>
  <c r="K1294" i="9"/>
  <c r="L1294" i="9"/>
  <c r="N1294" i="9"/>
  <c r="T1290" i="9"/>
  <c r="V1290" i="9" s="1"/>
  <c r="O1290" i="9"/>
  <c r="P1290" i="9" s="1"/>
  <c r="U1290" i="9"/>
  <c r="N1290" i="9"/>
  <c r="M1290" i="9"/>
  <c r="K1290" i="9"/>
  <c r="L1290" i="9"/>
  <c r="T1286" i="9"/>
  <c r="V1286" i="9" s="1"/>
  <c r="O1286" i="9"/>
  <c r="P1286" i="9" s="1"/>
  <c r="U1286" i="9"/>
  <c r="N1286" i="9"/>
  <c r="M1286" i="9"/>
  <c r="K1286" i="9"/>
  <c r="L1286" i="9"/>
  <c r="T1282" i="9"/>
  <c r="V1282" i="9" s="1"/>
  <c r="O1282" i="9"/>
  <c r="P1282" i="9" s="1"/>
  <c r="U1282" i="9"/>
  <c r="M1282" i="9"/>
  <c r="N1282" i="9"/>
  <c r="K1282" i="9"/>
  <c r="L1282" i="9"/>
  <c r="T1278" i="9"/>
  <c r="V1278" i="9" s="1"/>
  <c r="O1278" i="9"/>
  <c r="P1278" i="9" s="1"/>
  <c r="U1278" i="9"/>
  <c r="M1278" i="9"/>
  <c r="N1278" i="9"/>
  <c r="K1278" i="9"/>
  <c r="L1278" i="9"/>
  <c r="T1274" i="9"/>
  <c r="V1274" i="9" s="1"/>
  <c r="O1274" i="9"/>
  <c r="P1274" i="9" s="1"/>
  <c r="N1274" i="9"/>
  <c r="M1274" i="9"/>
  <c r="K1274" i="9"/>
  <c r="L1274" i="9"/>
  <c r="U1274" i="9"/>
  <c r="T1270" i="9"/>
  <c r="V1270" i="9" s="1"/>
  <c r="O1270" i="9"/>
  <c r="P1270" i="9" s="1"/>
  <c r="U1270" i="9"/>
  <c r="N1270" i="9"/>
  <c r="M1270" i="9"/>
  <c r="K1270" i="9"/>
  <c r="L1270" i="9"/>
  <c r="T1266" i="9"/>
  <c r="V1266" i="9" s="1"/>
  <c r="O1266" i="9"/>
  <c r="P1266" i="9" s="1"/>
  <c r="U1266" i="9"/>
  <c r="M1266" i="9"/>
  <c r="N1266" i="9"/>
  <c r="K1266" i="9"/>
  <c r="L1266" i="9"/>
  <c r="T1262" i="9"/>
  <c r="V1262" i="9" s="1"/>
  <c r="O1262" i="9"/>
  <c r="P1262" i="9" s="1"/>
  <c r="U1262" i="9"/>
  <c r="M1262" i="9"/>
  <c r="K1262" i="9"/>
  <c r="N1262" i="9"/>
  <c r="L1262" i="9"/>
  <c r="T1258" i="9"/>
  <c r="V1258" i="9" s="1"/>
  <c r="O1258" i="9"/>
  <c r="P1258" i="9" s="1"/>
  <c r="N1258" i="9"/>
  <c r="M1258" i="9"/>
  <c r="U1258" i="9"/>
  <c r="L1258" i="9"/>
  <c r="K1258" i="9"/>
  <c r="T1254" i="9"/>
  <c r="V1254" i="9" s="1"/>
  <c r="O1254" i="9"/>
  <c r="P1254" i="9" s="1"/>
  <c r="U1254" i="9"/>
  <c r="N1254" i="9"/>
  <c r="M1254" i="9"/>
  <c r="L1254" i="9"/>
  <c r="K1254" i="9"/>
  <c r="T1250" i="9"/>
  <c r="V1250" i="9" s="1"/>
  <c r="O1250" i="9"/>
  <c r="P1250" i="9" s="1"/>
  <c r="U1250" i="9"/>
  <c r="M1250" i="9"/>
  <c r="N1250" i="9"/>
  <c r="L1250" i="9"/>
  <c r="K1250" i="9"/>
  <c r="T1246" i="9"/>
  <c r="V1246" i="9" s="1"/>
  <c r="O1246" i="9"/>
  <c r="P1246" i="9" s="1"/>
  <c r="U1246" i="9"/>
  <c r="M1246" i="9"/>
  <c r="L1246" i="9"/>
  <c r="N1246" i="9"/>
  <c r="K1246" i="9"/>
  <c r="T1242" i="9"/>
  <c r="V1242" i="9" s="1"/>
  <c r="O1242" i="9"/>
  <c r="P1242" i="9" s="1"/>
  <c r="N1242" i="9"/>
  <c r="U1242" i="9"/>
  <c r="M1242" i="9"/>
  <c r="L1242" i="9"/>
  <c r="K1242" i="9"/>
  <c r="O1238" i="9"/>
  <c r="P1238" i="9" s="1"/>
  <c r="U1238" i="9"/>
  <c r="T1238" i="9"/>
  <c r="V1238" i="9" s="1"/>
  <c r="N1238" i="9"/>
  <c r="M1238" i="9"/>
  <c r="L1238" i="9"/>
  <c r="K1238" i="9"/>
  <c r="O1234" i="9"/>
  <c r="P1234" i="9" s="1"/>
  <c r="U1234" i="9"/>
  <c r="T1234" i="9"/>
  <c r="V1234" i="9" s="1"/>
  <c r="M1234" i="9"/>
  <c r="N1234" i="9"/>
  <c r="L1234" i="9"/>
  <c r="K1234" i="9"/>
  <c r="O1230" i="9"/>
  <c r="P1230" i="9" s="1"/>
  <c r="U1230" i="9"/>
  <c r="T1230" i="9"/>
  <c r="V1230" i="9" s="1"/>
  <c r="M1230" i="9"/>
  <c r="L1230" i="9"/>
  <c r="N1230" i="9"/>
  <c r="K1230" i="9"/>
  <c r="O1226" i="9"/>
  <c r="P1226" i="9" s="1"/>
  <c r="T1226" i="9"/>
  <c r="V1226" i="9" s="1"/>
  <c r="U1226" i="9"/>
  <c r="N1226" i="9"/>
  <c r="M1226" i="9"/>
  <c r="L1226" i="9"/>
  <c r="K1226" i="9"/>
  <c r="O1222" i="9"/>
  <c r="P1222" i="9" s="1"/>
  <c r="U1222" i="9"/>
  <c r="T1222" i="9"/>
  <c r="V1222" i="9" s="1"/>
  <c r="N1222" i="9"/>
  <c r="M1222" i="9"/>
  <c r="L1222" i="9"/>
  <c r="K1222" i="9"/>
  <c r="O1218" i="9"/>
  <c r="P1218" i="9" s="1"/>
  <c r="U1218" i="9"/>
  <c r="T1218" i="9"/>
  <c r="V1218" i="9" s="1"/>
  <c r="M1218" i="9"/>
  <c r="N1218" i="9"/>
  <c r="L1218" i="9"/>
  <c r="K1218" i="9"/>
  <c r="O1214" i="9"/>
  <c r="P1214" i="9" s="1"/>
  <c r="U1214" i="9"/>
  <c r="T1214" i="9"/>
  <c r="V1214" i="9" s="1"/>
  <c r="M1214" i="9"/>
  <c r="N1214" i="9"/>
  <c r="L1214" i="9"/>
  <c r="K1214" i="9"/>
  <c r="O1210" i="9"/>
  <c r="P1210" i="9" s="1"/>
  <c r="T1210" i="9"/>
  <c r="V1210" i="9" s="1"/>
  <c r="N1210" i="9"/>
  <c r="M1210" i="9"/>
  <c r="U1210" i="9"/>
  <c r="L1210" i="9"/>
  <c r="K1210" i="9"/>
  <c r="O1206" i="9"/>
  <c r="P1206" i="9" s="1"/>
  <c r="U1206" i="9"/>
  <c r="T1206" i="9"/>
  <c r="V1206" i="9" s="1"/>
  <c r="N1206" i="9"/>
  <c r="M1206" i="9"/>
  <c r="L1206" i="9"/>
  <c r="K1206" i="9"/>
  <c r="O1202" i="9"/>
  <c r="P1202" i="9" s="1"/>
  <c r="U1202" i="9"/>
  <c r="T1202" i="9"/>
  <c r="V1202" i="9" s="1"/>
  <c r="M1202" i="9"/>
  <c r="N1202" i="9"/>
  <c r="L1202" i="9"/>
  <c r="K1202" i="9"/>
  <c r="O1198" i="9"/>
  <c r="P1198" i="9" s="1"/>
  <c r="U1198" i="9"/>
  <c r="T1198" i="9"/>
  <c r="V1198" i="9" s="1"/>
  <c r="M1198" i="9"/>
  <c r="N1198" i="9"/>
  <c r="L1198" i="9"/>
  <c r="K1198" i="9"/>
  <c r="O1194" i="9"/>
  <c r="P1194" i="9" s="1"/>
  <c r="T1194" i="9"/>
  <c r="V1194" i="9" s="1"/>
  <c r="N1194" i="9"/>
  <c r="M1194" i="9"/>
  <c r="U1194" i="9"/>
  <c r="L1194" i="9"/>
  <c r="K1194" i="9"/>
  <c r="O1190" i="9"/>
  <c r="P1190" i="9" s="1"/>
  <c r="U1190" i="9"/>
  <c r="T1190" i="9"/>
  <c r="V1190" i="9" s="1"/>
  <c r="N1190" i="9"/>
  <c r="M1190" i="9"/>
  <c r="L1190" i="9"/>
  <c r="K1190" i="9"/>
  <c r="O1186" i="9"/>
  <c r="P1186" i="9" s="1"/>
  <c r="U1186" i="9"/>
  <c r="T1186" i="9"/>
  <c r="V1186" i="9" s="1"/>
  <c r="M1186" i="9"/>
  <c r="N1186" i="9"/>
  <c r="L1186" i="9"/>
  <c r="K1186" i="9"/>
  <c r="O1182" i="9"/>
  <c r="P1182" i="9" s="1"/>
  <c r="U1182" i="9"/>
  <c r="T1182" i="9"/>
  <c r="V1182" i="9" s="1"/>
  <c r="M1182" i="9"/>
  <c r="L1182" i="9"/>
  <c r="N1182" i="9"/>
  <c r="K1182" i="9"/>
  <c r="O1178" i="9"/>
  <c r="P1178" i="9" s="1"/>
  <c r="T1178" i="9"/>
  <c r="V1178" i="9" s="1"/>
  <c r="N1178" i="9"/>
  <c r="U1178" i="9"/>
  <c r="M1178" i="9"/>
  <c r="L1178" i="9"/>
  <c r="K1178" i="9"/>
  <c r="O1174" i="9"/>
  <c r="P1174" i="9" s="1"/>
  <c r="U1174" i="9"/>
  <c r="T1174" i="9"/>
  <c r="V1174" i="9" s="1"/>
  <c r="N1174" i="9"/>
  <c r="M1174" i="9"/>
  <c r="L1174" i="9"/>
  <c r="K1174" i="9"/>
  <c r="O1170" i="9"/>
  <c r="P1170" i="9" s="1"/>
  <c r="U1170" i="9"/>
  <c r="T1170" i="9"/>
  <c r="V1170" i="9" s="1"/>
  <c r="M1170" i="9"/>
  <c r="N1170" i="9"/>
  <c r="L1170" i="9"/>
  <c r="K1170" i="9"/>
  <c r="O1166" i="9"/>
  <c r="P1166" i="9" s="1"/>
  <c r="U1166" i="9"/>
  <c r="T1166" i="9"/>
  <c r="V1166" i="9" s="1"/>
  <c r="M1166" i="9"/>
  <c r="L1166" i="9"/>
  <c r="K1166" i="9"/>
  <c r="N1166" i="9"/>
  <c r="O1162" i="9"/>
  <c r="P1162" i="9" s="1"/>
  <c r="T1162" i="9"/>
  <c r="V1162" i="9" s="1"/>
  <c r="U1162" i="9"/>
  <c r="N1162" i="9"/>
  <c r="M1162" i="9"/>
  <c r="L1162" i="9"/>
  <c r="K1162" i="9"/>
  <c r="O1158" i="9"/>
  <c r="P1158" i="9" s="1"/>
  <c r="U1158" i="9"/>
  <c r="T1158" i="9"/>
  <c r="V1158" i="9" s="1"/>
  <c r="N1158" i="9"/>
  <c r="M1158" i="9"/>
  <c r="L1158" i="9"/>
  <c r="K1158" i="9"/>
  <c r="O1154" i="9"/>
  <c r="P1154" i="9" s="1"/>
  <c r="U1154" i="9"/>
  <c r="T1154" i="9"/>
  <c r="V1154" i="9" s="1"/>
  <c r="M1154" i="9"/>
  <c r="N1154" i="9"/>
  <c r="L1154" i="9"/>
  <c r="K1154" i="9"/>
  <c r="O1150" i="9"/>
  <c r="P1150" i="9" s="1"/>
  <c r="U1150" i="9"/>
  <c r="T1150" i="9"/>
  <c r="V1150" i="9" s="1"/>
  <c r="M1150" i="9"/>
  <c r="N1150" i="9"/>
  <c r="L1150" i="9"/>
  <c r="K1150" i="9"/>
  <c r="O1146" i="9"/>
  <c r="P1146" i="9" s="1"/>
  <c r="T1146" i="9"/>
  <c r="V1146" i="9" s="1"/>
  <c r="N1146" i="9"/>
  <c r="M1146" i="9"/>
  <c r="U1146" i="9"/>
  <c r="L1146" i="9"/>
  <c r="K1146" i="9"/>
  <c r="O1142" i="9"/>
  <c r="P1142" i="9" s="1"/>
  <c r="U1142" i="9"/>
  <c r="T1142" i="9"/>
  <c r="V1142" i="9" s="1"/>
  <c r="N1142" i="9"/>
  <c r="M1142" i="9"/>
  <c r="L1142" i="9"/>
  <c r="K1142" i="9"/>
  <c r="O1138" i="9"/>
  <c r="P1138" i="9" s="1"/>
  <c r="U1138" i="9"/>
  <c r="T1138" i="9"/>
  <c r="V1138" i="9" s="1"/>
  <c r="M1138" i="9"/>
  <c r="N1138" i="9"/>
  <c r="L1138" i="9"/>
  <c r="K1138" i="9"/>
  <c r="O1134" i="9"/>
  <c r="P1134" i="9" s="1"/>
  <c r="U1134" i="9"/>
  <c r="T1134" i="9"/>
  <c r="V1134" i="9" s="1"/>
  <c r="M1134" i="9"/>
  <c r="N1134" i="9"/>
  <c r="L1134" i="9"/>
  <c r="K1134" i="9"/>
  <c r="O1130" i="9"/>
  <c r="P1130" i="9" s="1"/>
  <c r="T1130" i="9"/>
  <c r="V1130" i="9" s="1"/>
  <c r="N1130" i="9"/>
  <c r="M1130" i="9"/>
  <c r="U1130" i="9"/>
  <c r="L1130" i="9"/>
  <c r="K1130" i="9"/>
  <c r="O1126" i="9"/>
  <c r="P1126" i="9" s="1"/>
  <c r="U1126" i="9"/>
  <c r="T1126" i="9"/>
  <c r="V1126" i="9" s="1"/>
  <c r="N1126" i="9"/>
  <c r="M1126" i="9"/>
  <c r="L1126" i="9"/>
  <c r="K1126" i="9"/>
  <c r="O1122" i="9"/>
  <c r="P1122" i="9" s="1"/>
  <c r="U1122" i="9"/>
  <c r="T1122" i="9"/>
  <c r="V1122" i="9" s="1"/>
  <c r="M1122" i="9"/>
  <c r="N1122" i="9"/>
  <c r="L1122" i="9"/>
  <c r="K1122" i="9"/>
  <c r="O1118" i="9"/>
  <c r="P1118" i="9" s="1"/>
  <c r="U1118" i="9"/>
  <c r="T1118" i="9"/>
  <c r="V1118" i="9" s="1"/>
  <c r="M1118" i="9"/>
  <c r="L1118" i="9"/>
  <c r="N1118" i="9"/>
  <c r="K1118" i="9"/>
  <c r="O1114" i="9"/>
  <c r="P1114" i="9" s="1"/>
  <c r="T1114" i="9"/>
  <c r="V1114" i="9" s="1"/>
  <c r="N1114" i="9"/>
  <c r="U1114" i="9"/>
  <c r="M1114" i="9"/>
  <c r="L1114" i="9"/>
  <c r="K1114" i="9"/>
  <c r="O1110" i="9"/>
  <c r="P1110" i="9" s="1"/>
  <c r="U1110" i="9"/>
  <c r="T1110" i="9"/>
  <c r="V1110" i="9" s="1"/>
  <c r="N1110" i="9"/>
  <c r="M1110" i="9"/>
  <c r="L1110" i="9"/>
  <c r="K1110" i="9"/>
  <c r="O1106" i="9"/>
  <c r="P1106" i="9" s="1"/>
  <c r="U1106" i="9"/>
  <c r="T1106" i="9"/>
  <c r="V1106" i="9" s="1"/>
  <c r="M1106" i="9"/>
  <c r="N1106" i="9"/>
  <c r="L1106" i="9"/>
  <c r="K1106" i="9"/>
  <c r="O1102" i="9"/>
  <c r="P1102" i="9" s="1"/>
  <c r="U1102" i="9"/>
  <c r="T1102" i="9"/>
  <c r="V1102" i="9" s="1"/>
  <c r="M1102" i="9"/>
  <c r="L1102" i="9"/>
  <c r="N1102" i="9"/>
  <c r="K1102" i="9"/>
  <c r="O1098" i="9"/>
  <c r="P1098" i="9" s="1"/>
  <c r="T1098" i="9"/>
  <c r="V1098" i="9" s="1"/>
  <c r="U1098" i="9"/>
  <c r="N1098" i="9"/>
  <c r="M1098" i="9"/>
  <c r="L1098" i="9"/>
  <c r="K1098" i="9"/>
  <c r="O1094" i="9"/>
  <c r="P1094" i="9" s="1"/>
  <c r="U1094" i="9"/>
  <c r="T1094" i="9"/>
  <c r="V1094" i="9" s="1"/>
  <c r="N1094" i="9"/>
  <c r="M1094" i="9"/>
  <c r="L1094" i="9"/>
  <c r="K1094" i="9"/>
  <c r="O1090" i="9"/>
  <c r="P1090" i="9" s="1"/>
  <c r="U1090" i="9"/>
  <c r="T1090" i="9"/>
  <c r="V1090" i="9" s="1"/>
  <c r="M1090" i="9"/>
  <c r="N1090" i="9"/>
  <c r="L1090" i="9"/>
  <c r="K1090" i="9"/>
  <c r="O1086" i="9"/>
  <c r="P1086" i="9" s="1"/>
  <c r="U1086" i="9"/>
  <c r="T1086" i="9"/>
  <c r="V1086" i="9" s="1"/>
  <c r="M1086" i="9"/>
  <c r="N1086" i="9"/>
  <c r="L1086" i="9"/>
  <c r="K1086" i="9"/>
  <c r="O1082" i="9"/>
  <c r="P1082" i="9" s="1"/>
  <c r="T1082" i="9"/>
  <c r="V1082" i="9" s="1"/>
  <c r="N1082" i="9"/>
  <c r="M1082" i="9"/>
  <c r="L1082" i="9"/>
  <c r="K1082" i="9"/>
  <c r="U1082" i="9"/>
  <c r="O1078" i="9"/>
  <c r="P1078" i="9" s="1"/>
  <c r="U1078" i="9"/>
  <c r="T1078" i="9"/>
  <c r="V1078" i="9" s="1"/>
  <c r="N1078" i="9"/>
  <c r="M1078" i="9"/>
  <c r="L1078" i="9"/>
  <c r="K1078" i="9"/>
  <c r="O1074" i="9"/>
  <c r="P1074" i="9" s="1"/>
  <c r="U1074" i="9"/>
  <c r="T1074" i="9"/>
  <c r="V1074" i="9" s="1"/>
  <c r="M1074" i="9"/>
  <c r="N1074" i="9"/>
  <c r="L1074" i="9"/>
  <c r="K1074" i="9"/>
  <c r="O1070" i="9"/>
  <c r="P1070" i="9" s="1"/>
  <c r="U1070" i="9"/>
  <c r="T1070" i="9"/>
  <c r="V1070" i="9" s="1"/>
  <c r="M1070" i="9"/>
  <c r="N1070" i="9"/>
  <c r="L1070" i="9"/>
  <c r="K1070" i="9"/>
  <c r="O1066" i="9"/>
  <c r="P1066" i="9" s="1"/>
  <c r="T1066" i="9"/>
  <c r="V1066" i="9" s="1"/>
  <c r="N1066" i="9"/>
  <c r="M1066" i="9"/>
  <c r="U1066" i="9"/>
  <c r="L1066" i="9"/>
  <c r="K1066" i="9"/>
  <c r="O1062" i="9"/>
  <c r="P1062" i="9" s="1"/>
  <c r="U1062" i="9"/>
  <c r="T1062" i="9"/>
  <c r="V1062" i="9" s="1"/>
  <c r="N1062" i="9"/>
  <c r="M1062" i="9"/>
  <c r="L1062" i="9"/>
  <c r="K1062" i="9"/>
  <c r="O1058" i="9"/>
  <c r="P1058" i="9" s="1"/>
  <c r="U1058" i="9"/>
  <c r="T1058" i="9"/>
  <c r="V1058" i="9" s="1"/>
  <c r="M1058" i="9"/>
  <c r="N1058" i="9"/>
  <c r="L1058" i="9"/>
  <c r="K1058" i="9"/>
  <c r="O1054" i="9"/>
  <c r="P1054" i="9" s="1"/>
  <c r="U1054" i="9"/>
  <c r="T1054" i="9"/>
  <c r="V1054" i="9" s="1"/>
  <c r="M1054" i="9"/>
  <c r="L1054" i="9"/>
  <c r="N1054" i="9"/>
  <c r="K1054" i="9"/>
  <c r="O1050" i="9"/>
  <c r="P1050" i="9" s="1"/>
  <c r="T1050" i="9"/>
  <c r="V1050" i="9" s="1"/>
  <c r="N1050" i="9"/>
  <c r="U1050" i="9"/>
  <c r="M1050" i="9"/>
  <c r="L1050" i="9"/>
  <c r="K1050" i="9"/>
  <c r="O1046" i="9"/>
  <c r="P1046" i="9" s="1"/>
  <c r="U1046" i="9"/>
  <c r="T1046" i="9"/>
  <c r="V1046" i="9" s="1"/>
  <c r="N1046" i="9"/>
  <c r="M1046" i="9"/>
  <c r="L1046" i="9"/>
  <c r="K1046" i="9"/>
  <c r="O1042" i="9"/>
  <c r="P1042" i="9" s="1"/>
  <c r="U1042" i="9"/>
  <c r="T1042" i="9"/>
  <c r="V1042" i="9" s="1"/>
  <c r="M1042" i="9"/>
  <c r="N1042" i="9"/>
  <c r="L1042" i="9"/>
  <c r="K1042" i="9"/>
  <c r="O1038" i="9"/>
  <c r="P1038" i="9" s="1"/>
  <c r="U1038" i="9"/>
  <c r="T1038" i="9"/>
  <c r="V1038" i="9" s="1"/>
  <c r="M1038" i="9"/>
  <c r="L1038" i="9"/>
  <c r="N1038" i="9"/>
  <c r="K1038" i="9"/>
  <c r="O1034" i="9"/>
  <c r="P1034" i="9" s="1"/>
  <c r="T1034" i="9"/>
  <c r="V1034" i="9" s="1"/>
  <c r="U1034" i="9"/>
  <c r="N1034" i="9"/>
  <c r="M1034" i="9"/>
  <c r="L1034" i="9"/>
  <c r="K1034" i="9"/>
  <c r="O1030" i="9"/>
  <c r="P1030" i="9" s="1"/>
  <c r="U1030" i="9"/>
  <c r="T1030" i="9"/>
  <c r="V1030" i="9" s="1"/>
  <c r="N1030" i="9"/>
  <c r="M1030" i="9"/>
  <c r="L1030" i="9"/>
  <c r="K1030" i="9"/>
  <c r="O1026" i="9"/>
  <c r="P1026" i="9" s="1"/>
  <c r="U1026" i="9"/>
  <c r="T1026" i="9"/>
  <c r="V1026" i="9" s="1"/>
  <c r="M1026" i="9"/>
  <c r="N1026" i="9"/>
  <c r="L1026" i="9"/>
  <c r="K1026" i="9"/>
  <c r="O1022" i="9"/>
  <c r="P1022" i="9" s="1"/>
  <c r="U1022" i="9"/>
  <c r="T1022" i="9"/>
  <c r="V1022" i="9" s="1"/>
  <c r="M1022" i="9"/>
  <c r="N1022" i="9"/>
  <c r="L1022" i="9"/>
  <c r="K1022" i="9"/>
  <c r="O1018" i="9"/>
  <c r="P1018" i="9" s="1"/>
  <c r="T1018" i="9"/>
  <c r="V1018" i="9" s="1"/>
  <c r="N1018" i="9"/>
  <c r="M1018" i="9"/>
  <c r="L1018" i="9"/>
  <c r="U1018" i="9"/>
  <c r="K1018" i="9"/>
  <c r="O1014" i="9"/>
  <c r="P1014" i="9" s="1"/>
  <c r="U1014" i="9"/>
  <c r="T1014" i="9"/>
  <c r="V1014" i="9" s="1"/>
  <c r="N1014" i="9"/>
  <c r="M1014" i="9"/>
  <c r="L1014" i="9"/>
  <c r="K1014" i="9"/>
  <c r="O1010" i="9"/>
  <c r="P1010" i="9" s="1"/>
  <c r="U1010" i="9"/>
  <c r="T1010" i="9"/>
  <c r="V1010" i="9" s="1"/>
  <c r="M1010" i="9"/>
  <c r="N1010" i="9"/>
  <c r="L1010" i="9"/>
  <c r="K1010" i="9"/>
  <c r="O1006" i="9"/>
  <c r="P1006" i="9" s="1"/>
  <c r="U1006" i="9"/>
  <c r="T1006" i="9"/>
  <c r="V1006" i="9" s="1"/>
  <c r="M1006" i="9"/>
  <c r="N1006" i="9"/>
  <c r="L1006" i="9"/>
  <c r="K1006" i="9"/>
  <c r="O1002" i="9"/>
  <c r="P1002" i="9" s="1"/>
  <c r="T1002" i="9"/>
  <c r="V1002" i="9" s="1"/>
  <c r="N1002" i="9"/>
  <c r="M1002" i="9"/>
  <c r="U1002" i="9"/>
  <c r="L1002" i="9"/>
  <c r="K1002" i="9"/>
  <c r="O998" i="9"/>
  <c r="P998" i="9" s="1"/>
  <c r="U998" i="9"/>
  <c r="T998" i="9"/>
  <c r="V998" i="9" s="1"/>
  <c r="N998" i="9"/>
  <c r="M998" i="9"/>
  <c r="L998" i="9"/>
  <c r="K998" i="9"/>
  <c r="O994" i="9"/>
  <c r="P994" i="9" s="1"/>
  <c r="U994" i="9"/>
  <c r="T994" i="9"/>
  <c r="V994" i="9" s="1"/>
  <c r="M994" i="9"/>
  <c r="N994" i="9"/>
  <c r="L994" i="9"/>
  <c r="K994" i="9"/>
  <c r="O990" i="9"/>
  <c r="P990" i="9" s="1"/>
  <c r="U990" i="9"/>
  <c r="T990" i="9"/>
  <c r="V990" i="9" s="1"/>
  <c r="M990" i="9"/>
  <c r="L990" i="9"/>
  <c r="N990" i="9"/>
  <c r="K990" i="9"/>
  <c r="O986" i="9"/>
  <c r="P986" i="9" s="1"/>
  <c r="T986" i="9"/>
  <c r="V986" i="9" s="1"/>
  <c r="N986" i="9"/>
  <c r="U986" i="9"/>
  <c r="M986" i="9"/>
  <c r="L986" i="9"/>
  <c r="K986" i="9"/>
  <c r="O982" i="9"/>
  <c r="P982" i="9" s="1"/>
  <c r="U982" i="9"/>
  <c r="T982" i="9"/>
  <c r="V982" i="9" s="1"/>
  <c r="N982" i="9"/>
  <c r="M982" i="9"/>
  <c r="L982" i="9"/>
  <c r="K982" i="9"/>
  <c r="O978" i="9"/>
  <c r="P978" i="9" s="1"/>
  <c r="U978" i="9"/>
  <c r="T978" i="9"/>
  <c r="V978" i="9" s="1"/>
  <c r="M978" i="9"/>
  <c r="N978" i="9"/>
  <c r="L978" i="9"/>
  <c r="K978" i="9"/>
  <c r="O974" i="9"/>
  <c r="P974" i="9" s="1"/>
  <c r="U974" i="9"/>
  <c r="T974" i="9"/>
  <c r="V974" i="9" s="1"/>
  <c r="M974" i="9"/>
  <c r="L974" i="9"/>
  <c r="N974" i="9"/>
  <c r="K974" i="9"/>
  <c r="O970" i="9"/>
  <c r="P970" i="9" s="1"/>
  <c r="T970" i="9"/>
  <c r="V970" i="9" s="1"/>
  <c r="U970" i="9"/>
  <c r="N970" i="9"/>
  <c r="M970" i="9"/>
  <c r="L970" i="9"/>
  <c r="K970" i="9"/>
  <c r="O966" i="9"/>
  <c r="P966" i="9" s="1"/>
  <c r="U966" i="9"/>
  <c r="T966" i="9"/>
  <c r="V966" i="9" s="1"/>
  <c r="N966" i="9"/>
  <c r="M966" i="9"/>
  <c r="L966" i="9"/>
  <c r="K966" i="9"/>
  <c r="O962" i="9"/>
  <c r="P962" i="9" s="1"/>
  <c r="U962" i="9"/>
  <c r="T962" i="9"/>
  <c r="V962" i="9" s="1"/>
  <c r="M962" i="9"/>
  <c r="N962" i="9"/>
  <c r="L962" i="9"/>
  <c r="K962" i="9"/>
  <c r="O958" i="9"/>
  <c r="P958" i="9" s="1"/>
  <c r="U958" i="9"/>
  <c r="T958" i="9"/>
  <c r="V958" i="9" s="1"/>
  <c r="N958" i="9"/>
  <c r="M958" i="9"/>
  <c r="L958" i="9"/>
  <c r="K958" i="9"/>
  <c r="O954" i="9"/>
  <c r="P954" i="9" s="1"/>
  <c r="T954" i="9"/>
  <c r="V954" i="9" s="1"/>
  <c r="M954" i="9"/>
  <c r="N954" i="9"/>
  <c r="U954" i="9"/>
  <c r="L954" i="9"/>
  <c r="K954" i="9"/>
  <c r="O950" i="9"/>
  <c r="P950" i="9" s="1"/>
  <c r="U950" i="9"/>
  <c r="T950" i="9"/>
  <c r="V950" i="9" s="1"/>
  <c r="N950" i="9"/>
  <c r="M950" i="9"/>
  <c r="L950" i="9"/>
  <c r="K950" i="9"/>
  <c r="O946" i="9"/>
  <c r="P946" i="9" s="1"/>
  <c r="U946" i="9"/>
  <c r="T946" i="9"/>
  <c r="V946" i="9" s="1"/>
  <c r="M946" i="9"/>
  <c r="L946" i="9"/>
  <c r="K946" i="9"/>
  <c r="N946" i="9"/>
  <c r="O942" i="9"/>
  <c r="P942" i="9" s="1"/>
  <c r="U942" i="9"/>
  <c r="T942" i="9"/>
  <c r="V942" i="9" s="1"/>
  <c r="N942" i="9"/>
  <c r="M942" i="9"/>
  <c r="L942" i="9"/>
  <c r="K942" i="9"/>
  <c r="O938" i="9"/>
  <c r="P938" i="9" s="1"/>
  <c r="T938" i="9"/>
  <c r="V938" i="9" s="1"/>
  <c r="M938" i="9"/>
  <c r="U938" i="9"/>
  <c r="L938" i="9"/>
  <c r="N938" i="9"/>
  <c r="K938" i="9"/>
  <c r="O934" i="9"/>
  <c r="P934" i="9" s="1"/>
  <c r="U934" i="9"/>
  <c r="T934" i="9"/>
  <c r="V934" i="9" s="1"/>
  <c r="N934" i="9"/>
  <c r="M934" i="9"/>
  <c r="L934" i="9"/>
  <c r="K934" i="9"/>
  <c r="O930" i="9"/>
  <c r="P930" i="9" s="1"/>
  <c r="U930" i="9"/>
  <c r="T930" i="9"/>
  <c r="V930" i="9" s="1"/>
  <c r="M930" i="9"/>
  <c r="N930" i="9"/>
  <c r="L930" i="9"/>
  <c r="K930" i="9"/>
  <c r="O926" i="9"/>
  <c r="P926" i="9" s="1"/>
  <c r="U926" i="9"/>
  <c r="T926" i="9"/>
  <c r="V926" i="9" s="1"/>
  <c r="N926" i="9"/>
  <c r="M926" i="9"/>
  <c r="L926" i="9"/>
  <c r="K926" i="9"/>
  <c r="O922" i="9"/>
  <c r="P922" i="9" s="1"/>
  <c r="T922" i="9"/>
  <c r="V922" i="9" s="1"/>
  <c r="U922" i="9"/>
  <c r="M922" i="9"/>
  <c r="N922" i="9"/>
  <c r="L922" i="9"/>
  <c r="K922" i="9"/>
  <c r="O918" i="9"/>
  <c r="P918" i="9" s="1"/>
  <c r="U918" i="9"/>
  <c r="T918" i="9"/>
  <c r="V918" i="9" s="1"/>
  <c r="N918" i="9"/>
  <c r="M918" i="9"/>
  <c r="L918" i="9"/>
  <c r="K918" i="9"/>
  <c r="O914" i="9"/>
  <c r="P914" i="9" s="1"/>
  <c r="U914" i="9"/>
  <c r="T914" i="9"/>
  <c r="V914" i="9" s="1"/>
  <c r="M914" i="9"/>
  <c r="L914" i="9"/>
  <c r="N914" i="9"/>
  <c r="K914" i="9"/>
  <c r="O910" i="9"/>
  <c r="P910" i="9" s="1"/>
  <c r="U910" i="9"/>
  <c r="T910" i="9"/>
  <c r="V910" i="9" s="1"/>
  <c r="N910" i="9"/>
  <c r="M910" i="9"/>
  <c r="L910" i="9"/>
  <c r="K910" i="9"/>
  <c r="O906" i="9"/>
  <c r="P906" i="9" s="1"/>
  <c r="T906" i="9"/>
  <c r="V906" i="9" s="1"/>
  <c r="U906" i="9"/>
  <c r="M906" i="9"/>
  <c r="L906" i="9"/>
  <c r="N906" i="9"/>
  <c r="K906" i="9"/>
  <c r="O902" i="9"/>
  <c r="P902" i="9" s="1"/>
  <c r="U902" i="9"/>
  <c r="T902" i="9"/>
  <c r="V902" i="9" s="1"/>
  <c r="N902" i="9"/>
  <c r="M902" i="9"/>
  <c r="L902" i="9"/>
  <c r="K902" i="9"/>
  <c r="O898" i="9"/>
  <c r="P898" i="9" s="1"/>
  <c r="U898" i="9"/>
  <c r="T898" i="9"/>
  <c r="V898" i="9" s="1"/>
  <c r="M898" i="9"/>
  <c r="N898" i="9"/>
  <c r="L898" i="9"/>
  <c r="K898" i="9"/>
  <c r="O894" i="9"/>
  <c r="P894" i="9" s="1"/>
  <c r="U894" i="9"/>
  <c r="T894" i="9"/>
  <c r="V894" i="9" s="1"/>
  <c r="N894" i="9"/>
  <c r="M894" i="9"/>
  <c r="L894" i="9"/>
  <c r="K894" i="9"/>
  <c r="O890" i="9"/>
  <c r="P890" i="9" s="1"/>
  <c r="T890" i="9"/>
  <c r="V890" i="9" s="1"/>
  <c r="M890" i="9"/>
  <c r="U890" i="9"/>
  <c r="N890" i="9"/>
  <c r="L890" i="9"/>
  <c r="K890" i="9"/>
  <c r="O886" i="9"/>
  <c r="P886" i="9" s="1"/>
  <c r="U886" i="9"/>
  <c r="T886" i="9"/>
  <c r="V886" i="9" s="1"/>
  <c r="N886" i="9"/>
  <c r="M886" i="9"/>
  <c r="L886" i="9"/>
  <c r="K886" i="9"/>
  <c r="O882" i="9"/>
  <c r="P882" i="9" s="1"/>
  <c r="U882" i="9"/>
  <c r="T882" i="9"/>
  <c r="V882" i="9" s="1"/>
  <c r="M882" i="9"/>
  <c r="L882" i="9"/>
  <c r="K882" i="9"/>
  <c r="N882" i="9"/>
  <c r="O878" i="9"/>
  <c r="P878" i="9" s="1"/>
  <c r="U878" i="9"/>
  <c r="T878" i="9"/>
  <c r="V878" i="9" s="1"/>
  <c r="N878" i="9"/>
  <c r="M878" i="9"/>
  <c r="L878" i="9"/>
  <c r="K878" i="9"/>
  <c r="O874" i="9"/>
  <c r="P874" i="9" s="1"/>
  <c r="T874" i="9"/>
  <c r="V874" i="9" s="1"/>
  <c r="M874" i="9"/>
  <c r="U874" i="9"/>
  <c r="L874" i="9"/>
  <c r="N874" i="9"/>
  <c r="K874" i="9"/>
  <c r="O870" i="9"/>
  <c r="P870" i="9" s="1"/>
  <c r="U870" i="9"/>
  <c r="T870" i="9"/>
  <c r="V870" i="9" s="1"/>
  <c r="N870" i="9"/>
  <c r="M870" i="9"/>
  <c r="L870" i="9"/>
  <c r="K870" i="9"/>
  <c r="O866" i="9"/>
  <c r="P866" i="9" s="1"/>
  <c r="U866" i="9"/>
  <c r="T866" i="9"/>
  <c r="V866" i="9" s="1"/>
  <c r="M866" i="9"/>
  <c r="N866" i="9"/>
  <c r="L866" i="9"/>
  <c r="K866" i="9"/>
  <c r="O862" i="9"/>
  <c r="P862" i="9" s="1"/>
  <c r="U862" i="9"/>
  <c r="T862" i="9"/>
  <c r="V862" i="9" s="1"/>
  <c r="N862" i="9"/>
  <c r="M862" i="9"/>
  <c r="L862" i="9"/>
  <c r="K862" i="9"/>
  <c r="O858" i="9"/>
  <c r="P858" i="9" s="1"/>
  <c r="T858" i="9"/>
  <c r="V858" i="9" s="1"/>
  <c r="U858" i="9"/>
  <c r="M858" i="9"/>
  <c r="N858" i="9"/>
  <c r="L858" i="9"/>
  <c r="K858" i="9"/>
  <c r="O854" i="9"/>
  <c r="P854" i="9" s="1"/>
  <c r="U854" i="9"/>
  <c r="T854" i="9"/>
  <c r="V854" i="9" s="1"/>
  <c r="N854" i="9"/>
  <c r="M854" i="9"/>
  <c r="L854" i="9"/>
  <c r="K854" i="9"/>
  <c r="O850" i="9"/>
  <c r="P850" i="9" s="1"/>
  <c r="U850" i="9"/>
  <c r="T850" i="9"/>
  <c r="V850" i="9" s="1"/>
  <c r="M850" i="9"/>
  <c r="L850" i="9"/>
  <c r="K850" i="9"/>
  <c r="N850" i="9"/>
  <c r="O846" i="9"/>
  <c r="P846" i="9" s="1"/>
  <c r="U846" i="9"/>
  <c r="T846" i="9"/>
  <c r="V846" i="9" s="1"/>
  <c r="N846" i="9"/>
  <c r="M846" i="9"/>
  <c r="L846" i="9"/>
  <c r="K846" i="9"/>
  <c r="O842" i="9"/>
  <c r="P842" i="9" s="1"/>
  <c r="T842" i="9"/>
  <c r="V842" i="9" s="1"/>
  <c r="U842" i="9"/>
  <c r="M842" i="9"/>
  <c r="L842" i="9"/>
  <c r="N842" i="9"/>
  <c r="K842" i="9"/>
  <c r="O838" i="9"/>
  <c r="P838" i="9" s="1"/>
  <c r="U838" i="9"/>
  <c r="T838" i="9"/>
  <c r="V838" i="9" s="1"/>
  <c r="N838" i="9"/>
  <c r="M838" i="9"/>
  <c r="L838" i="9"/>
  <c r="K838" i="9"/>
  <c r="O834" i="9"/>
  <c r="P834" i="9" s="1"/>
  <c r="U834" i="9"/>
  <c r="T834" i="9"/>
  <c r="V834" i="9" s="1"/>
  <c r="M834" i="9"/>
  <c r="N834" i="9"/>
  <c r="L834" i="9"/>
  <c r="K834" i="9"/>
  <c r="O830" i="9"/>
  <c r="P830" i="9" s="1"/>
  <c r="U830" i="9"/>
  <c r="T830" i="9"/>
  <c r="V830" i="9" s="1"/>
  <c r="N830" i="9"/>
  <c r="M830" i="9"/>
  <c r="L830" i="9"/>
  <c r="K830" i="9"/>
  <c r="O826" i="9"/>
  <c r="P826" i="9" s="1"/>
  <c r="T826" i="9"/>
  <c r="V826" i="9" s="1"/>
  <c r="M826" i="9"/>
  <c r="N826" i="9"/>
  <c r="L826" i="9"/>
  <c r="K826" i="9"/>
  <c r="U826" i="9"/>
  <c r="O822" i="9"/>
  <c r="P822" i="9" s="1"/>
  <c r="U822" i="9"/>
  <c r="T822" i="9"/>
  <c r="V822" i="9" s="1"/>
  <c r="N822" i="9"/>
  <c r="M822" i="9"/>
  <c r="L822" i="9"/>
  <c r="K822" i="9"/>
  <c r="O818" i="9"/>
  <c r="P818" i="9" s="1"/>
  <c r="U818" i="9"/>
  <c r="T818" i="9"/>
  <c r="V818" i="9" s="1"/>
  <c r="M818" i="9"/>
  <c r="L818" i="9"/>
  <c r="K818" i="9"/>
  <c r="N818" i="9"/>
  <c r="O814" i="9"/>
  <c r="P814" i="9" s="1"/>
  <c r="U814" i="9"/>
  <c r="T814" i="9"/>
  <c r="V814" i="9" s="1"/>
  <c r="N814" i="9"/>
  <c r="M814" i="9"/>
  <c r="L814" i="9"/>
  <c r="K814" i="9"/>
  <c r="O810" i="9"/>
  <c r="P810" i="9" s="1"/>
  <c r="T810" i="9"/>
  <c r="V810" i="9" s="1"/>
  <c r="M810" i="9"/>
  <c r="U810" i="9"/>
  <c r="L810" i="9"/>
  <c r="N810" i="9"/>
  <c r="K810" i="9"/>
  <c r="O806" i="9"/>
  <c r="P806" i="9" s="1"/>
  <c r="U806" i="9"/>
  <c r="T806" i="9"/>
  <c r="V806" i="9" s="1"/>
  <c r="N806" i="9"/>
  <c r="M806" i="9"/>
  <c r="L806" i="9"/>
  <c r="K806" i="9"/>
  <c r="O802" i="9"/>
  <c r="P802" i="9" s="1"/>
  <c r="U802" i="9"/>
  <c r="T802" i="9"/>
  <c r="V802" i="9" s="1"/>
  <c r="M802" i="9"/>
  <c r="N802" i="9"/>
  <c r="L802" i="9"/>
  <c r="K802" i="9"/>
  <c r="O798" i="9"/>
  <c r="P798" i="9" s="1"/>
  <c r="U798" i="9"/>
  <c r="T798" i="9"/>
  <c r="V798" i="9" s="1"/>
  <c r="N798" i="9"/>
  <c r="M798" i="9"/>
  <c r="L798" i="9"/>
  <c r="K798" i="9"/>
  <c r="O794" i="9"/>
  <c r="P794" i="9" s="1"/>
  <c r="T794" i="9"/>
  <c r="V794" i="9" s="1"/>
  <c r="U794" i="9"/>
  <c r="M794" i="9"/>
  <c r="N794" i="9"/>
  <c r="L794" i="9"/>
  <c r="K794" i="9"/>
  <c r="O790" i="9"/>
  <c r="P790" i="9" s="1"/>
  <c r="U790" i="9"/>
  <c r="T790" i="9"/>
  <c r="V790" i="9" s="1"/>
  <c r="N790" i="9"/>
  <c r="M790" i="9"/>
  <c r="L790" i="9"/>
  <c r="K790" i="9"/>
  <c r="O786" i="9"/>
  <c r="P786" i="9" s="1"/>
  <c r="U786" i="9"/>
  <c r="T786" i="9"/>
  <c r="V786" i="9" s="1"/>
  <c r="M786" i="9"/>
  <c r="L786" i="9"/>
  <c r="N786" i="9"/>
  <c r="K786" i="9"/>
  <c r="O782" i="9"/>
  <c r="P782" i="9" s="1"/>
  <c r="U782" i="9"/>
  <c r="T782" i="9"/>
  <c r="V782" i="9" s="1"/>
  <c r="N782" i="9"/>
  <c r="M782" i="9"/>
  <c r="L782" i="9"/>
  <c r="K782" i="9"/>
  <c r="O778" i="9"/>
  <c r="P778" i="9" s="1"/>
  <c r="T778" i="9"/>
  <c r="V778" i="9" s="1"/>
  <c r="U778" i="9"/>
  <c r="M778" i="9"/>
  <c r="L778" i="9"/>
  <c r="N778" i="9"/>
  <c r="K778" i="9"/>
  <c r="O774" i="9"/>
  <c r="P774" i="9" s="1"/>
  <c r="U774" i="9"/>
  <c r="T774" i="9"/>
  <c r="V774" i="9" s="1"/>
  <c r="N774" i="9"/>
  <c r="M774" i="9"/>
  <c r="L774" i="9"/>
  <c r="K774" i="9"/>
  <c r="O770" i="9"/>
  <c r="P770" i="9" s="1"/>
  <c r="U770" i="9"/>
  <c r="T770" i="9"/>
  <c r="V770" i="9" s="1"/>
  <c r="M770" i="9"/>
  <c r="L770" i="9"/>
  <c r="N770" i="9"/>
  <c r="K770" i="9"/>
  <c r="O766" i="9"/>
  <c r="P766" i="9" s="1"/>
  <c r="U766" i="9"/>
  <c r="T766" i="9"/>
  <c r="V766" i="9" s="1"/>
  <c r="N766" i="9"/>
  <c r="M766" i="9"/>
  <c r="L766" i="9"/>
  <c r="K766" i="9"/>
  <c r="O762" i="9"/>
  <c r="P762" i="9" s="1"/>
  <c r="T762" i="9"/>
  <c r="V762" i="9" s="1"/>
  <c r="M762" i="9"/>
  <c r="L762" i="9"/>
  <c r="N762" i="9"/>
  <c r="U762" i="9"/>
  <c r="K762" i="9"/>
  <c r="O758" i="9"/>
  <c r="P758" i="9" s="1"/>
  <c r="U758" i="9"/>
  <c r="T758" i="9"/>
  <c r="V758" i="9" s="1"/>
  <c r="N758" i="9"/>
  <c r="M758" i="9"/>
  <c r="L758" i="9"/>
  <c r="K758" i="9"/>
  <c r="O754" i="9"/>
  <c r="P754" i="9" s="1"/>
  <c r="U754" i="9"/>
  <c r="T754" i="9"/>
  <c r="V754" i="9" s="1"/>
  <c r="M754" i="9"/>
  <c r="L754" i="9"/>
  <c r="K754" i="9"/>
  <c r="N754" i="9"/>
  <c r="O750" i="9"/>
  <c r="P750" i="9" s="1"/>
  <c r="U750" i="9"/>
  <c r="T750" i="9"/>
  <c r="V750" i="9" s="1"/>
  <c r="N750" i="9"/>
  <c r="M750" i="9"/>
  <c r="L750" i="9"/>
  <c r="K750" i="9"/>
  <c r="O746" i="9"/>
  <c r="P746" i="9" s="1"/>
  <c r="T746" i="9"/>
  <c r="V746" i="9" s="1"/>
  <c r="M746" i="9"/>
  <c r="L746" i="9"/>
  <c r="U746" i="9"/>
  <c r="N746" i="9"/>
  <c r="K746" i="9"/>
  <c r="O742" i="9"/>
  <c r="P742" i="9" s="1"/>
  <c r="U742" i="9"/>
  <c r="T742" i="9"/>
  <c r="V742" i="9" s="1"/>
  <c r="N742" i="9"/>
  <c r="M742" i="9"/>
  <c r="L742" i="9"/>
  <c r="K742" i="9"/>
  <c r="U738" i="9"/>
  <c r="O738" i="9"/>
  <c r="P738" i="9" s="1"/>
  <c r="T738" i="9"/>
  <c r="V738" i="9" s="1"/>
  <c r="M738" i="9"/>
  <c r="L738" i="9"/>
  <c r="N738" i="9"/>
  <c r="K738" i="9"/>
  <c r="U734" i="9"/>
  <c r="O734" i="9"/>
  <c r="P734" i="9" s="1"/>
  <c r="T734" i="9"/>
  <c r="V734" i="9" s="1"/>
  <c r="N734" i="9"/>
  <c r="M734" i="9"/>
  <c r="L734" i="9"/>
  <c r="K734" i="9"/>
  <c r="U730" i="9"/>
  <c r="O730" i="9"/>
  <c r="P730" i="9" s="1"/>
  <c r="T730" i="9"/>
  <c r="V730" i="9" s="1"/>
  <c r="M730" i="9"/>
  <c r="L730" i="9"/>
  <c r="N730" i="9"/>
  <c r="K730" i="9"/>
  <c r="U726" i="9"/>
  <c r="O726" i="9"/>
  <c r="P726" i="9" s="1"/>
  <c r="T726" i="9"/>
  <c r="V726" i="9" s="1"/>
  <c r="N726" i="9"/>
  <c r="M726" i="9"/>
  <c r="L726" i="9"/>
  <c r="K726" i="9"/>
  <c r="U722" i="9"/>
  <c r="O722" i="9"/>
  <c r="P722" i="9" s="1"/>
  <c r="T722" i="9"/>
  <c r="V722" i="9" s="1"/>
  <c r="M722" i="9"/>
  <c r="L722" i="9"/>
  <c r="K722" i="9"/>
  <c r="N722" i="9"/>
  <c r="U718" i="9"/>
  <c r="O718" i="9"/>
  <c r="P718" i="9" s="1"/>
  <c r="T718" i="9"/>
  <c r="V718" i="9" s="1"/>
  <c r="N718" i="9"/>
  <c r="M718" i="9"/>
  <c r="L718" i="9"/>
  <c r="K718" i="9"/>
  <c r="U714" i="9"/>
  <c r="O714" i="9"/>
  <c r="P714" i="9" s="1"/>
  <c r="T714" i="9"/>
  <c r="V714" i="9" s="1"/>
  <c r="M714" i="9"/>
  <c r="L714" i="9"/>
  <c r="N714" i="9"/>
  <c r="K714" i="9"/>
  <c r="U710" i="9"/>
  <c r="O710" i="9"/>
  <c r="P710" i="9" s="1"/>
  <c r="T710" i="9"/>
  <c r="V710" i="9" s="1"/>
  <c r="N710" i="9"/>
  <c r="M710" i="9"/>
  <c r="L710" i="9"/>
  <c r="K710" i="9"/>
  <c r="U706" i="9"/>
  <c r="O706" i="9"/>
  <c r="P706" i="9" s="1"/>
  <c r="T706" i="9"/>
  <c r="V706" i="9" s="1"/>
  <c r="M706" i="9"/>
  <c r="L706" i="9"/>
  <c r="N706" i="9"/>
  <c r="K706" i="9"/>
  <c r="U702" i="9"/>
  <c r="O702" i="9"/>
  <c r="P702" i="9" s="1"/>
  <c r="T702" i="9"/>
  <c r="V702" i="9" s="1"/>
  <c r="N702" i="9"/>
  <c r="M702" i="9"/>
  <c r="L702" i="9"/>
  <c r="K702" i="9"/>
  <c r="U698" i="9"/>
  <c r="O698" i="9"/>
  <c r="P698" i="9" s="1"/>
  <c r="T698" i="9"/>
  <c r="V698" i="9" s="1"/>
  <c r="M698" i="9"/>
  <c r="L698" i="9"/>
  <c r="N698" i="9"/>
  <c r="K698" i="9"/>
  <c r="U694" i="9"/>
  <c r="O694" i="9"/>
  <c r="P694" i="9" s="1"/>
  <c r="T694" i="9"/>
  <c r="V694" i="9" s="1"/>
  <c r="N694" i="9"/>
  <c r="M694" i="9"/>
  <c r="L694" i="9"/>
  <c r="K694" i="9"/>
  <c r="U690" i="9"/>
  <c r="O690" i="9"/>
  <c r="P690" i="9" s="1"/>
  <c r="T690" i="9"/>
  <c r="V690" i="9" s="1"/>
  <c r="M690" i="9"/>
  <c r="L690" i="9"/>
  <c r="K690" i="9"/>
  <c r="N690" i="9"/>
  <c r="U686" i="9"/>
  <c r="O686" i="9"/>
  <c r="P686" i="9" s="1"/>
  <c r="T686" i="9"/>
  <c r="V686" i="9" s="1"/>
  <c r="N686" i="9"/>
  <c r="M686" i="9"/>
  <c r="L686" i="9"/>
  <c r="K686" i="9"/>
  <c r="U682" i="9"/>
  <c r="O682" i="9"/>
  <c r="P682" i="9" s="1"/>
  <c r="T682" i="9"/>
  <c r="V682" i="9" s="1"/>
  <c r="M682" i="9"/>
  <c r="L682" i="9"/>
  <c r="N682" i="9"/>
  <c r="K682" i="9"/>
  <c r="U678" i="9"/>
  <c r="O678" i="9"/>
  <c r="P678" i="9" s="1"/>
  <c r="T678" i="9"/>
  <c r="V678" i="9" s="1"/>
  <c r="N678" i="9"/>
  <c r="M678" i="9"/>
  <c r="L678" i="9"/>
  <c r="K678" i="9"/>
  <c r="U674" i="9"/>
  <c r="O674" i="9"/>
  <c r="P674" i="9" s="1"/>
  <c r="T674" i="9"/>
  <c r="V674" i="9" s="1"/>
  <c r="M674" i="9"/>
  <c r="L674" i="9"/>
  <c r="N674" i="9"/>
  <c r="K674" i="9"/>
  <c r="U670" i="9"/>
  <c r="O670" i="9"/>
  <c r="P670" i="9" s="1"/>
  <c r="T670" i="9"/>
  <c r="V670" i="9" s="1"/>
  <c r="N670" i="9"/>
  <c r="M670" i="9"/>
  <c r="L670" i="9"/>
  <c r="K670" i="9"/>
  <c r="U666" i="9"/>
  <c r="O666" i="9"/>
  <c r="P666" i="9" s="1"/>
  <c r="N666" i="9"/>
  <c r="T666" i="9"/>
  <c r="V666" i="9" s="1"/>
  <c r="M666" i="9"/>
  <c r="L666" i="9"/>
  <c r="K666" i="9"/>
  <c r="U662" i="9"/>
  <c r="O662" i="9"/>
  <c r="P662" i="9" s="1"/>
  <c r="N662" i="9"/>
  <c r="T662" i="9"/>
  <c r="V662" i="9" s="1"/>
  <c r="M662" i="9"/>
  <c r="L662" i="9"/>
  <c r="K662" i="9"/>
  <c r="U658" i="9"/>
  <c r="O658" i="9"/>
  <c r="P658" i="9" s="1"/>
  <c r="N658" i="9"/>
  <c r="T658" i="9"/>
  <c r="V658" i="9" s="1"/>
  <c r="M658" i="9"/>
  <c r="L658" i="9"/>
  <c r="K658" i="9"/>
  <c r="U654" i="9"/>
  <c r="O654" i="9"/>
  <c r="P654" i="9" s="1"/>
  <c r="N654" i="9"/>
  <c r="T654" i="9"/>
  <c r="V654" i="9" s="1"/>
  <c r="M654" i="9"/>
  <c r="L654" i="9"/>
  <c r="K654" i="9"/>
  <c r="U650" i="9"/>
  <c r="O650" i="9"/>
  <c r="P650" i="9" s="1"/>
  <c r="N650" i="9"/>
  <c r="T650" i="9"/>
  <c r="V650" i="9" s="1"/>
  <c r="M650" i="9"/>
  <c r="L650" i="9"/>
  <c r="K650" i="9"/>
  <c r="U646" i="9"/>
  <c r="O646" i="9"/>
  <c r="P646" i="9" s="1"/>
  <c r="N646" i="9"/>
  <c r="T646" i="9"/>
  <c r="V646" i="9" s="1"/>
  <c r="M646" i="9"/>
  <c r="L646" i="9"/>
  <c r="K646" i="9"/>
  <c r="U642" i="9"/>
  <c r="O642" i="9"/>
  <c r="P642" i="9" s="1"/>
  <c r="N642" i="9"/>
  <c r="T642" i="9"/>
  <c r="V642" i="9" s="1"/>
  <c r="M642" i="9"/>
  <c r="L642" i="9"/>
  <c r="K642" i="9"/>
  <c r="U638" i="9"/>
  <c r="O638" i="9"/>
  <c r="P638" i="9" s="1"/>
  <c r="N638" i="9"/>
  <c r="T638" i="9"/>
  <c r="V638" i="9" s="1"/>
  <c r="M638" i="9"/>
  <c r="L638" i="9"/>
  <c r="K638" i="9"/>
  <c r="U634" i="9"/>
  <c r="O634" i="9"/>
  <c r="P634" i="9" s="1"/>
  <c r="N634" i="9"/>
  <c r="T634" i="9"/>
  <c r="V634" i="9" s="1"/>
  <c r="M634" i="9"/>
  <c r="L634" i="9"/>
  <c r="K634" i="9"/>
  <c r="U630" i="9"/>
  <c r="O630" i="9"/>
  <c r="P630" i="9" s="1"/>
  <c r="N630" i="9"/>
  <c r="T630" i="9"/>
  <c r="V630" i="9" s="1"/>
  <c r="M630" i="9"/>
  <c r="L630" i="9"/>
  <c r="K630" i="9"/>
  <c r="U626" i="9"/>
  <c r="O626" i="9"/>
  <c r="P626" i="9" s="1"/>
  <c r="N626" i="9"/>
  <c r="T626" i="9"/>
  <c r="V626" i="9" s="1"/>
  <c r="M626" i="9"/>
  <c r="L626" i="9"/>
  <c r="K626" i="9"/>
  <c r="U622" i="9"/>
  <c r="O622" i="9"/>
  <c r="P622" i="9" s="1"/>
  <c r="N622" i="9"/>
  <c r="T622" i="9"/>
  <c r="V622" i="9" s="1"/>
  <c r="M622" i="9"/>
  <c r="L622" i="9"/>
  <c r="K622" i="9"/>
  <c r="U618" i="9"/>
  <c r="O618" i="9"/>
  <c r="P618" i="9" s="1"/>
  <c r="N618" i="9"/>
  <c r="T618" i="9"/>
  <c r="V618" i="9" s="1"/>
  <c r="M618" i="9"/>
  <c r="L618" i="9"/>
  <c r="K618" i="9"/>
  <c r="U614" i="9"/>
  <c r="O614" i="9"/>
  <c r="P614" i="9" s="1"/>
  <c r="N614" i="9"/>
  <c r="T614" i="9"/>
  <c r="V614" i="9" s="1"/>
  <c r="M614" i="9"/>
  <c r="L614" i="9"/>
  <c r="K614" i="9"/>
  <c r="U610" i="9"/>
  <c r="O610" i="9"/>
  <c r="P610" i="9" s="1"/>
  <c r="N610" i="9"/>
  <c r="T610" i="9"/>
  <c r="V610" i="9" s="1"/>
  <c r="M610" i="9"/>
  <c r="L610" i="9"/>
  <c r="K610" i="9"/>
  <c r="U606" i="9"/>
  <c r="O606" i="9"/>
  <c r="P606" i="9" s="1"/>
  <c r="N606" i="9"/>
  <c r="T606" i="9"/>
  <c r="V606" i="9" s="1"/>
  <c r="M606" i="9"/>
  <c r="L606" i="9"/>
  <c r="K606" i="9"/>
  <c r="U602" i="9"/>
  <c r="O602" i="9"/>
  <c r="P602" i="9" s="1"/>
  <c r="N602" i="9"/>
  <c r="T602" i="9"/>
  <c r="V602" i="9" s="1"/>
  <c r="M602" i="9"/>
  <c r="L602" i="9"/>
  <c r="K602" i="9"/>
  <c r="U598" i="9"/>
  <c r="O598" i="9"/>
  <c r="P598" i="9" s="1"/>
  <c r="N598" i="9"/>
  <c r="T598" i="9"/>
  <c r="V598" i="9" s="1"/>
  <c r="M598" i="9"/>
  <c r="L598" i="9"/>
  <c r="K598" i="9"/>
  <c r="U594" i="9"/>
  <c r="O594" i="9"/>
  <c r="P594" i="9" s="1"/>
  <c r="N594" i="9"/>
  <c r="T594" i="9"/>
  <c r="V594" i="9" s="1"/>
  <c r="M594" i="9"/>
  <c r="L594" i="9"/>
  <c r="K594" i="9"/>
  <c r="U590" i="9"/>
  <c r="O590" i="9"/>
  <c r="P590" i="9" s="1"/>
  <c r="N590" i="9"/>
  <c r="T590" i="9"/>
  <c r="V590" i="9" s="1"/>
  <c r="M590" i="9"/>
  <c r="L590" i="9"/>
  <c r="K590" i="9"/>
  <c r="U586" i="9"/>
  <c r="O586" i="9"/>
  <c r="P586" i="9" s="1"/>
  <c r="N586" i="9"/>
  <c r="T586" i="9"/>
  <c r="V586" i="9" s="1"/>
  <c r="M586" i="9"/>
  <c r="L586" i="9"/>
  <c r="K586" i="9"/>
  <c r="U582" i="9"/>
  <c r="O582" i="9"/>
  <c r="P582" i="9" s="1"/>
  <c r="N582" i="9"/>
  <c r="T582" i="9"/>
  <c r="V582" i="9" s="1"/>
  <c r="M582" i="9"/>
  <c r="L582" i="9"/>
  <c r="K582" i="9"/>
  <c r="U578" i="9"/>
  <c r="O578" i="9"/>
  <c r="P578" i="9" s="1"/>
  <c r="N578" i="9"/>
  <c r="T578" i="9"/>
  <c r="V578" i="9" s="1"/>
  <c r="M578" i="9"/>
  <c r="L578" i="9"/>
  <c r="K578" i="9"/>
  <c r="U574" i="9"/>
  <c r="O574" i="9"/>
  <c r="P574" i="9" s="1"/>
  <c r="N574" i="9"/>
  <c r="T574" i="9"/>
  <c r="V574" i="9" s="1"/>
  <c r="M574" i="9"/>
  <c r="L574" i="9"/>
  <c r="K574" i="9"/>
  <c r="U570" i="9"/>
  <c r="O570" i="9"/>
  <c r="P570" i="9" s="1"/>
  <c r="N570" i="9"/>
  <c r="T570" i="9"/>
  <c r="V570" i="9" s="1"/>
  <c r="M570" i="9"/>
  <c r="L570" i="9"/>
  <c r="K570" i="9"/>
  <c r="U566" i="9"/>
  <c r="O566" i="9"/>
  <c r="P566" i="9" s="1"/>
  <c r="N566" i="9"/>
  <c r="T566" i="9"/>
  <c r="V566" i="9" s="1"/>
  <c r="M566" i="9"/>
  <c r="L566" i="9"/>
  <c r="K566" i="9"/>
  <c r="U562" i="9"/>
  <c r="O562" i="9"/>
  <c r="P562" i="9" s="1"/>
  <c r="N562" i="9"/>
  <c r="T562" i="9"/>
  <c r="V562" i="9" s="1"/>
  <c r="M562" i="9"/>
  <c r="L562" i="9"/>
  <c r="K562" i="9"/>
  <c r="U558" i="9"/>
  <c r="O558" i="9"/>
  <c r="P558" i="9" s="1"/>
  <c r="N558" i="9"/>
  <c r="T558" i="9"/>
  <c r="V558" i="9" s="1"/>
  <c r="M558" i="9"/>
  <c r="L558" i="9"/>
  <c r="K558" i="9"/>
  <c r="U554" i="9"/>
  <c r="O554" i="9"/>
  <c r="P554" i="9" s="1"/>
  <c r="N554" i="9"/>
  <c r="T554" i="9"/>
  <c r="V554" i="9" s="1"/>
  <c r="M554" i="9"/>
  <c r="L554" i="9"/>
  <c r="K554" i="9"/>
  <c r="U550" i="9"/>
  <c r="O550" i="9"/>
  <c r="P550" i="9" s="1"/>
  <c r="N550" i="9"/>
  <c r="T550" i="9"/>
  <c r="V550" i="9" s="1"/>
  <c r="M550" i="9"/>
  <c r="L550" i="9"/>
  <c r="K550" i="9"/>
  <c r="U546" i="9"/>
  <c r="O546" i="9"/>
  <c r="P546" i="9" s="1"/>
  <c r="N546" i="9"/>
  <c r="T546" i="9"/>
  <c r="V546" i="9" s="1"/>
  <c r="M546" i="9"/>
  <c r="L546" i="9"/>
  <c r="K546" i="9"/>
  <c r="U542" i="9"/>
  <c r="O542" i="9"/>
  <c r="P542" i="9" s="1"/>
  <c r="N542" i="9"/>
  <c r="T542" i="9"/>
  <c r="V542" i="9" s="1"/>
  <c r="M542" i="9"/>
  <c r="L542" i="9"/>
  <c r="K542" i="9"/>
  <c r="U538" i="9"/>
  <c r="O538" i="9"/>
  <c r="P538" i="9" s="1"/>
  <c r="N538" i="9"/>
  <c r="T538" i="9"/>
  <c r="V538" i="9" s="1"/>
  <c r="M538" i="9"/>
  <c r="L538" i="9"/>
  <c r="K538" i="9"/>
  <c r="U534" i="9"/>
  <c r="O534" i="9"/>
  <c r="P534" i="9" s="1"/>
  <c r="N534" i="9"/>
  <c r="T534" i="9"/>
  <c r="V534" i="9" s="1"/>
  <c r="M534" i="9"/>
  <c r="L534" i="9"/>
  <c r="K534" i="9"/>
  <c r="U530" i="9"/>
  <c r="O530" i="9"/>
  <c r="P530" i="9" s="1"/>
  <c r="N530" i="9"/>
  <c r="T530" i="9"/>
  <c r="V530" i="9" s="1"/>
  <c r="M530" i="9"/>
  <c r="L530" i="9"/>
  <c r="K530" i="9"/>
  <c r="U526" i="9"/>
  <c r="O526" i="9"/>
  <c r="P526" i="9" s="1"/>
  <c r="N526" i="9"/>
  <c r="T526" i="9"/>
  <c r="V526" i="9" s="1"/>
  <c r="M526" i="9"/>
  <c r="L526" i="9"/>
  <c r="K526" i="9"/>
  <c r="U522" i="9"/>
  <c r="O522" i="9"/>
  <c r="P522" i="9" s="1"/>
  <c r="N522" i="9"/>
  <c r="T522" i="9"/>
  <c r="V522" i="9" s="1"/>
  <c r="M522" i="9"/>
  <c r="L522" i="9"/>
  <c r="K522" i="9"/>
  <c r="U518" i="9"/>
  <c r="O518" i="9"/>
  <c r="P518" i="9" s="1"/>
  <c r="N518" i="9"/>
  <c r="T518" i="9"/>
  <c r="V518" i="9" s="1"/>
  <c r="M518" i="9"/>
  <c r="L518" i="9"/>
  <c r="K518" i="9"/>
  <c r="U514" i="9"/>
  <c r="O514" i="9"/>
  <c r="P514" i="9" s="1"/>
  <c r="N514" i="9"/>
  <c r="T514" i="9"/>
  <c r="V514" i="9" s="1"/>
  <c r="M514" i="9"/>
  <c r="L514" i="9"/>
  <c r="K514" i="9"/>
  <c r="U510" i="9"/>
  <c r="O510" i="9"/>
  <c r="P510" i="9" s="1"/>
  <c r="N510" i="9"/>
  <c r="T510" i="9"/>
  <c r="V510" i="9" s="1"/>
  <c r="M510" i="9"/>
  <c r="L510" i="9"/>
  <c r="K510" i="9"/>
  <c r="U506" i="9"/>
  <c r="O506" i="9"/>
  <c r="P506" i="9" s="1"/>
  <c r="N506" i="9"/>
  <c r="T506" i="9"/>
  <c r="V506" i="9" s="1"/>
  <c r="M506" i="9"/>
  <c r="L506" i="9"/>
  <c r="K506" i="9"/>
  <c r="U502" i="9"/>
  <c r="O502" i="9"/>
  <c r="P502" i="9" s="1"/>
  <c r="N502" i="9"/>
  <c r="T502" i="9"/>
  <c r="V502" i="9" s="1"/>
  <c r="M502" i="9"/>
  <c r="L502" i="9"/>
  <c r="K502" i="9"/>
  <c r="U498" i="9"/>
  <c r="O498" i="9"/>
  <c r="P498" i="9" s="1"/>
  <c r="N498" i="9"/>
  <c r="T498" i="9"/>
  <c r="V498" i="9" s="1"/>
  <c r="M498" i="9"/>
  <c r="L498" i="9"/>
  <c r="K498" i="9"/>
  <c r="U494" i="9"/>
  <c r="O494" i="9"/>
  <c r="P494" i="9" s="1"/>
  <c r="N494" i="9"/>
  <c r="T494" i="9"/>
  <c r="V494" i="9" s="1"/>
  <c r="M494" i="9"/>
  <c r="L494" i="9"/>
  <c r="K494" i="9"/>
  <c r="U490" i="9"/>
  <c r="O490" i="9"/>
  <c r="P490" i="9" s="1"/>
  <c r="N490" i="9"/>
  <c r="T490" i="9"/>
  <c r="V490" i="9" s="1"/>
  <c r="M490" i="9"/>
  <c r="L490" i="9"/>
  <c r="K490" i="9"/>
  <c r="U486" i="9"/>
  <c r="O486" i="9"/>
  <c r="P486" i="9" s="1"/>
  <c r="N486" i="9"/>
  <c r="T486" i="9"/>
  <c r="V486" i="9" s="1"/>
  <c r="M486" i="9"/>
  <c r="L486" i="9"/>
  <c r="K486" i="9"/>
  <c r="U482" i="9"/>
  <c r="O482" i="9"/>
  <c r="P482" i="9" s="1"/>
  <c r="N482" i="9"/>
  <c r="T482" i="9"/>
  <c r="V482" i="9" s="1"/>
  <c r="M482" i="9"/>
  <c r="L482" i="9"/>
  <c r="K482" i="9"/>
  <c r="U478" i="9"/>
  <c r="O478" i="9"/>
  <c r="P478" i="9" s="1"/>
  <c r="N478" i="9"/>
  <c r="T478" i="9"/>
  <c r="V478" i="9" s="1"/>
  <c r="M478" i="9"/>
  <c r="L478" i="9"/>
  <c r="K478" i="9"/>
  <c r="U474" i="9"/>
  <c r="O474" i="9"/>
  <c r="P474" i="9" s="1"/>
  <c r="N474" i="9"/>
  <c r="T474" i="9"/>
  <c r="V474" i="9" s="1"/>
  <c r="M474" i="9"/>
  <c r="L474" i="9"/>
  <c r="K474" i="9"/>
  <c r="U470" i="9"/>
  <c r="O470" i="9"/>
  <c r="P470" i="9" s="1"/>
  <c r="N470" i="9"/>
  <c r="T470" i="9"/>
  <c r="V470" i="9" s="1"/>
  <c r="M470" i="9"/>
  <c r="L470" i="9"/>
  <c r="K470" i="9"/>
  <c r="U466" i="9"/>
  <c r="O466" i="9"/>
  <c r="P466" i="9" s="1"/>
  <c r="N466" i="9"/>
  <c r="T466" i="9"/>
  <c r="V466" i="9" s="1"/>
  <c r="M466" i="9"/>
  <c r="L466" i="9"/>
  <c r="K466" i="9"/>
  <c r="U462" i="9"/>
  <c r="O462" i="9"/>
  <c r="P462" i="9" s="1"/>
  <c r="N462" i="9"/>
  <c r="T462" i="9"/>
  <c r="V462" i="9" s="1"/>
  <c r="M462" i="9"/>
  <c r="L462" i="9"/>
  <c r="K462" i="9"/>
  <c r="U458" i="9"/>
  <c r="O458" i="9"/>
  <c r="P458" i="9" s="1"/>
  <c r="N458" i="9"/>
  <c r="T458" i="9"/>
  <c r="V458" i="9" s="1"/>
  <c r="M458" i="9"/>
  <c r="L458" i="9"/>
  <c r="K458" i="9"/>
  <c r="U454" i="9"/>
  <c r="O454" i="9"/>
  <c r="P454" i="9" s="1"/>
  <c r="N454" i="9"/>
  <c r="T454" i="9"/>
  <c r="V454" i="9" s="1"/>
  <c r="M454" i="9"/>
  <c r="L454" i="9"/>
  <c r="K454" i="9"/>
  <c r="U450" i="9"/>
  <c r="O450" i="9"/>
  <c r="P450" i="9" s="1"/>
  <c r="N450" i="9"/>
  <c r="T450" i="9"/>
  <c r="V450" i="9" s="1"/>
  <c r="M450" i="9"/>
  <c r="L450" i="9"/>
  <c r="K450" i="9"/>
  <c r="U446" i="9"/>
  <c r="O446" i="9"/>
  <c r="P446" i="9" s="1"/>
  <c r="N446" i="9"/>
  <c r="T446" i="9"/>
  <c r="V446" i="9" s="1"/>
  <c r="M446" i="9"/>
  <c r="L446" i="9"/>
  <c r="K446" i="9"/>
  <c r="U442" i="9"/>
  <c r="O442" i="9"/>
  <c r="P442" i="9" s="1"/>
  <c r="N442" i="9"/>
  <c r="T442" i="9"/>
  <c r="V442" i="9" s="1"/>
  <c r="M442" i="9"/>
  <c r="L442" i="9"/>
  <c r="K442" i="9"/>
  <c r="U438" i="9"/>
  <c r="O438" i="9"/>
  <c r="P438" i="9" s="1"/>
  <c r="N438" i="9"/>
  <c r="T438" i="9"/>
  <c r="V438" i="9" s="1"/>
  <c r="M438" i="9"/>
  <c r="L438" i="9"/>
  <c r="K438" i="9"/>
  <c r="U434" i="9"/>
  <c r="O434" i="9"/>
  <c r="P434" i="9" s="1"/>
  <c r="N434" i="9"/>
  <c r="T434" i="9"/>
  <c r="V434" i="9" s="1"/>
  <c r="M434" i="9"/>
  <c r="L434" i="9"/>
  <c r="K434" i="9"/>
  <c r="U430" i="9"/>
  <c r="O430" i="9"/>
  <c r="P430" i="9" s="1"/>
  <c r="N430" i="9"/>
  <c r="T430" i="9"/>
  <c r="V430" i="9" s="1"/>
  <c r="M430" i="9"/>
  <c r="L430" i="9"/>
  <c r="K430" i="9"/>
  <c r="U426" i="9"/>
  <c r="O426" i="9"/>
  <c r="P426" i="9" s="1"/>
  <c r="N426" i="9"/>
  <c r="T426" i="9"/>
  <c r="V426" i="9" s="1"/>
  <c r="M426" i="9"/>
  <c r="L426" i="9"/>
  <c r="K426" i="9"/>
  <c r="U422" i="9"/>
  <c r="O422" i="9"/>
  <c r="P422" i="9" s="1"/>
  <c r="N422" i="9"/>
  <c r="T422" i="9"/>
  <c r="V422" i="9" s="1"/>
  <c r="M422" i="9"/>
  <c r="L422" i="9"/>
  <c r="K422" i="9"/>
  <c r="U418" i="9"/>
  <c r="O418" i="9"/>
  <c r="P418" i="9" s="1"/>
  <c r="N418" i="9"/>
  <c r="T418" i="9"/>
  <c r="V418" i="9" s="1"/>
  <c r="M418" i="9"/>
  <c r="L418" i="9"/>
  <c r="K418" i="9"/>
  <c r="U414" i="9"/>
  <c r="O414" i="9"/>
  <c r="P414" i="9" s="1"/>
  <c r="N414" i="9"/>
  <c r="T414" i="9"/>
  <c r="V414" i="9" s="1"/>
  <c r="M414" i="9"/>
  <c r="L414" i="9"/>
  <c r="K414" i="9"/>
  <c r="U410" i="9"/>
  <c r="O410" i="9"/>
  <c r="P410" i="9" s="1"/>
  <c r="N410" i="9"/>
  <c r="T410" i="9"/>
  <c r="V410" i="9" s="1"/>
  <c r="M410" i="9"/>
  <c r="L410" i="9"/>
  <c r="K410" i="9"/>
  <c r="U406" i="9"/>
  <c r="O406" i="9"/>
  <c r="P406" i="9" s="1"/>
  <c r="N406" i="9"/>
  <c r="T406" i="9"/>
  <c r="V406" i="9" s="1"/>
  <c r="M406" i="9"/>
  <c r="L406" i="9"/>
  <c r="K406" i="9"/>
  <c r="U402" i="9"/>
  <c r="O402" i="9"/>
  <c r="P402" i="9" s="1"/>
  <c r="N402" i="9"/>
  <c r="T402" i="9"/>
  <c r="V402" i="9" s="1"/>
  <c r="M402" i="9"/>
  <c r="L402" i="9"/>
  <c r="K402" i="9"/>
  <c r="U398" i="9"/>
  <c r="O398" i="9"/>
  <c r="P398" i="9" s="1"/>
  <c r="N398" i="9"/>
  <c r="T398" i="9"/>
  <c r="V398" i="9" s="1"/>
  <c r="M398" i="9"/>
  <c r="L398" i="9"/>
  <c r="K398" i="9"/>
  <c r="U394" i="9"/>
  <c r="O394" i="9"/>
  <c r="P394" i="9" s="1"/>
  <c r="N394" i="9"/>
  <c r="T394" i="9"/>
  <c r="V394" i="9" s="1"/>
  <c r="M394" i="9"/>
  <c r="L394" i="9"/>
  <c r="K394" i="9"/>
  <c r="U390" i="9"/>
  <c r="O390" i="9"/>
  <c r="P390" i="9" s="1"/>
  <c r="N390" i="9"/>
  <c r="T390" i="9"/>
  <c r="V390" i="9" s="1"/>
  <c r="M390" i="9"/>
  <c r="L390" i="9"/>
  <c r="K390" i="9"/>
  <c r="U386" i="9"/>
  <c r="O386" i="9"/>
  <c r="P386" i="9" s="1"/>
  <c r="N386" i="9"/>
  <c r="T386" i="9"/>
  <c r="V386" i="9" s="1"/>
  <c r="M386" i="9"/>
  <c r="L386" i="9"/>
  <c r="K386" i="9"/>
  <c r="U382" i="9"/>
  <c r="O382" i="9"/>
  <c r="P382" i="9" s="1"/>
  <c r="N382" i="9"/>
  <c r="T382" i="9"/>
  <c r="V382" i="9" s="1"/>
  <c r="M382" i="9"/>
  <c r="L382" i="9"/>
  <c r="K382" i="9"/>
  <c r="U378" i="9"/>
  <c r="O378" i="9"/>
  <c r="P378" i="9" s="1"/>
  <c r="N378" i="9"/>
  <c r="T378" i="9"/>
  <c r="V378" i="9" s="1"/>
  <c r="M378" i="9"/>
  <c r="L378" i="9"/>
  <c r="K378" i="9"/>
  <c r="U374" i="9"/>
  <c r="O374" i="9"/>
  <c r="P374" i="9" s="1"/>
  <c r="N374" i="9"/>
  <c r="T374" i="9"/>
  <c r="V374" i="9" s="1"/>
  <c r="M374" i="9"/>
  <c r="L374" i="9"/>
  <c r="K374" i="9"/>
  <c r="U370" i="9"/>
  <c r="O370" i="9"/>
  <c r="P370" i="9" s="1"/>
  <c r="N370" i="9"/>
  <c r="T370" i="9"/>
  <c r="V370" i="9" s="1"/>
  <c r="M370" i="9"/>
  <c r="L370" i="9"/>
  <c r="K370" i="9"/>
  <c r="U366" i="9"/>
  <c r="O366" i="9"/>
  <c r="P366" i="9" s="1"/>
  <c r="N366" i="9"/>
  <c r="T366" i="9"/>
  <c r="V366" i="9" s="1"/>
  <c r="M366" i="9"/>
  <c r="L366" i="9"/>
  <c r="K366" i="9"/>
  <c r="U362" i="9"/>
  <c r="O362" i="9"/>
  <c r="P362" i="9" s="1"/>
  <c r="N362" i="9"/>
  <c r="T362" i="9"/>
  <c r="V362" i="9" s="1"/>
  <c r="M362" i="9"/>
  <c r="L362" i="9"/>
  <c r="K362" i="9"/>
  <c r="U358" i="9"/>
  <c r="O358" i="9"/>
  <c r="P358" i="9" s="1"/>
  <c r="N358" i="9"/>
  <c r="T358" i="9"/>
  <c r="V358" i="9" s="1"/>
  <c r="M358" i="9"/>
  <c r="L358" i="9"/>
  <c r="K358" i="9"/>
  <c r="U354" i="9"/>
  <c r="O354" i="9"/>
  <c r="P354" i="9" s="1"/>
  <c r="N354" i="9"/>
  <c r="T354" i="9"/>
  <c r="V354" i="9" s="1"/>
  <c r="M354" i="9"/>
  <c r="L354" i="9"/>
  <c r="K354" i="9"/>
  <c r="U350" i="9"/>
  <c r="O350" i="9"/>
  <c r="P350" i="9" s="1"/>
  <c r="N350" i="9"/>
  <c r="T350" i="9"/>
  <c r="V350" i="9" s="1"/>
  <c r="M350" i="9"/>
  <c r="L350" i="9"/>
  <c r="K350" i="9"/>
  <c r="U346" i="9"/>
  <c r="O346" i="9"/>
  <c r="P346" i="9" s="1"/>
  <c r="N346" i="9"/>
  <c r="T346" i="9"/>
  <c r="V346" i="9" s="1"/>
  <c r="M346" i="9"/>
  <c r="L346" i="9"/>
  <c r="K346" i="9"/>
  <c r="U342" i="9"/>
  <c r="O342" i="9"/>
  <c r="P342" i="9" s="1"/>
  <c r="N342" i="9"/>
  <c r="T342" i="9"/>
  <c r="V342" i="9" s="1"/>
  <c r="M342" i="9"/>
  <c r="L342" i="9"/>
  <c r="K342" i="9"/>
  <c r="U338" i="9"/>
  <c r="O338" i="9"/>
  <c r="P338" i="9" s="1"/>
  <c r="N338" i="9"/>
  <c r="T338" i="9"/>
  <c r="V338" i="9" s="1"/>
  <c r="M338" i="9"/>
  <c r="L338" i="9"/>
  <c r="K338" i="9"/>
  <c r="U334" i="9"/>
  <c r="O334" i="9"/>
  <c r="P334" i="9" s="1"/>
  <c r="N334" i="9"/>
  <c r="T334" i="9"/>
  <c r="V334" i="9" s="1"/>
  <c r="M334" i="9"/>
  <c r="L334" i="9"/>
  <c r="K334" i="9"/>
  <c r="U330" i="9"/>
  <c r="O330" i="9"/>
  <c r="P330" i="9" s="1"/>
  <c r="N330" i="9"/>
  <c r="T330" i="9"/>
  <c r="V330" i="9" s="1"/>
  <c r="M330" i="9"/>
  <c r="L330" i="9"/>
  <c r="K330" i="9"/>
  <c r="U326" i="9"/>
  <c r="O326" i="9"/>
  <c r="P326" i="9" s="1"/>
  <c r="N326" i="9"/>
  <c r="T326" i="9"/>
  <c r="V326" i="9" s="1"/>
  <c r="M326" i="9"/>
  <c r="L326" i="9"/>
  <c r="K326" i="9"/>
  <c r="U322" i="9"/>
  <c r="O322" i="9"/>
  <c r="P322" i="9" s="1"/>
  <c r="N322" i="9"/>
  <c r="T322" i="9"/>
  <c r="V322" i="9" s="1"/>
  <c r="M322" i="9"/>
  <c r="L322" i="9"/>
  <c r="K322" i="9"/>
  <c r="U318" i="9"/>
  <c r="O318" i="9"/>
  <c r="P318" i="9" s="1"/>
  <c r="N318" i="9"/>
  <c r="T318" i="9"/>
  <c r="V318" i="9" s="1"/>
  <c r="M318" i="9"/>
  <c r="L318" i="9"/>
  <c r="K318" i="9"/>
  <c r="U314" i="9"/>
  <c r="O314" i="9"/>
  <c r="P314" i="9" s="1"/>
  <c r="N314" i="9"/>
  <c r="T314" i="9"/>
  <c r="V314" i="9" s="1"/>
  <c r="M314" i="9"/>
  <c r="L314" i="9"/>
  <c r="K314" i="9"/>
  <c r="U310" i="9"/>
  <c r="O310" i="9"/>
  <c r="P310" i="9" s="1"/>
  <c r="N310" i="9"/>
  <c r="T310" i="9"/>
  <c r="V310" i="9" s="1"/>
  <c r="M310" i="9"/>
  <c r="L310" i="9"/>
  <c r="K310" i="9"/>
  <c r="U306" i="9"/>
  <c r="O306" i="9"/>
  <c r="P306" i="9" s="1"/>
  <c r="N306" i="9"/>
  <c r="T306" i="9"/>
  <c r="V306" i="9" s="1"/>
  <c r="M306" i="9"/>
  <c r="L306" i="9"/>
  <c r="K306" i="9"/>
  <c r="U302" i="9"/>
  <c r="O302" i="9"/>
  <c r="P302" i="9" s="1"/>
  <c r="N302" i="9"/>
  <c r="T302" i="9"/>
  <c r="V302" i="9" s="1"/>
  <c r="M302" i="9"/>
  <c r="L302" i="9"/>
  <c r="K302" i="9"/>
  <c r="U298" i="9"/>
  <c r="O298" i="9"/>
  <c r="P298" i="9" s="1"/>
  <c r="N298" i="9"/>
  <c r="T298" i="9"/>
  <c r="V298" i="9" s="1"/>
  <c r="M298" i="9"/>
  <c r="L298" i="9"/>
  <c r="K298" i="9"/>
  <c r="U294" i="9"/>
  <c r="O294" i="9"/>
  <c r="P294" i="9" s="1"/>
  <c r="N294" i="9"/>
  <c r="T294" i="9"/>
  <c r="V294" i="9" s="1"/>
  <c r="M294" i="9"/>
  <c r="L294" i="9"/>
  <c r="K294" i="9"/>
  <c r="U290" i="9"/>
  <c r="O290" i="9"/>
  <c r="P290" i="9" s="1"/>
  <c r="N290" i="9"/>
  <c r="T290" i="9"/>
  <c r="V290" i="9" s="1"/>
  <c r="M290" i="9"/>
  <c r="L290" i="9"/>
  <c r="K290" i="9"/>
  <c r="U286" i="9"/>
  <c r="O286" i="9"/>
  <c r="P286" i="9" s="1"/>
  <c r="N286" i="9"/>
  <c r="T286" i="9"/>
  <c r="V286" i="9" s="1"/>
  <c r="M286" i="9"/>
  <c r="L286" i="9"/>
  <c r="K286" i="9"/>
  <c r="U282" i="9"/>
  <c r="T282" i="9"/>
  <c r="V282" i="9" s="1"/>
  <c r="O282" i="9"/>
  <c r="P282" i="9" s="1"/>
  <c r="N282" i="9"/>
  <c r="M282" i="9"/>
  <c r="L282" i="9"/>
  <c r="K282" i="9"/>
  <c r="U278" i="9"/>
  <c r="O278" i="9"/>
  <c r="P278" i="9" s="1"/>
  <c r="N278" i="9"/>
  <c r="T278" i="9"/>
  <c r="V278" i="9" s="1"/>
  <c r="M278" i="9"/>
  <c r="L278" i="9"/>
  <c r="K278" i="9"/>
  <c r="U274" i="9"/>
  <c r="T274" i="9"/>
  <c r="V274" i="9" s="1"/>
  <c r="O274" i="9"/>
  <c r="P274" i="9" s="1"/>
  <c r="N274" i="9"/>
  <c r="M274" i="9"/>
  <c r="L274" i="9"/>
  <c r="K274" i="9"/>
  <c r="U270" i="9"/>
  <c r="O270" i="9"/>
  <c r="P270" i="9" s="1"/>
  <c r="N270" i="9"/>
  <c r="T270" i="9"/>
  <c r="V270" i="9" s="1"/>
  <c r="M270" i="9"/>
  <c r="L270" i="9"/>
  <c r="K270" i="9"/>
  <c r="U266" i="9"/>
  <c r="T266" i="9"/>
  <c r="V266" i="9" s="1"/>
  <c r="O266" i="9"/>
  <c r="P266" i="9" s="1"/>
  <c r="N266" i="9"/>
  <c r="M266" i="9"/>
  <c r="L266" i="9"/>
  <c r="K266" i="9"/>
  <c r="U262" i="9"/>
  <c r="O262" i="9"/>
  <c r="P262" i="9" s="1"/>
  <c r="N262" i="9"/>
  <c r="T262" i="9"/>
  <c r="V262" i="9" s="1"/>
  <c r="M262" i="9"/>
  <c r="L262" i="9"/>
  <c r="K262" i="9"/>
  <c r="U258" i="9"/>
  <c r="T258" i="9"/>
  <c r="V258" i="9" s="1"/>
  <c r="O258" i="9"/>
  <c r="P258" i="9" s="1"/>
  <c r="N258" i="9"/>
  <c r="M258" i="9"/>
  <c r="L258" i="9"/>
  <c r="K258" i="9"/>
  <c r="U254" i="9"/>
  <c r="O254" i="9"/>
  <c r="P254" i="9" s="1"/>
  <c r="N254" i="9"/>
  <c r="T254" i="9"/>
  <c r="V254" i="9" s="1"/>
  <c r="M254" i="9"/>
  <c r="L254" i="9"/>
  <c r="K254" i="9"/>
  <c r="U250" i="9"/>
  <c r="T250" i="9"/>
  <c r="V250" i="9" s="1"/>
  <c r="O250" i="9"/>
  <c r="P250" i="9" s="1"/>
  <c r="N250" i="9"/>
  <c r="M250" i="9"/>
  <c r="L250" i="9"/>
  <c r="K250" i="9"/>
  <c r="U246" i="9"/>
  <c r="O246" i="9"/>
  <c r="P246" i="9" s="1"/>
  <c r="N246" i="9"/>
  <c r="T246" i="9"/>
  <c r="V246" i="9" s="1"/>
  <c r="M246" i="9"/>
  <c r="L246" i="9"/>
  <c r="K246" i="9"/>
  <c r="U242" i="9"/>
  <c r="T242" i="9"/>
  <c r="V242" i="9" s="1"/>
  <c r="O242" i="9"/>
  <c r="P242" i="9" s="1"/>
  <c r="N242" i="9"/>
  <c r="M242" i="9"/>
  <c r="L242" i="9"/>
  <c r="K242" i="9"/>
  <c r="U238" i="9"/>
  <c r="O238" i="9"/>
  <c r="P238" i="9" s="1"/>
  <c r="N238" i="9"/>
  <c r="T238" i="9"/>
  <c r="V238" i="9" s="1"/>
  <c r="M238" i="9"/>
  <c r="L238" i="9"/>
  <c r="K238" i="9"/>
  <c r="U234" i="9"/>
  <c r="T234" i="9"/>
  <c r="V234" i="9" s="1"/>
  <c r="O234" i="9"/>
  <c r="P234" i="9" s="1"/>
  <c r="N234" i="9"/>
  <c r="M234" i="9"/>
  <c r="L234" i="9"/>
  <c r="K234" i="9"/>
  <c r="U230" i="9"/>
  <c r="O230" i="9"/>
  <c r="P230" i="9" s="1"/>
  <c r="N230" i="9"/>
  <c r="T230" i="9"/>
  <c r="V230" i="9" s="1"/>
  <c r="M230" i="9"/>
  <c r="L230" i="9"/>
  <c r="K230" i="9"/>
  <c r="U226" i="9"/>
  <c r="T226" i="9"/>
  <c r="V226" i="9" s="1"/>
  <c r="O226" i="9"/>
  <c r="P226" i="9" s="1"/>
  <c r="N226" i="9"/>
  <c r="M226" i="9"/>
  <c r="L226" i="9"/>
  <c r="K226" i="9"/>
  <c r="U222" i="9"/>
  <c r="O222" i="9"/>
  <c r="P222" i="9" s="1"/>
  <c r="N222" i="9"/>
  <c r="T222" i="9"/>
  <c r="V222" i="9" s="1"/>
  <c r="M222" i="9"/>
  <c r="L222" i="9"/>
  <c r="K222" i="9"/>
  <c r="U218" i="9"/>
  <c r="T218" i="9"/>
  <c r="V218" i="9" s="1"/>
  <c r="O218" i="9"/>
  <c r="P218" i="9" s="1"/>
  <c r="N218" i="9"/>
  <c r="M218" i="9"/>
  <c r="L218" i="9"/>
  <c r="K218" i="9"/>
  <c r="U214" i="9"/>
  <c r="O214" i="9"/>
  <c r="P214" i="9" s="1"/>
  <c r="N214" i="9"/>
  <c r="T214" i="9"/>
  <c r="V214" i="9" s="1"/>
  <c r="M214" i="9"/>
  <c r="L214" i="9"/>
  <c r="K214" i="9"/>
  <c r="U210" i="9"/>
  <c r="T210" i="9"/>
  <c r="V210" i="9" s="1"/>
  <c r="O210" i="9"/>
  <c r="P210" i="9" s="1"/>
  <c r="N210" i="9"/>
  <c r="M210" i="9"/>
  <c r="L210" i="9"/>
  <c r="K210" i="9"/>
  <c r="U206" i="9"/>
  <c r="O206" i="9"/>
  <c r="P206" i="9" s="1"/>
  <c r="N206" i="9"/>
  <c r="T206" i="9"/>
  <c r="V206" i="9" s="1"/>
  <c r="M206" i="9"/>
  <c r="L206" i="9"/>
  <c r="K206" i="9"/>
  <c r="U202" i="9"/>
  <c r="T202" i="9"/>
  <c r="V202" i="9" s="1"/>
  <c r="O202" i="9"/>
  <c r="P202" i="9" s="1"/>
  <c r="N202" i="9"/>
  <c r="M202" i="9"/>
  <c r="L202" i="9"/>
  <c r="K202" i="9"/>
  <c r="U198" i="9"/>
  <c r="O198" i="9"/>
  <c r="P198" i="9" s="1"/>
  <c r="N198" i="9"/>
  <c r="T198" i="9"/>
  <c r="V198" i="9" s="1"/>
  <c r="M198" i="9"/>
  <c r="L198" i="9"/>
  <c r="K198" i="9"/>
  <c r="U194" i="9"/>
  <c r="T194" i="9"/>
  <c r="V194" i="9" s="1"/>
  <c r="O194" i="9"/>
  <c r="P194" i="9" s="1"/>
  <c r="N194" i="9"/>
  <c r="M194" i="9"/>
  <c r="L194" i="9"/>
  <c r="K194" i="9"/>
  <c r="U190" i="9"/>
  <c r="O190" i="9"/>
  <c r="P190" i="9" s="1"/>
  <c r="N190" i="9"/>
  <c r="T190" i="9"/>
  <c r="V190" i="9" s="1"/>
  <c r="M190" i="9"/>
  <c r="L190" i="9"/>
  <c r="K190" i="9"/>
  <c r="U186" i="9"/>
  <c r="T186" i="9"/>
  <c r="V186" i="9" s="1"/>
  <c r="O186" i="9"/>
  <c r="P186" i="9" s="1"/>
  <c r="N186" i="9"/>
  <c r="M186" i="9"/>
  <c r="L186" i="9"/>
  <c r="K186" i="9"/>
  <c r="U182" i="9"/>
  <c r="O182" i="9"/>
  <c r="P182" i="9" s="1"/>
  <c r="N182" i="9"/>
  <c r="T182" i="9"/>
  <c r="V182" i="9" s="1"/>
  <c r="M182" i="9"/>
  <c r="L182" i="9"/>
  <c r="K182" i="9"/>
  <c r="U178" i="9"/>
  <c r="T178" i="9"/>
  <c r="V178" i="9" s="1"/>
  <c r="O178" i="9"/>
  <c r="P178" i="9" s="1"/>
  <c r="N178" i="9"/>
  <c r="M178" i="9"/>
  <c r="L178" i="9"/>
  <c r="K178" i="9"/>
  <c r="U174" i="9"/>
  <c r="O174" i="9"/>
  <c r="P174" i="9" s="1"/>
  <c r="N174" i="9"/>
  <c r="T174" i="9"/>
  <c r="V174" i="9" s="1"/>
  <c r="M174" i="9"/>
  <c r="L174" i="9"/>
  <c r="K174" i="9"/>
  <c r="U170" i="9"/>
  <c r="T170" i="9"/>
  <c r="V170" i="9" s="1"/>
  <c r="O170" i="9"/>
  <c r="P170" i="9" s="1"/>
  <c r="N170" i="9"/>
  <c r="M170" i="9"/>
  <c r="L170" i="9"/>
  <c r="K170" i="9"/>
  <c r="U166" i="9"/>
  <c r="O166" i="9"/>
  <c r="P166" i="9" s="1"/>
  <c r="N166" i="9"/>
  <c r="T166" i="9"/>
  <c r="V166" i="9" s="1"/>
  <c r="M166" i="9"/>
  <c r="L166" i="9"/>
  <c r="K166" i="9"/>
  <c r="U162" i="9"/>
  <c r="T162" i="9"/>
  <c r="V162" i="9" s="1"/>
  <c r="O162" i="9"/>
  <c r="P162" i="9" s="1"/>
  <c r="N162" i="9"/>
  <c r="M162" i="9"/>
  <c r="L162" i="9"/>
  <c r="K162" i="9"/>
  <c r="U158" i="9"/>
  <c r="O158" i="9"/>
  <c r="P158" i="9" s="1"/>
  <c r="N158" i="9"/>
  <c r="T158" i="9"/>
  <c r="V158" i="9" s="1"/>
  <c r="M158" i="9"/>
  <c r="L158" i="9"/>
  <c r="K158" i="9"/>
  <c r="U154" i="9"/>
  <c r="T154" i="9"/>
  <c r="V154" i="9" s="1"/>
  <c r="O154" i="9"/>
  <c r="P154" i="9" s="1"/>
  <c r="N154" i="9"/>
  <c r="M154" i="9"/>
  <c r="L154" i="9"/>
  <c r="K154" i="9"/>
  <c r="U150" i="9"/>
  <c r="O150" i="9"/>
  <c r="P150" i="9" s="1"/>
  <c r="N150" i="9"/>
  <c r="T150" i="9"/>
  <c r="V150" i="9" s="1"/>
  <c r="M150" i="9"/>
  <c r="L150" i="9"/>
  <c r="K150" i="9"/>
  <c r="U146" i="9"/>
  <c r="T146" i="9"/>
  <c r="V146" i="9" s="1"/>
  <c r="O146" i="9"/>
  <c r="P146" i="9" s="1"/>
  <c r="N146" i="9"/>
  <c r="M146" i="9"/>
  <c r="L146" i="9"/>
  <c r="K146" i="9"/>
  <c r="U142" i="9"/>
  <c r="O142" i="9"/>
  <c r="P142" i="9" s="1"/>
  <c r="N142" i="9"/>
  <c r="T142" i="9"/>
  <c r="V142" i="9" s="1"/>
  <c r="M142" i="9"/>
  <c r="L142" i="9"/>
  <c r="K142" i="9"/>
  <c r="U138" i="9"/>
  <c r="T138" i="9"/>
  <c r="V138" i="9" s="1"/>
  <c r="O138" i="9"/>
  <c r="P138" i="9" s="1"/>
  <c r="N138" i="9"/>
  <c r="M138" i="9"/>
  <c r="L138" i="9"/>
  <c r="K138" i="9"/>
  <c r="U134" i="9"/>
  <c r="O134" i="9"/>
  <c r="P134" i="9" s="1"/>
  <c r="N134" i="9"/>
  <c r="T134" i="9"/>
  <c r="V134" i="9" s="1"/>
  <c r="M134" i="9"/>
  <c r="L134" i="9"/>
  <c r="K134" i="9"/>
  <c r="U130" i="9"/>
  <c r="T130" i="9"/>
  <c r="V130" i="9" s="1"/>
  <c r="O130" i="9"/>
  <c r="P130" i="9" s="1"/>
  <c r="N130" i="9"/>
  <c r="M130" i="9"/>
  <c r="L130" i="9"/>
  <c r="K130" i="9"/>
  <c r="U126" i="9"/>
  <c r="O126" i="9"/>
  <c r="P126" i="9" s="1"/>
  <c r="N126" i="9"/>
  <c r="T126" i="9"/>
  <c r="V126" i="9" s="1"/>
  <c r="M126" i="9"/>
  <c r="L126" i="9"/>
  <c r="K126" i="9"/>
  <c r="U122" i="9"/>
  <c r="T122" i="9"/>
  <c r="V122" i="9" s="1"/>
  <c r="O122" i="9"/>
  <c r="P122" i="9" s="1"/>
  <c r="N122" i="9"/>
  <c r="M122" i="9"/>
  <c r="L122" i="9"/>
  <c r="K122" i="9"/>
  <c r="U118" i="9"/>
  <c r="O118" i="9"/>
  <c r="P118" i="9" s="1"/>
  <c r="N118" i="9"/>
  <c r="T118" i="9"/>
  <c r="V118" i="9" s="1"/>
  <c r="M118" i="9"/>
  <c r="L118" i="9"/>
  <c r="K118" i="9"/>
  <c r="U114" i="9"/>
  <c r="T114" i="9"/>
  <c r="V114" i="9" s="1"/>
  <c r="O114" i="9"/>
  <c r="P114" i="9" s="1"/>
  <c r="N114" i="9"/>
  <c r="M114" i="9"/>
  <c r="L114" i="9"/>
  <c r="K114" i="9"/>
  <c r="U110" i="9"/>
  <c r="O110" i="9"/>
  <c r="P110" i="9" s="1"/>
  <c r="N110" i="9"/>
  <c r="T110" i="9"/>
  <c r="V110" i="9" s="1"/>
  <c r="M110" i="9"/>
  <c r="L110" i="9"/>
  <c r="K110" i="9"/>
  <c r="U106" i="9"/>
  <c r="T106" i="9"/>
  <c r="V106" i="9" s="1"/>
  <c r="O106" i="9"/>
  <c r="P106" i="9" s="1"/>
  <c r="N106" i="9"/>
  <c r="M106" i="9"/>
  <c r="L106" i="9"/>
  <c r="K106" i="9"/>
  <c r="U102" i="9"/>
  <c r="O102" i="9"/>
  <c r="P102" i="9" s="1"/>
  <c r="N102" i="9"/>
  <c r="T102" i="9"/>
  <c r="V102" i="9" s="1"/>
  <c r="M102" i="9"/>
  <c r="L102" i="9"/>
  <c r="K102" i="9"/>
  <c r="U98" i="9"/>
  <c r="T98" i="9"/>
  <c r="V98" i="9" s="1"/>
  <c r="O98" i="9"/>
  <c r="P98" i="9" s="1"/>
  <c r="N98" i="9"/>
  <c r="M98" i="9"/>
  <c r="L98" i="9"/>
  <c r="K98" i="9"/>
  <c r="U94" i="9"/>
  <c r="O94" i="9"/>
  <c r="P94" i="9" s="1"/>
  <c r="N94" i="9"/>
  <c r="T94" i="9"/>
  <c r="V94" i="9" s="1"/>
  <c r="M94" i="9"/>
  <c r="L94" i="9"/>
  <c r="K94" i="9"/>
  <c r="U90" i="9"/>
  <c r="T90" i="9"/>
  <c r="V90" i="9" s="1"/>
  <c r="O90" i="9"/>
  <c r="P90" i="9" s="1"/>
  <c r="N90" i="9"/>
  <c r="M90" i="9"/>
  <c r="L90" i="9"/>
  <c r="K90" i="9"/>
  <c r="U86" i="9"/>
  <c r="O86" i="9"/>
  <c r="P86" i="9" s="1"/>
  <c r="N86" i="9"/>
  <c r="T86" i="9"/>
  <c r="V86" i="9" s="1"/>
  <c r="M86" i="9"/>
  <c r="L86" i="9"/>
  <c r="K86" i="9"/>
  <c r="U82" i="9"/>
  <c r="T82" i="9"/>
  <c r="V82" i="9" s="1"/>
  <c r="O82" i="9"/>
  <c r="P82" i="9" s="1"/>
  <c r="N82" i="9"/>
  <c r="M82" i="9"/>
  <c r="L82" i="9"/>
  <c r="K82" i="9"/>
  <c r="U78" i="9"/>
  <c r="O78" i="9"/>
  <c r="P78" i="9" s="1"/>
  <c r="N78" i="9"/>
  <c r="T78" i="9"/>
  <c r="V78" i="9" s="1"/>
  <c r="M78" i="9"/>
  <c r="L78" i="9"/>
  <c r="K78" i="9"/>
  <c r="U74" i="9"/>
  <c r="T74" i="9"/>
  <c r="V74" i="9" s="1"/>
  <c r="O74" i="9"/>
  <c r="P74" i="9" s="1"/>
  <c r="N74" i="9"/>
  <c r="M74" i="9"/>
  <c r="L74" i="9"/>
  <c r="K74" i="9"/>
  <c r="U70" i="9"/>
  <c r="O70" i="9"/>
  <c r="P70" i="9" s="1"/>
  <c r="N70" i="9"/>
  <c r="T70" i="9"/>
  <c r="V70" i="9" s="1"/>
  <c r="M70" i="9"/>
  <c r="L70" i="9"/>
  <c r="K70" i="9"/>
  <c r="U66" i="9"/>
  <c r="T66" i="9"/>
  <c r="V66" i="9" s="1"/>
  <c r="O66" i="9"/>
  <c r="P66" i="9" s="1"/>
  <c r="N66" i="9"/>
  <c r="M66" i="9"/>
  <c r="L66" i="9"/>
  <c r="K66" i="9"/>
  <c r="U62" i="9"/>
  <c r="O62" i="9"/>
  <c r="P62" i="9" s="1"/>
  <c r="N62" i="9"/>
  <c r="T62" i="9"/>
  <c r="V62" i="9" s="1"/>
  <c r="M62" i="9"/>
  <c r="L62" i="9"/>
  <c r="K62" i="9"/>
  <c r="U58" i="9"/>
  <c r="T58" i="9"/>
  <c r="V58" i="9" s="1"/>
  <c r="O58" i="9"/>
  <c r="P58" i="9" s="1"/>
  <c r="N58" i="9"/>
  <c r="M58" i="9"/>
  <c r="L58" i="9"/>
  <c r="K58" i="9"/>
  <c r="U54" i="9"/>
  <c r="O54" i="9"/>
  <c r="P54" i="9" s="1"/>
  <c r="N54" i="9"/>
  <c r="T54" i="9"/>
  <c r="V54" i="9" s="1"/>
  <c r="M54" i="9"/>
  <c r="L54" i="9"/>
  <c r="K54" i="9"/>
  <c r="U50" i="9"/>
  <c r="T50" i="9"/>
  <c r="V50" i="9" s="1"/>
  <c r="O50" i="9"/>
  <c r="P50" i="9" s="1"/>
  <c r="N50" i="9"/>
  <c r="M50" i="9"/>
  <c r="L50" i="9"/>
  <c r="K50" i="9"/>
  <c r="U46" i="9"/>
  <c r="O46" i="9"/>
  <c r="P46" i="9" s="1"/>
  <c r="N46" i="9"/>
  <c r="T46" i="9"/>
  <c r="V46" i="9" s="1"/>
  <c r="M46" i="9"/>
  <c r="L46" i="9"/>
  <c r="K46" i="9"/>
  <c r="U42" i="9"/>
  <c r="T42" i="9"/>
  <c r="V42" i="9" s="1"/>
  <c r="O42" i="9"/>
  <c r="P42" i="9" s="1"/>
  <c r="N42" i="9"/>
  <c r="M42" i="9"/>
  <c r="L42" i="9"/>
  <c r="K42" i="9"/>
  <c r="U38" i="9"/>
  <c r="O38" i="9"/>
  <c r="P38" i="9" s="1"/>
  <c r="N38" i="9"/>
  <c r="T38" i="9"/>
  <c r="V38" i="9" s="1"/>
  <c r="M38" i="9"/>
  <c r="L38" i="9"/>
  <c r="K38" i="9"/>
  <c r="U34" i="9"/>
  <c r="T34" i="9"/>
  <c r="V34" i="9" s="1"/>
  <c r="O34" i="9"/>
  <c r="P34" i="9" s="1"/>
  <c r="N34" i="9"/>
  <c r="M34" i="9"/>
  <c r="L34" i="9"/>
  <c r="K34" i="9"/>
  <c r="U30" i="9"/>
  <c r="O30" i="9"/>
  <c r="P30" i="9" s="1"/>
  <c r="N30" i="9"/>
  <c r="T30" i="9"/>
  <c r="V30" i="9" s="1"/>
  <c r="M30" i="9"/>
  <c r="L30" i="9"/>
  <c r="K30" i="9"/>
  <c r="U26" i="9"/>
  <c r="T26" i="9"/>
  <c r="V26" i="9" s="1"/>
  <c r="O26" i="9"/>
  <c r="P26" i="9" s="1"/>
  <c r="N26" i="9"/>
  <c r="M26" i="9"/>
  <c r="L26" i="9"/>
  <c r="K26" i="9"/>
  <c r="U22" i="9"/>
  <c r="O22" i="9"/>
  <c r="P22" i="9" s="1"/>
  <c r="N22" i="9"/>
  <c r="T22" i="9"/>
  <c r="V22" i="9" s="1"/>
  <c r="L22" i="9"/>
  <c r="M22" i="9"/>
  <c r="K22" i="9"/>
  <c r="U18" i="9"/>
  <c r="T18" i="9"/>
  <c r="V18" i="9" s="1"/>
  <c r="O18" i="9"/>
  <c r="P18" i="9" s="1"/>
  <c r="N18" i="9"/>
  <c r="L18" i="9"/>
  <c r="K18" i="9"/>
  <c r="M18" i="9"/>
  <c r="U14" i="9"/>
  <c r="N14" i="9"/>
  <c r="T14" i="9"/>
  <c r="V14" i="9" s="1"/>
  <c r="O14" i="9"/>
  <c r="P14" i="9" s="1"/>
  <c r="L14" i="9"/>
  <c r="M14" i="9"/>
  <c r="K14" i="9"/>
  <c r="U10" i="9"/>
  <c r="T10" i="9"/>
  <c r="V10" i="9" s="1"/>
  <c r="O10" i="9"/>
  <c r="P10" i="9" s="1"/>
  <c r="N10" i="9"/>
  <c r="L10" i="9"/>
  <c r="M10" i="9"/>
  <c r="K10" i="9"/>
  <c r="U6" i="9"/>
  <c r="T6" i="9"/>
  <c r="V6" i="9" s="1"/>
  <c r="O6" i="9"/>
  <c r="P6" i="9" s="1"/>
  <c r="N6" i="9"/>
  <c r="L6" i="9"/>
  <c r="M6" i="9"/>
  <c r="K6" i="9"/>
  <c r="G2501" i="9"/>
  <c r="H2501" i="9"/>
  <c r="I2501" i="9"/>
  <c r="E2501" i="9"/>
  <c r="F2501" i="9"/>
  <c r="D2501" i="9"/>
  <c r="B2501" i="9"/>
  <c r="C2501" i="9"/>
  <c r="G2493" i="9"/>
  <c r="H2493" i="9"/>
  <c r="I2493" i="9"/>
  <c r="E2493" i="9"/>
  <c r="F2493" i="9"/>
  <c r="D2493" i="9"/>
  <c r="C2493" i="9"/>
  <c r="B2493" i="9"/>
  <c r="G2485" i="9"/>
  <c r="H2485" i="9"/>
  <c r="I2485" i="9"/>
  <c r="E2485" i="9"/>
  <c r="F2485" i="9"/>
  <c r="D2485" i="9"/>
  <c r="B2485" i="9"/>
  <c r="C2485" i="9"/>
  <c r="G2477" i="9"/>
  <c r="H2477" i="9"/>
  <c r="I2477" i="9"/>
  <c r="E2477" i="9"/>
  <c r="F2477" i="9"/>
  <c r="D2477" i="9"/>
  <c r="B2477" i="9"/>
  <c r="C2477" i="9"/>
  <c r="G2469" i="9"/>
  <c r="H2469" i="9"/>
  <c r="I2469" i="9"/>
  <c r="E2469" i="9"/>
  <c r="F2469" i="9"/>
  <c r="D2469" i="9"/>
  <c r="B2469" i="9"/>
  <c r="C2469" i="9"/>
  <c r="G2461" i="9"/>
  <c r="H2461" i="9"/>
  <c r="I2461" i="9"/>
  <c r="E2461" i="9"/>
  <c r="F2461" i="9"/>
  <c r="D2461" i="9"/>
  <c r="C2461" i="9"/>
  <c r="B2461" i="9"/>
  <c r="G2453" i="9"/>
  <c r="H2453" i="9"/>
  <c r="I2453" i="9"/>
  <c r="E2453" i="9"/>
  <c r="F2453" i="9"/>
  <c r="D2453" i="9"/>
  <c r="B2453" i="9"/>
  <c r="C2453" i="9"/>
  <c r="G2445" i="9"/>
  <c r="H2445" i="9"/>
  <c r="I2445" i="9"/>
  <c r="E2445" i="9"/>
  <c r="F2445" i="9"/>
  <c r="D2445" i="9"/>
  <c r="B2445" i="9"/>
  <c r="C2445" i="9"/>
  <c r="G2437" i="9"/>
  <c r="H2437" i="9"/>
  <c r="I2437" i="9"/>
  <c r="E2437" i="9"/>
  <c r="F2437" i="9"/>
  <c r="D2437" i="9"/>
  <c r="B2437" i="9"/>
  <c r="C2437" i="9"/>
  <c r="G2429" i="9"/>
  <c r="H2429" i="9"/>
  <c r="I2429" i="9"/>
  <c r="E2429" i="9"/>
  <c r="F2429" i="9"/>
  <c r="D2429" i="9"/>
  <c r="C2429" i="9"/>
  <c r="B2429" i="9"/>
  <c r="G2421" i="9"/>
  <c r="H2421" i="9"/>
  <c r="I2421" i="9"/>
  <c r="E2421" i="9"/>
  <c r="F2421" i="9"/>
  <c r="D2421" i="9"/>
  <c r="B2421" i="9"/>
  <c r="C2421" i="9"/>
  <c r="G2413" i="9"/>
  <c r="H2413" i="9"/>
  <c r="I2413" i="9"/>
  <c r="E2413" i="9"/>
  <c r="F2413" i="9"/>
  <c r="D2413" i="9"/>
  <c r="B2413" i="9"/>
  <c r="C2413" i="9"/>
  <c r="G2405" i="9"/>
  <c r="H2405" i="9"/>
  <c r="I2405" i="9"/>
  <c r="E2405" i="9"/>
  <c r="F2405" i="9"/>
  <c r="D2405" i="9"/>
  <c r="B2405" i="9"/>
  <c r="C2405" i="9"/>
  <c r="G2397" i="9"/>
  <c r="H2397" i="9"/>
  <c r="I2397" i="9"/>
  <c r="E2397" i="9"/>
  <c r="F2397" i="9"/>
  <c r="D2397" i="9"/>
  <c r="C2397" i="9"/>
  <c r="B2397" i="9"/>
  <c r="G2389" i="9"/>
  <c r="H2389" i="9"/>
  <c r="I2389" i="9"/>
  <c r="E2389" i="9"/>
  <c r="F2389" i="9"/>
  <c r="D2389" i="9"/>
  <c r="B2389" i="9"/>
  <c r="C2389" i="9"/>
  <c r="G2381" i="9"/>
  <c r="H2381" i="9"/>
  <c r="I2381" i="9"/>
  <c r="E2381" i="9"/>
  <c r="F2381" i="9"/>
  <c r="D2381" i="9"/>
  <c r="B2381" i="9"/>
  <c r="C2381" i="9"/>
  <c r="G2373" i="9"/>
  <c r="H2373" i="9"/>
  <c r="I2373" i="9"/>
  <c r="E2373" i="9"/>
  <c r="F2373" i="9"/>
  <c r="D2373" i="9"/>
  <c r="B2373" i="9"/>
  <c r="C2373" i="9"/>
  <c r="G2365" i="9"/>
  <c r="H2365" i="9"/>
  <c r="I2365" i="9"/>
  <c r="E2365" i="9"/>
  <c r="F2365" i="9"/>
  <c r="D2365" i="9"/>
  <c r="C2365" i="9"/>
  <c r="B2365" i="9"/>
  <c r="G2357" i="9"/>
  <c r="H2357" i="9"/>
  <c r="I2357" i="9"/>
  <c r="E2357" i="9"/>
  <c r="F2357" i="9"/>
  <c r="D2357" i="9"/>
  <c r="B2357" i="9"/>
  <c r="C2357" i="9"/>
  <c r="G2349" i="9"/>
  <c r="H2349" i="9"/>
  <c r="I2349" i="9"/>
  <c r="E2349" i="9"/>
  <c r="F2349" i="9"/>
  <c r="D2349" i="9"/>
  <c r="B2349" i="9"/>
  <c r="C2349" i="9"/>
  <c r="G2341" i="9"/>
  <c r="H2341" i="9"/>
  <c r="I2341" i="9"/>
  <c r="E2341" i="9"/>
  <c r="F2341" i="9"/>
  <c r="D2341" i="9"/>
  <c r="B2341" i="9"/>
  <c r="C2341" i="9"/>
  <c r="G2333" i="9"/>
  <c r="H2333" i="9"/>
  <c r="I2333" i="9"/>
  <c r="E2333" i="9"/>
  <c r="F2333" i="9"/>
  <c r="D2333" i="9"/>
  <c r="C2333" i="9"/>
  <c r="B2333" i="9"/>
  <c r="G2325" i="9"/>
  <c r="H2325" i="9"/>
  <c r="I2325" i="9"/>
  <c r="E2325" i="9"/>
  <c r="F2325" i="9"/>
  <c r="D2325" i="9"/>
  <c r="B2325" i="9"/>
  <c r="C2325" i="9"/>
  <c r="G2317" i="9"/>
  <c r="H2317" i="9"/>
  <c r="I2317" i="9"/>
  <c r="E2317" i="9"/>
  <c r="F2317" i="9"/>
  <c r="D2317" i="9"/>
  <c r="B2317" i="9"/>
  <c r="C2317" i="9"/>
  <c r="G2309" i="9"/>
  <c r="H2309" i="9"/>
  <c r="I2309" i="9"/>
  <c r="E2309" i="9"/>
  <c r="F2309" i="9"/>
  <c r="D2309" i="9"/>
  <c r="B2309" i="9"/>
  <c r="C2309" i="9"/>
  <c r="G2301" i="9"/>
  <c r="H2301" i="9"/>
  <c r="I2301" i="9"/>
  <c r="E2301" i="9"/>
  <c r="F2301" i="9"/>
  <c r="D2301" i="9"/>
  <c r="C2301" i="9"/>
  <c r="B2301" i="9"/>
  <c r="G2293" i="9"/>
  <c r="H2293" i="9"/>
  <c r="I2293" i="9"/>
  <c r="E2293" i="9"/>
  <c r="F2293" i="9"/>
  <c r="D2293" i="9"/>
  <c r="B2293" i="9"/>
  <c r="C2293" i="9"/>
  <c r="G2285" i="9"/>
  <c r="H2285" i="9"/>
  <c r="I2285" i="9"/>
  <c r="E2285" i="9"/>
  <c r="F2285" i="9"/>
  <c r="D2285" i="9"/>
  <c r="B2285" i="9"/>
  <c r="C2285" i="9"/>
  <c r="G2273" i="9"/>
  <c r="H2273" i="9"/>
  <c r="I2273" i="9"/>
  <c r="E2273" i="9"/>
  <c r="F2273" i="9"/>
  <c r="D2273" i="9"/>
  <c r="B2273" i="9"/>
  <c r="C2273" i="9"/>
  <c r="G2265" i="9"/>
  <c r="H2265" i="9"/>
  <c r="I2265" i="9"/>
  <c r="E2265" i="9"/>
  <c r="F2265" i="9"/>
  <c r="D2265" i="9"/>
  <c r="B2265" i="9"/>
  <c r="C2265" i="9"/>
  <c r="G2257" i="9"/>
  <c r="H2257" i="9"/>
  <c r="I2257" i="9"/>
  <c r="E2257" i="9"/>
  <c r="F2257" i="9"/>
  <c r="D2257" i="9"/>
  <c r="B2257" i="9"/>
  <c r="C2257" i="9"/>
  <c r="G2249" i="9"/>
  <c r="H2249" i="9"/>
  <c r="I2249" i="9"/>
  <c r="E2249" i="9"/>
  <c r="F2249" i="9"/>
  <c r="D2249" i="9"/>
  <c r="B2249" i="9"/>
  <c r="C2249" i="9"/>
  <c r="G2241" i="9"/>
  <c r="H2241" i="9"/>
  <c r="I2241" i="9"/>
  <c r="E2241" i="9"/>
  <c r="F2241" i="9"/>
  <c r="D2241" i="9"/>
  <c r="B2241" i="9"/>
  <c r="C2241" i="9"/>
  <c r="G2233" i="9"/>
  <c r="H2233" i="9"/>
  <c r="I2233" i="9"/>
  <c r="E2233" i="9"/>
  <c r="F2233" i="9"/>
  <c r="D2233" i="9"/>
  <c r="B2233" i="9"/>
  <c r="C2233" i="9"/>
  <c r="G2225" i="9"/>
  <c r="H2225" i="9"/>
  <c r="I2225" i="9"/>
  <c r="E2225" i="9"/>
  <c r="F2225" i="9"/>
  <c r="D2225" i="9"/>
  <c r="B2225" i="9"/>
  <c r="C2225" i="9"/>
  <c r="G2217" i="9"/>
  <c r="H2217" i="9"/>
  <c r="I2217" i="9"/>
  <c r="E2217" i="9"/>
  <c r="F2217" i="9"/>
  <c r="D2217" i="9"/>
  <c r="B2217" i="9"/>
  <c r="C2217" i="9"/>
  <c r="G2209" i="9"/>
  <c r="H2209" i="9"/>
  <c r="I2209" i="9"/>
  <c r="E2209" i="9"/>
  <c r="F2209" i="9"/>
  <c r="D2209" i="9"/>
  <c r="B2209" i="9"/>
  <c r="C2209" i="9"/>
  <c r="G2201" i="9"/>
  <c r="H2201" i="9"/>
  <c r="I2201" i="9"/>
  <c r="E2201" i="9"/>
  <c r="F2201" i="9"/>
  <c r="D2201" i="9"/>
  <c r="B2201" i="9"/>
  <c r="C2201" i="9"/>
  <c r="G2193" i="9"/>
  <c r="H2193" i="9"/>
  <c r="I2193" i="9"/>
  <c r="E2193" i="9"/>
  <c r="F2193" i="9"/>
  <c r="D2193" i="9"/>
  <c r="B2193" i="9"/>
  <c r="C2193" i="9"/>
  <c r="G2185" i="9"/>
  <c r="H2185" i="9"/>
  <c r="I2185" i="9"/>
  <c r="E2185" i="9"/>
  <c r="F2185" i="9"/>
  <c r="D2185" i="9"/>
  <c r="B2185" i="9"/>
  <c r="C2185" i="9"/>
  <c r="G2177" i="9"/>
  <c r="H2177" i="9"/>
  <c r="I2177" i="9"/>
  <c r="E2177" i="9"/>
  <c r="F2177" i="9"/>
  <c r="D2177" i="9"/>
  <c r="B2177" i="9"/>
  <c r="C2177" i="9"/>
  <c r="G2169" i="9"/>
  <c r="H2169" i="9"/>
  <c r="I2169" i="9"/>
  <c r="E2169" i="9"/>
  <c r="F2169" i="9"/>
  <c r="D2169" i="9"/>
  <c r="B2169" i="9"/>
  <c r="C2169" i="9"/>
  <c r="G2161" i="9"/>
  <c r="H2161" i="9"/>
  <c r="I2161" i="9"/>
  <c r="E2161" i="9"/>
  <c r="F2161" i="9"/>
  <c r="D2161" i="9"/>
  <c r="B2161" i="9"/>
  <c r="C2161" i="9"/>
  <c r="G2153" i="9"/>
  <c r="H2153" i="9"/>
  <c r="I2153" i="9"/>
  <c r="E2153" i="9"/>
  <c r="F2153" i="9"/>
  <c r="D2153" i="9"/>
  <c r="B2153" i="9"/>
  <c r="C2153" i="9"/>
  <c r="G2145" i="9"/>
  <c r="H2145" i="9"/>
  <c r="I2145" i="9"/>
  <c r="E2145" i="9"/>
  <c r="F2145" i="9"/>
  <c r="D2145" i="9"/>
  <c r="B2145" i="9"/>
  <c r="C2145" i="9"/>
  <c r="G2141" i="9"/>
  <c r="H2141" i="9"/>
  <c r="I2141" i="9"/>
  <c r="E2141" i="9"/>
  <c r="F2141" i="9"/>
  <c r="D2141" i="9"/>
  <c r="C2141" i="9"/>
  <c r="B2141" i="9"/>
  <c r="G2133" i="9"/>
  <c r="H2133" i="9"/>
  <c r="I2133" i="9"/>
  <c r="E2133" i="9"/>
  <c r="F2133" i="9"/>
  <c r="D2133" i="9"/>
  <c r="B2133" i="9"/>
  <c r="C2133" i="9"/>
  <c r="G2125" i="9"/>
  <c r="H2125" i="9"/>
  <c r="I2125" i="9"/>
  <c r="E2125" i="9"/>
  <c r="F2125" i="9"/>
  <c r="D2125" i="9"/>
  <c r="B2125" i="9"/>
  <c r="C2125" i="9"/>
  <c r="G2113" i="9"/>
  <c r="H2113" i="9"/>
  <c r="I2113" i="9"/>
  <c r="E2113" i="9"/>
  <c r="F2113" i="9"/>
  <c r="D2113" i="9"/>
  <c r="B2113" i="9"/>
  <c r="C2113" i="9"/>
  <c r="G2105" i="9"/>
  <c r="H2105" i="9"/>
  <c r="I2105" i="9"/>
  <c r="E2105" i="9"/>
  <c r="F2105" i="9"/>
  <c r="D2105" i="9"/>
  <c r="B2105" i="9"/>
  <c r="C2105" i="9"/>
  <c r="G2097" i="9"/>
  <c r="H2097" i="9"/>
  <c r="I2097" i="9"/>
  <c r="E2097" i="9"/>
  <c r="F2097" i="9"/>
  <c r="D2097" i="9"/>
  <c r="B2097" i="9"/>
  <c r="C2097" i="9"/>
  <c r="G2089" i="9"/>
  <c r="H2089" i="9"/>
  <c r="I2089" i="9"/>
  <c r="E2089" i="9"/>
  <c r="F2089" i="9"/>
  <c r="D2089" i="9"/>
  <c r="B2089" i="9"/>
  <c r="C2089" i="9"/>
  <c r="G2081" i="9"/>
  <c r="H2081" i="9"/>
  <c r="I2081" i="9"/>
  <c r="E2081" i="9"/>
  <c r="F2081" i="9"/>
  <c r="D2081" i="9"/>
  <c r="B2081" i="9"/>
  <c r="C2081" i="9"/>
  <c r="G2073" i="9"/>
  <c r="H2073" i="9"/>
  <c r="I2073" i="9"/>
  <c r="E2073" i="9"/>
  <c r="F2073" i="9"/>
  <c r="D2073" i="9"/>
  <c r="B2073" i="9"/>
  <c r="C2073" i="9"/>
  <c r="G2065" i="9"/>
  <c r="H2065" i="9"/>
  <c r="I2065" i="9"/>
  <c r="E2065" i="9"/>
  <c r="F2065" i="9"/>
  <c r="D2065" i="9"/>
  <c r="B2065" i="9"/>
  <c r="C2065" i="9"/>
  <c r="G2057" i="9"/>
  <c r="H2057" i="9"/>
  <c r="I2057" i="9"/>
  <c r="E2057" i="9"/>
  <c r="F2057" i="9"/>
  <c r="D2057" i="9"/>
  <c r="B2057" i="9"/>
  <c r="C2057" i="9"/>
  <c r="G2049" i="9"/>
  <c r="H2049" i="9"/>
  <c r="I2049" i="9"/>
  <c r="E2049" i="9"/>
  <c r="F2049" i="9"/>
  <c r="D2049" i="9"/>
  <c r="B2049" i="9"/>
  <c r="C2049" i="9"/>
  <c r="G2041" i="9"/>
  <c r="H2041" i="9"/>
  <c r="I2041" i="9"/>
  <c r="E2041" i="9"/>
  <c r="F2041" i="9"/>
  <c r="D2041" i="9"/>
  <c r="B2041" i="9"/>
  <c r="C2041" i="9"/>
  <c r="G2033" i="9"/>
  <c r="H2033" i="9"/>
  <c r="I2033" i="9"/>
  <c r="E2033" i="9"/>
  <c r="F2033" i="9"/>
  <c r="D2033" i="9"/>
  <c r="B2033" i="9"/>
  <c r="C2033" i="9"/>
  <c r="G2025" i="9"/>
  <c r="H2025" i="9"/>
  <c r="I2025" i="9"/>
  <c r="E2025" i="9"/>
  <c r="F2025" i="9"/>
  <c r="D2025" i="9"/>
  <c r="B2025" i="9"/>
  <c r="C2025" i="9"/>
  <c r="G2021" i="9"/>
  <c r="H2021" i="9"/>
  <c r="I2021" i="9"/>
  <c r="E2021" i="9"/>
  <c r="F2021" i="9"/>
  <c r="D2021" i="9"/>
  <c r="B2021" i="9"/>
  <c r="C2021" i="9"/>
  <c r="G2013" i="9"/>
  <c r="H2013" i="9"/>
  <c r="I2013" i="9"/>
  <c r="E2013" i="9"/>
  <c r="F2013" i="9"/>
  <c r="D2013" i="9"/>
  <c r="B2013" i="9"/>
  <c r="C2013" i="9"/>
  <c r="G2005" i="9"/>
  <c r="H2005" i="9"/>
  <c r="I2005" i="9"/>
  <c r="E2005" i="9"/>
  <c r="F2005" i="9"/>
  <c r="D2005" i="9"/>
  <c r="B2005" i="9"/>
  <c r="C2005" i="9"/>
  <c r="G1997" i="9"/>
  <c r="H1997" i="9"/>
  <c r="I1997" i="9"/>
  <c r="E1997" i="9"/>
  <c r="F1997" i="9"/>
  <c r="D1997" i="9"/>
  <c r="B1997" i="9"/>
  <c r="C1997" i="9"/>
  <c r="G1989" i="9"/>
  <c r="H1989" i="9"/>
  <c r="I1989" i="9"/>
  <c r="E1989" i="9"/>
  <c r="F1989" i="9"/>
  <c r="D1989" i="9"/>
  <c r="B1989" i="9"/>
  <c r="C1989" i="9"/>
  <c r="G1981" i="9"/>
  <c r="H1981" i="9"/>
  <c r="I1981" i="9"/>
  <c r="E1981" i="9"/>
  <c r="F1981" i="9"/>
  <c r="D1981" i="9"/>
  <c r="B1981" i="9"/>
  <c r="C1981" i="9"/>
  <c r="G1973" i="9"/>
  <c r="H1973" i="9"/>
  <c r="I1973" i="9"/>
  <c r="E1973" i="9"/>
  <c r="F1973" i="9"/>
  <c r="D1973" i="9"/>
  <c r="B1973" i="9"/>
  <c r="C1973" i="9"/>
  <c r="G1965" i="9"/>
  <c r="H1965" i="9"/>
  <c r="I1965" i="9"/>
  <c r="E1965" i="9"/>
  <c r="F1965" i="9"/>
  <c r="D1965" i="9"/>
  <c r="B1965" i="9"/>
  <c r="C1965" i="9"/>
  <c r="G1957" i="9"/>
  <c r="H1957" i="9"/>
  <c r="I1957" i="9"/>
  <c r="E1957" i="9"/>
  <c r="F1957" i="9"/>
  <c r="D1957" i="9"/>
  <c r="B1957" i="9"/>
  <c r="C1957" i="9"/>
  <c r="G1949" i="9"/>
  <c r="H1949" i="9"/>
  <c r="I1949" i="9"/>
  <c r="E1949" i="9"/>
  <c r="F1949" i="9"/>
  <c r="D1949" i="9"/>
  <c r="B1949" i="9"/>
  <c r="C1949" i="9"/>
  <c r="G1941" i="9"/>
  <c r="H1941" i="9"/>
  <c r="I1941" i="9"/>
  <c r="E1941" i="9"/>
  <c r="F1941" i="9"/>
  <c r="D1941" i="9"/>
  <c r="B1941" i="9"/>
  <c r="C1941" i="9"/>
  <c r="G1933" i="9"/>
  <c r="H1933" i="9"/>
  <c r="I1933" i="9"/>
  <c r="E1933" i="9"/>
  <c r="F1933" i="9"/>
  <c r="D1933" i="9"/>
  <c r="B1933" i="9"/>
  <c r="C1933" i="9"/>
  <c r="G1925" i="9"/>
  <c r="H1925" i="9"/>
  <c r="I1925" i="9"/>
  <c r="E1925" i="9"/>
  <c r="F1925" i="9"/>
  <c r="D1925" i="9"/>
  <c r="B1925" i="9"/>
  <c r="C1925" i="9"/>
  <c r="G1917" i="9"/>
  <c r="H1917" i="9"/>
  <c r="I1917" i="9"/>
  <c r="E1917" i="9"/>
  <c r="F1917" i="9"/>
  <c r="D1917" i="9"/>
  <c r="B1917" i="9"/>
  <c r="C1917" i="9"/>
  <c r="G1909" i="9"/>
  <c r="H1909" i="9"/>
  <c r="I1909" i="9"/>
  <c r="E1909" i="9"/>
  <c r="F1909" i="9"/>
  <c r="D1909" i="9"/>
  <c r="B1909" i="9"/>
  <c r="C1909" i="9"/>
  <c r="G1901" i="9"/>
  <c r="H1901" i="9"/>
  <c r="I1901" i="9"/>
  <c r="E1901" i="9"/>
  <c r="F1901" i="9"/>
  <c r="D1901" i="9"/>
  <c r="B1901" i="9"/>
  <c r="C1901" i="9"/>
  <c r="G1893" i="9"/>
  <c r="H1893" i="9"/>
  <c r="I1893" i="9"/>
  <c r="E1893" i="9"/>
  <c r="F1893" i="9"/>
  <c r="D1893" i="9"/>
  <c r="B1893" i="9"/>
  <c r="C1893" i="9"/>
  <c r="G1885" i="9"/>
  <c r="H1885" i="9"/>
  <c r="I1885" i="9"/>
  <c r="E1885" i="9"/>
  <c r="F1885" i="9"/>
  <c r="D1885" i="9"/>
  <c r="B1885" i="9"/>
  <c r="C1885" i="9"/>
  <c r="G1877" i="9"/>
  <c r="H1877" i="9"/>
  <c r="I1877" i="9"/>
  <c r="E1877" i="9"/>
  <c r="F1877" i="9"/>
  <c r="D1877" i="9"/>
  <c r="B1877" i="9"/>
  <c r="C1877" i="9"/>
  <c r="G1869" i="9"/>
  <c r="H1869" i="9"/>
  <c r="I1869" i="9"/>
  <c r="E1869" i="9"/>
  <c r="F1869" i="9"/>
  <c r="D1869" i="9"/>
  <c r="B1869" i="9"/>
  <c r="C1869" i="9"/>
  <c r="G1861" i="9"/>
  <c r="H1861" i="9"/>
  <c r="I1861" i="9"/>
  <c r="E1861" i="9"/>
  <c r="F1861" i="9"/>
  <c r="D1861" i="9"/>
  <c r="B1861" i="9"/>
  <c r="C1861" i="9"/>
  <c r="G1853" i="9"/>
  <c r="H1853" i="9"/>
  <c r="I1853" i="9"/>
  <c r="E1853" i="9"/>
  <c r="F1853" i="9"/>
  <c r="D1853" i="9"/>
  <c r="B1853" i="9"/>
  <c r="C1853" i="9"/>
  <c r="G1845" i="9"/>
  <c r="H1845" i="9"/>
  <c r="I1845" i="9"/>
  <c r="E1845" i="9"/>
  <c r="F1845" i="9"/>
  <c r="D1845" i="9"/>
  <c r="B1845" i="9"/>
  <c r="C1845" i="9"/>
  <c r="G1833" i="9"/>
  <c r="H1833" i="9"/>
  <c r="I1833" i="9"/>
  <c r="E1833" i="9"/>
  <c r="F1833" i="9"/>
  <c r="D1833" i="9"/>
  <c r="B1833" i="9"/>
  <c r="C1833" i="9"/>
  <c r="G1825" i="9"/>
  <c r="H1825" i="9"/>
  <c r="I1825" i="9"/>
  <c r="E1825" i="9"/>
  <c r="F1825" i="9"/>
  <c r="D1825" i="9"/>
  <c r="B1825" i="9"/>
  <c r="C1825" i="9"/>
  <c r="G1817" i="9"/>
  <c r="H1817" i="9"/>
  <c r="I1817" i="9"/>
  <c r="E1817" i="9"/>
  <c r="F1817" i="9"/>
  <c r="D1817" i="9"/>
  <c r="B1817" i="9"/>
  <c r="C1817" i="9"/>
  <c r="G1809" i="9"/>
  <c r="H1809" i="9"/>
  <c r="I1809" i="9"/>
  <c r="E1809" i="9"/>
  <c r="F1809" i="9"/>
  <c r="D1809" i="9"/>
  <c r="B1809" i="9"/>
  <c r="C1809" i="9"/>
  <c r="G1801" i="9"/>
  <c r="H1801" i="9"/>
  <c r="I1801" i="9"/>
  <c r="E1801" i="9"/>
  <c r="F1801" i="9"/>
  <c r="D1801" i="9"/>
  <c r="B1801" i="9"/>
  <c r="C1801" i="9"/>
  <c r="G1793" i="9"/>
  <c r="H1793" i="9"/>
  <c r="I1793" i="9"/>
  <c r="E1793" i="9"/>
  <c r="F1793" i="9"/>
  <c r="D1793" i="9"/>
  <c r="B1793" i="9"/>
  <c r="C1793" i="9"/>
  <c r="G1785" i="9"/>
  <c r="H1785" i="9"/>
  <c r="I1785" i="9"/>
  <c r="E1785" i="9"/>
  <c r="F1785" i="9"/>
  <c r="D1785" i="9"/>
  <c r="B1785" i="9"/>
  <c r="C1785" i="9"/>
  <c r="G1777" i="9"/>
  <c r="H1777" i="9"/>
  <c r="I1777" i="9"/>
  <c r="E1777" i="9"/>
  <c r="F1777" i="9"/>
  <c r="D1777" i="9"/>
  <c r="B1777" i="9"/>
  <c r="C1777" i="9"/>
  <c r="G1765" i="9"/>
  <c r="H1765" i="9"/>
  <c r="I1765" i="9"/>
  <c r="E1765" i="9"/>
  <c r="F1765" i="9"/>
  <c r="D1765" i="9"/>
  <c r="B1765" i="9"/>
  <c r="C1765" i="9"/>
  <c r="G1757" i="9"/>
  <c r="H1757" i="9"/>
  <c r="I1757" i="9"/>
  <c r="E1757" i="9"/>
  <c r="F1757" i="9"/>
  <c r="D1757" i="9"/>
  <c r="B1757" i="9"/>
  <c r="C1757" i="9"/>
  <c r="G1749" i="9"/>
  <c r="H1749" i="9"/>
  <c r="I1749" i="9"/>
  <c r="E1749" i="9"/>
  <c r="F1749" i="9"/>
  <c r="D1749" i="9"/>
  <c r="B1749" i="9"/>
  <c r="C1749" i="9"/>
  <c r="G1741" i="9"/>
  <c r="H1741" i="9"/>
  <c r="I1741" i="9"/>
  <c r="E1741" i="9"/>
  <c r="F1741" i="9"/>
  <c r="D1741" i="9"/>
  <c r="B1741" i="9"/>
  <c r="C1741" i="9"/>
  <c r="G1733" i="9"/>
  <c r="H1733" i="9"/>
  <c r="I1733" i="9"/>
  <c r="E1733" i="9"/>
  <c r="F1733" i="9"/>
  <c r="D1733" i="9"/>
  <c r="B1733" i="9"/>
  <c r="C1733" i="9"/>
  <c r="G1725" i="9"/>
  <c r="H1725" i="9"/>
  <c r="I1725" i="9"/>
  <c r="E1725" i="9"/>
  <c r="F1725" i="9"/>
  <c r="D1725" i="9"/>
  <c r="B1725" i="9"/>
  <c r="C1725" i="9"/>
  <c r="G1713" i="9"/>
  <c r="H1713" i="9"/>
  <c r="I1713" i="9"/>
  <c r="E1713" i="9"/>
  <c r="F1713" i="9"/>
  <c r="D1713" i="9"/>
  <c r="B1713" i="9"/>
  <c r="C1713" i="9"/>
  <c r="G1701" i="9"/>
  <c r="H1701" i="9"/>
  <c r="I1701" i="9"/>
  <c r="E1701" i="9"/>
  <c r="F1701" i="9"/>
  <c r="D1701" i="9"/>
  <c r="B1701" i="9"/>
  <c r="C1701" i="9"/>
  <c r="G1693" i="9"/>
  <c r="H1693" i="9"/>
  <c r="I1693" i="9"/>
  <c r="E1693" i="9"/>
  <c r="F1693" i="9"/>
  <c r="D1693" i="9"/>
  <c r="B1693" i="9"/>
  <c r="C1693" i="9"/>
  <c r="G1685" i="9"/>
  <c r="H1685" i="9"/>
  <c r="I1685" i="9"/>
  <c r="E1685" i="9"/>
  <c r="F1685" i="9"/>
  <c r="D1685" i="9"/>
  <c r="B1685" i="9"/>
  <c r="C1685" i="9"/>
  <c r="G1681" i="9"/>
  <c r="H1681" i="9"/>
  <c r="I1681" i="9"/>
  <c r="E1681" i="9"/>
  <c r="F1681" i="9"/>
  <c r="D1681" i="9"/>
  <c r="B1681" i="9"/>
  <c r="C1681" i="9"/>
  <c r="G1673" i="9"/>
  <c r="H1673" i="9"/>
  <c r="I1673" i="9"/>
  <c r="E1673" i="9"/>
  <c r="F1673" i="9"/>
  <c r="D1673" i="9"/>
  <c r="B1673" i="9"/>
  <c r="C1673" i="9"/>
  <c r="G1665" i="9"/>
  <c r="H1665" i="9"/>
  <c r="I1665" i="9"/>
  <c r="E1665" i="9"/>
  <c r="F1665" i="9"/>
  <c r="D1665" i="9"/>
  <c r="B1665" i="9"/>
  <c r="C1665" i="9"/>
  <c r="G1657" i="9"/>
  <c r="H1657" i="9"/>
  <c r="I1657" i="9"/>
  <c r="E1657" i="9"/>
  <c r="F1657" i="9"/>
  <c r="D1657" i="9"/>
  <c r="B1657" i="9"/>
  <c r="C1657" i="9"/>
  <c r="G1649" i="9"/>
  <c r="H1649" i="9"/>
  <c r="I1649" i="9"/>
  <c r="E1649" i="9"/>
  <c r="F1649" i="9"/>
  <c r="D1649" i="9"/>
  <c r="B1649" i="9"/>
  <c r="C1649" i="9"/>
  <c r="G1641" i="9"/>
  <c r="H1641" i="9"/>
  <c r="I1641" i="9"/>
  <c r="E1641" i="9"/>
  <c r="F1641" i="9"/>
  <c r="D1641" i="9"/>
  <c r="B1641" i="9"/>
  <c r="C1641" i="9"/>
  <c r="G1633" i="9"/>
  <c r="H1633" i="9"/>
  <c r="I1633" i="9"/>
  <c r="E1633" i="9"/>
  <c r="F1633" i="9"/>
  <c r="D1633" i="9"/>
  <c r="B1633" i="9"/>
  <c r="C1633" i="9"/>
  <c r="G1625" i="9"/>
  <c r="H1625" i="9"/>
  <c r="I1625" i="9"/>
  <c r="E1625" i="9"/>
  <c r="F1625" i="9"/>
  <c r="D1625" i="9"/>
  <c r="B1625" i="9"/>
  <c r="C1625" i="9"/>
  <c r="G1617" i="9"/>
  <c r="H1617" i="9"/>
  <c r="I1617" i="9"/>
  <c r="E1617" i="9"/>
  <c r="F1617" i="9"/>
  <c r="D1617" i="9"/>
  <c r="B1617" i="9"/>
  <c r="C1617" i="9"/>
  <c r="G1609" i="9"/>
  <c r="H1609" i="9"/>
  <c r="I1609" i="9"/>
  <c r="E1609" i="9"/>
  <c r="F1609" i="9"/>
  <c r="D1609" i="9"/>
  <c r="B1609" i="9"/>
  <c r="C1609" i="9"/>
  <c r="G1601" i="9"/>
  <c r="H1601" i="9"/>
  <c r="I1601" i="9"/>
  <c r="E1601" i="9"/>
  <c r="F1601" i="9"/>
  <c r="D1601" i="9"/>
  <c r="B1601" i="9"/>
  <c r="C1601" i="9"/>
  <c r="G1593" i="9"/>
  <c r="H1593" i="9"/>
  <c r="I1593" i="9"/>
  <c r="E1593" i="9"/>
  <c r="F1593" i="9"/>
  <c r="D1593" i="9"/>
  <c r="B1593" i="9"/>
  <c r="C1593" i="9"/>
  <c r="G1585" i="9"/>
  <c r="H1585" i="9"/>
  <c r="I1585" i="9"/>
  <c r="E1585" i="9"/>
  <c r="F1585" i="9"/>
  <c r="D1585" i="9"/>
  <c r="B1585" i="9"/>
  <c r="C1585" i="9"/>
  <c r="G1577" i="9"/>
  <c r="H1577" i="9"/>
  <c r="I1577" i="9"/>
  <c r="E1577" i="9"/>
  <c r="F1577" i="9"/>
  <c r="D1577" i="9"/>
  <c r="B1577" i="9"/>
  <c r="C1577" i="9"/>
  <c r="G1569" i="9"/>
  <c r="H1569" i="9"/>
  <c r="I1569" i="9"/>
  <c r="E1569" i="9"/>
  <c r="F1569" i="9"/>
  <c r="D1569" i="9"/>
  <c r="B1569" i="9"/>
  <c r="C1569" i="9"/>
  <c r="G1561" i="9"/>
  <c r="H1561" i="9"/>
  <c r="I1561" i="9"/>
  <c r="E1561" i="9"/>
  <c r="F1561" i="9"/>
  <c r="D1561" i="9"/>
  <c r="B1561" i="9"/>
  <c r="C1561" i="9"/>
  <c r="G1553" i="9"/>
  <c r="F1553" i="9"/>
  <c r="H1553" i="9"/>
  <c r="I1553" i="9"/>
  <c r="E1553" i="9"/>
  <c r="D1553" i="9"/>
  <c r="B1553" i="9"/>
  <c r="C1553" i="9"/>
  <c r="G1545" i="9"/>
  <c r="F1545" i="9"/>
  <c r="H1545" i="9"/>
  <c r="I1545" i="9"/>
  <c r="E1545" i="9"/>
  <c r="D1545" i="9"/>
  <c r="B1545" i="9"/>
  <c r="C1545" i="9"/>
  <c r="G1537" i="9"/>
  <c r="F1537" i="9"/>
  <c r="H1537" i="9"/>
  <c r="I1537" i="9"/>
  <c r="E1537" i="9"/>
  <c r="D1537" i="9"/>
  <c r="B1537" i="9"/>
  <c r="C1537" i="9"/>
  <c r="G1529" i="9"/>
  <c r="F1529" i="9"/>
  <c r="H1529" i="9"/>
  <c r="I1529" i="9"/>
  <c r="E1529" i="9"/>
  <c r="D1529" i="9"/>
  <c r="B1529" i="9"/>
  <c r="C1529" i="9"/>
  <c r="G1521" i="9"/>
  <c r="F1521" i="9"/>
  <c r="H1521" i="9"/>
  <c r="I1521" i="9"/>
  <c r="E1521" i="9"/>
  <c r="D1521" i="9"/>
  <c r="B1521" i="9"/>
  <c r="C1521" i="9"/>
  <c r="G1517" i="9"/>
  <c r="F1517" i="9"/>
  <c r="H1517" i="9"/>
  <c r="I1517" i="9"/>
  <c r="E1517" i="9"/>
  <c r="D1517" i="9"/>
  <c r="B1517" i="9"/>
  <c r="C1517" i="9"/>
  <c r="G1509" i="9"/>
  <c r="F1509" i="9"/>
  <c r="H1509" i="9"/>
  <c r="I1509" i="9"/>
  <c r="E1509" i="9"/>
  <c r="D1509" i="9"/>
  <c r="B1509" i="9"/>
  <c r="C1509" i="9"/>
  <c r="G1501" i="9"/>
  <c r="F1501" i="9"/>
  <c r="H1501" i="9"/>
  <c r="I1501" i="9"/>
  <c r="E1501" i="9"/>
  <c r="D1501" i="9"/>
  <c r="B1501" i="9"/>
  <c r="C1501" i="9"/>
  <c r="G1493" i="9"/>
  <c r="F1493" i="9"/>
  <c r="H1493" i="9"/>
  <c r="I1493" i="9"/>
  <c r="E1493" i="9"/>
  <c r="D1493" i="9"/>
  <c r="B1493" i="9"/>
  <c r="C1493" i="9"/>
  <c r="G1485" i="9"/>
  <c r="F1485" i="9"/>
  <c r="H1485" i="9"/>
  <c r="I1485" i="9"/>
  <c r="E1485" i="9"/>
  <c r="D1485" i="9"/>
  <c r="B1485" i="9"/>
  <c r="C1485" i="9"/>
  <c r="G1477" i="9"/>
  <c r="F1477" i="9"/>
  <c r="H1477" i="9"/>
  <c r="I1477" i="9"/>
  <c r="E1477" i="9"/>
  <c r="D1477" i="9"/>
  <c r="B1477" i="9"/>
  <c r="C1477" i="9"/>
  <c r="G1469" i="9"/>
  <c r="F1469" i="9"/>
  <c r="H1469" i="9"/>
  <c r="I1469" i="9"/>
  <c r="E1469" i="9"/>
  <c r="D1469" i="9"/>
  <c r="B1469" i="9"/>
  <c r="C1469" i="9"/>
  <c r="G1461" i="9"/>
  <c r="F1461" i="9"/>
  <c r="H1461" i="9"/>
  <c r="I1461" i="9"/>
  <c r="E1461" i="9"/>
  <c r="D1461" i="9"/>
  <c r="B1461" i="9"/>
  <c r="C1461" i="9"/>
  <c r="G1453" i="9"/>
  <c r="F1453" i="9"/>
  <c r="H1453" i="9"/>
  <c r="I1453" i="9"/>
  <c r="E1453" i="9"/>
  <c r="D1453" i="9"/>
  <c r="B1453" i="9"/>
  <c r="C1453" i="9"/>
  <c r="G1445" i="9"/>
  <c r="F1445" i="9"/>
  <c r="H1445" i="9"/>
  <c r="I1445" i="9"/>
  <c r="E1445" i="9"/>
  <c r="D1445" i="9"/>
  <c r="B1445" i="9"/>
  <c r="C1445" i="9"/>
  <c r="G1437" i="9"/>
  <c r="F1437" i="9"/>
  <c r="H1437" i="9"/>
  <c r="I1437" i="9"/>
  <c r="E1437" i="9"/>
  <c r="D1437" i="9"/>
  <c r="B1437" i="9"/>
  <c r="C1437" i="9"/>
  <c r="G1429" i="9"/>
  <c r="F1429" i="9"/>
  <c r="H1429" i="9"/>
  <c r="I1429" i="9"/>
  <c r="E1429" i="9"/>
  <c r="D1429" i="9"/>
  <c r="B1429" i="9"/>
  <c r="C1429" i="9"/>
  <c r="G1421" i="9"/>
  <c r="F1421" i="9"/>
  <c r="H1421" i="9"/>
  <c r="I1421" i="9"/>
  <c r="E1421" i="9"/>
  <c r="D1421" i="9"/>
  <c r="B1421" i="9"/>
  <c r="C1421" i="9"/>
  <c r="G1413" i="9"/>
  <c r="F1413" i="9"/>
  <c r="H1413" i="9"/>
  <c r="I1413" i="9"/>
  <c r="E1413" i="9"/>
  <c r="D1413" i="9"/>
  <c r="B1413" i="9"/>
  <c r="C1413" i="9"/>
  <c r="G1405" i="9"/>
  <c r="F1405" i="9"/>
  <c r="H1405" i="9"/>
  <c r="I1405" i="9"/>
  <c r="E1405" i="9"/>
  <c r="D1405" i="9"/>
  <c r="B1405" i="9"/>
  <c r="C1405" i="9"/>
  <c r="G1397" i="9"/>
  <c r="F1397" i="9"/>
  <c r="H1397" i="9"/>
  <c r="I1397" i="9"/>
  <c r="E1397" i="9"/>
  <c r="D1397" i="9"/>
  <c r="B1397" i="9"/>
  <c r="C1397" i="9"/>
  <c r="G1389" i="9"/>
  <c r="F1389" i="9"/>
  <c r="H1389" i="9"/>
  <c r="I1389" i="9"/>
  <c r="E1389" i="9"/>
  <c r="D1389" i="9"/>
  <c r="B1389" i="9"/>
  <c r="C1389" i="9"/>
  <c r="G1381" i="9"/>
  <c r="F1381" i="9"/>
  <c r="H1381" i="9"/>
  <c r="I1381" i="9"/>
  <c r="E1381" i="9"/>
  <c r="D1381" i="9"/>
  <c r="B1381" i="9"/>
  <c r="C1381" i="9"/>
  <c r="G1373" i="9"/>
  <c r="F1373" i="9"/>
  <c r="H1373" i="9"/>
  <c r="I1373" i="9"/>
  <c r="E1373" i="9"/>
  <c r="D1373" i="9"/>
  <c r="B1373" i="9"/>
  <c r="C1373" i="9"/>
  <c r="G1365" i="9"/>
  <c r="F1365" i="9"/>
  <c r="H1365" i="9"/>
  <c r="I1365" i="9"/>
  <c r="E1365" i="9"/>
  <c r="D1365" i="9"/>
  <c r="B1365" i="9"/>
  <c r="C1365" i="9"/>
  <c r="G1357" i="9"/>
  <c r="F1357" i="9"/>
  <c r="H1357" i="9"/>
  <c r="I1357" i="9"/>
  <c r="E1357" i="9"/>
  <c r="D1357" i="9"/>
  <c r="B1357" i="9"/>
  <c r="C1357" i="9"/>
  <c r="G1349" i="9"/>
  <c r="F1349" i="9"/>
  <c r="H1349" i="9"/>
  <c r="I1349" i="9"/>
  <c r="E1349" i="9"/>
  <c r="D1349" i="9"/>
  <c r="B1349" i="9"/>
  <c r="C1349" i="9"/>
  <c r="G1341" i="9"/>
  <c r="F1341" i="9"/>
  <c r="H1341" i="9"/>
  <c r="I1341" i="9"/>
  <c r="E1341" i="9"/>
  <c r="D1341" i="9"/>
  <c r="B1341" i="9"/>
  <c r="C1341" i="9"/>
  <c r="G1333" i="9"/>
  <c r="F1333" i="9"/>
  <c r="H1333" i="9"/>
  <c r="I1333" i="9"/>
  <c r="E1333" i="9"/>
  <c r="D1333" i="9"/>
  <c r="B1333" i="9"/>
  <c r="C1333" i="9"/>
  <c r="G1325" i="9"/>
  <c r="F1325" i="9"/>
  <c r="H1325" i="9"/>
  <c r="I1325" i="9"/>
  <c r="E1325" i="9"/>
  <c r="D1325" i="9"/>
  <c r="B1325" i="9"/>
  <c r="C1325" i="9"/>
  <c r="G1321" i="9"/>
  <c r="F1321" i="9"/>
  <c r="H1321" i="9"/>
  <c r="I1321" i="9"/>
  <c r="E1321" i="9"/>
  <c r="D1321" i="9"/>
  <c r="B1321" i="9"/>
  <c r="C1321" i="9"/>
  <c r="G1313" i="9"/>
  <c r="F1313" i="9"/>
  <c r="H1313" i="9"/>
  <c r="I1313" i="9"/>
  <c r="E1313" i="9"/>
  <c r="D1313" i="9"/>
  <c r="B1313" i="9"/>
  <c r="C1313" i="9"/>
  <c r="G1305" i="9"/>
  <c r="F1305" i="9"/>
  <c r="H1305" i="9"/>
  <c r="I1305" i="9"/>
  <c r="E1305" i="9"/>
  <c r="D1305" i="9"/>
  <c r="B1305" i="9"/>
  <c r="C1305" i="9"/>
  <c r="G1297" i="9"/>
  <c r="F1297" i="9"/>
  <c r="H1297" i="9"/>
  <c r="I1297" i="9"/>
  <c r="E1297" i="9"/>
  <c r="D1297" i="9"/>
  <c r="B1297" i="9"/>
  <c r="C1297" i="9"/>
  <c r="G1289" i="9"/>
  <c r="F1289" i="9"/>
  <c r="H1289" i="9"/>
  <c r="I1289" i="9"/>
  <c r="E1289" i="9"/>
  <c r="D1289" i="9"/>
  <c r="B1289" i="9"/>
  <c r="C1289" i="9"/>
  <c r="G1281" i="9"/>
  <c r="F1281" i="9"/>
  <c r="H1281" i="9"/>
  <c r="I1281" i="9"/>
  <c r="E1281" i="9"/>
  <c r="D1281" i="9"/>
  <c r="B1281" i="9"/>
  <c r="C1281" i="9"/>
  <c r="G1273" i="9"/>
  <c r="F1273" i="9"/>
  <c r="H1273" i="9"/>
  <c r="I1273" i="9"/>
  <c r="E1273" i="9"/>
  <c r="D1273" i="9"/>
  <c r="B1273" i="9"/>
  <c r="C1273" i="9"/>
  <c r="G1265" i="9"/>
  <c r="F1265" i="9"/>
  <c r="H1265" i="9"/>
  <c r="I1265" i="9"/>
  <c r="E1265" i="9"/>
  <c r="D1265" i="9"/>
  <c r="B1265" i="9"/>
  <c r="C1265" i="9"/>
  <c r="G1257" i="9"/>
  <c r="F1257" i="9"/>
  <c r="H1257" i="9"/>
  <c r="I1257" i="9"/>
  <c r="E1257" i="9"/>
  <c r="D1257" i="9"/>
  <c r="B1257" i="9"/>
  <c r="C1257" i="9"/>
  <c r="G1249" i="9"/>
  <c r="F1249" i="9"/>
  <c r="H1249" i="9"/>
  <c r="I1249" i="9"/>
  <c r="E1249" i="9"/>
  <c r="D1249" i="9"/>
  <c r="B1249" i="9"/>
  <c r="C1249" i="9"/>
  <c r="G1237" i="9"/>
  <c r="F1237" i="9"/>
  <c r="H1237" i="9"/>
  <c r="I1237" i="9"/>
  <c r="E1237" i="9"/>
  <c r="D1237" i="9"/>
  <c r="B1237" i="9"/>
  <c r="C1237" i="9"/>
  <c r="G1229" i="9"/>
  <c r="F1229" i="9"/>
  <c r="H1229" i="9"/>
  <c r="I1229" i="9"/>
  <c r="E1229" i="9"/>
  <c r="D1229" i="9"/>
  <c r="B1229" i="9"/>
  <c r="C1229" i="9"/>
  <c r="G1221" i="9"/>
  <c r="F1221" i="9"/>
  <c r="H1221" i="9"/>
  <c r="I1221" i="9"/>
  <c r="E1221" i="9"/>
  <c r="D1221" i="9"/>
  <c r="B1221" i="9"/>
  <c r="C1221" i="9"/>
  <c r="G1213" i="9"/>
  <c r="F1213" i="9"/>
  <c r="H1213" i="9"/>
  <c r="I1213" i="9"/>
  <c r="E1213" i="9"/>
  <c r="D1213" i="9"/>
  <c r="B1213" i="9"/>
  <c r="C1213" i="9"/>
  <c r="G1205" i="9"/>
  <c r="F1205" i="9"/>
  <c r="H1205" i="9"/>
  <c r="I1205" i="9"/>
  <c r="E1205" i="9"/>
  <c r="D1205" i="9"/>
  <c r="B1205" i="9"/>
  <c r="C1205" i="9"/>
  <c r="G1197" i="9"/>
  <c r="F1197" i="9"/>
  <c r="H1197" i="9"/>
  <c r="I1197" i="9"/>
  <c r="E1197" i="9"/>
  <c r="D1197" i="9"/>
  <c r="B1197" i="9"/>
  <c r="C1197" i="9"/>
  <c r="G1189" i="9"/>
  <c r="F1189" i="9"/>
  <c r="H1189" i="9"/>
  <c r="I1189" i="9"/>
  <c r="E1189" i="9"/>
  <c r="D1189" i="9"/>
  <c r="B1189" i="9"/>
  <c r="C1189" i="9"/>
  <c r="G1181" i="9"/>
  <c r="F1181" i="9"/>
  <c r="H1181" i="9"/>
  <c r="I1181" i="9"/>
  <c r="E1181" i="9"/>
  <c r="D1181" i="9"/>
  <c r="B1181" i="9"/>
  <c r="C1181" i="9"/>
  <c r="G1173" i="9"/>
  <c r="F1173" i="9"/>
  <c r="H1173" i="9"/>
  <c r="I1173" i="9"/>
  <c r="E1173" i="9"/>
  <c r="D1173" i="9"/>
  <c r="B1173" i="9"/>
  <c r="C1173" i="9"/>
  <c r="G1165" i="9"/>
  <c r="F1165" i="9"/>
  <c r="H1165" i="9"/>
  <c r="I1165" i="9"/>
  <c r="E1165" i="9"/>
  <c r="D1165" i="9"/>
  <c r="B1165" i="9"/>
  <c r="C1165" i="9"/>
  <c r="G1157" i="9"/>
  <c r="F1157" i="9"/>
  <c r="H1157" i="9"/>
  <c r="I1157" i="9"/>
  <c r="E1157" i="9"/>
  <c r="D1157" i="9"/>
  <c r="B1157" i="9"/>
  <c r="C1157" i="9"/>
  <c r="G1149" i="9"/>
  <c r="F1149" i="9"/>
  <c r="H1149" i="9"/>
  <c r="I1149" i="9"/>
  <c r="E1149" i="9"/>
  <c r="D1149" i="9"/>
  <c r="B1149" i="9"/>
  <c r="C1149" i="9"/>
  <c r="G1141" i="9"/>
  <c r="F1141" i="9"/>
  <c r="H1141" i="9"/>
  <c r="I1141" i="9"/>
  <c r="E1141" i="9"/>
  <c r="D1141" i="9"/>
  <c r="B1141" i="9"/>
  <c r="C1141" i="9"/>
  <c r="G1129" i="9"/>
  <c r="F1129" i="9"/>
  <c r="H1129" i="9"/>
  <c r="I1129" i="9"/>
  <c r="E1129" i="9"/>
  <c r="D1129" i="9"/>
  <c r="B1129" i="9"/>
  <c r="C1129" i="9"/>
  <c r="G1117" i="9"/>
  <c r="F1117" i="9"/>
  <c r="H1117" i="9"/>
  <c r="I1117" i="9"/>
  <c r="E1117" i="9"/>
  <c r="D1117" i="9"/>
  <c r="B1117" i="9"/>
  <c r="C1117" i="9"/>
  <c r="G1113" i="9"/>
  <c r="F1113" i="9"/>
  <c r="H1113" i="9"/>
  <c r="I1113" i="9"/>
  <c r="E1113" i="9"/>
  <c r="D1113" i="9"/>
  <c r="B1113" i="9"/>
  <c r="C1113" i="9"/>
  <c r="G1109" i="9"/>
  <c r="F1109" i="9"/>
  <c r="H1109" i="9"/>
  <c r="I1109" i="9"/>
  <c r="E1109" i="9"/>
  <c r="D1109" i="9"/>
  <c r="B1109" i="9"/>
  <c r="C1109" i="9"/>
  <c r="G1105" i="9"/>
  <c r="F1105" i="9"/>
  <c r="H1105" i="9"/>
  <c r="I1105" i="9"/>
  <c r="E1105" i="9"/>
  <c r="D1105" i="9"/>
  <c r="B1105" i="9"/>
  <c r="C1105" i="9"/>
  <c r="G1097" i="9"/>
  <c r="F1097" i="9"/>
  <c r="H1097" i="9"/>
  <c r="I1097" i="9"/>
  <c r="E1097" i="9"/>
  <c r="D1097" i="9"/>
  <c r="B1097" i="9"/>
  <c r="C1097" i="9"/>
  <c r="G1089" i="9"/>
  <c r="F1089" i="9"/>
  <c r="H1089" i="9"/>
  <c r="I1089" i="9"/>
  <c r="E1089" i="9"/>
  <c r="D1089" i="9"/>
  <c r="B1089" i="9"/>
  <c r="C1089" i="9"/>
  <c r="G1081" i="9"/>
  <c r="F1081" i="9"/>
  <c r="H1081" i="9"/>
  <c r="I1081" i="9"/>
  <c r="E1081" i="9"/>
  <c r="D1081" i="9"/>
  <c r="B1081" i="9"/>
  <c r="C1081" i="9"/>
  <c r="G1073" i="9"/>
  <c r="F1073" i="9"/>
  <c r="H1073" i="9"/>
  <c r="I1073" i="9"/>
  <c r="E1073" i="9"/>
  <c r="D1073" i="9"/>
  <c r="B1073" i="9"/>
  <c r="C1073" i="9"/>
  <c r="G1069" i="9"/>
  <c r="F1069" i="9"/>
  <c r="H1069" i="9"/>
  <c r="I1069" i="9"/>
  <c r="E1069" i="9"/>
  <c r="D1069" i="9"/>
  <c r="B1069" i="9"/>
  <c r="C1069" i="9"/>
  <c r="G1065" i="9"/>
  <c r="F1065" i="9"/>
  <c r="H1065" i="9"/>
  <c r="I1065" i="9"/>
  <c r="E1065" i="9"/>
  <c r="D1065" i="9"/>
  <c r="B1065" i="9"/>
  <c r="C1065" i="9"/>
  <c r="G1057" i="9"/>
  <c r="F1057" i="9"/>
  <c r="H1057" i="9"/>
  <c r="I1057" i="9"/>
  <c r="E1057" i="9"/>
  <c r="D1057" i="9"/>
  <c r="B1057" i="9"/>
  <c r="C1057" i="9"/>
  <c r="G1049" i="9"/>
  <c r="F1049" i="9"/>
  <c r="H1049" i="9"/>
  <c r="I1049" i="9"/>
  <c r="E1049" i="9"/>
  <c r="D1049" i="9"/>
  <c r="B1049" i="9"/>
  <c r="C1049" i="9"/>
  <c r="G1041" i="9"/>
  <c r="F1041" i="9"/>
  <c r="H1041" i="9"/>
  <c r="I1041" i="9"/>
  <c r="E1041" i="9"/>
  <c r="D1041" i="9"/>
  <c r="B1041" i="9"/>
  <c r="C1041" i="9"/>
  <c r="G1037" i="9"/>
  <c r="F1037" i="9"/>
  <c r="H1037" i="9"/>
  <c r="I1037" i="9"/>
  <c r="E1037" i="9"/>
  <c r="D1037" i="9"/>
  <c r="B1037" i="9"/>
  <c r="C1037" i="9"/>
  <c r="G1029" i="9"/>
  <c r="F1029" i="9"/>
  <c r="H1029" i="9"/>
  <c r="I1029" i="9"/>
  <c r="E1029" i="9"/>
  <c r="D1029" i="9"/>
  <c r="B1029" i="9"/>
  <c r="C1029" i="9"/>
  <c r="G1021" i="9"/>
  <c r="F1021" i="9"/>
  <c r="H1021" i="9"/>
  <c r="I1021" i="9"/>
  <c r="E1021" i="9"/>
  <c r="D1021" i="9"/>
  <c r="B1021" i="9"/>
  <c r="C1021" i="9"/>
  <c r="G1013" i="9"/>
  <c r="F1013" i="9"/>
  <c r="H1013" i="9"/>
  <c r="I1013" i="9"/>
  <c r="E1013" i="9"/>
  <c r="D1013" i="9"/>
  <c r="B1013" i="9"/>
  <c r="C1013" i="9"/>
  <c r="G1009" i="9"/>
  <c r="F1009" i="9"/>
  <c r="H1009" i="9"/>
  <c r="I1009" i="9"/>
  <c r="E1009" i="9"/>
  <c r="D1009" i="9"/>
  <c r="B1009" i="9"/>
  <c r="C1009" i="9"/>
  <c r="G1001" i="9"/>
  <c r="F1001" i="9"/>
  <c r="H1001" i="9"/>
  <c r="I1001" i="9"/>
  <c r="E1001" i="9"/>
  <c r="D1001" i="9"/>
  <c r="B1001" i="9"/>
  <c r="C1001" i="9"/>
  <c r="G997" i="9"/>
  <c r="F997" i="9"/>
  <c r="H997" i="9"/>
  <c r="I997" i="9"/>
  <c r="E997" i="9"/>
  <c r="D997" i="9"/>
  <c r="B997" i="9"/>
  <c r="C997" i="9"/>
  <c r="G985" i="9"/>
  <c r="F985" i="9"/>
  <c r="H985" i="9"/>
  <c r="I985" i="9"/>
  <c r="E985" i="9"/>
  <c r="D985" i="9"/>
  <c r="B985" i="9"/>
  <c r="C985" i="9"/>
  <c r="G977" i="9"/>
  <c r="F977" i="9"/>
  <c r="H977" i="9"/>
  <c r="I977" i="9"/>
  <c r="E977" i="9"/>
  <c r="D977" i="9"/>
  <c r="B977" i="9"/>
  <c r="C977" i="9"/>
  <c r="G969" i="9"/>
  <c r="F969" i="9"/>
  <c r="H969" i="9"/>
  <c r="I969" i="9"/>
  <c r="E969" i="9"/>
  <c r="D969" i="9"/>
  <c r="B969" i="9"/>
  <c r="C969" i="9"/>
  <c r="G961" i="9"/>
  <c r="F961" i="9"/>
  <c r="H961" i="9"/>
  <c r="I961" i="9"/>
  <c r="E961" i="9"/>
  <c r="D961" i="9"/>
  <c r="B961" i="9"/>
  <c r="C961" i="9"/>
  <c r="G957" i="9"/>
  <c r="F957" i="9"/>
  <c r="H957" i="9"/>
  <c r="I957" i="9"/>
  <c r="E957" i="9"/>
  <c r="D957" i="9"/>
  <c r="B957" i="9"/>
  <c r="C957" i="9"/>
  <c r="G949" i="9"/>
  <c r="F949" i="9"/>
  <c r="H949" i="9"/>
  <c r="I949" i="9"/>
  <c r="E949" i="9"/>
  <c r="D949" i="9"/>
  <c r="B949" i="9"/>
  <c r="C949" i="9"/>
  <c r="G941" i="9"/>
  <c r="F941" i="9"/>
  <c r="H941" i="9"/>
  <c r="I941" i="9"/>
  <c r="E941" i="9"/>
  <c r="D941" i="9"/>
  <c r="B941" i="9"/>
  <c r="C941" i="9"/>
  <c r="G937" i="9"/>
  <c r="F937" i="9"/>
  <c r="H937" i="9"/>
  <c r="I937" i="9"/>
  <c r="E937" i="9"/>
  <c r="D937" i="9"/>
  <c r="B937" i="9"/>
  <c r="C937" i="9"/>
  <c r="G929" i="9"/>
  <c r="F929" i="9"/>
  <c r="H929" i="9"/>
  <c r="I929" i="9"/>
  <c r="E929" i="9"/>
  <c r="D929" i="9"/>
  <c r="B929" i="9"/>
  <c r="C929" i="9"/>
  <c r="G917" i="9"/>
  <c r="F917" i="9"/>
  <c r="H917" i="9"/>
  <c r="I917" i="9"/>
  <c r="E917" i="9"/>
  <c r="D917" i="9"/>
  <c r="B917" i="9"/>
  <c r="C917" i="9"/>
  <c r="G913" i="9"/>
  <c r="F913" i="9"/>
  <c r="H913" i="9"/>
  <c r="I913" i="9"/>
  <c r="E913" i="9"/>
  <c r="D913" i="9"/>
  <c r="B913" i="9"/>
  <c r="C913" i="9"/>
  <c r="G905" i="9"/>
  <c r="F905" i="9"/>
  <c r="H905" i="9"/>
  <c r="I905" i="9"/>
  <c r="E905" i="9"/>
  <c r="D905" i="9"/>
  <c r="B905" i="9"/>
  <c r="C905" i="9"/>
  <c r="G897" i="9"/>
  <c r="F897" i="9"/>
  <c r="H897" i="9"/>
  <c r="I897" i="9"/>
  <c r="E897" i="9"/>
  <c r="D897" i="9"/>
  <c r="B897" i="9"/>
  <c r="C897" i="9"/>
  <c r="G889" i="9"/>
  <c r="F889" i="9"/>
  <c r="H889" i="9"/>
  <c r="I889" i="9"/>
  <c r="E889" i="9"/>
  <c r="D889" i="9"/>
  <c r="B889" i="9"/>
  <c r="C889" i="9"/>
  <c r="G881" i="9"/>
  <c r="F881" i="9"/>
  <c r="H881" i="9"/>
  <c r="I881" i="9"/>
  <c r="E881" i="9"/>
  <c r="D881" i="9"/>
  <c r="B881" i="9"/>
  <c r="C881" i="9"/>
  <c r="G873" i="9"/>
  <c r="F873" i="9"/>
  <c r="H873" i="9"/>
  <c r="I873" i="9"/>
  <c r="E873" i="9"/>
  <c r="D873" i="9"/>
  <c r="B873" i="9"/>
  <c r="C873" i="9"/>
  <c r="G865" i="9"/>
  <c r="F865" i="9"/>
  <c r="H865" i="9"/>
  <c r="I865" i="9"/>
  <c r="E865" i="9"/>
  <c r="D865" i="9"/>
  <c r="B865" i="9"/>
  <c r="C865" i="9"/>
  <c r="G857" i="9"/>
  <c r="F857" i="9"/>
  <c r="H857" i="9"/>
  <c r="I857" i="9"/>
  <c r="E857" i="9"/>
  <c r="D857" i="9"/>
  <c r="B857" i="9"/>
  <c r="C857" i="9"/>
  <c r="G849" i="9"/>
  <c r="F849" i="9"/>
  <c r="H849" i="9"/>
  <c r="I849" i="9"/>
  <c r="E849" i="9"/>
  <c r="D849" i="9"/>
  <c r="B849" i="9"/>
  <c r="C849" i="9"/>
  <c r="G841" i="9"/>
  <c r="F841" i="9"/>
  <c r="H841" i="9"/>
  <c r="I841" i="9"/>
  <c r="E841" i="9"/>
  <c r="D841" i="9"/>
  <c r="B841" i="9"/>
  <c r="C841" i="9"/>
  <c r="G837" i="9"/>
  <c r="F837" i="9"/>
  <c r="H837" i="9"/>
  <c r="I837" i="9"/>
  <c r="E837" i="9"/>
  <c r="D837" i="9"/>
  <c r="B837" i="9"/>
  <c r="C837" i="9"/>
  <c r="G833" i="9"/>
  <c r="F833" i="9"/>
  <c r="H833" i="9"/>
  <c r="I833" i="9"/>
  <c r="E833" i="9"/>
  <c r="D833" i="9"/>
  <c r="B833" i="9"/>
  <c r="C833" i="9"/>
  <c r="G821" i="9"/>
  <c r="F821" i="9"/>
  <c r="H821" i="9"/>
  <c r="I821" i="9"/>
  <c r="E821" i="9"/>
  <c r="D821" i="9"/>
  <c r="B821" i="9"/>
  <c r="C821" i="9"/>
  <c r="G813" i="9"/>
  <c r="F813" i="9"/>
  <c r="H813" i="9"/>
  <c r="I813" i="9"/>
  <c r="E813" i="9"/>
  <c r="D813" i="9"/>
  <c r="B813" i="9"/>
  <c r="C813" i="9"/>
  <c r="G805" i="9"/>
  <c r="F805" i="9"/>
  <c r="H805" i="9"/>
  <c r="I805" i="9"/>
  <c r="E805" i="9"/>
  <c r="D805" i="9"/>
  <c r="B805" i="9"/>
  <c r="C805" i="9"/>
  <c r="G797" i="9"/>
  <c r="F797" i="9"/>
  <c r="H797" i="9"/>
  <c r="I797" i="9"/>
  <c r="E797" i="9"/>
  <c r="D797" i="9"/>
  <c r="B797" i="9"/>
  <c r="C797" i="9"/>
  <c r="G793" i="9"/>
  <c r="F793" i="9"/>
  <c r="H793" i="9"/>
  <c r="I793" i="9"/>
  <c r="E793" i="9"/>
  <c r="D793" i="9"/>
  <c r="B793" i="9"/>
  <c r="C793" i="9"/>
  <c r="G785" i="9"/>
  <c r="F785" i="9"/>
  <c r="H785" i="9"/>
  <c r="I785" i="9"/>
  <c r="E785" i="9"/>
  <c r="D785" i="9"/>
  <c r="B785" i="9"/>
  <c r="C785" i="9"/>
  <c r="G777" i="9"/>
  <c r="F777" i="9"/>
  <c r="H777" i="9"/>
  <c r="I777" i="9"/>
  <c r="E777" i="9"/>
  <c r="D777" i="9"/>
  <c r="B777" i="9"/>
  <c r="C777" i="9"/>
  <c r="G769" i="9"/>
  <c r="F769" i="9"/>
  <c r="H769" i="9"/>
  <c r="I769" i="9"/>
  <c r="E769" i="9"/>
  <c r="D769" i="9"/>
  <c r="B769" i="9"/>
  <c r="C769" i="9"/>
  <c r="G761" i="9"/>
  <c r="F761" i="9"/>
  <c r="H761" i="9"/>
  <c r="I761" i="9"/>
  <c r="E761" i="9"/>
  <c r="D761" i="9"/>
  <c r="B761" i="9"/>
  <c r="C761" i="9"/>
  <c r="G753" i="9"/>
  <c r="F753" i="9"/>
  <c r="H753" i="9"/>
  <c r="I753" i="9"/>
  <c r="E753" i="9"/>
  <c r="D753" i="9"/>
  <c r="B753" i="9"/>
  <c r="C753" i="9"/>
  <c r="G745" i="9"/>
  <c r="F745" i="9"/>
  <c r="H745" i="9"/>
  <c r="I745" i="9"/>
  <c r="E745" i="9"/>
  <c r="D745" i="9"/>
  <c r="B745" i="9"/>
  <c r="C745" i="9"/>
  <c r="G737" i="9"/>
  <c r="F737" i="9"/>
  <c r="H737" i="9"/>
  <c r="I737" i="9"/>
  <c r="E737" i="9"/>
  <c r="D737" i="9"/>
  <c r="B737" i="9"/>
  <c r="C737" i="9"/>
  <c r="G729" i="9"/>
  <c r="F729" i="9"/>
  <c r="H729" i="9"/>
  <c r="I729" i="9"/>
  <c r="E729" i="9"/>
  <c r="D729" i="9"/>
  <c r="B729" i="9"/>
  <c r="C729" i="9"/>
  <c r="G721" i="9"/>
  <c r="F721" i="9"/>
  <c r="H721" i="9"/>
  <c r="I721" i="9"/>
  <c r="E721" i="9"/>
  <c r="D721" i="9"/>
  <c r="B721" i="9"/>
  <c r="C721" i="9"/>
  <c r="G713" i="9"/>
  <c r="F713" i="9"/>
  <c r="H713" i="9"/>
  <c r="I713" i="9"/>
  <c r="E713" i="9"/>
  <c r="D713" i="9"/>
  <c r="B713" i="9"/>
  <c r="C713" i="9"/>
  <c r="G705" i="9"/>
  <c r="F705" i="9"/>
  <c r="H705" i="9"/>
  <c r="I705" i="9"/>
  <c r="E705" i="9"/>
  <c r="D705" i="9"/>
  <c r="B705" i="9"/>
  <c r="C705" i="9"/>
  <c r="G697" i="9"/>
  <c r="F697" i="9"/>
  <c r="H697" i="9"/>
  <c r="I697" i="9"/>
  <c r="E697" i="9"/>
  <c r="D697" i="9"/>
  <c r="B697" i="9"/>
  <c r="C697" i="9"/>
  <c r="G689" i="9"/>
  <c r="F689" i="9"/>
  <c r="H689" i="9"/>
  <c r="I689" i="9"/>
  <c r="E689" i="9"/>
  <c r="D689" i="9"/>
  <c r="B689" i="9"/>
  <c r="C689" i="9"/>
  <c r="G681" i="9"/>
  <c r="F681" i="9"/>
  <c r="H681" i="9"/>
  <c r="I681" i="9"/>
  <c r="E681" i="9"/>
  <c r="D681" i="9"/>
  <c r="B681" i="9"/>
  <c r="C681" i="9"/>
  <c r="G673" i="9"/>
  <c r="F673" i="9"/>
  <c r="H673" i="9"/>
  <c r="I673" i="9"/>
  <c r="E673" i="9"/>
  <c r="D673" i="9"/>
  <c r="B673" i="9"/>
  <c r="C673" i="9"/>
  <c r="G665" i="9"/>
  <c r="F665" i="9"/>
  <c r="H665" i="9"/>
  <c r="I665" i="9"/>
  <c r="E665" i="9"/>
  <c r="D665" i="9"/>
  <c r="B665" i="9"/>
  <c r="C665" i="9"/>
  <c r="G657" i="9"/>
  <c r="F657" i="9"/>
  <c r="H657" i="9"/>
  <c r="I657" i="9"/>
  <c r="E657" i="9"/>
  <c r="D657" i="9"/>
  <c r="B657" i="9"/>
  <c r="C657" i="9"/>
  <c r="G649" i="9"/>
  <c r="F649" i="9"/>
  <c r="H649" i="9"/>
  <c r="I649" i="9"/>
  <c r="E649" i="9"/>
  <c r="D649" i="9"/>
  <c r="B649" i="9"/>
  <c r="C649" i="9"/>
  <c r="G641" i="9"/>
  <c r="F641" i="9"/>
  <c r="H641" i="9"/>
  <c r="I641" i="9"/>
  <c r="E641" i="9"/>
  <c r="D641" i="9"/>
  <c r="B641" i="9"/>
  <c r="C641" i="9"/>
  <c r="G633" i="9"/>
  <c r="F633" i="9"/>
  <c r="H633" i="9"/>
  <c r="I633" i="9"/>
  <c r="E633" i="9"/>
  <c r="D633" i="9"/>
  <c r="B633" i="9"/>
  <c r="C633" i="9"/>
  <c r="G625" i="9"/>
  <c r="F625" i="9"/>
  <c r="H625" i="9"/>
  <c r="I625" i="9"/>
  <c r="E625" i="9"/>
  <c r="D625" i="9"/>
  <c r="B625" i="9"/>
  <c r="C625" i="9"/>
  <c r="G617" i="9"/>
  <c r="F617" i="9"/>
  <c r="H617" i="9"/>
  <c r="I617" i="9"/>
  <c r="E617" i="9"/>
  <c r="D617" i="9"/>
  <c r="B617" i="9"/>
  <c r="C617" i="9"/>
  <c r="G609" i="9"/>
  <c r="F609" i="9"/>
  <c r="H609" i="9"/>
  <c r="I609" i="9"/>
  <c r="E609" i="9"/>
  <c r="D609" i="9"/>
  <c r="B609" i="9"/>
  <c r="C609" i="9"/>
  <c r="G601" i="9"/>
  <c r="F601" i="9"/>
  <c r="H601" i="9"/>
  <c r="I601" i="9"/>
  <c r="E601" i="9"/>
  <c r="D601" i="9"/>
  <c r="B601" i="9"/>
  <c r="C601" i="9"/>
  <c r="G593" i="9"/>
  <c r="F593" i="9"/>
  <c r="H593" i="9"/>
  <c r="I593" i="9"/>
  <c r="E593" i="9"/>
  <c r="D593" i="9"/>
  <c r="B593" i="9"/>
  <c r="C593" i="9"/>
  <c r="G585" i="9"/>
  <c r="F585" i="9"/>
  <c r="H585" i="9"/>
  <c r="I585" i="9"/>
  <c r="E585" i="9"/>
  <c r="D585" i="9"/>
  <c r="B585" i="9"/>
  <c r="C585" i="9"/>
  <c r="G577" i="9"/>
  <c r="F577" i="9"/>
  <c r="H577" i="9"/>
  <c r="I577" i="9"/>
  <c r="E577" i="9"/>
  <c r="D577" i="9"/>
  <c r="B577" i="9"/>
  <c r="C577" i="9"/>
  <c r="G569" i="9"/>
  <c r="F569" i="9"/>
  <c r="H569" i="9"/>
  <c r="I569" i="9"/>
  <c r="E569" i="9"/>
  <c r="D569" i="9"/>
  <c r="B569" i="9"/>
  <c r="C569" i="9"/>
  <c r="G561" i="9"/>
  <c r="F561" i="9"/>
  <c r="H561" i="9"/>
  <c r="I561" i="9"/>
  <c r="E561" i="9"/>
  <c r="D561" i="9"/>
  <c r="B561" i="9"/>
  <c r="C561" i="9"/>
  <c r="G553" i="9"/>
  <c r="F553" i="9"/>
  <c r="H553" i="9"/>
  <c r="I553" i="9"/>
  <c r="E553" i="9"/>
  <c r="D553" i="9"/>
  <c r="B553" i="9"/>
  <c r="C553" i="9"/>
  <c r="G545" i="9"/>
  <c r="F545" i="9"/>
  <c r="H545" i="9"/>
  <c r="I545" i="9"/>
  <c r="E545" i="9"/>
  <c r="D545" i="9"/>
  <c r="B545" i="9"/>
  <c r="C545" i="9"/>
  <c r="G537" i="9"/>
  <c r="F537" i="9"/>
  <c r="H537" i="9"/>
  <c r="I537" i="9"/>
  <c r="E537" i="9"/>
  <c r="D537" i="9"/>
  <c r="B537" i="9"/>
  <c r="C537" i="9"/>
  <c r="G529" i="9"/>
  <c r="F529" i="9"/>
  <c r="H529" i="9"/>
  <c r="I529" i="9"/>
  <c r="E529" i="9"/>
  <c r="D529" i="9"/>
  <c r="B529" i="9"/>
  <c r="C529" i="9"/>
  <c r="G521" i="9"/>
  <c r="F521" i="9"/>
  <c r="H521" i="9"/>
  <c r="I521" i="9"/>
  <c r="E521" i="9"/>
  <c r="D521" i="9"/>
  <c r="B521" i="9"/>
  <c r="C521" i="9"/>
  <c r="G513" i="9"/>
  <c r="F513" i="9"/>
  <c r="H513" i="9"/>
  <c r="I513" i="9"/>
  <c r="E513" i="9"/>
  <c r="D513" i="9"/>
  <c r="B513" i="9"/>
  <c r="C513" i="9"/>
  <c r="G505" i="9"/>
  <c r="F505" i="9"/>
  <c r="H505" i="9"/>
  <c r="I505" i="9"/>
  <c r="E505" i="9"/>
  <c r="D505" i="9"/>
  <c r="B505" i="9"/>
  <c r="C505" i="9"/>
  <c r="G497" i="9"/>
  <c r="F497" i="9"/>
  <c r="H497" i="9"/>
  <c r="I497" i="9"/>
  <c r="E497" i="9"/>
  <c r="D497" i="9"/>
  <c r="B497" i="9"/>
  <c r="C497" i="9"/>
  <c r="G489" i="9"/>
  <c r="F489" i="9"/>
  <c r="H489" i="9"/>
  <c r="I489" i="9"/>
  <c r="E489" i="9"/>
  <c r="D489" i="9"/>
  <c r="B489" i="9"/>
  <c r="C489" i="9"/>
  <c r="G485" i="9"/>
  <c r="F485" i="9"/>
  <c r="H485" i="9"/>
  <c r="I485" i="9"/>
  <c r="E485" i="9"/>
  <c r="D485" i="9"/>
  <c r="B485" i="9"/>
  <c r="C485" i="9"/>
  <c r="G477" i="9"/>
  <c r="F477" i="9"/>
  <c r="H477" i="9"/>
  <c r="I477" i="9"/>
  <c r="E477" i="9"/>
  <c r="D477" i="9"/>
  <c r="B477" i="9"/>
  <c r="C477" i="9"/>
  <c r="G469" i="9"/>
  <c r="F469" i="9"/>
  <c r="H469" i="9"/>
  <c r="I469" i="9"/>
  <c r="E469" i="9"/>
  <c r="D469" i="9"/>
  <c r="B469" i="9"/>
  <c r="C469" i="9"/>
  <c r="G461" i="9"/>
  <c r="F461" i="9"/>
  <c r="H461" i="9"/>
  <c r="I461" i="9"/>
  <c r="E461" i="9"/>
  <c r="D461" i="9"/>
  <c r="B461" i="9"/>
  <c r="C461" i="9"/>
  <c r="G453" i="9"/>
  <c r="F453" i="9"/>
  <c r="H453" i="9"/>
  <c r="I453" i="9"/>
  <c r="E453" i="9"/>
  <c r="D453" i="9"/>
  <c r="B453" i="9"/>
  <c r="C453" i="9"/>
  <c r="G445" i="9"/>
  <c r="F445" i="9"/>
  <c r="H445" i="9"/>
  <c r="I445" i="9"/>
  <c r="E445" i="9"/>
  <c r="D445" i="9"/>
  <c r="B445" i="9"/>
  <c r="C445" i="9"/>
  <c r="G437" i="9"/>
  <c r="F437" i="9"/>
  <c r="H437" i="9"/>
  <c r="I437" i="9"/>
  <c r="E437" i="9"/>
  <c r="D437" i="9"/>
  <c r="B437" i="9"/>
  <c r="C437" i="9"/>
  <c r="G429" i="9"/>
  <c r="F429" i="9"/>
  <c r="H429" i="9"/>
  <c r="I429" i="9"/>
  <c r="E429" i="9"/>
  <c r="D429" i="9"/>
  <c r="B429" i="9"/>
  <c r="C429" i="9"/>
  <c r="G421" i="9"/>
  <c r="F421" i="9"/>
  <c r="H421" i="9"/>
  <c r="I421" i="9"/>
  <c r="E421" i="9"/>
  <c r="D421" i="9"/>
  <c r="B421" i="9"/>
  <c r="C421" i="9"/>
  <c r="G413" i="9"/>
  <c r="F413" i="9"/>
  <c r="H413" i="9"/>
  <c r="I413" i="9"/>
  <c r="E413" i="9"/>
  <c r="D413" i="9"/>
  <c r="B413" i="9"/>
  <c r="C413" i="9"/>
  <c r="G405" i="9"/>
  <c r="F405" i="9"/>
  <c r="H405" i="9"/>
  <c r="I405" i="9"/>
  <c r="E405" i="9"/>
  <c r="D405" i="9"/>
  <c r="B405" i="9"/>
  <c r="C405" i="9"/>
  <c r="G401" i="9"/>
  <c r="F401" i="9"/>
  <c r="H401" i="9"/>
  <c r="I401" i="9"/>
  <c r="E401" i="9"/>
  <c r="D401" i="9"/>
  <c r="B401" i="9"/>
  <c r="C401" i="9"/>
  <c r="G393" i="9"/>
  <c r="F393" i="9"/>
  <c r="H393" i="9"/>
  <c r="I393" i="9"/>
  <c r="E393" i="9"/>
  <c r="D393" i="9"/>
  <c r="B393" i="9"/>
  <c r="C393" i="9"/>
  <c r="G385" i="9"/>
  <c r="F385" i="9"/>
  <c r="H385" i="9"/>
  <c r="I385" i="9"/>
  <c r="E385" i="9"/>
  <c r="D385" i="9"/>
  <c r="B385" i="9"/>
  <c r="C385" i="9"/>
  <c r="G377" i="9"/>
  <c r="F377" i="9"/>
  <c r="H377" i="9"/>
  <c r="I377" i="9"/>
  <c r="E377" i="9"/>
  <c r="D377" i="9"/>
  <c r="B377" i="9"/>
  <c r="C377" i="9"/>
  <c r="G369" i="9"/>
  <c r="F369" i="9"/>
  <c r="H369" i="9"/>
  <c r="I369" i="9"/>
  <c r="E369" i="9"/>
  <c r="D369" i="9"/>
  <c r="B369" i="9"/>
  <c r="C369" i="9"/>
  <c r="G361" i="9"/>
  <c r="F361" i="9"/>
  <c r="H361" i="9"/>
  <c r="I361" i="9"/>
  <c r="E361" i="9"/>
  <c r="D361" i="9"/>
  <c r="B361" i="9"/>
  <c r="C361" i="9"/>
  <c r="G353" i="9"/>
  <c r="F353" i="9"/>
  <c r="H353" i="9"/>
  <c r="I353" i="9"/>
  <c r="E353" i="9"/>
  <c r="D353" i="9"/>
  <c r="B353" i="9"/>
  <c r="C353" i="9"/>
  <c r="G345" i="9"/>
  <c r="F345" i="9"/>
  <c r="H345" i="9"/>
  <c r="I345" i="9"/>
  <c r="E345" i="9"/>
  <c r="D345" i="9"/>
  <c r="B345" i="9"/>
  <c r="C345" i="9"/>
  <c r="G337" i="9"/>
  <c r="F337" i="9"/>
  <c r="H337" i="9"/>
  <c r="I337" i="9"/>
  <c r="E337" i="9"/>
  <c r="D337" i="9"/>
  <c r="B337" i="9"/>
  <c r="C337" i="9"/>
  <c r="G333" i="9"/>
  <c r="F333" i="9"/>
  <c r="H333" i="9"/>
  <c r="I333" i="9"/>
  <c r="E333" i="9"/>
  <c r="D333" i="9"/>
  <c r="B333" i="9"/>
  <c r="C333" i="9"/>
  <c r="G325" i="9"/>
  <c r="F325" i="9"/>
  <c r="H325" i="9"/>
  <c r="I325" i="9"/>
  <c r="E325" i="9"/>
  <c r="D325" i="9"/>
  <c r="B325" i="9"/>
  <c r="C325" i="9"/>
  <c r="G317" i="9"/>
  <c r="F317" i="9"/>
  <c r="H317" i="9"/>
  <c r="I317" i="9"/>
  <c r="E317" i="9"/>
  <c r="D317" i="9"/>
  <c r="B317" i="9"/>
  <c r="C317" i="9"/>
  <c r="G309" i="9"/>
  <c r="F309" i="9"/>
  <c r="H309" i="9"/>
  <c r="I309" i="9"/>
  <c r="E309" i="9"/>
  <c r="D309" i="9"/>
  <c r="B309" i="9"/>
  <c r="C309" i="9"/>
  <c r="G301" i="9"/>
  <c r="F301" i="9"/>
  <c r="H301" i="9"/>
  <c r="I301" i="9"/>
  <c r="E301" i="9"/>
  <c r="D301" i="9"/>
  <c r="B301" i="9"/>
  <c r="C301" i="9"/>
  <c r="G293" i="9"/>
  <c r="F293" i="9"/>
  <c r="H293" i="9"/>
  <c r="I293" i="9"/>
  <c r="E293" i="9"/>
  <c r="D293" i="9"/>
  <c r="B293" i="9"/>
  <c r="C293" i="9"/>
  <c r="G285" i="9"/>
  <c r="F285" i="9"/>
  <c r="H285" i="9"/>
  <c r="I285" i="9"/>
  <c r="E285" i="9"/>
  <c r="D285" i="9"/>
  <c r="B285" i="9"/>
  <c r="C285" i="9"/>
  <c r="G277" i="9"/>
  <c r="F277" i="9"/>
  <c r="H277" i="9"/>
  <c r="I277" i="9"/>
  <c r="E277" i="9"/>
  <c r="D277" i="9"/>
  <c r="B277" i="9"/>
  <c r="C277" i="9"/>
  <c r="G269" i="9"/>
  <c r="F269" i="9"/>
  <c r="H269" i="9"/>
  <c r="I269" i="9"/>
  <c r="E269" i="9"/>
  <c r="D269" i="9"/>
  <c r="B269" i="9"/>
  <c r="C269" i="9"/>
  <c r="G261" i="9"/>
  <c r="F261" i="9"/>
  <c r="H261" i="9"/>
  <c r="I261" i="9"/>
  <c r="E261" i="9"/>
  <c r="D261" i="9"/>
  <c r="B261" i="9"/>
  <c r="C261" i="9"/>
  <c r="G253" i="9"/>
  <c r="F253" i="9"/>
  <c r="H253" i="9"/>
  <c r="I253" i="9"/>
  <c r="E253" i="9"/>
  <c r="D253" i="9"/>
  <c r="B253" i="9"/>
  <c r="C253" i="9"/>
  <c r="G245" i="9"/>
  <c r="F245" i="9"/>
  <c r="H245" i="9"/>
  <c r="I245" i="9"/>
  <c r="E245" i="9"/>
  <c r="D245" i="9"/>
  <c r="B245" i="9"/>
  <c r="C245" i="9"/>
  <c r="G237" i="9"/>
  <c r="F237" i="9"/>
  <c r="H237" i="9"/>
  <c r="I237" i="9"/>
  <c r="E237" i="9"/>
  <c r="D237" i="9"/>
  <c r="B237" i="9"/>
  <c r="C237" i="9"/>
  <c r="G225" i="9"/>
  <c r="F225" i="9"/>
  <c r="H225" i="9"/>
  <c r="I225" i="9"/>
  <c r="E225" i="9"/>
  <c r="D225" i="9"/>
  <c r="B225" i="9"/>
  <c r="C225" i="9"/>
  <c r="G221" i="9"/>
  <c r="F221" i="9"/>
  <c r="H221" i="9"/>
  <c r="I221" i="9"/>
  <c r="E221" i="9"/>
  <c r="D221" i="9"/>
  <c r="B221" i="9"/>
  <c r="C221" i="9"/>
  <c r="G213" i="9"/>
  <c r="F213" i="9"/>
  <c r="H213" i="9"/>
  <c r="I213" i="9"/>
  <c r="E213" i="9"/>
  <c r="D213" i="9"/>
  <c r="B213" i="9"/>
  <c r="C213" i="9"/>
  <c r="G205" i="9"/>
  <c r="F205" i="9"/>
  <c r="H205" i="9"/>
  <c r="I205" i="9"/>
  <c r="E205" i="9"/>
  <c r="D205" i="9"/>
  <c r="B205" i="9"/>
  <c r="C205" i="9"/>
  <c r="G197" i="9"/>
  <c r="F197" i="9"/>
  <c r="H197" i="9"/>
  <c r="I197" i="9"/>
  <c r="E197" i="9"/>
  <c r="D197" i="9"/>
  <c r="B197" i="9"/>
  <c r="C197" i="9"/>
  <c r="G189" i="9"/>
  <c r="F189" i="9"/>
  <c r="H189" i="9"/>
  <c r="I189" i="9"/>
  <c r="E189" i="9"/>
  <c r="D189" i="9"/>
  <c r="B189" i="9"/>
  <c r="C189" i="9"/>
  <c r="G181" i="9"/>
  <c r="F181" i="9"/>
  <c r="H181" i="9"/>
  <c r="I181" i="9"/>
  <c r="E181" i="9"/>
  <c r="D181" i="9"/>
  <c r="B181" i="9"/>
  <c r="C181" i="9"/>
  <c r="G173" i="9"/>
  <c r="F173" i="9"/>
  <c r="H173" i="9"/>
  <c r="I173" i="9"/>
  <c r="E173" i="9"/>
  <c r="D173" i="9"/>
  <c r="B173" i="9"/>
  <c r="C173" i="9"/>
  <c r="G165" i="9"/>
  <c r="F165" i="9"/>
  <c r="H165" i="9"/>
  <c r="I165" i="9"/>
  <c r="E165" i="9"/>
  <c r="D165" i="9"/>
  <c r="B165" i="9"/>
  <c r="C165" i="9"/>
  <c r="G157" i="9"/>
  <c r="F157" i="9"/>
  <c r="H157" i="9"/>
  <c r="I157" i="9"/>
  <c r="E157" i="9"/>
  <c r="D157" i="9"/>
  <c r="B157" i="9"/>
  <c r="C157" i="9"/>
  <c r="G149" i="9"/>
  <c r="F149" i="9"/>
  <c r="H149" i="9"/>
  <c r="I149" i="9"/>
  <c r="E149" i="9"/>
  <c r="D149" i="9"/>
  <c r="B149" i="9"/>
  <c r="C149" i="9"/>
  <c r="G141" i="9"/>
  <c r="F141" i="9"/>
  <c r="H141" i="9"/>
  <c r="I141" i="9"/>
  <c r="E141" i="9"/>
  <c r="D141" i="9"/>
  <c r="B141" i="9"/>
  <c r="C141" i="9"/>
  <c r="G133" i="9"/>
  <c r="F133" i="9"/>
  <c r="H133" i="9"/>
  <c r="I133" i="9"/>
  <c r="E133" i="9"/>
  <c r="D133" i="9"/>
  <c r="B133" i="9"/>
  <c r="C133" i="9"/>
  <c r="G129" i="9"/>
  <c r="F129" i="9"/>
  <c r="H129" i="9"/>
  <c r="I129" i="9"/>
  <c r="E129" i="9"/>
  <c r="D129" i="9"/>
  <c r="B129" i="9"/>
  <c r="C129" i="9"/>
  <c r="G121" i="9"/>
  <c r="F121" i="9"/>
  <c r="H121" i="9"/>
  <c r="I121" i="9"/>
  <c r="E121" i="9"/>
  <c r="D121" i="9"/>
  <c r="B121" i="9"/>
  <c r="C121" i="9"/>
  <c r="G113" i="9"/>
  <c r="F113" i="9"/>
  <c r="H113" i="9"/>
  <c r="I113" i="9"/>
  <c r="E113" i="9"/>
  <c r="D113" i="9"/>
  <c r="B113" i="9"/>
  <c r="C113" i="9"/>
  <c r="G105" i="9"/>
  <c r="F105" i="9"/>
  <c r="H105" i="9"/>
  <c r="I105" i="9"/>
  <c r="E105" i="9"/>
  <c r="D105" i="9"/>
  <c r="B105" i="9"/>
  <c r="C105" i="9"/>
  <c r="G97" i="9"/>
  <c r="F97" i="9"/>
  <c r="H97" i="9"/>
  <c r="I97" i="9"/>
  <c r="E97" i="9"/>
  <c r="D97" i="9"/>
  <c r="B97" i="9"/>
  <c r="C97" i="9"/>
  <c r="G93" i="9"/>
  <c r="F93" i="9"/>
  <c r="H93" i="9"/>
  <c r="I93" i="9"/>
  <c r="E93" i="9"/>
  <c r="D93" i="9"/>
  <c r="B93" i="9"/>
  <c r="C93" i="9"/>
  <c r="G85" i="9"/>
  <c r="F85" i="9"/>
  <c r="H85" i="9"/>
  <c r="I85" i="9"/>
  <c r="E85" i="9"/>
  <c r="D85" i="9"/>
  <c r="B85" i="9"/>
  <c r="C85" i="9"/>
  <c r="G73" i="9"/>
  <c r="F73" i="9"/>
  <c r="H73" i="9"/>
  <c r="I73" i="9"/>
  <c r="E73" i="9"/>
  <c r="D73" i="9"/>
  <c r="B73" i="9"/>
  <c r="C73" i="9"/>
  <c r="G65" i="9"/>
  <c r="F65" i="9"/>
  <c r="H65" i="9"/>
  <c r="I65" i="9"/>
  <c r="E65" i="9"/>
  <c r="D65" i="9"/>
  <c r="B65" i="9"/>
  <c r="C65" i="9"/>
  <c r="G57" i="9"/>
  <c r="F57" i="9"/>
  <c r="H57" i="9"/>
  <c r="I57" i="9"/>
  <c r="E57" i="9"/>
  <c r="D57" i="9"/>
  <c r="B57" i="9"/>
  <c r="C57" i="9"/>
  <c r="G49" i="9"/>
  <c r="F49" i="9"/>
  <c r="H49" i="9"/>
  <c r="I49" i="9"/>
  <c r="E49" i="9"/>
  <c r="D49" i="9"/>
  <c r="B49" i="9"/>
  <c r="C49" i="9"/>
  <c r="G41" i="9"/>
  <c r="F41" i="9"/>
  <c r="H41" i="9"/>
  <c r="I41" i="9"/>
  <c r="E41" i="9"/>
  <c r="D41" i="9"/>
  <c r="B41" i="9"/>
  <c r="C41" i="9"/>
  <c r="B33" i="9"/>
  <c r="G33" i="9"/>
  <c r="F33" i="9"/>
  <c r="H33" i="9"/>
  <c r="I33" i="9"/>
  <c r="E33" i="9"/>
  <c r="D33" i="9"/>
  <c r="C33" i="9"/>
  <c r="B25" i="9"/>
  <c r="G25" i="9"/>
  <c r="F25" i="9"/>
  <c r="H25" i="9"/>
  <c r="I25" i="9"/>
  <c r="E25" i="9"/>
  <c r="D25" i="9"/>
  <c r="C25" i="9"/>
  <c r="B17" i="9"/>
  <c r="G17" i="9"/>
  <c r="F17" i="9"/>
  <c r="H17" i="9"/>
  <c r="I17" i="9"/>
  <c r="E17" i="9"/>
  <c r="D17" i="9"/>
  <c r="C17" i="9"/>
  <c r="B5" i="9"/>
  <c r="G5" i="9"/>
  <c r="I5" i="9"/>
  <c r="H5" i="9"/>
  <c r="E5" i="9"/>
  <c r="F5" i="9"/>
  <c r="D5" i="9"/>
  <c r="C5" i="9"/>
  <c r="U2495" i="9"/>
  <c r="O2495" i="9"/>
  <c r="P2495" i="9" s="1"/>
  <c r="T2495" i="9"/>
  <c r="V2495" i="9" s="1"/>
  <c r="N2495" i="9"/>
  <c r="M2495" i="9"/>
  <c r="L2495" i="9"/>
  <c r="K2495" i="9"/>
  <c r="U2487" i="9"/>
  <c r="T2487" i="9"/>
  <c r="V2487" i="9" s="1"/>
  <c r="O2487" i="9"/>
  <c r="P2487" i="9" s="1"/>
  <c r="N2487" i="9"/>
  <c r="M2487" i="9"/>
  <c r="L2487" i="9"/>
  <c r="K2487" i="9"/>
  <c r="U2479" i="9"/>
  <c r="T2479" i="9"/>
  <c r="V2479" i="9" s="1"/>
  <c r="O2479" i="9"/>
  <c r="P2479" i="9" s="1"/>
  <c r="N2479" i="9"/>
  <c r="M2479" i="9"/>
  <c r="L2479" i="9"/>
  <c r="K2479" i="9"/>
  <c r="U2471" i="9"/>
  <c r="T2471" i="9"/>
  <c r="V2471" i="9" s="1"/>
  <c r="O2471" i="9"/>
  <c r="P2471" i="9" s="1"/>
  <c r="N2471" i="9"/>
  <c r="M2471" i="9"/>
  <c r="L2471" i="9"/>
  <c r="K2471" i="9"/>
  <c r="U2463" i="9"/>
  <c r="O2463" i="9"/>
  <c r="P2463" i="9" s="1"/>
  <c r="T2463" i="9"/>
  <c r="V2463" i="9" s="1"/>
  <c r="N2463" i="9"/>
  <c r="M2463" i="9"/>
  <c r="L2463" i="9"/>
  <c r="K2463" i="9"/>
  <c r="U2455" i="9"/>
  <c r="T2455" i="9"/>
  <c r="V2455" i="9" s="1"/>
  <c r="O2455" i="9"/>
  <c r="P2455" i="9" s="1"/>
  <c r="N2455" i="9"/>
  <c r="M2455" i="9"/>
  <c r="L2455" i="9"/>
  <c r="K2455" i="9"/>
  <c r="U2447" i="9"/>
  <c r="T2447" i="9"/>
  <c r="V2447" i="9" s="1"/>
  <c r="O2447" i="9"/>
  <c r="P2447" i="9" s="1"/>
  <c r="N2447" i="9"/>
  <c r="M2447" i="9"/>
  <c r="L2447" i="9"/>
  <c r="K2447" i="9"/>
  <c r="U2439" i="9"/>
  <c r="T2439" i="9"/>
  <c r="V2439" i="9" s="1"/>
  <c r="O2439" i="9"/>
  <c r="P2439" i="9" s="1"/>
  <c r="N2439" i="9"/>
  <c r="M2439" i="9"/>
  <c r="L2439" i="9"/>
  <c r="K2439" i="9"/>
  <c r="U2431" i="9"/>
  <c r="O2431" i="9"/>
  <c r="P2431" i="9" s="1"/>
  <c r="T2431" i="9"/>
  <c r="V2431" i="9" s="1"/>
  <c r="N2431" i="9"/>
  <c r="M2431" i="9"/>
  <c r="L2431" i="9"/>
  <c r="K2431" i="9"/>
  <c r="U2423" i="9"/>
  <c r="T2423" i="9"/>
  <c r="V2423" i="9" s="1"/>
  <c r="O2423" i="9"/>
  <c r="P2423" i="9" s="1"/>
  <c r="N2423" i="9"/>
  <c r="M2423" i="9"/>
  <c r="L2423" i="9"/>
  <c r="K2423" i="9"/>
  <c r="U2415" i="9"/>
  <c r="T2415" i="9"/>
  <c r="V2415" i="9" s="1"/>
  <c r="O2415" i="9"/>
  <c r="P2415" i="9" s="1"/>
  <c r="N2415" i="9"/>
  <c r="M2415" i="9"/>
  <c r="L2415" i="9"/>
  <c r="K2415" i="9"/>
  <c r="U2407" i="9"/>
  <c r="T2407" i="9"/>
  <c r="V2407" i="9" s="1"/>
  <c r="O2407" i="9"/>
  <c r="P2407" i="9" s="1"/>
  <c r="N2407" i="9"/>
  <c r="M2407" i="9"/>
  <c r="L2407" i="9"/>
  <c r="K2407" i="9"/>
  <c r="U2399" i="9"/>
  <c r="O2399" i="9"/>
  <c r="P2399" i="9" s="1"/>
  <c r="T2399" i="9"/>
  <c r="V2399" i="9" s="1"/>
  <c r="N2399" i="9"/>
  <c r="M2399" i="9"/>
  <c r="L2399" i="9"/>
  <c r="K2399" i="9"/>
  <c r="U2391" i="9"/>
  <c r="T2391" i="9"/>
  <c r="V2391" i="9" s="1"/>
  <c r="O2391" i="9"/>
  <c r="P2391" i="9" s="1"/>
  <c r="N2391" i="9"/>
  <c r="M2391" i="9"/>
  <c r="L2391" i="9"/>
  <c r="K2391" i="9"/>
  <c r="U2383" i="9"/>
  <c r="T2383" i="9"/>
  <c r="V2383" i="9" s="1"/>
  <c r="O2383" i="9"/>
  <c r="P2383" i="9" s="1"/>
  <c r="N2383" i="9"/>
  <c r="M2383" i="9"/>
  <c r="L2383" i="9"/>
  <c r="K2383" i="9"/>
  <c r="U2375" i="9"/>
  <c r="T2375" i="9"/>
  <c r="V2375" i="9" s="1"/>
  <c r="O2375" i="9"/>
  <c r="P2375" i="9" s="1"/>
  <c r="N2375" i="9"/>
  <c r="M2375" i="9"/>
  <c r="L2375" i="9"/>
  <c r="K2375" i="9"/>
  <c r="U2367" i="9"/>
  <c r="O2367" i="9"/>
  <c r="P2367" i="9" s="1"/>
  <c r="T2367" i="9"/>
  <c r="V2367" i="9" s="1"/>
  <c r="N2367" i="9"/>
  <c r="M2367" i="9"/>
  <c r="L2367" i="9"/>
  <c r="K2367" i="9"/>
  <c r="U2359" i="9"/>
  <c r="T2359" i="9"/>
  <c r="V2359" i="9" s="1"/>
  <c r="O2359" i="9"/>
  <c r="P2359" i="9" s="1"/>
  <c r="N2359" i="9"/>
  <c r="M2359" i="9"/>
  <c r="L2359" i="9"/>
  <c r="K2359" i="9"/>
  <c r="U2351" i="9"/>
  <c r="T2351" i="9"/>
  <c r="V2351" i="9" s="1"/>
  <c r="O2351" i="9"/>
  <c r="P2351" i="9" s="1"/>
  <c r="N2351" i="9"/>
  <c r="M2351" i="9"/>
  <c r="L2351" i="9"/>
  <c r="K2351" i="9"/>
  <c r="U2343" i="9"/>
  <c r="T2343" i="9"/>
  <c r="V2343" i="9" s="1"/>
  <c r="O2343" i="9"/>
  <c r="P2343" i="9" s="1"/>
  <c r="N2343" i="9"/>
  <c r="M2343" i="9"/>
  <c r="L2343" i="9"/>
  <c r="K2343" i="9"/>
  <c r="U2335" i="9"/>
  <c r="O2335" i="9"/>
  <c r="P2335" i="9" s="1"/>
  <c r="T2335" i="9"/>
  <c r="V2335" i="9" s="1"/>
  <c r="N2335" i="9"/>
  <c r="M2335" i="9"/>
  <c r="L2335" i="9"/>
  <c r="K2335" i="9"/>
  <c r="U2327" i="9"/>
  <c r="T2327" i="9"/>
  <c r="V2327" i="9" s="1"/>
  <c r="O2327" i="9"/>
  <c r="P2327" i="9" s="1"/>
  <c r="N2327" i="9"/>
  <c r="M2327" i="9"/>
  <c r="L2327" i="9"/>
  <c r="K2327" i="9"/>
  <c r="U2319" i="9"/>
  <c r="T2319" i="9"/>
  <c r="V2319" i="9" s="1"/>
  <c r="O2319" i="9"/>
  <c r="P2319" i="9" s="1"/>
  <c r="N2319" i="9"/>
  <c r="M2319" i="9"/>
  <c r="L2319" i="9"/>
  <c r="K2319" i="9"/>
  <c r="U2311" i="9"/>
  <c r="T2311" i="9"/>
  <c r="V2311" i="9" s="1"/>
  <c r="O2311" i="9"/>
  <c r="P2311" i="9" s="1"/>
  <c r="N2311" i="9"/>
  <c r="M2311" i="9"/>
  <c r="L2311" i="9"/>
  <c r="K2311" i="9"/>
  <c r="U2303" i="9"/>
  <c r="O2303" i="9"/>
  <c r="P2303" i="9" s="1"/>
  <c r="N2303" i="9"/>
  <c r="M2303" i="9"/>
  <c r="T2303" i="9"/>
  <c r="V2303" i="9" s="1"/>
  <c r="L2303" i="9"/>
  <c r="K2303" i="9"/>
  <c r="U2295" i="9"/>
  <c r="T2295" i="9"/>
  <c r="V2295" i="9" s="1"/>
  <c r="O2295" i="9"/>
  <c r="P2295" i="9" s="1"/>
  <c r="N2295" i="9"/>
  <c r="M2295" i="9"/>
  <c r="L2295" i="9"/>
  <c r="K2295" i="9"/>
  <c r="U2287" i="9"/>
  <c r="T2287" i="9"/>
  <c r="V2287" i="9" s="1"/>
  <c r="O2287" i="9"/>
  <c r="P2287" i="9" s="1"/>
  <c r="N2287" i="9"/>
  <c r="M2287" i="9"/>
  <c r="L2287" i="9"/>
  <c r="K2287" i="9"/>
  <c r="U2279" i="9"/>
  <c r="T2279" i="9"/>
  <c r="V2279" i="9" s="1"/>
  <c r="O2279" i="9"/>
  <c r="P2279" i="9" s="1"/>
  <c r="N2279" i="9"/>
  <c r="M2279" i="9"/>
  <c r="L2279" i="9"/>
  <c r="K2279" i="9"/>
  <c r="U2271" i="9"/>
  <c r="O2271" i="9"/>
  <c r="P2271" i="9" s="1"/>
  <c r="T2271" i="9"/>
  <c r="V2271" i="9" s="1"/>
  <c r="N2271" i="9"/>
  <c r="M2271" i="9"/>
  <c r="L2271" i="9"/>
  <c r="K2271" i="9"/>
  <c r="U2263" i="9"/>
  <c r="T2263" i="9"/>
  <c r="V2263" i="9" s="1"/>
  <c r="O2263" i="9"/>
  <c r="P2263" i="9" s="1"/>
  <c r="N2263" i="9"/>
  <c r="M2263" i="9"/>
  <c r="L2263" i="9"/>
  <c r="K2263" i="9"/>
  <c r="U2255" i="9"/>
  <c r="T2255" i="9"/>
  <c r="V2255" i="9" s="1"/>
  <c r="O2255" i="9"/>
  <c r="P2255" i="9" s="1"/>
  <c r="N2255" i="9"/>
  <c r="M2255" i="9"/>
  <c r="L2255" i="9"/>
  <c r="K2255" i="9"/>
  <c r="U2247" i="9"/>
  <c r="T2247" i="9"/>
  <c r="V2247" i="9" s="1"/>
  <c r="O2247" i="9"/>
  <c r="P2247" i="9" s="1"/>
  <c r="N2247" i="9"/>
  <c r="M2247" i="9"/>
  <c r="L2247" i="9"/>
  <c r="K2247" i="9"/>
  <c r="U2239" i="9"/>
  <c r="O2239" i="9"/>
  <c r="P2239" i="9" s="1"/>
  <c r="T2239" i="9"/>
  <c r="V2239" i="9" s="1"/>
  <c r="N2239" i="9"/>
  <c r="M2239" i="9"/>
  <c r="K2239" i="9"/>
  <c r="L2239" i="9"/>
  <c r="U2231" i="9"/>
  <c r="T2231" i="9"/>
  <c r="V2231" i="9" s="1"/>
  <c r="O2231" i="9"/>
  <c r="P2231" i="9" s="1"/>
  <c r="N2231" i="9"/>
  <c r="M2231" i="9"/>
  <c r="K2231" i="9"/>
  <c r="L2231" i="9"/>
  <c r="T2219" i="9"/>
  <c r="V2219" i="9" s="1"/>
  <c r="U2219" i="9"/>
  <c r="O2219" i="9"/>
  <c r="P2219" i="9" s="1"/>
  <c r="N2219" i="9"/>
  <c r="M2219" i="9"/>
  <c r="K2219" i="9"/>
  <c r="L2219" i="9"/>
  <c r="T2211" i="9"/>
  <c r="V2211" i="9" s="1"/>
  <c r="U2211" i="9"/>
  <c r="O2211" i="9"/>
  <c r="P2211" i="9" s="1"/>
  <c r="N2211" i="9"/>
  <c r="M2211" i="9"/>
  <c r="K2211" i="9"/>
  <c r="L2211" i="9"/>
  <c r="T2203" i="9"/>
  <c r="V2203" i="9" s="1"/>
  <c r="U2203" i="9"/>
  <c r="O2203" i="9"/>
  <c r="P2203" i="9" s="1"/>
  <c r="N2203" i="9"/>
  <c r="M2203" i="9"/>
  <c r="K2203" i="9"/>
  <c r="L2203" i="9"/>
  <c r="U2199" i="9"/>
  <c r="T2199" i="9"/>
  <c r="V2199" i="9" s="1"/>
  <c r="O2199" i="9"/>
  <c r="P2199" i="9" s="1"/>
  <c r="N2199" i="9"/>
  <c r="M2199" i="9"/>
  <c r="K2199" i="9"/>
  <c r="L2199" i="9"/>
  <c r="U2191" i="9"/>
  <c r="T2191" i="9"/>
  <c r="V2191" i="9" s="1"/>
  <c r="O2191" i="9"/>
  <c r="P2191" i="9" s="1"/>
  <c r="N2191" i="9"/>
  <c r="M2191" i="9"/>
  <c r="K2191" i="9"/>
  <c r="L2191" i="9"/>
  <c r="U2183" i="9"/>
  <c r="T2183" i="9"/>
  <c r="V2183" i="9" s="1"/>
  <c r="O2183" i="9"/>
  <c r="P2183" i="9" s="1"/>
  <c r="N2183" i="9"/>
  <c r="M2183" i="9"/>
  <c r="K2183" i="9"/>
  <c r="L2183" i="9"/>
  <c r="U2175" i="9"/>
  <c r="O2175" i="9"/>
  <c r="P2175" i="9" s="1"/>
  <c r="T2175" i="9"/>
  <c r="V2175" i="9" s="1"/>
  <c r="N2175" i="9"/>
  <c r="M2175" i="9"/>
  <c r="K2175" i="9"/>
  <c r="L2175" i="9"/>
  <c r="U2167" i="9"/>
  <c r="T2167" i="9"/>
  <c r="V2167" i="9" s="1"/>
  <c r="O2167" i="9"/>
  <c r="P2167" i="9" s="1"/>
  <c r="N2167" i="9"/>
  <c r="M2167" i="9"/>
  <c r="K2167" i="9"/>
  <c r="L2167" i="9"/>
  <c r="U2159" i="9"/>
  <c r="T2159" i="9"/>
  <c r="V2159" i="9" s="1"/>
  <c r="O2159" i="9"/>
  <c r="P2159" i="9" s="1"/>
  <c r="N2159" i="9"/>
  <c r="M2159" i="9"/>
  <c r="K2159" i="9"/>
  <c r="L2159" i="9"/>
  <c r="U2151" i="9"/>
  <c r="T2151" i="9"/>
  <c r="V2151" i="9" s="1"/>
  <c r="O2151" i="9"/>
  <c r="P2151" i="9" s="1"/>
  <c r="N2151" i="9"/>
  <c r="M2151" i="9"/>
  <c r="K2151" i="9"/>
  <c r="L2151" i="9"/>
  <c r="U2143" i="9"/>
  <c r="O2143" i="9"/>
  <c r="P2143" i="9" s="1"/>
  <c r="T2143" i="9"/>
  <c r="V2143" i="9" s="1"/>
  <c r="N2143" i="9"/>
  <c r="M2143" i="9"/>
  <c r="K2143" i="9"/>
  <c r="L2143" i="9"/>
  <c r="U2135" i="9"/>
  <c r="T2135" i="9"/>
  <c r="V2135" i="9" s="1"/>
  <c r="O2135" i="9"/>
  <c r="P2135" i="9" s="1"/>
  <c r="N2135" i="9"/>
  <c r="M2135" i="9"/>
  <c r="K2135" i="9"/>
  <c r="L2135" i="9"/>
  <c r="U2127" i="9"/>
  <c r="T2127" i="9"/>
  <c r="V2127" i="9" s="1"/>
  <c r="O2127" i="9"/>
  <c r="P2127" i="9" s="1"/>
  <c r="N2127" i="9"/>
  <c r="M2127" i="9"/>
  <c r="K2127" i="9"/>
  <c r="L2127" i="9"/>
  <c r="U2119" i="9"/>
  <c r="T2119" i="9"/>
  <c r="V2119" i="9" s="1"/>
  <c r="O2119" i="9"/>
  <c r="P2119" i="9" s="1"/>
  <c r="N2119" i="9"/>
  <c r="M2119" i="9"/>
  <c r="K2119" i="9"/>
  <c r="L2119" i="9"/>
  <c r="U2111" i="9"/>
  <c r="O2111" i="9"/>
  <c r="P2111" i="9" s="1"/>
  <c r="T2111" i="9"/>
  <c r="V2111" i="9" s="1"/>
  <c r="N2111" i="9"/>
  <c r="M2111" i="9"/>
  <c r="K2111" i="9"/>
  <c r="L2111" i="9"/>
  <c r="U2103" i="9"/>
  <c r="T2103" i="9"/>
  <c r="V2103" i="9" s="1"/>
  <c r="O2103" i="9"/>
  <c r="P2103" i="9" s="1"/>
  <c r="N2103" i="9"/>
  <c r="M2103" i="9"/>
  <c r="K2103" i="9"/>
  <c r="L2103" i="9"/>
  <c r="U2095" i="9"/>
  <c r="T2095" i="9"/>
  <c r="V2095" i="9" s="1"/>
  <c r="O2095" i="9"/>
  <c r="P2095" i="9" s="1"/>
  <c r="N2095" i="9"/>
  <c r="M2095" i="9"/>
  <c r="K2095" i="9"/>
  <c r="L2095" i="9"/>
  <c r="U2087" i="9"/>
  <c r="T2087" i="9"/>
  <c r="V2087" i="9" s="1"/>
  <c r="O2087" i="9"/>
  <c r="P2087" i="9" s="1"/>
  <c r="N2087" i="9"/>
  <c r="M2087" i="9"/>
  <c r="K2087" i="9"/>
  <c r="L2087" i="9"/>
  <c r="U2079" i="9"/>
  <c r="O2079" i="9"/>
  <c r="P2079" i="9" s="1"/>
  <c r="T2079" i="9"/>
  <c r="V2079" i="9" s="1"/>
  <c r="N2079" i="9"/>
  <c r="M2079" i="9"/>
  <c r="K2079" i="9"/>
  <c r="L2079" i="9"/>
  <c r="U2071" i="9"/>
  <c r="T2071" i="9"/>
  <c r="V2071" i="9" s="1"/>
  <c r="O2071" i="9"/>
  <c r="P2071" i="9" s="1"/>
  <c r="N2071" i="9"/>
  <c r="M2071" i="9"/>
  <c r="K2071" i="9"/>
  <c r="L2071" i="9"/>
  <c r="U2063" i="9"/>
  <c r="T2063" i="9"/>
  <c r="V2063" i="9" s="1"/>
  <c r="O2063" i="9"/>
  <c r="P2063" i="9" s="1"/>
  <c r="N2063" i="9"/>
  <c r="M2063" i="9"/>
  <c r="K2063" i="9"/>
  <c r="L2063" i="9"/>
  <c r="U2055" i="9"/>
  <c r="T2055" i="9"/>
  <c r="V2055" i="9" s="1"/>
  <c r="O2055" i="9"/>
  <c r="P2055" i="9" s="1"/>
  <c r="N2055" i="9"/>
  <c r="M2055" i="9"/>
  <c r="K2055" i="9"/>
  <c r="L2055" i="9"/>
  <c r="U2047" i="9"/>
  <c r="O2047" i="9"/>
  <c r="P2047" i="9" s="1"/>
  <c r="N2047" i="9"/>
  <c r="M2047" i="9"/>
  <c r="T2047" i="9"/>
  <c r="V2047" i="9" s="1"/>
  <c r="K2047" i="9"/>
  <c r="L2047" i="9"/>
  <c r="U2039" i="9"/>
  <c r="T2039" i="9"/>
  <c r="V2039" i="9" s="1"/>
  <c r="O2039" i="9"/>
  <c r="P2039" i="9" s="1"/>
  <c r="N2039" i="9"/>
  <c r="M2039" i="9"/>
  <c r="K2039" i="9"/>
  <c r="L2039" i="9"/>
  <c r="U2031" i="9"/>
  <c r="T2031" i="9"/>
  <c r="V2031" i="9" s="1"/>
  <c r="O2031" i="9"/>
  <c r="P2031" i="9" s="1"/>
  <c r="N2031" i="9"/>
  <c r="M2031" i="9"/>
  <c r="K2031" i="9"/>
  <c r="L2031" i="9"/>
  <c r="U2023" i="9"/>
  <c r="T2023" i="9"/>
  <c r="V2023" i="9" s="1"/>
  <c r="O2023" i="9"/>
  <c r="P2023" i="9" s="1"/>
  <c r="N2023" i="9"/>
  <c r="M2023" i="9"/>
  <c r="K2023" i="9"/>
  <c r="L2023" i="9"/>
  <c r="U2015" i="9"/>
  <c r="O2015" i="9"/>
  <c r="P2015" i="9" s="1"/>
  <c r="T2015" i="9"/>
  <c r="V2015" i="9" s="1"/>
  <c r="N2015" i="9"/>
  <c r="M2015" i="9"/>
  <c r="K2015" i="9"/>
  <c r="L2015" i="9"/>
  <c r="U2007" i="9"/>
  <c r="T2007" i="9"/>
  <c r="V2007" i="9" s="1"/>
  <c r="O2007" i="9"/>
  <c r="P2007" i="9" s="1"/>
  <c r="N2007" i="9"/>
  <c r="M2007" i="9"/>
  <c r="K2007" i="9"/>
  <c r="L2007" i="9"/>
  <c r="U1999" i="9"/>
  <c r="T1999" i="9"/>
  <c r="V1999" i="9" s="1"/>
  <c r="O1999" i="9"/>
  <c r="P1999" i="9" s="1"/>
  <c r="N1999" i="9"/>
  <c r="M1999" i="9"/>
  <c r="K1999" i="9"/>
  <c r="L1999" i="9"/>
  <c r="U1991" i="9"/>
  <c r="T1991" i="9"/>
  <c r="V1991" i="9" s="1"/>
  <c r="O1991" i="9"/>
  <c r="P1991" i="9" s="1"/>
  <c r="N1991" i="9"/>
  <c r="M1991" i="9"/>
  <c r="K1991" i="9"/>
  <c r="L1991" i="9"/>
  <c r="U1983" i="9"/>
  <c r="O1983" i="9"/>
  <c r="P1983" i="9" s="1"/>
  <c r="T1983" i="9"/>
  <c r="V1983" i="9" s="1"/>
  <c r="N1983" i="9"/>
  <c r="M1983" i="9"/>
  <c r="K1983" i="9"/>
  <c r="L1983" i="9"/>
  <c r="U1975" i="9"/>
  <c r="T1975" i="9"/>
  <c r="V1975" i="9" s="1"/>
  <c r="O1975" i="9"/>
  <c r="P1975" i="9" s="1"/>
  <c r="N1975" i="9"/>
  <c r="M1975" i="9"/>
  <c r="K1975" i="9"/>
  <c r="L1975" i="9"/>
  <c r="U1967" i="9"/>
  <c r="T1967" i="9"/>
  <c r="V1967" i="9" s="1"/>
  <c r="O1967" i="9"/>
  <c r="P1967" i="9" s="1"/>
  <c r="N1967" i="9"/>
  <c r="M1967" i="9"/>
  <c r="K1967" i="9"/>
  <c r="L1967" i="9"/>
  <c r="U1959" i="9"/>
  <c r="T1959" i="9"/>
  <c r="V1959" i="9" s="1"/>
  <c r="O1959" i="9"/>
  <c r="P1959" i="9" s="1"/>
  <c r="N1959" i="9"/>
  <c r="M1959" i="9"/>
  <c r="K1959" i="9"/>
  <c r="L1959" i="9"/>
  <c r="U1951" i="9"/>
  <c r="O1951" i="9"/>
  <c r="P1951" i="9" s="1"/>
  <c r="T1951" i="9"/>
  <c r="V1951" i="9" s="1"/>
  <c r="N1951" i="9"/>
  <c r="M1951" i="9"/>
  <c r="K1951" i="9"/>
  <c r="L1951" i="9"/>
  <c r="U1943" i="9"/>
  <c r="T1943" i="9"/>
  <c r="V1943" i="9" s="1"/>
  <c r="O1943" i="9"/>
  <c r="P1943" i="9" s="1"/>
  <c r="N1943" i="9"/>
  <c r="M1943" i="9"/>
  <c r="K1943" i="9"/>
  <c r="L1943" i="9"/>
  <c r="U1935" i="9"/>
  <c r="T1935" i="9"/>
  <c r="V1935" i="9" s="1"/>
  <c r="O1935" i="9"/>
  <c r="P1935" i="9" s="1"/>
  <c r="N1935" i="9"/>
  <c r="M1935" i="9"/>
  <c r="K1935" i="9"/>
  <c r="L1935" i="9"/>
  <c r="U1927" i="9"/>
  <c r="T1927" i="9"/>
  <c r="V1927" i="9" s="1"/>
  <c r="O1927" i="9"/>
  <c r="P1927" i="9" s="1"/>
  <c r="N1927" i="9"/>
  <c r="M1927" i="9"/>
  <c r="K1927" i="9"/>
  <c r="L1927" i="9"/>
  <c r="U1919" i="9"/>
  <c r="O1919" i="9"/>
  <c r="P1919" i="9" s="1"/>
  <c r="T1919" i="9"/>
  <c r="V1919" i="9" s="1"/>
  <c r="N1919" i="9"/>
  <c r="M1919" i="9"/>
  <c r="K1919" i="9"/>
  <c r="L1919" i="9"/>
  <c r="U1911" i="9"/>
  <c r="T1911" i="9"/>
  <c r="V1911" i="9" s="1"/>
  <c r="O1911" i="9"/>
  <c r="P1911" i="9" s="1"/>
  <c r="N1911" i="9"/>
  <c r="M1911" i="9"/>
  <c r="K1911" i="9"/>
  <c r="L1911" i="9"/>
  <c r="U1903" i="9"/>
  <c r="T1903" i="9"/>
  <c r="V1903" i="9" s="1"/>
  <c r="O1903" i="9"/>
  <c r="P1903" i="9" s="1"/>
  <c r="N1903" i="9"/>
  <c r="M1903" i="9"/>
  <c r="K1903" i="9"/>
  <c r="L1903" i="9"/>
  <c r="U1895" i="9"/>
  <c r="T1895" i="9"/>
  <c r="V1895" i="9" s="1"/>
  <c r="O1895" i="9"/>
  <c r="P1895" i="9" s="1"/>
  <c r="N1895" i="9"/>
  <c r="M1895" i="9"/>
  <c r="K1895" i="9"/>
  <c r="L1895" i="9"/>
  <c r="U1887" i="9"/>
  <c r="O1887" i="9"/>
  <c r="P1887" i="9" s="1"/>
  <c r="T1887" i="9"/>
  <c r="V1887" i="9" s="1"/>
  <c r="N1887" i="9"/>
  <c r="M1887" i="9"/>
  <c r="K1887" i="9"/>
  <c r="L1887" i="9"/>
  <c r="U1879" i="9"/>
  <c r="T1879" i="9"/>
  <c r="V1879" i="9" s="1"/>
  <c r="O1879" i="9"/>
  <c r="P1879" i="9" s="1"/>
  <c r="N1879" i="9"/>
  <c r="M1879" i="9"/>
  <c r="K1879" i="9"/>
  <c r="L1879" i="9"/>
  <c r="U1871" i="9"/>
  <c r="T1871" i="9"/>
  <c r="V1871" i="9" s="1"/>
  <c r="O1871" i="9"/>
  <c r="P1871" i="9" s="1"/>
  <c r="N1871" i="9"/>
  <c r="M1871" i="9"/>
  <c r="K1871" i="9"/>
  <c r="L1871" i="9"/>
  <c r="T1867" i="9"/>
  <c r="V1867" i="9" s="1"/>
  <c r="U1867" i="9"/>
  <c r="O1867" i="9"/>
  <c r="P1867" i="9" s="1"/>
  <c r="N1867" i="9"/>
  <c r="M1867" i="9"/>
  <c r="K1867" i="9"/>
  <c r="L1867" i="9"/>
  <c r="T1859" i="9"/>
  <c r="V1859" i="9" s="1"/>
  <c r="U1859" i="9"/>
  <c r="O1859" i="9"/>
  <c r="P1859" i="9" s="1"/>
  <c r="N1859" i="9"/>
  <c r="M1859" i="9"/>
  <c r="K1859" i="9"/>
  <c r="L1859" i="9"/>
  <c r="T1851" i="9"/>
  <c r="V1851" i="9" s="1"/>
  <c r="U1851" i="9"/>
  <c r="O1851" i="9"/>
  <c r="P1851" i="9" s="1"/>
  <c r="N1851" i="9"/>
  <c r="M1851" i="9"/>
  <c r="K1851" i="9"/>
  <c r="L1851" i="9"/>
  <c r="T1843" i="9"/>
  <c r="V1843" i="9" s="1"/>
  <c r="U1843" i="9"/>
  <c r="O1843" i="9"/>
  <c r="P1843" i="9" s="1"/>
  <c r="N1843" i="9"/>
  <c r="M1843" i="9"/>
  <c r="K1843" i="9"/>
  <c r="L1843" i="9"/>
  <c r="T1835" i="9"/>
  <c r="V1835" i="9" s="1"/>
  <c r="U1835" i="9"/>
  <c r="O1835" i="9"/>
  <c r="P1835" i="9" s="1"/>
  <c r="N1835" i="9"/>
  <c r="M1835" i="9"/>
  <c r="K1835" i="9"/>
  <c r="L1835" i="9"/>
  <c r="T1827" i="9"/>
  <c r="V1827" i="9" s="1"/>
  <c r="U1827" i="9"/>
  <c r="O1827" i="9"/>
  <c r="P1827" i="9" s="1"/>
  <c r="N1827" i="9"/>
  <c r="M1827" i="9"/>
  <c r="K1827" i="9"/>
  <c r="L1827" i="9"/>
  <c r="T1819" i="9"/>
  <c r="V1819" i="9" s="1"/>
  <c r="U1819" i="9"/>
  <c r="O1819" i="9"/>
  <c r="P1819" i="9" s="1"/>
  <c r="N1819" i="9"/>
  <c r="M1819" i="9"/>
  <c r="K1819" i="9"/>
  <c r="L1819" i="9"/>
  <c r="T1811" i="9"/>
  <c r="V1811" i="9" s="1"/>
  <c r="U1811" i="9"/>
  <c r="O1811" i="9"/>
  <c r="P1811" i="9" s="1"/>
  <c r="N1811" i="9"/>
  <c r="M1811" i="9"/>
  <c r="K1811" i="9"/>
  <c r="L1811" i="9"/>
  <c r="T1803" i="9"/>
  <c r="V1803" i="9" s="1"/>
  <c r="U1803" i="9"/>
  <c r="O1803" i="9"/>
  <c r="P1803" i="9" s="1"/>
  <c r="N1803" i="9"/>
  <c r="M1803" i="9"/>
  <c r="K1803" i="9"/>
  <c r="L1803" i="9"/>
  <c r="T1795" i="9"/>
  <c r="V1795" i="9" s="1"/>
  <c r="U1795" i="9"/>
  <c r="O1795" i="9"/>
  <c r="P1795" i="9" s="1"/>
  <c r="N1795" i="9"/>
  <c r="M1795" i="9"/>
  <c r="K1795" i="9"/>
  <c r="L1795" i="9"/>
  <c r="T1787" i="9"/>
  <c r="V1787" i="9" s="1"/>
  <c r="U1787" i="9"/>
  <c r="O1787" i="9"/>
  <c r="P1787" i="9" s="1"/>
  <c r="N1787" i="9"/>
  <c r="M1787" i="9"/>
  <c r="K1787" i="9"/>
  <c r="L1787" i="9"/>
  <c r="T1779" i="9"/>
  <c r="V1779" i="9" s="1"/>
  <c r="U1779" i="9"/>
  <c r="O1779" i="9"/>
  <c r="P1779" i="9" s="1"/>
  <c r="N1779" i="9"/>
  <c r="M1779" i="9"/>
  <c r="K1779" i="9"/>
  <c r="L1779" i="9"/>
  <c r="T1771" i="9"/>
  <c r="V1771" i="9" s="1"/>
  <c r="U1771" i="9"/>
  <c r="O1771" i="9"/>
  <c r="P1771" i="9" s="1"/>
  <c r="N1771" i="9"/>
  <c r="M1771" i="9"/>
  <c r="K1771" i="9"/>
  <c r="L1771" i="9"/>
  <c r="T1763" i="9"/>
  <c r="V1763" i="9" s="1"/>
  <c r="U1763" i="9"/>
  <c r="O1763" i="9"/>
  <c r="P1763" i="9" s="1"/>
  <c r="N1763" i="9"/>
  <c r="M1763" i="9"/>
  <c r="K1763" i="9"/>
  <c r="L1763" i="9"/>
  <c r="T1755" i="9"/>
  <c r="V1755" i="9" s="1"/>
  <c r="U1755" i="9"/>
  <c r="O1755" i="9"/>
  <c r="P1755" i="9" s="1"/>
  <c r="N1755" i="9"/>
  <c r="M1755" i="9"/>
  <c r="K1755" i="9"/>
  <c r="L1755" i="9"/>
  <c r="T1747" i="9"/>
  <c r="V1747" i="9" s="1"/>
  <c r="U1747" i="9"/>
  <c r="O1747" i="9"/>
  <c r="P1747" i="9" s="1"/>
  <c r="N1747" i="9"/>
  <c r="M1747" i="9"/>
  <c r="K1747" i="9"/>
  <c r="L1747" i="9"/>
  <c r="T1739" i="9"/>
  <c r="V1739" i="9" s="1"/>
  <c r="U1739" i="9"/>
  <c r="O1739" i="9"/>
  <c r="P1739" i="9" s="1"/>
  <c r="N1739" i="9"/>
  <c r="M1739" i="9"/>
  <c r="K1739" i="9"/>
  <c r="L1739" i="9"/>
  <c r="T1731" i="9"/>
  <c r="V1731" i="9" s="1"/>
  <c r="U1731" i="9"/>
  <c r="O1731" i="9"/>
  <c r="P1731" i="9" s="1"/>
  <c r="N1731" i="9"/>
  <c r="M1731" i="9"/>
  <c r="K1731" i="9"/>
  <c r="L1731" i="9"/>
  <c r="T1723" i="9"/>
  <c r="V1723" i="9" s="1"/>
  <c r="U1723" i="9"/>
  <c r="O1723" i="9"/>
  <c r="P1723" i="9" s="1"/>
  <c r="N1723" i="9"/>
  <c r="M1723" i="9"/>
  <c r="K1723" i="9"/>
  <c r="L1723" i="9"/>
  <c r="T1715" i="9"/>
  <c r="V1715" i="9" s="1"/>
  <c r="U1715" i="9"/>
  <c r="O1715" i="9"/>
  <c r="P1715" i="9" s="1"/>
  <c r="N1715" i="9"/>
  <c r="M1715" i="9"/>
  <c r="K1715" i="9"/>
  <c r="L1715" i="9"/>
  <c r="T1707" i="9"/>
  <c r="V1707" i="9" s="1"/>
  <c r="U1707" i="9"/>
  <c r="O1707" i="9"/>
  <c r="P1707" i="9" s="1"/>
  <c r="N1707" i="9"/>
  <c r="M1707" i="9"/>
  <c r="K1707" i="9"/>
  <c r="L1707" i="9"/>
  <c r="T1699" i="9"/>
  <c r="V1699" i="9" s="1"/>
  <c r="U1699" i="9"/>
  <c r="O1699" i="9"/>
  <c r="P1699" i="9" s="1"/>
  <c r="N1699" i="9"/>
  <c r="M1699" i="9"/>
  <c r="K1699" i="9"/>
  <c r="L1699" i="9"/>
  <c r="U1695" i="9"/>
  <c r="O1695" i="9"/>
  <c r="P1695" i="9" s="1"/>
  <c r="T1695" i="9"/>
  <c r="V1695" i="9" s="1"/>
  <c r="N1695" i="9"/>
  <c r="M1695" i="9"/>
  <c r="K1695" i="9"/>
  <c r="L1695" i="9"/>
  <c r="U1687" i="9"/>
  <c r="T1687" i="9"/>
  <c r="V1687" i="9" s="1"/>
  <c r="O1687" i="9"/>
  <c r="P1687" i="9" s="1"/>
  <c r="N1687" i="9"/>
  <c r="M1687" i="9"/>
  <c r="K1687" i="9"/>
  <c r="L1687" i="9"/>
  <c r="U1679" i="9"/>
  <c r="T1679" i="9"/>
  <c r="V1679" i="9" s="1"/>
  <c r="O1679" i="9"/>
  <c r="P1679" i="9" s="1"/>
  <c r="N1679" i="9"/>
  <c r="M1679" i="9"/>
  <c r="K1679" i="9"/>
  <c r="L1679" i="9"/>
  <c r="U1671" i="9"/>
  <c r="T1671" i="9"/>
  <c r="V1671" i="9" s="1"/>
  <c r="O1671" i="9"/>
  <c r="P1671" i="9" s="1"/>
  <c r="N1671" i="9"/>
  <c r="M1671" i="9"/>
  <c r="K1671" i="9"/>
  <c r="L1671" i="9"/>
  <c r="U1663" i="9"/>
  <c r="O1663" i="9"/>
  <c r="P1663" i="9" s="1"/>
  <c r="T1663" i="9"/>
  <c r="V1663" i="9" s="1"/>
  <c r="N1663" i="9"/>
  <c r="M1663" i="9"/>
  <c r="K1663" i="9"/>
  <c r="L1663" i="9"/>
  <c r="U1655" i="9"/>
  <c r="T1655" i="9"/>
  <c r="V1655" i="9" s="1"/>
  <c r="O1655" i="9"/>
  <c r="P1655" i="9" s="1"/>
  <c r="N1655" i="9"/>
  <c r="M1655" i="9"/>
  <c r="K1655" i="9"/>
  <c r="L1655" i="9"/>
  <c r="U1647" i="9"/>
  <c r="T1647" i="9"/>
  <c r="V1647" i="9" s="1"/>
  <c r="O1647" i="9"/>
  <c r="P1647" i="9" s="1"/>
  <c r="N1647" i="9"/>
  <c r="M1647" i="9"/>
  <c r="K1647" i="9"/>
  <c r="L1647" i="9"/>
  <c r="U1639" i="9"/>
  <c r="T1639" i="9"/>
  <c r="V1639" i="9" s="1"/>
  <c r="O1639" i="9"/>
  <c r="P1639" i="9" s="1"/>
  <c r="N1639" i="9"/>
  <c r="M1639" i="9"/>
  <c r="K1639" i="9"/>
  <c r="L1639" i="9"/>
  <c r="U1631" i="9"/>
  <c r="O1631" i="9"/>
  <c r="P1631" i="9" s="1"/>
  <c r="T1631" i="9"/>
  <c r="V1631" i="9" s="1"/>
  <c r="N1631" i="9"/>
  <c r="M1631" i="9"/>
  <c r="K1631" i="9"/>
  <c r="L1631" i="9"/>
  <c r="U1623" i="9"/>
  <c r="T1623" i="9"/>
  <c r="V1623" i="9" s="1"/>
  <c r="O1623" i="9"/>
  <c r="P1623" i="9" s="1"/>
  <c r="N1623" i="9"/>
  <c r="M1623" i="9"/>
  <c r="K1623" i="9"/>
  <c r="L1623" i="9"/>
  <c r="U1615" i="9"/>
  <c r="T1615" i="9"/>
  <c r="V1615" i="9" s="1"/>
  <c r="O1615" i="9"/>
  <c r="P1615" i="9" s="1"/>
  <c r="N1615" i="9"/>
  <c r="M1615" i="9"/>
  <c r="K1615" i="9"/>
  <c r="L1615" i="9"/>
  <c r="U1607" i="9"/>
  <c r="T1607" i="9"/>
  <c r="V1607" i="9" s="1"/>
  <c r="O1607" i="9"/>
  <c r="P1607" i="9" s="1"/>
  <c r="N1607" i="9"/>
  <c r="M1607" i="9"/>
  <c r="K1607" i="9"/>
  <c r="L1607" i="9"/>
  <c r="U1599" i="9"/>
  <c r="O1599" i="9"/>
  <c r="P1599" i="9" s="1"/>
  <c r="T1599" i="9"/>
  <c r="V1599" i="9" s="1"/>
  <c r="N1599" i="9"/>
  <c r="M1599" i="9"/>
  <c r="K1599" i="9"/>
  <c r="L1599" i="9"/>
  <c r="U1591" i="9"/>
  <c r="T1591" i="9"/>
  <c r="V1591" i="9" s="1"/>
  <c r="O1591" i="9"/>
  <c r="P1591" i="9" s="1"/>
  <c r="N1591" i="9"/>
  <c r="M1591" i="9"/>
  <c r="K1591" i="9"/>
  <c r="L1591" i="9"/>
  <c r="U1583" i="9"/>
  <c r="T1583" i="9"/>
  <c r="V1583" i="9" s="1"/>
  <c r="O1583" i="9"/>
  <c r="P1583" i="9" s="1"/>
  <c r="N1583" i="9"/>
  <c r="M1583" i="9"/>
  <c r="K1583" i="9"/>
  <c r="L1583" i="9"/>
  <c r="U1575" i="9"/>
  <c r="T1575" i="9"/>
  <c r="V1575" i="9" s="1"/>
  <c r="O1575" i="9"/>
  <c r="P1575" i="9" s="1"/>
  <c r="N1575" i="9"/>
  <c r="M1575" i="9"/>
  <c r="K1575" i="9"/>
  <c r="L1575" i="9"/>
  <c r="U1567" i="9"/>
  <c r="O1567" i="9"/>
  <c r="P1567" i="9" s="1"/>
  <c r="T1567" i="9"/>
  <c r="V1567" i="9" s="1"/>
  <c r="N1567" i="9"/>
  <c r="M1567" i="9"/>
  <c r="K1567" i="9"/>
  <c r="L1567" i="9"/>
  <c r="U1559" i="9"/>
  <c r="T1559" i="9"/>
  <c r="V1559" i="9" s="1"/>
  <c r="O1559" i="9"/>
  <c r="P1559" i="9" s="1"/>
  <c r="N1559" i="9"/>
  <c r="M1559" i="9"/>
  <c r="K1559" i="9"/>
  <c r="L1559" i="9"/>
  <c r="U1551" i="9"/>
  <c r="T1551" i="9"/>
  <c r="V1551" i="9" s="1"/>
  <c r="O1551" i="9"/>
  <c r="P1551" i="9" s="1"/>
  <c r="N1551" i="9"/>
  <c r="M1551" i="9"/>
  <c r="K1551" i="9"/>
  <c r="L1551" i="9"/>
  <c r="U1543" i="9"/>
  <c r="T1543" i="9"/>
  <c r="V1543" i="9" s="1"/>
  <c r="O1543" i="9"/>
  <c r="P1543" i="9" s="1"/>
  <c r="N1543" i="9"/>
  <c r="M1543" i="9"/>
  <c r="K1543" i="9"/>
  <c r="L1543" i="9"/>
  <c r="U1535" i="9"/>
  <c r="O1535" i="9"/>
  <c r="P1535" i="9" s="1"/>
  <c r="N1535" i="9"/>
  <c r="M1535" i="9"/>
  <c r="K1535" i="9"/>
  <c r="L1535" i="9"/>
  <c r="T1535" i="9"/>
  <c r="V1535" i="9" s="1"/>
  <c r="U1527" i="9"/>
  <c r="T1527" i="9"/>
  <c r="V1527" i="9" s="1"/>
  <c r="O1527" i="9"/>
  <c r="P1527" i="9" s="1"/>
  <c r="N1527" i="9"/>
  <c r="M1527" i="9"/>
  <c r="K1527" i="9"/>
  <c r="L1527" i="9"/>
  <c r="U1519" i="9"/>
  <c r="T1519" i="9"/>
  <c r="V1519" i="9" s="1"/>
  <c r="O1519" i="9"/>
  <c r="P1519" i="9" s="1"/>
  <c r="N1519" i="9"/>
  <c r="M1519" i="9"/>
  <c r="K1519" i="9"/>
  <c r="L1519" i="9"/>
  <c r="U1511" i="9"/>
  <c r="T1511" i="9"/>
  <c r="V1511" i="9" s="1"/>
  <c r="O1511" i="9"/>
  <c r="P1511" i="9" s="1"/>
  <c r="N1511" i="9"/>
  <c r="M1511" i="9"/>
  <c r="K1511" i="9"/>
  <c r="L1511" i="9"/>
  <c r="U1503" i="9"/>
  <c r="O1503" i="9"/>
  <c r="P1503" i="9" s="1"/>
  <c r="T1503" i="9"/>
  <c r="V1503" i="9" s="1"/>
  <c r="N1503" i="9"/>
  <c r="M1503" i="9"/>
  <c r="K1503" i="9"/>
  <c r="L1503" i="9"/>
  <c r="U1495" i="9"/>
  <c r="T1495" i="9"/>
  <c r="V1495" i="9" s="1"/>
  <c r="O1495" i="9"/>
  <c r="P1495" i="9" s="1"/>
  <c r="N1495" i="9"/>
  <c r="M1495" i="9"/>
  <c r="K1495" i="9"/>
  <c r="L1495" i="9"/>
  <c r="U1487" i="9"/>
  <c r="T1487" i="9"/>
  <c r="V1487" i="9" s="1"/>
  <c r="O1487" i="9"/>
  <c r="P1487" i="9" s="1"/>
  <c r="N1487" i="9"/>
  <c r="M1487" i="9"/>
  <c r="K1487" i="9"/>
  <c r="L1487" i="9"/>
  <c r="U1479" i="9"/>
  <c r="T1479" i="9"/>
  <c r="V1479" i="9" s="1"/>
  <c r="O1479" i="9"/>
  <c r="P1479" i="9" s="1"/>
  <c r="N1479" i="9"/>
  <c r="M1479" i="9"/>
  <c r="K1479" i="9"/>
  <c r="L1479" i="9"/>
  <c r="U1471" i="9"/>
  <c r="O1471" i="9"/>
  <c r="P1471" i="9" s="1"/>
  <c r="N1471" i="9"/>
  <c r="T1471" i="9"/>
  <c r="V1471" i="9" s="1"/>
  <c r="M1471" i="9"/>
  <c r="K1471" i="9"/>
  <c r="L1471" i="9"/>
  <c r="U1463" i="9"/>
  <c r="T1463" i="9"/>
  <c r="V1463" i="9" s="1"/>
  <c r="O1463" i="9"/>
  <c r="P1463" i="9" s="1"/>
  <c r="N1463" i="9"/>
  <c r="M1463" i="9"/>
  <c r="K1463" i="9"/>
  <c r="L1463" i="9"/>
  <c r="U1455" i="9"/>
  <c r="T1455" i="9"/>
  <c r="V1455" i="9" s="1"/>
  <c r="O1455" i="9"/>
  <c r="P1455" i="9" s="1"/>
  <c r="N1455" i="9"/>
  <c r="M1455" i="9"/>
  <c r="K1455" i="9"/>
  <c r="L1455" i="9"/>
  <c r="U1447" i="9"/>
  <c r="T1447" i="9"/>
  <c r="V1447" i="9" s="1"/>
  <c r="O1447" i="9"/>
  <c r="P1447" i="9" s="1"/>
  <c r="N1447" i="9"/>
  <c r="M1447" i="9"/>
  <c r="K1447" i="9"/>
  <c r="L1447" i="9"/>
  <c r="U1439" i="9"/>
  <c r="O1439" i="9"/>
  <c r="P1439" i="9" s="1"/>
  <c r="T1439" i="9"/>
  <c r="V1439" i="9" s="1"/>
  <c r="N1439" i="9"/>
  <c r="M1439" i="9"/>
  <c r="K1439" i="9"/>
  <c r="L1439" i="9"/>
  <c r="U1431" i="9"/>
  <c r="T1431" i="9"/>
  <c r="V1431" i="9" s="1"/>
  <c r="O1431" i="9"/>
  <c r="P1431" i="9" s="1"/>
  <c r="N1431" i="9"/>
  <c r="M1431" i="9"/>
  <c r="K1431" i="9"/>
  <c r="L1431" i="9"/>
  <c r="U1423" i="9"/>
  <c r="T1423" i="9"/>
  <c r="V1423" i="9" s="1"/>
  <c r="O1423" i="9"/>
  <c r="P1423" i="9" s="1"/>
  <c r="N1423" i="9"/>
  <c r="M1423" i="9"/>
  <c r="K1423" i="9"/>
  <c r="L1423" i="9"/>
  <c r="U1415" i="9"/>
  <c r="T1415" i="9"/>
  <c r="V1415" i="9" s="1"/>
  <c r="O1415" i="9"/>
  <c r="P1415" i="9" s="1"/>
  <c r="N1415" i="9"/>
  <c r="M1415" i="9"/>
  <c r="K1415" i="9"/>
  <c r="L1415" i="9"/>
  <c r="U1407" i="9"/>
  <c r="O1407" i="9"/>
  <c r="P1407" i="9" s="1"/>
  <c r="N1407" i="9"/>
  <c r="T1407" i="9"/>
  <c r="V1407" i="9" s="1"/>
  <c r="M1407" i="9"/>
  <c r="K1407" i="9"/>
  <c r="L1407" i="9"/>
  <c r="U1399" i="9"/>
  <c r="T1399" i="9"/>
  <c r="V1399" i="9" s="1"/>
  <c r="O1399" i="9"/>
  <c r="P1399" i="9" s="1"/>
  <c r="N1399" i="9"/>
  <c r="M1399" i="9"/>
  <c r="K1399" i="9"/>
  <c r="L1399" i="9"/>
  <c r="U1391" i="9"/>
  <c r="T1391" i="9"/>
  <c r="V1391" i="9" s="1"/>
  <c r="O1391" i="9"/>
  <c r="P1391" i="9" s="1"/>
  <c r="N1391" i="9"/>
  <c r="M1391" i="9"/>
  <c r="K1391" i="9"/>
  <c r="L1391" i="9"/>
  <c r="U1383" i="9"/>
  <c r="T1383" i="9"/>
  <c r="V1383" i="9" s="1"/>
  <c r="O1383" i="9"/>
  <c r="P1383" i="9" s="1"/>
  <c r="N1383" i="9"/>
  <c r="M1383" i="9"/>
  <c r="K1383" i="9"/>
  <c r="L1383" i="9"/>
  <c r="U1375" i="9"/>
  <c r="O1375" i="9"/>
  <c r="P1375" i="9" s="1"/>
  <c r="T1375" i="9"/>
  <c r="V1375" i="9" s="1"/>
  <c r="N1375" i="9"/>
  <c r="M1375" i="9"/>
  <c r="K1375" i="9"/>
  <c r="L1375" i="9"/>
  <c r="T1363" i="9"/>
  <c r="V1363" i="9" s="1"/>
  <c r="U1363" i="9"/>
  <c r="O1363" i="9"/>
  <c r="P1363" i="9" s="1"/>
  <c r="M1363" i="9"/>
  <c r="N1363" i="9"/>
  <c r="K1363" i="9"/>
  <c r="L1363" i="9"/>
  <c r="T1355" i="9"/>
  <c r="V1355" i="9" s="1"/>
  <c r="U1355" i="9"/>
  <c r="O1355" i="9"/>
  <c r="P1355" i="9" s="1"/>
  <c r="N1355" i="9"/>
  <c r="M1355" i="9"/>
  <c r="K1355" i="9"/>
  <c r="L1355" i="9"/>
  <c r="T1347" i="9"/>
  <c r="V1347" i="9" s="1"/>
  <c r="U1347" i="9"/>
  <c r="O1347" i="9"/>
  <c r="P1347" i="9" s="1"/>
  <c r="M1347" i="9"/>
  <c r="N1347" i="9"/>
  <c r="K1347" i="9"/>
  <c r="L1347" i="9"/>
  <c r="T1339" i="9"/>
  <c r="V1339" i="9" s="1"/>
  <c r="U1339" i="9"/>
  <c r="O1339" i="9"/>
  <c r="P1339" i="9" s="1"/>
  <c r="N1339" i="9"/>
  <c r="M1339" i="9"/>
  <c r="K1339" i="9"/>
  <c r="L1339" i="9"/>
  <c r="T1331" i="9"/>
  <c r="V1331" i="9" s="1"/>
  <c r="U1331" i="9"/>
  <c r="O1331" i="9"/>
  <c r="P1331" i="9" s="1"/>
  <c r="M1331" i="9"/>
  <c r="K1331" i="9"/>
  <c r="N1331" i="9"/>
  <c r="L1331" i="9"/>
  <c r="T1323" i="9"/>
  <c r="V1323" i="9" s="1"/>
  <c r="U1323" i="9"/>
  <c r="O1323" i="9"/>
  <c r="P1323" i="9" s="1"/>
  <c r="N1323" i="9"/>
  <c r="M1323" i="9"/>
  <c r="K1323" i="9"/>
  <c r="L1323" i="9"/>
  <c r="T1315" i="9"/>
  <c r="V1315" i="9" s="1"/>
  <c r="U1315" i="9"/>
  <c r="O1315" i="9"/>
  <c r="P1315" i="9" s="1"/>
  <c r="M1315" i="9"/>
  <c r="K1315" i="9"/>
  <c r="L1315" i="9"/>
  <c r="N1315" i="9"/>
  <c r="T1307" i="9"/>
  <c r="V1307" i="9" s="1"/>
  <c r="U1307" i="9"/>
  <c r="O1307" i="9"/>
  <c r="P1307" i="9" s="1"/>
  <c r="N1307" i="9"/>
  <c r="M1307" i="9"/>
  <c r="K1307" i="9"/>
  <c r="L1307" i="9"/>
  <c r="T1299" i="9"/>
  <c r="V1299" i="9" s="1"/>
  <c r="U1299" i="9"/>
  <c r="O1299" i="9"/>
  <c r="P1299" i="9" s="1"/>
  <c r="M1299" i="9"/>
  <c r="N1299" i="9"/>
  <c r="K1299" i="9"/>
  <c r="L1299" i="9"/>
  <c r="T1291" i="9"/>
  <c r="V1291" i="9" s="1"/>
  <c r="U1291" i="9"/>
  <c r="O1291" i="9"/>
  <c r="P1291" i="9" s="1"/>
  <c r="N1291" i="9"/>
  <c r="M1291" i="9"/>
  <c r="K1291" i="9"/>
  <c r="L1291" i="9"/>
  <c r="T1283" i="9"/>
  <c r="V1283" i="9" s="1"/>
  <c r="U1283" i="9"/>
  <c r="O1283" i="9"/>
  <c r="P1283" i="9" s="1"/>
  <c r="M1283" i="9"/>
  <c r="N1283" i="9"/>
  <c r="K1283" i="9"/>
  <c r="L1283" i="9"/>
  <c r="T1275" i="9"/>
  <c r="V1275" i="9" s="1"/>
  <c r="U1275" i="9"/>
  <c r="O1275" i="9"/>
  <c r="P1275" i="9" s="1"/>
  <c r="N1275" i="9"/>
  <c r="M1275" i="9"/>
  <c r="K1275" i="9"/>
  <c r="L1275" i="9"/>
  <c r="T1267" i="9"/>
  <c r="V1267" i="9" s="1"/>
  <c r="U1267" i="9"/>
  <c r="O1267" i="9"/>
  <c r="P1267" i="9" s="1"/>
  <c r="M1267" i="9"/>
  <c r="K1267" i="9"/>
  <c r="N1267" i="9"/>
  <c r="L1267" i="9"/>
  <c r="T1259" i="9"/>
  <c r="V1259" i="9" s="1"/>
  <c r="U1259" i="9"/>
  <c r="O1259" i="9"/>
  <c r="P1259" i="9" s="1"/>
  <c r="N1259" i="9"/>
  <c r="M1259" i="9"/>
  <c r="L1259" i="9"/>
  <c r="K1259" i="9"/>
  <c r="T1251" i="9"/>
  <c r="V1251" i="9" s="1"/>
  <c r="U1251" i="9"/>
  <c r="O1251" i="9"/>
  <c r="P1251" i="9" s="1"/>
  <c r="M1251" i="9"/>
  <c r="L1251" i="9"/>
  <c r="N1251" i="9"/>
  <c r="K1251" i="9"/>
  <c r="T1243" i="9"/>
  <c r="V1243" i="9" s="1"/>
  <c r="U1243" i="9"/>
  <c r="O1243" i="9"/>
  <c r="P1243" i="9" s="1"/>
  <c r="N1243" i="9"/>
  <c r="M1243" i="9"/>
  <c r="L1243" i="9"/>
  <c r="K1243" i="9"/>
  <c r="U1235" i="9"/>
  <c r="O1235" i="9"/>
  <c r="P1235" i="9" s="1"/>
  <c r="T1235" i="9"/>
  <c r="V1235" i="9" s="1"/>
  <c r="M1235" i="9"/>
  <c r="N1235" i="9"/>
  <c r="L1235" i="9"/>
  <c r="K1235" i="9"/>
  <c r="U1227" i="9"/>
  <c r="O1227" i="9"/>
  <c r="P1227" i="9" s="1"/>
  <c r="N1227" i="9"/>
  <c r="M1227" i="9"/>
  <c r="L1227" i="9"/>
  <c r="T1227" i="9"/>
  <c r="V1227" i="9" s="1"/>
  <c r="K1227" i="9"/>
  <c r="U1219" i="9"/>
  <c r="O1219" i="9"/>
  <c r="P1219" i="9" s="1"/>
  <c r="T1219" i="9"/>
  <c r="V1219" i="9" s="1"/>
  <c r="M1219" i="9"/>
  <c r="N1219" i="9"/>
  <c r="L1219" i="9"/>
  <c r="K1219" i="9"/>
  <c r="U1211" i="9"/>
  <c r="O1211" i="9"/>
  <c r="P1211" i="9" s="1"/>
  <c r="T1211" i="9"/>
  <c r="V1211" i="9" s="1"/>
  <c r="N1211" i="9"/>
  <c r="M1211" i="9"/>
  <c r="L1211" i="9"/>
  <c r="K1211" i="9"/>
  <c r="U1203" i="9"/>
  <c r="O1203" i="9"/>
  <c r="P1203" i="9" s="1"/>
  <c r="T1203" i="9"/>
  <c r="V1203" i="9" s="1"/>
  <c r="M1203" i="9"/>
  <c r="N1203" i="9"/>
  <c r="L1203" i="9"/>
  <c r="K1203" i="9"/>
  <c r="U1195" i="9"/>
  <c r="O1195" i="9"/>
  <c r="P1195" i="9" s="1"/>
  <c r="N1195" i="9"/>
  <c r="M1195" i="9"/>
  <c r="T1195" i="9"/>
  <c r="V1195" i="9" s="1"/>
  <c r="L1195" i="9"/>
  <c r="K1195" i="9"/>
  <c r="U1187" i="9"/>
  <c r="O1187" i="9"/>
  <c r="P1187" i="9" s="1"/>
  <c r="T1187" i="9"/>
  <c r="V1187" i="9" s="1"/>
  <c r="M1187" i="9"/>
  <c r="L1187" i="9"/>
  <c r="N1187" i="9"/>
  <c r="K1187" i="9"/>
  <c r="U1179" i="9"/>
  <c r="O1179" i="9"/>
  <c r="P1179" i="9" s="1"/>
  <c r="T1179" i="9"/>
  <c r="V1179" i="9" s="1"/>
  <c r="N1179" i="9"/>
  <c r="M1179" i="9"/>
  <c r="L1179" i="9"/>
  <c r="K1179" i="9"/>
  <c r="U1171" i="9"/>
  <c r="O1171" i="9"/>
  <c r="P1171" i="9" s="1"/>
  <c r="T1171" i="9"/>
  <c r="V1171" i="9" s="1"/>
  <c r="M1171" i="9"/>
  <c r="N1171" i="9"/>
  <c r="L1171" i="9"/>
  <c r="K1171" i="9"/>
  <c r="U1163" i="9"/>
  <c r="O1163" i="9"/>
  <c r="P1163" i="9" s="1"/>
  <c r="N1163" i="9"/>
  <c r="M1163" i="9"/>
  <c r="T1163" i="9"/>
  <c r="V1163" i="9" s="1"/>
  <c r="L1163" i="9"/>
  <c r="K1163" i="9"/>
  <c r="U1155" i="9"/>
  <c r="O1155" i="9"/>
  <c r="P1155" i="9" s="1"/>
  <c r="T1155" i="9"/>
  <c r="V1155" i="9" s="1"/>
  <c r="M1155" i="9"/>
  <c r="N1155" i="9"/>
  <c r="L1155" i="9"/>
  <c r="K1155" i="9"/>
  <c r="U1147" i="9"/>
  <c r="O1147" i="9"/>
  <c r="P1147" i="9" s="1"/>
  <c r="T1147" i="9"/>
  <c r="V1147" i="9" s="1"/>
  <c r="N1147" i="9"/>
  <c r="M1147" i="9"/>
  <c r="L1147" i="9"/>
  <c r="K1147" i="9"/>
  <c r="U1139" i="9"/>
  <c r="O1139" i="9"/>
  <c r="P1139" i="9" s="1"/>
  <c r="T1139" i="9"/>
  <c r="V1139" i="9" s="1"/>
  <c r="M1139" i="9"/>
  <c r="N1139" i="9"/>
  <c r="L1139" i="9"/>
  <c r="K1139" i="9"/>
  <c r="U1131" i="9"/>
  <c r="O1131" i="9"/>
  <c r="P1131" i="9" s="1"/>
  <c r="N1131" i="9"/>
  <c r="M1131" i="9"/>
  <c r="T1131" i="9"/>
  <c r="V1131" i="9" s="1"/>
  <c r="L1131" i="9"/>
  <c r="K1131" i="9"/>
  <c r="U1123" i="9"/>
  <c r="O1123" i="9"/>
  <c r="P1123" i="9" s="1"/>
  <c r="T1123" i="9"/>
  <c r="V1123" i="9" s="1"/>
  <c r="M1123" i="9"/>
  <c r="L1123" i="9"/>
  <c r="N1123" i="9"/>
  <c r="K1123" i="9"/>
  <c r="U1115" i="9"/>
  <c r="O1115" i="9"/>
  <c r="P1115" i="9" s="1"/>
  <c r="T1115" i="9"/>
  <c r="V1115" i="9" s="1"/>
  <c r="N1115" i="9"/>
  <c r="M1115" i="9"/>
  <c r="L1115" i="9"/>
  <c r="K1115" i="9"/>
  <c r="U1107" i="9"/>
  <c r="O1107" i="9"/>
  <c r="P1107" i="9" s="1"/>
  <c r="T1107" i="9"/>
  <c r="V1107" i="9" s="1"/>
  <c r="M1107" i="9"/>
  <c r="N1107" i="9"/>
  <c r="L1107" i="9"/>
  <c r="K1107" i="9"/>
  <c r="U1099" i="9"/>
  <c r="O1099" i="9"/>
  <c r="P1099" i="9" s="1"/>
  <c r="N1099" i="9"/>
  <c r="M1099" i="9"/>
  <c r="L1099" i="9"/>
  <c r="T1099" i="9"/>
  <c r="V1099" i="9" s="1"/>
  <c r="K1099" i="9"/>
  <c r="U1091" i="9"/>
  <c r="O1091" i="9"/>
  <c r="P1091" i="9" s="1"/>
  <c r="T1091" i="9"/>
  <c r="V1091" i="9" s="1"/>
  <c r="M1091" i="9"/>
  <c r="N1091" i="9"/>
  <c r="L1091" i="9"/>
  <c r="K1091" i="9"/>
  <c r="U1083" i="9"/>
  <c r="O1083" i="9"/>
  <c r="P1083" i="9" s="1"/>
  <c r="T1083" i="9"/>
  <c r="V1083" i="9" s="1"/>
  <c r="N1083" i="9"/>
  <c r="M1083" i="9"/>
  <c r="L1083" i="9"/>
  <c r="K1083" i="9"/>
  <c r="U1075" i="9"/>
  <c r="O1075" i="9"/>
  <c r="P1075" i="9" s="1"/>
  <c r="T1075" i="9"/>
  <c r="V1075" i="9" s="1"/>
  <c r="M1075" i="9"/>
  <c r="N1075" i="9"/>
  <c r="L1075" i="9"/>
  <c r="K1075" i="9"/>
  <c r="U1067" i="9"/>
  <c r="O1067" i="9"/>
  <c r="P1067" i="9" s="1"/>
  <c r="N1067" i="9"/>
  <c r="M1067" i="9"/>
  <c r="T1067" i="9"/>
  <c r="V1067" i="9" s="1"/>
  <c r="L1067" i="9"/>
  <c r="K1067" i="9"/>
  <c r="U1059" i="9"/>
  <c r="O1059" i="9"/>
  <c r="P1059" i="9" s="1"/>
  <c r="T1059" i="9"/>
  <c r="V1059" i="9" s="1"/>
  <c r="M1059" i="9"/>
  <c r="L1059" i="9"/>
  <c r="K1059" i="9"/>
  <c r="N1059" i="9"/>
  <c r="U1051" i="9"/>
  <c r="O1051" i="9"/>
  <c r="P1051" i="9" s="1"/>
  <c r="T1051" i="9"/>
  <c r="V1051" i="9" s="1"/>
  <c r="N1051" i="9"/>
  <c r="M1051" i="9"/>
  <c r="L1051" i="9"/>
  <c r="K1051" i="9"/>
  <c r="U1043" i="9"/>
  <c r="O1043" i="9"/>
  <c r="P1043" i="9" s="1"/>
  <c r="T1043" i="9"/>
  <c r="V1043" i="9" s="1"/>
  <c r="M1043" i="9"/>
  <c r="N1043" i="9"/>
  <c r="L1043" i="9"/>
  <c r="K1043" i="9"/>
  <c r="U1035" i="9"/>
  <c r="O1035" i="9"/>
  <c r="P1035" i="9" s="1"/>
  <c r="N1035" i="9"/>
  <c r="M1035" i="9"/>
  <c r="T1035" i="9"/>
  <c r="V1035" i="9" s="1"/>
  <c r="L1035" i="9"/>
  <c r="K1035" i="9"/>
  <c r="U1027" i="9"/>
  <c r="O1027" i="9"/>
  <c r="P1027" i="9" s="1"/>
  <c r="T1027" i="9"/>
  <c r="V1027" i="9" s="1"/>
  <c r="M1027" i="9"/>
  <c r="N1027" i="9"/>
  <c r="L1027" i="9"/>
  <c r="K1027" i="9"/>
  <c r="U1019" i="9"/>
  <c r="O1019" i="9"/>
  <c r="P1019" i="9" s="1"/>
  <c r="T1019" i="9"/>
  <c r="V1019" i="9" s="1"/>
  <c r="N1019" i="9"/>
  <c r="M1019" i="9"/>
  <c r="L1019" i="9"/>
  <c r="K1019" i="9"/>
  <c r="U1011" i="9"/>
  <c r="O1011" i="9"/>
  <c r="P1011" i="9" s="1"/>
  <c r="T1011" i="9"/>
  <c r="V1011" i="9" s="1"/>
  <c r="M1011" i="9"/>
  <c r="N1011" i="9"/>
  <c r="L1011" i="9"/>
  <c r="K1011" i="9"/>
  <c r="U1003" i="9"/>
  <c r="O1003" i="9"/>
  <c r="P1003" i="9" s="1"/>
  <c r="N1003" i="9"/>
  <c r="M1003" i="9"/>
  <c r="T1003" i="9"/>
  <c r="V1003" i="9" s="1"/>
  <c r="L1003" i="9"/>
  <c r="K1003" i="9"/>
  <c r="U995" i="9"/>
  <c r="O995" i="9"/>
  <c r="P995" i="9" s="1"/>
  <c r="T995" i="9"/>
  <c r="V995" i="9" s="1"/>
  <c r="M995" i="9"/>
  <c r="L995" i="9"/>
  <c r="K995" i="9"/>
  <c r="N995" i="9"/>
  <c r="U983" i="9"/>
  <c r="O983" i="9"/>
  <c r="P983" i="9" s="1"/>
  <c r="T983" i="9"/>
  <c r="V983" i="9" s="1"/>
  <c r="N983" i="9"/>
  <c r="M983" i="9"/>
  <c r="L983" i="9"/>
  <c r="K983" i="9"/>
  <c r="U975" i="9"/>
  <c r="O975" i="9"/>
  <c r="P975" i="9" s="1"/>
  <c r="T975" i="9"/>
  <c r="V975" i="9" s="1"/>
  <c r="N975" i="9"/>
  <c r="M975" i="9"/>
  <c r="L975" i="9"/>
  <c r="K975" i="9"/>
  <c r="U967" i="9"/>
  <c r="O967" i="9"/>
  <c r="P967" i="9" s="1"/>
  <c r="T967" i="9"/>
  <c r="V967" i="9" s="1"/>
  <c r="N967" i="9"/>
  <c r="M967" i="9"/>
  <c r="L967" i="9"/>
  <c r="K967" i="9"/>
  <c r="U959" i="9"/>
  <c r="O959" i="9"/>
  <c r="P959" i="9" s="1"/>
  <c r="T959" i="9"/>
  <c r="V959" i="9" s="1"/>
  <c r="N959" i="9"/>
  <c r="M959" i="9"/>
  <c r="L959" i="9"/>
  <c r="K959" i="9"/>
  <c r="U951" i="9"/>
  <c r="O951" i="9"/>
  <c r="P951" i="9" s="1"/>
  <c r="T951" i="9"/>
  <c r="V951" i="9" s="1"/>
  <c r="N951" i="9"/>
  <c r="M951" i="9"/>
  <c r="L951" i="9"/>
  <c r="K951" i="9"/>
  <c r="U943" i="9"/>
  <c r="O943" i="9"/>
  <c r="P943" i="9" s="1"/>
  <c r="T943" i="9"/>
  <c r="V943" i="9" s="1"/>
  <c r="N943" i="9"/>
  <c r="M943" i="9"/>
  <c r="L943" i="9"/>
  <c r="K943" i="9"/>
  <c r="U935" i="9"/>
  <c r="O935" i="9"/>
  <c r="P935" i="9" s="1"/>
  <c r="T935" i="9"/>
  <c r="V935" i="9" s="1"/>
  <c r="N935" i="9"/>
  <c r="M935" i="9"/>
  <c r="L935" i="9"/>
  <c r="K935" i="9"/>
  <c r="U927" i="9"/>
  <c r="O927" i="9"/>
  <c r="P927" i="9" s="1"/>
  <c r="T927" i="9"/>
  <c r="V927" i="9" s="1"/>
  <c r="N927" i="9"/>
  <c r="M927" i="9"/>
  <c r="L927" i="9"/>
  <c r="K927" i="9"/>
  <c r="U919" i="9"/>
  <c r="O919" i="9"/>
  <c r="P919" i="9" s="1"/>
  <c r="T919" i="9"/>
  <c r="V919" i="9" s="1"/>
  <c r="N919" i="9"/>
  <c r="M919" i="9"/>
  <c r="L919" i="9"/>
  <c r="K919" i="9"/>
  <c r="U911" i="9"/>
  <c r="O911" i="9"/>
  <c r="P911" i="9" s="1"/>
  <c r="T911" i="9"/>
  <c r="V911" i="9" s="1"/>
  <c r="N911" i="9"/>
  <c r="M911" i="9"/>
  <c r="L911" i="9"/>
  <c r="K911" i="9"/>
  <c r="U903" i="9"/>
  <c r="O903" i="9"/>
  <c r="P903" i="9" s="1"/>
  <c r="T903" i="9"/>
  <c r="V903" i="9" s="1"/>
  <c r="N903" i="9"/>
  <c r="M903" i="9"/>
  <c r="L903" i="9"/>
  <c r="K903" i="9"/>
  <c r="U895" i="9"/>
  <c r="O895" i="9"/>
  <c r="P895" i="9" s="1"/>
  <c r="T895" i="9"/>
  <c r="V895" i="9" s="1"/>
  <c r="N895" i="9"/>
  <c r="M895" i="9"/>
  <c r="L895" i="9"/>
  <c r="K895" i="9"/>
  <c r="U887" i="9"/>
  <c r="O887" i="9"/>
  <c r="P887" i="9" s="1"/>
  <c r="T887" i="9"/>
  <c r="V887" i="9" s="1"/>
  <c r="N887" i="9"/>
  <c r="M887" i="9"/>
  <c r="L887" i="9"/>
  <c r="K887" i="9"/>
  <c r="U879" i="9"/>
  <c r="O879" i="9"/>
  <c r="P879" i="9" s="1"/>
  <c r="T879" i="9"/>
  <c r="V879" i="9" s="1"/>
  <c r="N879" i="9"/>
  <c r="M879" i="9"/>
  <c r="L879" i="9"/>
  <c r="K879" i="9"/>
  <c r="U871" i="9"/>
  <c r="O871" i="9"/>
  <c r="P871" i="9" s="1"/>
  <c r="T871" i="9"/>
  <c r="V871" i="9" s="1"/>
  <c r="N871" i="9"/>
  <c r="M871" i="9"/>
  <c r="L871" i="9"/>
  <c r="K871" i="9"/>
  <c r="U863" i="9"/>
  <c r="O863" i="9"/>
  <c r="P863" i="9" s="1"/>
  <c r="T863" i="9"/>
  <c r="V863" i="9" s="1"/>
  <c r="N863" i="9"/>
  <c r="M863" i="9"/>
  <c r="L863" i="9"/>
  <c r="K863" i="9"/>
  <c r="U851" i="9"/>
  <c r="O851" i="9"/>
  <c r="P851" i="9" s="1"/>
  <c r="T851" i="9"/>
  <c r="V851" i="9" s="1"/>
  <c r="N851" i="9"/>
  <c r="M851" i="9"/>
  <c r="L851" i="9"/>
  <c r="K851" i="9"/>
  <c r="U843" i="9"/>
  <c r="O843" i="9"/>
  <c r="P843" i="9" s="1"/>
  <c r="N843" i="9"/>
  <c r="M843" i="9"/>
  <c r="L843" i="9"/>
  <c r="K843" i="9"/>
  <c r="T843" i="9"/>
  <c r="V843" i="9" s="1"/>
  <c r="U835" i="9"/>
  <c r="O835" i="9"/>
  <c r="P835" i="9" s="1"/>
  <c r="N835" i="9"/>
  <c r="T835" i="9"/>
  <c r="V835" i="9" s="1"/>
  <c r="M835" i="9"/>
  <c r="L835" i="9"/>
  <c r="K835" i="9"/>
  <c r="U827" i="9"/>
  <c r="O827" i="9"/>
  <c r="P827" i="9" s="1"/>
  <c r="N827" i="9"/>
  <c r="T827" i="9"/>
  <c r="V827" i="9" s="1"/>
  <c r="M827" i="9"/>
  <c r="L827" i="9"/>
  <c r="K827" i="9"/>
  <c r="U819" i="9"/>
  <c r="O819" i="9"/>
  <c r="P819" i="9" s="1"/>
  <c r="T819" i="9"/>
  <c r="V819" i="9" s="1"/>
  <c r="N819" i="9"/>
  <c r="M819" i="9"/>
  <c r="L819" i="9"/>
  <c r="K819" i="9"/>
  <c r="U811" i="9"/>
  <c r="O811" i="9"/>
  <c r="P811" i="9" s="1"/>
  <c r="N811" i="9"/>
  <c r="M811" i="9"/>
  <c r="T811" i="9"/>
  <c r="V811" i="9" s="1"/>
  <c r="L811" i="9"/>
  <c r="K811" i="9"/>
  <c r="U803" i="9"/>
  <c r="O803" i="9"/>
  <c r="P803" i="9" s="1"/>
  <c r="N803" i="9"/>
  <c r="T803" i="9"/>
  <c r="V803" i="9" s="1"/>
  <c r="M803" i="9"/>
  <c r="L803" i="9"/>
  <c r="K803" i="9"/>
  <c r="U795" i="9"/>
  <c r="O795" i="9"/>
  <c r="P795" i="9" s="1"/>
  <c r="N795" i="9"/>
  <c r="T795" i="9"/>
  <c r="V795" i="9" s="1"/>
  <c r="M795" i="9"/>
  <c r="L795" i="9"/>
  <c r="K795" i="9"/>
  <c r="U787" i="9"/>
  <c r="O787" i="9"/>
  <c r="P787" i="9" s="1"/>
  <c r="T787" i="9"/>
  <c r="V787" i="9" s="1"/>
  <c r="N787" i="9"/>
  <c r="M787" i="9"/>
  <c r="L787" i="9"/>
  <c r="K787" i="9"/>
  <c r="U775" i="9"/>
  <c r="O775" i="9"/>
  <c r="P775" i="9" s="1"/>
  <c r="T775" i="9"/>
  <c r="V775" i="9" s="1"/>
  <c r="N775" i="9"/>
  <c r="M775" i="9"/>
  <c r="L775" i="9"/>
  <c r="K775" i="9"/>
  <c r="U767" i="9"/>
  <c r="O767" i="9"/>
  <c r="P767" i="9" s="1"/>
  <c r="T767" i="9"/>
  <c r="V767" i="9" s="1"/>
  <c r="N767" i="9"/>
  <c r="M767" i="9"/>
  <c r="L767" i="9"/>
  <c r="K767" i="9"/>
  <c r="U759" i="9"/>
  <c r="O759" i="9"/>
  <c r="P759" i="9" s="1"/>
  <c r="T759" i="9"/>
  <c r="V759" i="9" s="1"/>
  <c r="N759" i="9"/>
  <c r="M759" i="9"/>
  <c r="L759" i="9"/>
  <c r="K759" i="9"/>
  <c r="U751" i="9"/>
  <c r="O751" i="9"/>
  <c r="P751" i="9" s="1"/>
  <c r="T751" i="9"/>
  <c r="V751" i="9" s="1"/>
  <c r="N751" i="9"/>
  <c r="M751" i="9"/>
  <c r="L751" i="9"/>
  <c r="K751" i="9"/>
  <c r="U743" i="9"/>
  <c r="O743" i="9"/>
  <c r="P743" i="9" s="1"/>
  <c r="T743" i="9"/>
  <c r="V743" i="9" s="1"/>
  <c r="N743" i="9"/>
  <c r="M743" i="9"/>
  <c r="L743" i="9"/>
  <c r="K743" i="9"/>
  <c r="U739" i="9"/>
  <c r="O739" i="9"/>
  <c r="P739" i="9" s="1"/>
  <c r="N739" i="9"/>
  <c r="T739" i="9"/>
  <c r="V739" i="9" s="1"/>
  <c r="M739" i="9"/>
  <c r="L739" i="9"/>
  <c r="K739" i="9"/>
  <c r="U731" i="9"/>
  <c r="O731" i="9"/>
  <c r="P731" i="9" s="1"/>
  <c r="N731" i="9"/>
  <c r="T731" i="9"/>
  <c r="V731" i="9" s="1"/>
  <c r="M731" i="9"/>
  <c r="L731" i="9"/>
  <c r="K731" i="9"/>
  <c r="U723" i="9"/>
  <c r="O723" i="9"/>
  <c r="P723" i="9" s="1"/>
  <c r="T723" i="9"/>
  <c r="V723" i="9" s="1"/>
  <c r="N723" i="9"/>
  <c r="M723" i="9"/>
  <c r="L723" i="9"/>
  <c r="K723" i="9"/>
  <c r="U715" i="9"/>
  <c r="O715" i="9"/>
  <c r="P715" i="9" s="1"/>
  <c r="N715" i="9"/>
  <c r="M715" i="9"/>
  <c r="L715" i="9"/>
  <c r="K715" i="9"/>
  <c r="T715" i="9"/>
  <c r="V715" i="9" s="1"/>
  <c r="U707" i="9"/>
  <c r="O707" i="9"/>
  <c r="P707" i="9" s="1"/>
  <c r="N707" i="9"/>
  <c r="T707" i="9"/>
  <c r="V707" i="9" s="1"/>
  <c r="M707" i="9"/>
  <c r="L707" i="9"/>
  <c r="K707" i="9"/>
  <c r="U699" i="9"/>
  <c r="O699" i="9"/>
  <c r="P699" i="9" s="1"/>
  <c r="N699" i="9"/>
  <c r="T699" i="9"/>
  <c r="V699" i="9" s="1"/>
  <c r="M699" i="9"/>
  <c r="L699" i="9"/>
  <c r="K699" i="9"/>
  <c r="U691" i="9"/>
  <c r="O691" i="9"/>
  <c r="P691" i="9" s="1"/>
  <c r="T691" i="9"/>
  <c r="V691" i="9" s="1"/>
  <c r="N691" i="9"/>
  <c r="M691" i="9"/>
  <c r="L691" i="9"/>
  <c r="K691" i="9"/>
  <c r="U683" i="9"/>
  <c r="O683" i="9"/>
  <c r="P683" i="9" s="1"/>
  <c r="N683" i="9"/>
  <c r="M683" i="9"/>
  <c r="L683" i="9"/>
  <c r="T683" i="9"/>
  <c r="V683" i="9" s="1"/>
  <c r="K683" i="9"/>
  <c r="U675" i="9"/>
  <c r="O675" i="9"/>
  <c r="P675" i="9" s="1"/>
  <c r="N675" i="9"/>
  <c r="T675" i="9"/>
  <c r="V675" i="9" s="1"/>
  <c r="M675" i="9"/>
  <c r="L675" i="9"/>
  <c r="K675" i="9"/>
  <c r="U667" i="9"/>
  <c r="O667" i="9"/>
  <c r="P667" i="9" s="1"/>
  <c r="N667" i="9"/>
  <c r="T667" i="9"/>
  <c r="V667" i="9" s="1"/>
  <c r="M667" i="9"/>
  <c r="L667" i="9"/>
  <c r="K667" i="9"/>
  <c r="U659" i="9"/>
  <c r="O659" i="9"/>
  <c r="P659" i="9" s="1"/>
  <c r="N659" i="9"/>
  <c r="T659" i="9"/>
  <c r="V659" i="9" s="1"/>
  <c r="M659" i="9"/>
  <c r="L659" i="9"/>
  <c r="K659" i="9"/>
  <c r="U651" i="9"/>
  <c r="O651" i="9"/>
  <c r="P651" i="9" s="1"/>
  <c r="N651" i="9"/>
  <c r="M651" i="9"/>
  <c r="L651" i="9"/>
  <c r="T651" i="9"/>
  <c r="V651" i="9" s="1"/>
  <c r="K651" i="9"/>
  <c r="U643" i="9"/>
  <c r="O643" i="9"/>
  <c r="P643" i="9" s="1"/>
  <c r="N643" i="9"/>
  <c r="T643" i="9"/>
  <c r="V643" i="9" s="1"/>
  <c r="M643" i="9"/>
  <c r="L643" i="9"/>
  <c r="K643" i="9"/>
  <c r="U635" i="9"/>
  <c r="O635" i="9"/>
  <c r="P635" i="9" s="1"/>
  <c r="N635" i="9"/>
  <c r="T635" i="9"/>
  <c r="V635" i="9" s="1"/>
  <c r="M635" i="9"/>
  <c r="L635" i="9"/>
  <c r="K635" i="9"/>
  <c r="U627" i="9"/>
  <c r="O627" i="9"/>
  <c r="P627" i="9" s="1"/>
  <c r="N627" i="9"/>
  <c r="T627" i="9"/>
  <c r="V627" i="9" s="1"/>
  <c r="M627" i="9"/>
  <c r="L627" i="9"/>
  <c r="K627" i="9"/>
  <c r="U619" i="9"/>
  <c r="O619" i="9"/>
  <c r="P619" i="9" s="1"/>
  <c r="N619" i="9"/>
  <c r="M619" i="9"/>
  <c r="L619" i="9"/>
  <c r="T619" i="9"/>
  <c r="V619" i="9" s="1"/>
  <c r="K619" i="9"/>
  <c r="U611" i="9"/>
  <c r="O611" i="9"/>
  <c r="P611" i="9" s="1"/>
  <c r="N611" i="9"/>
  <c r="T611" i="9"/>
  <c r="V611" i="9" s="1"/>
  <c r="M611" i="9"/>
  <c r="L611" i="9"/>
  <c r="K611" i="9"/>
  <c r="U599" i="9"/>
  <c r="O599" i="9"/>
  <c r="P599" i="9" s="1"/>
  <c r="N599" i="9"/>
  <c r="T599" i="9"/>
  <c r="V599" i="9" s="1"/>
  <c r="M599" i="9"/>
  <c r="L599" i="9"/>
  <c r="K599" i="9"/>
  <c r="U591" i="9"/>
  <c r="O591" i="9"/>
  <c r="P591" i="9" s="1"/>
  <c r="N591" i="9"/>
  <c r="T591" i="9"/>
  <c r="V591" i="9" s="1"/>
  <c r="M591" i="9"/>
  <c r="L591" i="9"/>
  <c r="K591" i="9"/>
  <c r="U583" i="9"/>
  <c r="O583" i="9"/>
  <c r="P583" i="9" s="1"/>
  <c r="N583" i="9"/>
  <c r="T583" i="9"/>
  <c r="V583" i="9" s="1"/>
  <c r="M583" i="9"/>
  <c r="L583" i="9"/>
  <c r="K583" i="9"/>
  <c r="U571" i="9"/>
  <c r="O571" i="9"/>
  <c r="P571" i="9" s="1"/>
  <c r="N571" i="9"/>
  <c r="T571" i="9"/>
  <c r="V571" i="9" s="1"/>
  <c r="M571" i="9"/>
  <c r="L571" i="9"/>
  <c r="K571" i="9"/>
  <c r="U563" i="9"/>
  <c r="O563" i="9"/>
  <c r="P563" i="9" s="1"/>
  <c r="N563" i="9"/>
  <c r="T563" i="9"/>
  <c r="V563" i="9" s="1"/>
  <c r="M563" i="9"/>
  <c r="L563" i="9"/>
  <c r="K563" i="9"/>
  <c r="U555" i="9"/>
  <c r="O555" i="9"/>
  <c r="P555" i="9" s="1"/>
  <c r="N555" i="9"/>
  <c r="M555" i="9"/>
  <c r="L555" i="9"/>
  <c r="T555" i="9"/>
  <c r="V555" i="9" s="1"/>
  <c r="K555" i="9"/>
  <c r="U547" i="9"/>
  <c r="O547" i="9"/>
  <c r="P547" i="9" s="1"/>
  <c r="N547" i="9"/>
  <c r="T547" i="9"/>
  <c r="V547" i="9" s="1"/>
  <c r="M547" i="9"/>
  <c r="L547" i="9"/>
  <c r="K547" i="9"/>
  <c r="U539" i="9"/>
  <c r="O539" i="9"/>
  <c r="P539" i="9" s="1"/>
  <c r="N539" i="9"/>
  <c r="T539" i="9"/>
  <c r="V539" i="9" s="1"/>
  <c r="M539" i="9"/>
  <c r="L539" i="9"/>
  <c r="K539" i="9"/>
  <c r="U531" i="9"/>
  <c r="O531" i="9"/>
  <c r="P531" i="9" s="1"/>
  <c r="N531" i="9"/>
  <c r="T531" i="9"/>
  <c r="V531" i="9" s="1"/>
  <c r="M531" i="9"/>
  <c r="L531" i="9"/>
  <c r="K531" i="9"/>
  <c r="U523" i="9"/>
  <c r="O523" i="9"/>
  <c r="P523" i="9" s="1"/>
  <c r="N523" i="9"/>
  <c r="M523" i="9"/>
  <c r="L523" i="9"/>
  <c r="T523" i="9"/>
  <c r="V523" i="9" s="1"/>
  <c r="K523" i="9"/>
  <c r="U515" i="9"/>
  <c r="O515" i="9"/>
  <c r="P515" i="9" s="1"/>
  <c r="N515" i="9"/>
  <c r="T515" i="9"/>
  <c r="V515" i="9" s="1"/>
  <c r="M515" i="9"/>
  <c r="L515" i="9"/>
  <c r="K515" i="9"/>
  <c r="U507" i="9"/>
  <c r="O507" i="9"/>
  <c r="P507" i="9" s="1"/>
  <c r="N507" i="9"/>
  <c r="T507" i="9"/>
  <c r="V507" i="9" s="1"/>
  <c r="M507" i="9"/>
  <c r="L507" i="9"/>
  <c r="K507" i="9"/>
  <c r="U499" i="9"/>
  <c r="O499" i="9"/>
  <c r="P499" i="9" s="1"/>
  <c r="N499" i="9"/>
  <c r="T499" i="9"/>
  <c r="V499" i="9" s="1"/>
  <c r="M499" i="9"/>
  <c r="L499" i="9"/>
  <c r="K499" i="9"/>
  <c r="U491" i="9"/>
  <c r="O491" i="9"/>
  <c r="P491" i="9" s="1"/>
  <c r="N491" i="9"/>
  <c r="M491" i="9"/>
  <c r="L491" i="9"/>
  <c r="T491" i="9"/>
  <c r="V491" i="9" s="1"/>
  <c r="K491" i="9"/>
  <c r="U483" i="9"/>
  <c r="O483" i="9"/>
  <c r="P483" i="9" s="1"/>
  <c r="N483" i="9"/>
  <c r="T483" i="9"/>
  <c r="V483" i="9" s="1"/>
  <c r="M483" i="9"/>
  <c r="L483" i="9"/>
  <c r="K483" i="9"/>
  <c r="U475" i="9"/>
  <c r="O475" i="9"/>
  <c r="P475" i="9" s="1"/>
  <c r="N475" i="9"/>
  <c r="T475" i="9"/>
  <c r="V475" i="9" s="1"/>
  <c r="M475" i="9"/>
  <c r="L475" i="9"/>
  <c r="K475" i="9"/>
  <c r="U467" i="9"/>
  <c r="O467" i="9"/>
  <c r="P467" i="9" s="1"/>
  <c r="N467" i="9"/>
  <c r="T467" i="9"/>
  <c r="V467" i="9" s="1"/>
  <c r="M467" i="9"/>
  <c r="L467" i="9"/>
  <c r="K467" i="9"/>
  <c r="U459" i="9"/>
  <c r="O459" i="9"/>
  <c r="P459" i="9" s="1"/>
  <c r="N459" i="9"/>
  <c r="M459" i="9"/>
  <c r="L459" i="9"/>
  <c r="K459" i="9"/>
  <c r="T459" i="9"/>
  <c r="V459" i="9" s="1"/>
  <c r="U451" i="9"/>
  <c r="O451" i="9"/>
  <c r="P451" i="9" s="1"/>
  <c r="N451" i="9"/>
  <c r="T451" i="9"/>
  <c r="V451" i="9" s="1"/>
  <c r="M451" i="9"/>
  <c r="L451" i="9"/>
  <c r="K451" i="9"/>
  <c r="U443" i="9"/>
  <c r="O443" i="9"/>
  <c r="P443" i="9" s="1"/>
  <c r="N443" i="9"/>
  <c r="T443" i="9"/>
  <c r="V443" i="9" s="1"/>
  <c r="M443" i="9"/>
  <c r="L443" i="9"/>
  <c r="K443" i="9"/>
  <c r="U435" i="9"/>
  <c r="O435" i="9"/>
  <c r="P435" i="9" s="1"/>
  <c r="N435" i="9"/>
  <c r="T435" i="9"/>
  <c r="V435" i="9" s="1"/>
  <c r="M435" i="9"/>
  <c r="L435" i="9"/>
  <c r="K435" i="9"/>
  <c r="U427" i="9"/>
  <c r="O427" i="9"/>
  <c r="P427" i="9" s="1"/>
  <c r="N427" i="9"/>
  <c r="M427" i="9"/>
  <c r="L427" i="9"/>
  <c r="T427" i="9"/>
  <c r="V427" i="9" s="1"/>
  <c r="K427" i="9"/>
  <c r="U419" i="9"/>
  <c r="O419" i="9"/>
  <c r="P419" i="9" s="1"/>
  <c r="N419" i="9"/>
  <c r="T419" i="9"/>
  <c r="V419" i="9" s="1"/>
  <c r="M419" i="9"/>
  <c r="L419" i="9"/>
  <c r="K419" i="9"/>
  <c r="U411" i="9"/>
  <c r="O411" i="9"/>
  <c r="P411" i="9" s="1"/>
  <c r="N411" i="9"/>
  <c r="T411" i="9"/>
  <c r="V411" i="9" s="1"/>
  <c r="M411" i="9"/>
  <c r="L411" i="9"/>
  <c r="K411" i="9"/>
  <c r="U403" i="9"/>
  <c r="O403" i="9"/>
  <c r="P403" i="9" s="1"/>
  <c r="N403" i="9"/>
  <c r="T403" i="9"/>
  <c r="V403" i="9" s="1"/>
  <c r="M403" i="9"/>
  <c r="L403" i="9"/>
  <c r="K403" i="9"/>
  <c r="U391" i="9"/>
  <c r="O391" i="9"/>
  <c r="P391" i="9" s="1"/>
  <c r="N391" i="9"/>
  <c r="T391" i="9"/>
  <c r="V391" i="9" s="1"/>
  <c r="M391" i="9"/>
  <c r="L391" i="9"/>
  <c r="K391" i="9"/>
  <c r="U383" i="9"/>
  <c r="O383" i="9"/>
  <c r="P383" i="9" s="1"/>
  <c r="N383" i="9"/>
  <c r="T383" i="9"/>
  <c r="V383" i="9" s="1"/>
  <c r="M383" i="9"/>
  <c r="L383" i="9"/>
  <c r="K383" i="9"/>
  <c r="U375" i="9"/>
  <c r="O375" i="9"/>
  <c r="P375" i="9" s="1"/>
  <c r="N375" i="9"/>
  <c r="T375" i="9"/>
  <c r="V375" i="9" s="1"/>
  <c r="M375" i="9"/>
  <c r="L375" i="9"/>
  <c r="K375" i="9"/>
  <c r="U367" i="9"/>
  <c r="O367" i="9"/>
  <c r="P367" i="9" s="1"/>
  <c r="N367" i="9"/>
  <c r="T367" i="9"/>
  <c r="V367" i="9" s="1"/>
  <c r="M367" i="9"/>
  <c r="L367" i="9"/>
  <c r="K367" i="9"/>
  <c r="U359" i="9"/>
  <c r="O359" i="9"/>
  <c r="P359" i="9" s="1"/>
  <c r="N359" i="9"/>
  <c r="T359" i="9"/>
  <c r="V359" i="9" s="1"/>
  <c r="M359" i="9"/>
  <c r="L359" i="9"/>
  <c r="K359" i="9"/>
  <c r="U347" i="9"/>
  <c r="O347" i="9"/>
  <c r="P347" i="9" s="1"/>
  <c r="N347" i="9"/>
  <c r="T347" i="9"/>
  <c r="V347" i="9" s="1"/>
  <c r="M347" i="9"/>
  <c r="L347" i="9"/>
  <c r="K347" i="9"/>
  <c r="U339" i="9"/>
  <c r="O339" i="9"/>
  <c r="P339" i="9" s="1"/>
  <c r="N339" i="9"/>
  <c r="T339" i="9"/>
  <c r="V339" i="9" s="1"/>
  <c r="M339" i="9"/>
  <c r="L339" i="9"/>
  <c r="K339" i="9"/>
  <c r="U331" i="9"/>
  <c r="O331" i="9"/>
  <c r="P331" i="9" s="1"/>
  <c r="N331" i="9"/>
  <c r="M331" i="9"/>
  <c r="L331" i="9"/>
  <c r="K331" i="9"/>
  <c r="T331" i="9"/>
  <c r="V331" i="9" s="1"/>
  <c r="U323" i="9"/>
  <c r="O323" i="9"/>
  <c r="P323" i="9" s="1"/>
  <c r="N323" i="9"/>
  <c r="T323" i="9"/>
  <c r="V323" i="9" s="1"/>
  <c r="M323" i="9"/>
  <c r="L323" i="9"/>
  <c r="K323" i="9"/>
  <c r="U315" i="9"/>
  <c r="O315" i="9"/>
  <c r="P315" i="9" s="1"/>
  <c r="N315" i="9"/>
  <c r="T315" i="9"/>
  <c r="V315" i="9" s="1"/>
  <c r="M315" i="9"/>
  <c r="L315" i="9"/>
  <c r="K315" i="9"/>
  <c r="U307" i="9"/>
  <c r="O307" i="9"/>
  <c r="P307" i="9" s="1"/>
  <c r="N307" i="9"/>
  <c r="T307" i="9"/>
  <c r="V307" i="9" s="1"/>
  <c r="M307" i="9"/>
  <c r="L307" i="9"/>
  <c r="K307" i="9"/>
  <c r="U299" i="9"/>
  <c r="O299" i="9"/>
  <c r="P299" i="9" s="1"/>
  <c r="N299" i="9"/>
  <c r="M299" i="9"/>
  <c r="L299" i="9"/>
  <c r="T299" i="9"/>
  <c r="V299" i="9" s="1"/>
  <c r="K299" i="9"/>
  <c r="U291" i="9"/>
  <c r="O291" i="9"/>
  <c r="P291" i="9" s="1"/>
  <c r="N291" i="9"/>
  <c r="T291" i="9"/>
  <c r="V291" i="9" s="1"/>
  <c r="M291" i="9"/>
  <c r="L291" i="9"/>
  <c r="K291" i="9"/>
  <c r="U283" i="9"/>
  <c r="T283" i="9"/>
  <c r="V283" i="9" s="1"/>
  <c r="O283" i="9"/>
  <c r="P283" i="9" s="1"/>
  <c r="N283" i="9"/>
  <c r="M283" i="9"/>
  <c r="L283" i="9"/>
  <c r="K283" i="9"/>
  <c r="U275" i="9"/>
  <c r="T275" i="9"/>
  <c r="V275" i="9" s="1"/>
  <c r="O275" i="9"/>
  <c r="P275" i="9" s="1"/>
  <c r="N275" i="9"/>
  <c r="M275" i="9"/>
  <c r="L275" i="9"/>
  <c r="K275" i="9"/>
  <c r="U267" i="9"/>
  <c r="T267" i="9"/>
  <c r="V267" i="9" s="1"/>
  <c r="O267" i="9"/>
  <c r="P267" i="9" s="1"/>
  <c r="N267" i="9"/>
  <c r="M267" i="9"/>
  <c r="L267" i="9"/>
  <c r="K267" i="9"/>
  <c r="U259" i="9"/>
  <c r="T259" i="9"/>
  <c r="V259" i="9" s="1"/>
  <c r="O259" i="9"/>
  <c r="P259" i="9" s="1"/>
  <c r="N259" i="9"/>
  <c r="M259" i="9"/>
  <c r="L259" i="9"/>
  <c r="K259" i="9"/>
  <c r="U251" i="9"/>
  <c r="T251" i="9"/>
  <c r="V251" i="9" s="1"/>
  <c r="O251" i="9"/>
  <c r="P251" i="9" s="1"/>
  <c r="N251" i="9"/>
  <c r="M251" i="9"/>
  <c r="L251" i="9"/>
  <c r="K251" i="9"/>
  <c r="U247" i="9"/>
  <c r="O247" i="9"/>
  <c r="P247" i="9" s="1"/>
  <c r="N247" i="9"/>
  <c r="M247" i="9"/>
  <c r="L247" i="9"/>
  <c r="T247" i="9"/>
  <c r="V247" i="9" s="1"/>
  <c r="K247" i="9"/>
  <c r="U239" i="9"/>
  <c r="O239" i="9"/>
  <c r="P239" i="9" s="1"/>
  <c r="N239" i="9"/>
  <c r="T239" i="9"/>
  <c r="V239" i="9" s="1"/>
  <c r="M239" i="9"/>
  <c r="L239" i="9"/>
  <c r="K239" i="9"/>
  <c r="U227" i="9"/>
  <c r="T227" i="9"/>
  <c r="V227" i="9" s="1"/>
  <c r="O227" i="9"/>
  <c r="P227" i="9" s="1"/>
  <c r="N227" i="9"/>
  <c r="M227" i="9"/>
  <c r="L227" i="9"/>
  <c r="K227" i="9"/>
  <c r="U219" i="9"/>
  <c r="T219" i="9"/>
  <c r="V219" i="9" s="1"/>
  <c r="O219" i="9"/>
  <c r="P219" i="9" s="1"/>
  <c r="N219" i="9"/>
  <c r="M219" i="9"/>
  <c r="L219" i="9"/>
  <c r="K219" i="9"/>
  <c r="U211" i="9"/>
  <c r="T211" i="9"/>
  <c r="V211" i="9" s="1"/>
  <c r="O211" i="9"/>
  <c r="P211" i="9" s="1"/>
  <c r="N211" i="9"/>
  <c r="M211" i="9"/>
  <c r="L211" i="9"/>
  <c r="K211" i="9"/>
  <c r="U203" i="9"/>
  <c r="T203" i="9"/>
  <c r="V203" i="9" s="1"/>
  <c r="O203" i="9"/>
  <c r="P203" i="9" s="1"/>
  <c r="N203" i="9"/>
  <c r="M203" i="9"/>
  <c r="L203" i="9"/>
  <c r="K203" i="9"/>
  <c r="U195" i="9"/>
  <c r="T195" i="9"/>
  <c r="V195" i="9" s="1"/>
  <c r="O195" i="9"/>
  <c r="P195" i="9" s="1"/>
  <c r="N195" i="9"/>
  <c r="M195" i="9"/>
  <c r="L195" i="9"/>
  <c r="K195" i="9"/>
  <c r="U187" i="9"/>
  <c r="T187" i="9"/>
  <c r="V187" i="9" s="1"/>
  <c r="O187" i="9"/>
  <c r="P187" i="9" s="1"/>
  <c r="N187" i="9"/>
  <c r="M187" i="9"/>
  <c r="L187" i="9"/>
  <c r="K187" i="9"/>
  <c r="U183" i="9"/>
  <c r="O183" i="9"/>
  <c r="P183" i="9" s="1"/>
  <c r="N183" i="9"/>
  <c r="M183" i="9"/>
  <c r="L183" i="9"/>
  <c r="T183" i="9"/>
  <c r="V183" i="9" s="1"/>
  <c r="K183" i="9"/>
  <c r="U175" i="9"/>
  <c r="O175" i="9"/>
  <c r="P175" i="9" s="1"/>
  <c r="N175" i="9"/>
  <c r="T175" i="9"/>
  <c r="V175" i="9" s="1"/>
  <c r="M175" i="9"/>
  <c r="L175" i="9"/>
  <c r="K175" i="9"/>
  <c r="U167" i="9"/>
  <c r="O167" i="9"/>
  <c r="P167" i="9" s="1"/>
  <c r="N167" i="9"/>
  <c r="T167" i="9"/>
  <c r="V167" i="9" s="1"/>
  <c r="M167" i="9"/>
  <c r="L167" i="9"/>
  <c r="K167" i="9"/>
  <c r="U159" i="9"/>
  <c r="O159" i="9"/>
  <c r="P159" i="9" s="1"/>
  <c r="N159" i="9"/>
  <c r="T159" i="9"/>
  <c r="V159" i="9" s="1"/>
  <c r="M159" i="9"/>
  <c r="L159" i="9"/>
  <c r="K159" i="9"/>
  <c r="U151" i="9"/>
  <c r="O151" i="9"/>
  <c r="P151" i="9" s="1"/>
  <c r="N151" i="9"/>
  <c r="T151" i="9"/>
  <c r="V151" i="9" s="1"/>
  <c r="M151" i="9"/>
  <c r="L151" i="9"/>
  <c r="K151" i="9"/>
  <c r="U143" i="9"/>
  <c r="O143" i="9"/>
  <c r="P143" i="9" s="1"/>
  <c r="N143" i="9"/>
  <c r="T143" i="9"/>
  <c r="V143" i="9" s="1"/>
  <c r="M143" i="9"/>
  <c r="L143" i="9"/>
  <c r="K143" i="9"/>
  <c r="U135" i="9"/>
  <c r="O135" i="9"/>
  <c r="P135" i="9" s="1"/>
  <c r="N135" i="9"/>
  <c r="T135" i="9"/>
  <c r="V135" i="9" s="1"/>
  <c r="M135" i="9"/>
  <c r="L135" i="9"/>
  <c r="K135" i="9"/>
  <c r="U127" i="9"/>
  <c r="O127" i="9"/>
  <c r="P127" i="9" s="1"/>
  <c r="N127" i="9"/>
  <c r="T127" i="9"/>
  <c r="V127" i="9" s="1"/>
  <c r="M127" i="9"/>
  <c r="L127" i="9"/>
  <c r="K127" i="9"/>
  <c r="U119" i="9"/>
  <c r="O119" i="9"/>
  <c r="P119" i="9" s="1"/>
  <c r="N119" i="9"/>
  <c r="M119" i="9"/>
  <c r="L119" i="9"/>
  <c r="K119" i="9"/>
  <c r="T119" i="9"/>
  <c r="V119" i="9" s="1"/>
  <c r="U111" i="9"/>
  <c r="O111" i="9"/>
  <c r="P111" i="9" s="1"/>
  <c r="N111" i="9"/>
  <c r="T111" i="9"/>
  <c r="V111" i="9" s="1"/>
  <c r="M111" i="9"/>
  <c r="L111" i="9"/>
  <c r="K111" i="9"/>
  <c r="U103" i="9"/>
  <c r="O103" i="9"/>
  <c r="P103" i="9" s="1"/>
  <c r="N103" i="9"/>
  <c r="T103" i="9"/>
  <c r="V103" i="9" s="1"/>
  <c r="M103" i="9"/>
  <c r="L103" i="9"/>
  <c r="K103" i="9"/>
  <c r="U95" i="9"/>
  <c r="O95" i="9"/>
  <c r="P95" i="9" s="1"/>
  <c r="N95" i="9"/>
  <c r="T95" i="9"/>
  <c r="V95" i="9" s="1"/>
  <c r="M95" i="9"/>
  <c r="L95" i="9"/>
  <c r="K95" i="9"/>
  <c r="U87" i="9"/>
  <c r="O87" i="9"/>
  <c r="P87" i="9" s="1"/>
  <c r="N87" i="9"/>
  <c r="T87" i="9"/>
  <c r="V87" i="9" s="1"/>
  <c r="M87" i="9"/>
  <c r="L87" i="9"/>
  <c r="K87" i="9"/>
  <c r="U79" i="9"/>
  <c r="O79" i="9"/>
  <c r="P79" i="9" s="1"/>
  <c r="N79" i="9"/>
  <c r="T79" i="9"/>
  <c r="V79" i="9" s="1"/>
  <c r="M79" i="9"/>
  <c r="L79" i="9"/>
  <c r="K79" i="9"/>
  <c r="U75" i="9"/>
  <c r="T75" i="9"/>
  <c r="V75" i="9" s="1"/>
  <c r="O75" i="9"/>
  <c r="P75" i="9" s="1"/>
  <c r="N75" i="9"/>
  <c r="M75" i="9"/>
  <c r="L75" i="9"/>
  <c r="K75" i="9"/>
  <c r="U67" i="9"/>
  <c r="T67" i="9"/>
  <c r="V67" i="9" s="1"/>
  <c r="O67" i="9"/>
  <c r="P67" i="9" s="1"/>
  <c r="N67" i="9"/>
  <c r="M67" i="9"/>
  <c r="L67" i="9"/>
  <c r="K67" i="9"/>
  <c r="U63" i="9"/>
  <c r="O63" i="9"/>
  <c r="P63" i="9" s="1"/>
  <c r="N63" i="9"/>
  <c r="T63" i="9"/>
  <c r="V63" i="9" s="1"/>
  <c r="M63" i="9"/>
  <c r="L63" i="9"/>
  <c r="K63" i="9"/>
  <c r="U55" i="9"/>
  <c r="O55" i="9"/>
  <c r="P55" i="9" s="1"/>
  <c r="N55" i="9"/>
  <c r="M55" i="9"/>
  <c r="L55" i="9"/>
  <c r="T55" i="9"/>
  <c r="V55" i="9" s="1"/>
  <c r="K55" i="9"/>
  <c r="U43" i="9"/>
  <c r="T43" i="9"/>
  <c r="V43" i="9" s="1"/>
  <c r="O43" i="9"/>
  <c r="P43" i="9" s="1"/>
  <c r="N43" i="9"/>
  <c r="M43" i="9"/>
  <c r="L43" i="9"/>
  <c r="K43" i="9"/>
  <c r="U35" i="9"/>
  <c r="T35" i="9"/>
  <c r="V35" i="9" s="1"/>
  <c r="O35" i="9"/>
  <c r="P35" i="9" s="1"/>
  <c r="N35" i="9"/>
  <c r="M35" i="9"/>
  <c r="L35" i="9"/>
  <c r="K35" i="9"/>
  <c r="U31" i="9"/>
  <c r="O31" i="9"/>
  <c r="P31" i="9" s="1"/>
  <c r="N31" i="9"/>
  <c r="T31" i="9"/>
  <c r="V31" i="9" s="1"/>
  <c r="M31" i="9"/>
  <c r="L31" i="9"/>
  <c r="K31" i="9"/>
  <c r="U23" i="9"/>
  <c r="O23" i="9"/>
  <c r="P23" i="9" s="1"/>
  <c r="N23" i="9"/>
  <c r="T23" i="9"/>
  <c r="V23" i="9" s="1"/>
  <c r="M23" i="9"/>
  <c r="L23" i="9"/>
  <c r="K23" i="9"/>
  <c r="U11" i="9"/>
  <c r="T11" i="9"/>
  <c r="V11" i="9" s="1"/>
  <c r="O11" i="9"/>
  <c r="P11" i="9" s="1"/>
  <c r="N11" i="9"/>
  <c r="M11" i="9"/>
  <c r="L11" i="9"/>
  <c r="K11" i="9"/>
  <c r="I2503" i="9"/>
  <c r="G2503" i="9"/>
  <c r="E2503" i="9"/>
  <c r="D2503" i="9"/>
  <c r="F2503" i="9"/>
  <c r="H2503" i="9"/>
  <c r="B2503" i="9"/>
  <c r="C2503" i="9"/>
  <c r="I2499" i="9"/>
  <c r="G2499" i="9"/>
  <c r="E2499" i="9"/>
  <c r="H2499" i="9"/>
  <c r="F2499" i="9"/>
  <c r="D2499" i="9"/>
  <c r="B2499" i="9"/>
  <c r="C2499" i="9"/>
  <c r="I2495" i="9"/>
  <c r="G2495" i="9"/>
  <c r="H2495" i="9"/>
  <c r="E2495" i="9"/>
  <c r="D2495" i="9"/>
  <c r="F2495" i="9"/>
  <c r="B2495" i="9"/>
  <c r="C2495" i="9"/>
  <c r="I2491" i="9"/>
  <c r="G2491" i="9"/>
  <c r="E2491" i="9"/>
  <c r="D2491" i="9"/>
  <c r="H2491" i="9"/>
  <c r="F2491" i="9"/>
  <c r="B2491" i="9"/>
  <c r="C2491" i="9"/>
  <c r="I2487" i="9"/>
  <c r="G2487" i="9"/>
  <c r="E2487" i="9"/>
  <c r="F2487" i="9"/>
  <c r="D2487" i="9"/>
  <c r="H2487" i="9"/>
  <c r="B2487" i="9"/>
  <c r="C2487" i="9"/>
  <c r="I2483" i="9"/>
  <c r="G2483" i="9"/>
  <c r="E2483" i="9"/>
  <c r="D2483" i="9"/>
  <c r="H2483" i="9"/>
  <c r="F2483" i="9"/>
  <c r="B2483" i="9"/>
  <c r="C2483" i="9"/>
  <c r="I2479" i="9"/>
  <c r="G2479" i="9"/>
  <c r="H2479" i="9"/>
  <c r="E2479" i="9"/>
  <c r="D2479" i="9"/>
  <c r="F2479" i="9"/>
  <c r="B2479" i="9"/>
  <c r="C2479" i="9"/>
  <c r="I2475" i="9"/>
  <c r="G2475" i="9"/>
  <c r="E2475" i="9"/>
  <c r="H2475" i="9"/>
  <c r="F2475" i="9"/>
  <c r="D2475" i="9"/>
  <c r="B2475" i="9"/>
  <c r="C2475" i="9"/>
  <c r="I2471" i="9"/>
  <c r="G2471" i="9"/>
  <c r="E2471" i="9"/>
  <c r="D2471" i="9"/>
  <c r="F2471" i="9"/>
  <c r="H2471" i="9"/>
  <c r="B2471" i="9"/>
  <c r="C2471" i="9"/>
  <c r="I2467" i="9"/>
  <c r="G2467" i="9"/>
  <c r="E2467" i="9"/>
  <c r="D2467" i="9"/>
  <c r="H2467" i="9"/>
  <c r="F2467" i="9"/>
  <c r="B2467" i="9"/>
  <c r="C2467" i="9"/>
  <c r="I2463" i="9"/>
  <c r="G2463" i="9"/>
  <c r="H2463" i="9"/>
  <c r="E2463" i="9"/>
  <c r="F2463" i="9"/>
  <c r="D2463" i="9"/>
  <c r="B2463" i="9"/>
  <c r="C2463" i="9"/>
  <c r="I2459" i="9"/>
  <c r="G2459" i="9"/>
  <c r="E2459" i="9"/>
  <c r="D2459" i="9"/>
  <c r="H2459" i="9"/>
  <c r="F2459" i="9"/>
  <c r="B2459" i="9"/>
  <c r="C2459" i="9"/>
  <c r="I2455" i="9"/>
  <c r="G2455" i="9"/>
  <c r="E2455" i="9"/>
  <c r="D2455" i="9"/>
  <c r="F2455" i="9"/>
  <c r="H2455" i="9"/>
  <c r="B2455" i="9"/>
  <c r="C2455" i="9"/>
  <c r="I2451" i="9"/>
  <c r="G2451" i="9"/>
  <c r="E2451" i="9"/>
  <c r="H2451" i="9"/>
  <c r="F2451" i="9"/>
  <c r="D2451" i="9"/>
  <c r="B2451" i="9"/>
  <c r="C2451" i="9"/>
  <c r="I2447" i="9"/>
  <c r="G2447" i="9"/>
  <c r="H2447" i="9"/>
  <c r="E2447" i="9"/>
  <c r="D2447" i="9"/>
  <c r="F2447" i="9"/>
  <c r="B2447" i="9"/>
  <c r="C2447" i="9"/>
  <c r="I2443" i="9"/>
  <c r="G2443" i="9"/>
  <c r="E2443" i="9"/>
  <c r="D2443" i="9"/>
  <c r="H2443" i="9"/>
  <c r="F2443" i="9"/>
  <c r="B2443" i="9"/>
  <c r="C2443" i="9"/>
  <c r="I2439" i="9"/>
  <c r="G2439" i="9"/>
  <c r="E2439" i="9"/>
  <c r="F2439" i="9"/>
  <c r="D2439" i="9"/>
  <c r="H2439" i="9"/>
  <c r="B2439" i="9"/>
  <c r="C2439" i="9"/>
  <c r="I2435" i="9"/>
  <c r="G2435" i="9"/>
  <c r="E2435" i="9"/>
  <c r="D2435" i="9"/>
  <c r="H2435" i="9"/>
  <c r="F2435" i="9"/>
  <c r="B2435" i="9"/>
  <c r="C2435" i="9"/>
  <c r="I2431" i="9"/>
  <c r="G2431" i="9"/>
  <c r="H2431" i="9"/>
  <c r="E2431" i="9"/>
  <c r="F2431" i="9"/>
  <c r="D2431" i="9"/>
  <c r="B2431" i="9"/>
  <c r="C2431" i="9"/>
  <c r="I2427" i="9"/>
  <c r="G2427" i="9"/>
  <c r="E2427" i="9"/>
  <c r="D2427" i="9"/>
  <c r="H2427" i="9"/>
  <c r="F2427" i="9"/>
  <c r="B2427" i="9"/>
  <c r="C2427" i="9"/>
  <c r="I2423" i="9"/>
  <c r="G2423" i="9"/>
  <c r="E2423" i="9"/>
  <c r="D2423" i="9"/>
  <c r="F2423" i="9"/>
  <c r="H2423" i="9"/>
  <c r="B2423" i="9"/>
  <c r="C2423" i="9"/>
  <c r="I2419" i="9"/>
  <c r="G2419" i="9"/>
  <c r="E2419" i="9"/>
  <c r="H2419" i="9"/>
  <c r="F2419" i="9"/>
  <c r="D2419" i="9"/>
  <c r="B2419" i="9"/>
  <c r="C2419" i="9"/>
  <c r="I2415" i="9"/>
  <c r="G2415" i="9"/>
  <c r="H2415" i="9"/>
  <c r="E2415" i="9"/>
  <c r="D2415" i="9"/>
  <c r="F2415" i="9"/>
  <c r="B2415" i="9"/>
  <c r="C2415" i="9"/>
  <c r="I2411" i="9"/>
  <c r="G2411" i="9"/>
  <c r="E2411" i="9"/>
  <c r="D2411" i="9"/>
  <c r="H2411" i="9"/>
  <c r="F2411" i="9"/>
  <c r="B2411" i="9"/>
  <c r="C2411" i="9"/>
  <c r="I2407" i="9"/>
  <c r="G2407" i="9"/>
  <c r="E2407" i="9"/>
  <c r="F2407" i="9"/>
  <c r="D2407" i="9"/>
  <c r="H2407" i="9"/>
  <c r="B2407" i="9"/>
  <c r="C2407" i="9"/>
  <c r="I2403" i="9"/>
  <c r="G2403" i="9"/>
  <c r="E2403" i="9"/>
  <c r="D2403" i="9"/>
  <c r="H2403" i="9"/>
  <c r="F2403" i="9"/>
  <c r="B2403" i="9"/>
  <c r="C2403" i="9"/>
  <c r="I2399" i="9"/>
  <c r="G2399" i="9"/>
  <c r="H2399" i="9"/>
  <c r="E2399" i="9"/>
  <c r="F2399" i="9"/>
  <c r="D2399" i="9"/>
  <c r="B2399" i="9"/>
  <c r="C2399" i="9"/>
  <c r="I2395" i="9"/>
  <c r="G2395" i="9"/>
  <c r="E2395" i="9"/>
  <c r="D2395" i="9"/>
  <c r="H2395" i="9"/>
  <c r="F2395" i="9"/>
  <c r="B2395" i="9"/>
  <c r="C2395" i="9"/>
  <c r="I2391" i="9"/>
  <c r="G2391" i="9"/>
  <c r="E2391" i="9"/>
  <c r="F2391" i="9"/>
  <c r="D2391" i="9"/>
  <c r="H2391" i="9"/>
  <c r="B2391" i="9"/>
  <c r="C2391" i="9"/>
  <c r="I2387" i="9"/>
  <c r="G2387" i="9"/>
  <c r="E2387" i="9"/>
  <c r="D2387" i="9"/>
  <c r="H2387" i="9"/>
  <c r="F2387" i="9"/>
  <c r="B2387" i="9"/>
  <c r="C2387" i="9"/>
  <c r="I2383" i="9"/>
  <c r="G2383" i="9"/>
  <c r="H2383" i="9"/>
  <c r="E2383" i="9"/>
  <c r="F2383" i="9"/>
  <c r="D2383" i="9"/>
  <c r="B2383" i="9"/>
  <c r="C2383" i="9"/>
  <c r="I2379" i="9"/>
  <c r="G2379" i="9"/>
  <c r="E2379" i="9"/>
  <c r="D2379" i="9"/>
  <c r="H2379" i="9"/>
  <c r="F2379" i="9"/>
  <c r="B2379" i="9"/>
  <c r="C2379" i="9"/>
  <c r="I2375" i="9"/>
  <c r="G2375" i="9"/>
  <c r="E2375" i="9"/>
  <c r="D2375" i="9"/>
  <c r="F2375" i="9"/>
  <c r="H2375" i="9"/>
  <c r="B2375" i="9"/>
  <c r="C2375" i="9"/>
  <c r="I2371" i="9"/>
  <c r="G2371" i="9"/>
  <c r="E2371" i="9"/>
  <c r="H2371" i="9"/>
  <c r="F2371" i="9"/>
  <c r="D2371" i="9"/>
  <c r="B2371" i="9"/>
  <c r="C2371" i="9"/>
  <c r="I2367" i="9"/>
  <c r="G2367" i="9"/>
  <c r="H2367" i="9"/>
  <c r="E2367" i="9"/>
  <c r="D2367" i="9"/>
  <c r="F2367" i="9"/>
  <c r="B2367" i="9"/>
  <c r="C2367" i="9"/>
  <c r="I2363" i="9"/>
  <c r="G2363" i="9"/>
  <c r="E2363" i="9"/>
  <c r="D2363" i="9"/>
  <c r="H2363" i="9"/>
  <c r="F2363" i="9"/>
  <c r="B2363" i="9"/>
  <c r="C2363" i="9"/>
  <c r="I2359" i="9"/>
  <c r="G2359" i="9"/>
  <c r="E2359" i="9"/>
  <c r="F2359" i="9"/>
  <c r="D2359" i="9"/>
  <c r="H2359" i="9"/>
  <c r="B2359" i="9"/>
  <c r="C2359" i="9"/>
  <c r="I2355" i="9"/>
  <c r="G2355" i="9"/>
  <c r="E2355" i="9"/>
  <c r="D2355" i="9"/>
  <c r="H2355" i="9"/>
  <c r="F2355" i="9"/>
  <c r="B2355" i="9"/>
  <c r="C2355" i="9"/>
  <c r="I2351" i="9"/>
  <c r="G2351" i="9"/>
  <c r="H2351" i="9"/>
  <c r="E2351" i="9"/>
  <c r="D2351" i="9"/>
  <c r="F2351" i="9"/>
  <c r="B2351" i="9"/>
  <c r="C2351" i="9"/>
  <c r="I2347" i="9"/>
  <c r="G2347" i="9"/>
  <c r="E2347" i="9"/>
  <c r="H2347" i="9"/>
  <c r="F2347" i="9"/>
  <c r="D2347" i="9"/>
  <c r="B2347" i="9"/>
  <c r="C2347" i="9"/>
  <c r="I2343" i="9"/>
  <c r="G2343" i="9"/>
  <c r="E2343" i="9"/>
  <c r="D2343" i="9"/>
  <c r="F2343" i="9"/>
  <c r="H2343" i="9"/>
  <c r="B2343" i="9"/>
  <c r="C2343" i="9"/>
  <c r="I2339" i="9"/>
  <c r="G2339" i="9"/>
  <c r="E2339" i="9"/>
  <c r="H2339" i="9"/>
  <c r="F2339" i="9"/>
  <c r="D2339" i="9"/>
  <c r="B2339" i="9"/>
  <c r="C2339" i="9"/>
  <c r="I2335" i="9"/>
  <c r="G2335" i="9"/>
  <c r="H2335" i="9"/>
  <c r="E2335" i="9"/>
  <c r="D2335" i="9"/>
  <c r="F2335" i="9"/>
  <c r="B2335" i="9"/>
  <c r="C2335" i="9"/>
  <c r="I2331" i="9"/>
  <c r="G2331" i="9"/>
  <c r="E2331" i="9"/>
  <c r="D2331" i="9"/>
  <c r="H2331" i="9"/>
  <c r="F2331" i="9"/>
  <c r="B2331" i="9"/>
  <c r="C2331" i="9"/>
  <c r="I2327" i="9"/>
  <c r="G2327" i="9"/>
  <c r="E2327" i="9"/>
  <c r="F2327" i="9"/>
  <c r="D2327" i="9"/>
  <c r="H2327" i="9"/>
  <c r="B2327" i="9"/>
  <c r="C2327" i="9"/>
  <c r="I2323" i="9"/>
  <c r="G2323" i="9"/>
  <c r="E2323" i="9"/>
  <c r="D2323" i="9"/>
  <c r="H2323" i="9"/>
  <c r="F2323" i="9"/>
  <c r="B2323" i="9"/>
  <c r="C2323" i="9"/>
  <c r="I2319" i="9"/>
  <c r="G2319" i="9"/>
  <c r="H2319" i="9"/>
  <c r="E2319" i="9"/>
  <c r="F2319" i="9"/>
  <c r="D2319" i="9"/>
  <c r="B2319" i="9"/>
  <c r="C2319" i="9"/>
  <c r="I2315" i="9"/>
  <c r="G2315" i="9"/>
  <c r="E2315" i="9"/>
  <c r="D2315" i="9"/>
  <c r="H2315" i="9"/>
  <c r="F2315" i="9"/>
  <c r="B2315" i="9"/>
  <c r="C2315" i="9"/>
  <c r="I2311" i="9"/>
  <c r="G2311" i="9"/>
  <c r="E2311" i="9"/>
  <c r="F2311" i="9"/>
  <c r="D2311" i="9"/>
  <c r="H2311" i="9"/>
  <c r="B2311" i="9"/>
  <c r="C2311" i="9"/>
  <c r="I2307" i="9"/>
  <c r="G2307" i="9"/>
  <c r="E2307" i="9"/>
  <c r="D2307" i="9"/>
  <c r="H2307" i="9"/>
  <c r="F2307" i="9"/>
  <c r="B2307" i="9"/>
  <c r="C2307" i="9"/>
  <c r="I2303" i="9"/>
  <c r="G2303" i="9"/>
  <c r="H2303" i="9"/>
  <c r="E2303" i="9"/>
  <c r="D2303" i="9"/>
  <c r="F2303" i="9"/>
  <c r="B2303" i="9"/>
  <c r="C2303" i="9"/>
  <c r="I2299" i="9"/>
  <c r="G2299" i="9"/>
  <c r="E2299" i="9"/>
  <c r="H2299" i="9"/>
  <c r="F2299" i="9"/>
  <c r="D2299" i="9"/>
  <c r="B2299" i="9"/>
  <c r="C2299" i="9"/>
  <c r="I2295" i="9"/>
  <c r="G2295" i="9"/>
  <c r="E2295" i="9"/>
  <c r="D2295" i="9"/>
  <c r="F2295" i="9"/>
  <c r="H2295" i="9"/>
  <c r="B2295" i="9"/>
  <c r="C2295" i="9"/>
  <c r="I2291" i="9"/>
  <c r="G2291" i="9"/>
  <c r="E2291" i="9"/>
  <c r="D2291" i="9"/>
  <c r="H2291" i="9"/>
  <c r="F2291" i="9"/>
  <c r="B2291" i="9"/>
  <c r="C2291" i="9"/>
  <c r="I2287" i="9"/>
  <c r="G2287" i="9"/>
  <c r="H2287" i="9"/>
  <c r="E2287" i="9"/>
  <c r="F2287" i="9"/>
  <c r="D2287" i="9"/>
  <c r="B2287" i="9"/>
  <c r="C2287" i="9"/>
  <c r="I2283" i="9"/>
  <c r="G2283" i="9"/>
  <c r="E2283" i="9"/>
  <c r="D2283" i="9"/>
  <c r="H2283" i="9"/>
  <c r="F2283" i="9"/>
  <c r="B2283" i="9"/>
  <c r="C2283" i="9"/>
  <c r="I2279" i="9"/>
  <c r="G2279" i="9"/>
  <c r="E2279" i="9"/>
  <c r="D2279" i="9"/>
  <c r="F2279" i="9"/>
  <c r="H2279" i="9"/>
  <c r="B2279" i="9"/>
  <c r="C2279" i="9"/>
  <c r="I2275" i="9"/>
  <c r="G2275" i="9"/>
  <c r="E2275" i="9"/>
  <c r="H2275" i="9"/>
  <c r="F2275" i="9"/>
  <c r="D2275" i="9"/>
  <c r="B2275" i="9"/>
  <c r="C2275" i="9"/>
  <c r="I2271" i="9"/>
  <c r="G2271" i="9"/>
  <c r="H2271" i="9"/>
  <c r="E2271" i="9"/>
  <c r="D2271" i="9"/>
  <c r="F2271" i="9"/>
  <c r="B2271" i="9"/>
  <c r="C2271" i="9"/>
  <c r="I2267" i="9"/>
  <c r="G2267" i="9"/>
  <c r="E2267" i="9"/>
  <c r="D2267" i="9"/>
  <c r="H2267" i="9"/>
  <c r="F2267" i="9"/>
  <c r="B2267" i="9"/>
  <c r="C2267" i="9"/>
  <c r="I2263" i="9"/>
  <c r="G2263" i="9"/>
  <c r="E2263" i="9"/>
  <c r="F2263" i="9"/>
  <c r="D2263" i="9"/>
  <c r="H2263" i="9"/>
  <c r="B2263" i="9"/>
  <c r="C2263" i="9"/>
  <c r="I2259" i="9"/>
  <c r="G2259" i="9"/>
  <c r="E2259" i="9"/>
  <c r="D2259" i="9"/>
  <c r="H2259" i="9"/>
  <c r="F2259" i="9"/>
  <c r="B2259" i="9"/>
  <c r="C2259" i="9"/>
  <c r="I2255" i="9"/>
  <c r="G2255" i="9"/>
  <c r="H2255" i="9"/>
  <c r="E2255" i="9"/>
  <c r="D2255" i="9"/>
  <c r="F2255" i="9"/>
  <c r="B2255" i="9"/>
  <c r="C2255" i="9"/>
  <c r="I2251" i="9"/>
  <c r="G2251" i="9"/>
  <c r="E2251" i="9"/>
  <c r="H2251" i="9"/>
  <c r="F2251" i="9"/>
  <c r="D2251" i="9"/>
  <c r="B2251" i="9"/>
  <c r="C2251" i="9"/>
  <c r="I2247" i="9"/>
  <c r="G2247" i="9"/>
  <c r="E2247" i="9"/>
  <c r="D2247" i="9"/>
  <c r="F2247" i="9"/>
  <c r="H2247" i="9"/>
  <c r="B2247" i="9"/>
  <c r="C2247" i="9"/>
  <c r="I2243" i="9"/>
  <c r="G2243" i="9"/>
  <c r="E2243" i="9"/>
  <c r="H2243" i="9"/>
  <c r="F2243" i="9"/>
  <c r="D2243" i="9"/>
  <c r="B2243" i="9"/>
  <c r="C2243" i="9"/>
  <c r="I2239" i="9"/>
  <c r="G2239" i="9"/>
  <c r="H2239" i="9"/>
  <c r="E2239" i="9"/>
  <c r="D2239" i="9"/>
  <c r="F2239" i="9"/>
  <c r="B2239" i="9"/>
  <c r="C2239" i="9"/>
  <c r="I2235" i="9"/>
  <c r="G2235" i="9"/>
  <c r="E2235" i="9"/>
  <c r="H2235" i="9"/>
  <c r="F2235" i="9"/>
  <c r="D2235" i="9"/>
  <c r="B2235" i="9"/>
  <c r="C2235" i="9"/>
  <c r="I2231" i="9"/>
  <c r="G2231" i="9"/>
  <c r="E2231" i="9"/>
  <c r="D2231" i="9"/>
  <c r="F2231" i="9"/>
  <c r="H2231" i="9"/>
  <c r="B2231" i="9"/>
  <c r="C2231" i="9"/>
  <c r="I2227" i="9"/>
  <c r="G2227" i="9"/>
  <c r="E2227" i="9"/>
  <c r="H2227" i="9"/>
  <c r="F2227" i="9"/>
  <c r="D2227" i="9"/>
  <c r="B2227" i="9"/>
  <c r="C2227" i="9"/>
  <c r="I2223" i="9"/>
  <c r="G2223" i="9"/>
  <c r="H2223" i="9"/>
  <c r="E2223" i="9"/>
  <c r="D2223" i="9"/>
  <c r="F2223" i="9"/>
  <c r="B2223" i="9"/>
  <c r="C2223" i="9"/>
  <c r="I2219" i="9"/>
  <c r="G2219" i="9"/>
  <c r="E2219" i="9"/>
  <c r="H2219" i="9"/>
  <c r="F2219" i="9"/>
  <c r="D2219" i="9"/>
  <c r="B2219" i="9"/>
  <c r="C2219" i="9"/>
  <c r="I2215" i="9"/>
  <c r="G2215" i="9"/>
  <c r="E2215" i="9"/>
  <c r="D2215" i="9"/>
  <c r="F2215" i="9"/>
  <c r="H2215" i="9"/>
  <c r="B2215" i="9"/>
  <c r="C2215" i="9"/>
  <c r="I2211" i="9"/>
  <c r="G2211" i="9"/>
  <c r="E2211" i="9"/>
  <c r="H2211" i="9"/>
  <c r="F2211" i="9"/>
  <c r="D2211" i="9"/>
  <c r="B2211" i="9"/>
  <c r="C2211" i="9"/>
  <c r="I2207" i="9"/>
  <c r="G2207" i="9"/>
  <c r="H2207" i="9"/>
  <c r="E2207" i="9"/>
  <c r="D2207" i="9"/>
  <c r="F2207" i="9"/>
  <c r="B2207" i="9"/>
  <c r="C2207" i="9"/>
  <c r="I2203" i="9"/>
  <c r="G2203" i="9"/>
  <c r="E2203" i="9"/>
  <c r="D2203" i="9"/>
  <c r="H2203" i="9"/>
  <c r="F2203" i="9"/>
  <c r="B2203" i="9"/>
  <c r="C2203" i="9"/>
  <c r="I2199" i="9"/>
  <c r="G2199" i="9"/>
  <c r="E2199" i="9"/>
  <c r="F2199" i="9"/>
  <c r="D2199" i="9"/>
  <c r="H2199" i="9"/>
  <c r="B2199" i="9"/>
  <c r="C2199" i="9"/>
  <c r="I2195" i="9"/>
  <c r="G2195" i="9"/>
  <c r="E2195" i="9"/>
  <c r="D2195" i="9"/>
  <c r="H2195" i="9"/>
  <c r="F2195" i="9"/>
  <c r="B2195" i="9"/>
  <c r="C2195" i="9"/>
  <c r="I2191" i="9"/>
  <c r="G2191" i="9"/>
  <c r="H2191" i="9"/>
  <c r="E2191" i="9"/>
  <c r="D2191" i="9"/>
  <c r="F2191" i="9"/>
  <c r="B2191" i="9"/>
  <c r="C2191" i="9"/>
  <c r="I2187" i="9"/>
  <c r="G2187" i="9"/>
  <c r="E2187" i="9"/>
  <c r="H2187" i="9"/>
  <c r="F2187" i="9"/>
  <c r="D2187" i="9"/>
  <c r="B2187" i="9"/>
  <c r="C2187" i="9"/>
  <c r="I2183" i="9"/>
  <c r="G2183" i="9"/>
  <c r="E2183" i="9"/>
  <c r="D2183" i="9"/>
  <c r="F2183" i="9"/>
  <c r="H2183" i="9"/>
  <c r="B2183" i="9"/>
  <c r="C2183" i="9"/>
  <c r="I2179" i="9"/>
  <c r="G2179" i="9"/>
  <c r="E2179" i="9"/>
  <c r="H2179" i="9"/>
  <c r="F2179" i="9"/>
  <c r="D2179" i="9"/>
  <c r="B2179" i="9"/>
  <c r="C2179" i="9"/>
  <c r="I2175" i="9"/>
  <c r="G2175" i="9"/>
  <c r="H2175" i="9"/>
  <c r="E2175" i="9"/>
  <c r="D2175" i="9"/>
  <c r="F2175" i="9"/>
  <c r="B2175" i="9"/>
  <c r="C2175" i="9"/>
  <c r="I2171" i="9"/>
  <c r="G2171" i="9"/>
  <c r="E2171" i="9"/>
  <c r="D2171" i="9"/>
  <c r="H2171" i="9"/>
  <c r="F2171" i="9"/>
  <c r="B2171" i="9"/>
  <c r="C2171" i="9"/>
  <c r="I2167" i="9"/>
  <c r="G2167" i="9"/>
  <c r="E2167" i="9"/>
  <c r="F2167" i="9"/>
  <c r="D2167" i="9"/>
  <c r="H2167" i="9"/>
  <c r="B2167" i="9"/>
  <c r="C2167" i="9"/>
  <c r="I2163" i="9"/>
  <c r="G2163" i="9"/>
  <c r="E2163" i="9"/>
  <c r="D2163" i="9"/>
  <c r="H2163" i="9"/>
  <c r="F2163" i="9"/>
  <c r="B2163" i="9"/>
  <c r="C2163" i="9"/>
  <c r="I2159" i="9"/>
  <c r="G2159" i="9"/>
  <c r="H2159" i="9"/>
  <c r="E2159" i="9"/>
  <c r="F2159" i="9"/>
  <c r="D2159" i="9"/>
  <c r="B2159" i="9"/>
  <c r="C2159" i="9"/>
  <c r="I2155" i="9"/>
  <c r="G2155" i="9"/>
  <c r="E2155" i="9"/>
  <c r="D2155" i="9"/>
  <c r="H2155" i="9"/>
  <c r="F2155" i="9"/>
  <c r="B2155" i="9"/>
  <c r="C2155" i="9"/>
  <c r="I2151" i="9"/>
  <c r="G2151" i="9"/>
  <c r="E2151" i="9"/>
  <c r="F2151" i="9"/>
  <c r="D2151" i="9"/>
  <c r="H2151" i="9"/>
  <c r="B2151" i="9"/>
  <c r="C2151" i="9"/>
  <c r="I2147" i="9"/>
  <c r="G2147" i="9"/>
  <c r="E2147" i="9"/>
  <c r="D2147" i="9"/>
  <c r="H2147" i="9"/>
  <c r="F2147" i="9"/>
  <c r="B2147" i="9"/>
  <c r="C2147" i="9"/>
  <c r="I2143" i="9"/>
  <c r="G2143" i="9"/>
  <c r="H2143" i="9"/>
  <c r="E2143" i="9"/>
  <c r="F2143" i="9"/>
  <c r="D2143" i="9"/>
  <c r="B2143" i="9"/>
  <c r="C2143" i="9"/>
  <c r="I2139" i="9"/>
  <c r="G2139" i="9"/>
  <c r="E2139" i="9"/>
  <c r="D2139" i="9"/>
  <c r="H2139" i="9"/>
  <c r="F2139" i="9"/>
  <c r="B2139" i="9"/>
  <c r="C2139" i="9"/>
  <c r="I2135" i="9"/>
  <c r="G2135" i="9"/>
  <c r="E2135" i="9"/>
  <c r="D2135" i="9"/>
  <c r="F2135" i="9"/>
  <c r="H2135" i="9"/>
  <c r="B2135" i="9"/>
  <c r="C2135" i="9"/>
  <c r="I2131" i="9"/>
  <c r="G2131" i="9"/>
  <c r="E2131" i="9"/>
  <c r="H2131" i="9"/>
  <c r="F2131" i="9"/>
  <c r="D2131" i="9"/>
  <c r="B2131" i="9"/>
  <c r="C2131" i="9"/>
  <c r="I2127" i="9"/>
  <c r="G2127" i="9"/>
  <c r="H2127" i="9"/>
  <c r="E2127" i="9"/>
  <c r="D2127" i="9"/>
  <c r="F2127" i="9"/>
  <c r="B2127" i="9"/>
  <c r="C2127" i="9"/>
  <c r="I2123" i="9"/>
  <c r="G2123" i="9"/>
  <c r="E2123" i="9"/>
  <c r="D2123" i="9"/>
  <c r="H2123" i="9"/>
  <c r="F2123" i="9"/>
  <c r="B2123" i="9"/>
  <c r="C2123" i="9"/>
  <c r="I2119" i="9"/>
  <c r="G2119" i="9"/>
  <c r="E2119" i="9"/>
  <c r="F2119" i="9"/>
  <c r="D2119" i="9"/>
  <c r="H2119" i="9"/>
  <c r="B2119" i="9"/>
  <c r="C2119" i="9"/>
  <c r="I2115" i="9"/>
  <c r="G2115" i="9"/>
  <c r="E2115" i="9"/>
  <c r="D2115" i="9"/>
  <c r="H2115" i="9"/>
  <c r="F2115" i="9"/>
  <c r="B2115" i="9"/>
  <c r="C2115" i="9"/>
  <c r="I2111" i="9"/>
  <c r="G2111" i="9"/>
  <c r="H2111" i="9"/>
  <c r="E2111" i="9"/>
  <c r="D2111" i="9"/>
  <c r="F2111" i="9"/>
  <c r="B2111" i="9"/>
  <c r="C2111" i="9"/>
  <c r="I2107" i="9"/>
  <c r="G2107" i="9"/>
  <c r="E2107" i="9"/>
  <c r="H2107" i="9"/>
  <c r="F2107" i="9"/>
  <c r="D2107" i="9"/>
  <c r="B2107" i="9"/>
  <c r="C2107" i="9"/>
  <c r="I2103" i="9"/>
  <c r="G2103" i="9"/>
  <c r="E2103" i="9"/>
  <c r="D2103" i="9"/>
  <c r="F2103" i="9"/>
  <c r="H2103" i="9"/>
  <c r="B2103" i="9"/>
  <c r="C2103" i="9"/>
  <c r="I2099" i="9"/>
  <c r="G2099" i="9"/>
  <c r="E2099" i="9"/>
  <c r="D2099" i="9"/>
  <c r="H2099" i="9"/>
  <c r="F2099" i="9"/>
  <c r="B2099" i="9"/>
  <c r="C2099" i="9"/>
  <c r="I2095" i="9"/>
  <c r="G2095" i="9"/>
  <c r="H2095" i="9"/>
  <c r="E2095" i="9"/>
  <c r="F2095" i="9"/>
  <c r="D2095" i="9"/>
  <c r="B2095" i="9"/>
  <c r="C2095" i="9"/>
  <c r="I2091" i="9"/>
  <c r="G2091" i="9"/>
  <c r="E2091" i="9"/>
  <c r="D2091" i="9"/>
  <c r="H2091" i="9"/>
  <c r="F2091" i="9"/>
  <c r="B2091" i="9"/>
  <c r="C2091" i="9"/>
  <c r="I2087" i="9"/>
  <c r="G2087" i="9"/>
  <c r="E2087" i="9"/>
  <c r="D2087" i="9"/>
  <c r="F2087" i="9"/>
  <c r="H2087" i="9"/>
  <c r="B2087" i="9"/>
  <c r="C2087" i="9"/>
  <c r="I2083" i="9"/>
  <c r="G2083" i="9"/>
  <c r="E2083" i="9"/>
  <c r="H2083" i="9"/>
  <c r="F2083" i="9"/>
  <c r="D2083" i="9"/>
  <c r="B2083" i="9"/>
  <c r="C2083" i="9"/>
  <c r="I2079" i="9"/>
  <c r="G2079" i="9"/>
  <c r="H2079" i="9"/>
  <c r="E2079" i="9"/>
  <c r="D2079" i="9"/>
  <c r="F2079" i="9"/>
  <c r="B2079" i="9"/>
  <c r="C2079" i="9"/>
  <c r="I2075" i="9"/>
  <c r="G2075" i="9"/>
  <c r="E2075" i="9"/>
  <c r="D2075" i="9"/>
  <c r="H2075" i="9"/>
  <c r="F2075" i="9"/>
  <c r="B2075" i="9"/>
  <c r="C2075" i="9"/>
  <c r="I2071" i="9"/>
  <c r="G2071" i="9"/>
  <c r="E2071" i="9"/>
  <c r="F2071" i="9"/>
  <c r="D2071" i="9"/>
  <c r="H2071" i="9"/>
  <c r="B2071" i="9"/>
  <c r="C2071" i="9"/>
  <c r="I2067" i="9"/>
  <c r="G2067" i="9"/>
  <c r="E2067" i="9"/>
  <c r="D2067" i="9"/>
  <c r="H2067" i="9"/>
  <c r="F2067" i="9"/>
  <c r="B2067" i="9"/>
  <c r="C2067" i="9"/>
  <c r="I2063" i="9"/>
  <c r="G2063" i="9"/>
  <c r="H2063" i="9"/>
  <c r="E2063" i="9"/>
  <c r="D2063" i="9"/>
  <c r="F2063" i="9"/>
  <c r="B2063" i="9"/>
  <c r="C2063" i="9"/>
  <c r="I2059" i="9"/>
  <c r="G2059" i="9"/>
  <c r="E2059" i="9"/>
  <c r="H2059" i="9"/>
  <c r="F2059" i="9"/>
  <c r="D2059" i="9"/>
  <c r="B2059" i="9"/>
  <c r="C2059" i="9"/>
  <c r="I2055" i="9"/>
  <c r="G2055" i="9"/>
  <c r="E2055" i="9"/>
  <c r="D2055" i="9"/>
  <c r="F2055" i="9"/>
  <c r="H2055" i="9"/>
  <c r="B2055" i="9"/>
  <c r="C2055" i="9"/>
  <c r="I2051" i="9"/>
  <c r="G2051" i="9"/>
  <c r="E2051" i="9"/>
  <c r="D2051" i="9"/>
  <c r="H2051" i="9"/>
  <c r="F2051" i="9"/>
  <c r="B2051" i="9"/>
  <c r="C2051" i="9"/>
  <c r="I2047" i="9"/>
  <c r="G2047" i="9"/>
  <c r="H2047" i="9"/>
  <c r="E2047" i="9"/>
  <c r="F2047" i="9"/>
  <c r="D2047" i="9"/>
  <c r="B2047" i="9"/>
  <c r="C2047" i="9"/>
  <c r="I2043" i="9"/>
  <c r="G2043" i="9"/>
  <c r="E2043" i="9"/>
  <c r="D2043" i="9"/>
  <c r="H2043" i="9"/>
  <c r="F2043" i="9"/>
  <c r="B2043" i="9"/>
  <c r="C2043" i="9"/>
  <c r="I2039" i="9"/>
  <c r="G2039" i="9"/>
  <c r="E2039" i="9"/>
  <c r="D2039" i="9"/>
  <c r="F2039" i="9"/>
  <c r="H2039" i="9"/>
  <c r="B2039" i="9"/>
  <c r="C2039" i="9"/>
  <c r="I2035" i="9"/>
  <c r="G2035" i="9"/>
  <c r="E2035" i="9"/>
  <c r="H2035" i="9"/>
  <c r="F2035" i="9"/>
  <c r="D2035" i="9"/>
  <c r="B2035" i="9"/>
  <c r="C2035" i="9"/>
  <c r="I2031" i="9"/>
  <c r="G2031" i="9"/>
  <c r="H2031" i="9"/>
  <c r="E2031" i="9"/>
  <c r="D2031" i="9"/>
  <c r="F2031" i="9"/>
  <c r="B2031" i="9"/>
  <c r="C2031" i="9"/>
  <c r="I2027" i="9"/>
  <c r="G2027" i="9"/>
  <c r="E2027" i="9"/>
  <c r="D2027" i="9"/>
  <c r="H2027" i="9"/>
  <c r="F2027" i="9"/>
  <c r="B2027" i="9"/>
  <c r="C2027" i="9"/>
  <c r="I2023" i="9"/>
  <c r="G2023" i="9"/>
  <c r="E2023" i="9"/>
  <c r="F2023" i="9"/>
  <c r="D2023" i="9"/>
  <c r="H2023" i="9"/>
  <c r="B2023" i="9"/>
  <c r="C2023" i="9"/>
  <c r="I2019" i="9"/>
  <c r="G2019" i="9"/>
  <c r="E2019" i="9"/>
  <c r="D2019" i="9"/>
  <c r="H2019" i="9"/>
  <c r="F2019" i="9"/>
  <c r="B2019" i="9"/>
  <c r="C2019" i="9"/>
  <c r="I2015" i="9"/>
  <c r="G2015" i="9"/>
  <c r="H2015" i="9"/>
  <c r="E2015" i="9"/>
  <c r="F2015" i="9"/>
  <c r="D2015" i="9"/>
  <c r="B2015" i="9"/>
  <c r="C2015" i="9"/>
  <c r="I2011" i="9"/>
  <c r="G2011" i="9"/>
  <c r="E2011" i="9"/>
  <c r="D2011" i="9"/>
  <c r="H2011" i="9"/>
  <c r="F2011" i="9"/>
  <c r="B2011" i="9"/>
  <c r="C2011" i="9"/>
  <c r="I2007" i="9"/>
  <c r="G2007" i="9"/>
  <c r="E2007" i="9"/>
  <c r="D2007" i="9"/>
  <c r="F2007" i="9"/>
  <c r="H2007" i="9"/>
  <c r="C2007" i="9"/>
  <c r="B2007" i="9"/>
  <c r="I2003" i="9"/>
  <c r="G2003" i="9"/>
  <c r="E2003" i="9"/>
  <c r="H2003" i="9"/>
  <c r="F2003" i="9"/>
  <c r="D2003" i="9"/>
  <c r="B2003" i="9"/>
  <c r="C2003" i="9"/>
  <c r="I1999" i="9"/>
  <c r="G1999" i="9"/>
  <c r="H1999" i="9"/>
  <c r="E1999" i="9"/>
  <c r="D1999" i="9"/>
  <c r="F1999" i="9"/>
  <c r="C1999" i="9"/>
  <c r="B1999" i="9"/>
  <c r="I1995" i="9"/>
  <c r="G1995" i="9"/>
  <c r="E1995" i="9"/>
  <c r="H1995" i="9"/>
  <c r="F1995" i="9"/>
  <c r="D1995" i="9"/>
  <c r="B1995" i="9"/>
  <c r="C1995" i="9"/>
  <c r="I1991" i="9"/>
  <c r="G1991" i="9"/>
  <c r="E1991" i="9"/>
  <c r="D1991" i="9"/>
  <c r="F1991" i="9"/>
  <c r="H1991" i="9"/>
  <c r="C1991" i="9"/>
  <c r="B1991" i="9"/>
  <c r="I1987" i="9"/>
  <c r="G1987" i="9"/>
  <c r="E1987" i="9"/>
  <c r="D1987" i="9"/>
  <c r="H1987" i="9"/>
  <c r="F1987" i="9"/>
  <c r="B1987" i="9"/>
  <c r="C1987" i="9"/>
  <c r="I1983" i="9"/>
  <c r="G1983" i="9"/>
  <c r="H1983" i="9"/>
  <c r="E1983" i="9"/>
  <c r="F1983" i="9"/>
  <c r="D1983" i="9"/>
  <c r="B1983" i="9"/>
  <c r="C1983" i="9"/>
  <c r="I1979" i="9"/>
  <c r="G1979" i="9"/>
  <c r="E1979" i="9"/>
  <c r="D1979" i="9"/>
  <c r="H1979" i="9"/>
  <c r="F1979" i="9"/>
  <c r="B1979" i="9"/>
  <c r="C1979" i="9"/>
  <c r="I1975" i="9"/>
  <c r="G1975" i="9"/>
  <c r="E1975" i="9"/>
  <c r="D1975" i="9"/>
  <c r="F1975" i="9"/>
  <c r="H1975" i="9"/>
  <c r="C1975" i="9"/>
  <c r="B1975" i="9"/>
  <c r="I1971" i="9"/>
  <c r="G1971" i="9"/>
  <c r="E1971" i="9"/>
  <c r="H1971" i="9"/>
  <c r="F1971" i="9"/>
  <c r="D1971" i="9"/>
  <c r="B1971" i="9"/>
  <c r="C1971" i="9"/>
  <c r="I1967" i="9"/>
  <c r="G1967" i="9"/>
  <c r="H1967" i="9"/>
  <c r="E1967" i="9"/>
  <c r="D1967" i="9"/>
  <c r="F1967" i="9"/>
  <c r="C1967" i="9"/>
  <c r="B1967" i="9"/>
  <c r="I1963" i="9"/>
  <c r="G1963" i="9"/>
  <c r="E1963" i="9"/>
  <c r="D1963" i="9"/>
  <c r="H1963" i="9"/>
  <c r="F1963" i="9"/>
  <c r="B1963" i="9"/>
  <c r="C1963" i="9"/>
  <c r="I1959" i="9"/>
  <c r="G1959" i="9"/>
  <c r="E1959" i="9"/>
  <c r="F1959" i="9"/>
  <c r="D1959" i="9"/>
  <c r="H1959" i="9"/>
  <c r="C1959" i="9"/>
  <c r="B1959" i="9"/>
  <c r="I1955" i="9"/>
  <c r="G1955" i="9"/>
  <c r="E1955" i="9"/>
  <c r="D1955" i="9"/>
  <c r="H1955" i="9"/>
  <c r="F1955" i="9"/>
  <c r="B1955" i="9"/>
  <c r="C1955" i="9"/>
  <c r="I1951" i="9"/>
  <c r="G1951" i="9"/>
  <c r="H1951" i="9"/>
  <c r="E1951" i="9"/>
  <c r="D1951" i="9"/>
  <c r="F1951" i="9"/>
  <c r="B1951" i="9"/>
  <c r="C1951" i="9"/>
  <c r="I1947" i="9"/>
  <c r="G1947" i="9"/>
  <c r="E1947" i="9"/>
  <c r="H1947" i="9"/>
  <c r="F1947" i="9"/>
  <c r="D1947" i="9"/>
  <c r="B1947" i="9"/>
  <c r="C1947" i="9"/>
  <c r="I1943" i="9"/>
  <c r="G1943" i="9"/>
  <c r="E1943" i="9"/>
  <c r="D1943" i="9"/>
  <c r="F1943" i="9"/>
  <c r="H1943" i="9"/>
  <c r="C1943" i="9"/>
  <c r="B1943" i="9"/>
  <c r="I1939" i="9"/>
  <c r="G1939" i="9"/>
  <c r="E1939" i="9"/>
  <c r="D1939" i="9"/>
  <c r="H1939" i="9"/>
  <c r="F1939" i="9"/>
  <c r="B1939" i="9"/>
  <c r="C1939" i="9"/>
  <c r="I1935" i="9"/>
  <c r="G1935" i="9"/>
  <c r="H1935" i="9"/>
  <c r="E1935" i="9"/>
  <c r="F1935" i="9"/>
  <c r="D1935" i="9"/>
  <c r="C1935" i="9"/>
  <c r="B1935" i="9"/>
  <c r="I1931" i="9"/>
  <c r="G1931" i="9"/>
  <c r="E1931" i="9"/>
  <c r="D1931" i="9"/>
  <c r="H1931" i="9"/>
  <c r="F1931" i="9"/>
  <c r="B1931" i="9"/>
  <c r="C1931" i="9"/>
  <c r="I1927" i="9"/>
  <c r="G1927" i="9"/>
  <c r="E1927" i="9"/>
  <c r="D1927" i="9"/>
  <c r="F1927" i="9"/>
  <c r="H1927" i="9"/>
  <c r="C1927" i="9"/>
  <c r="B1927" i="9"/>
  <c r="I1923" i="9"/>
  <c r="G1923" i="9"/>
  <c r="E1923" i="9"/>
  <c r="H1923" i="9"/>
  <c r="F1923" i="9"/>
  <c r="D1923" i="9"/>
  <c r="B1923" i="9"/>
  <c r="C1923" i="9"/>
  <c r="I1919" i="9"/>
  <c r="G1919" i="9"/>
  <c r="H1919" i="9"/>
  <c r="E1919" i="9"/>
  <c r="D1919" i="9"/>
  <c r="F1919" i="9"/>
  <c r="C1919" i="9"/>
  <c r="B1919" i="9"/>
  <c r="I1915" i="9"/>
  <c r="G1915" i="9"/>
  <c r="E1915" i="9"/>
  <c r="D1915" i="9"/>
  <c r="H1915" i="9"/>
  <c r="F1915" i="9"/>
  <c r="B1915" i="9"/>
  <c r="C1915" i="9"/>
  <c r="I1911" i="9"/>
  <c r="G1911" i="9"/>
  <c r="E1911" i="9"/>
  <c r="F1911" i="9"/>
  <c r="D1911" i="9"/>
  <c r="H1911" i="9"/>
  <c r="C1911" i="9"/>
  <c r="B1911" i="9"/>
  <c r="I1907" i="9"/>
  <c r="G1907" i="9"/>
  <c r="E1907" i="9"/>
  <c r="D1907" i="9"/>
  <c r="H1907" i="9"/>
  <c r="F1907" i="9"/>
  <c r="B1907" i="9"/>
  <c r="C1907" i="9"/>
  <c r="I1903" i="9"/>
  <c r="G1903" i="9"/>
  <c r="H1903" i="9"/>
  <c r="E1903" i="9"/>
  <c r="F1903" i="9"/>
  <c r="D1903" i="9"/>
  <c r="C1903" i="9"/>
  <c r="B1903" i="9"/>
  <c r="I1899" i="9"/>
  <c r="G1899" i="9"/>
  <c r="E1899" i="9"/>
  <c r="D1899" i="9"/>
  <c r="H1899" i="9"/>
  <c r="F1899" i="9"/>
  <c r="B1899" i="9"/>
  <c r="C1899" i="9"/>
  <c r="I1895" i="9"/>
  <c r="G1895" i="9"/>
  <c r="E1895" i="9"/>
  <c r="D1895" i="9"/>
  <c r="F1895" i="9"/>
  <c r="H1895" i="9"/>
  <c r="C1895" i="9"/>
  <c r="B1895" i="9"/>
  <c r="I1891" i="9"/>
  <c r="G1891" i="9"/>
  <c r="E1891" i="9"/>
  <c r="H1891" i="9"/>
  <c r="F1891" i="9"/>
  <c r="D1891" i="9"/>
  <c r="B1891" i="9"/>
  <c r="C1891" i="9"/>
  <c r="I1887" i="9"/>
  <c r="G1887" i="9"/>
  <c r="H1887" i="9"/>
  <c r="E1887" i="9"/>
  <c r="D1887" i="9"/>
  <c r="F1887" i="9"/>
  <c r="C1887" i="9"/>
  <c r="B1887" i="9"/>
  <c r="I1883" i="9"/>
  <c r="G1883" i="9"/>
  <c r="E1883" i="9"/>
  <c r="D1883" i="9"/>
  <c r="H1883" i="9"/>
  <c r="F1883" i="9"/>
  <c r="B1883" i="9"/>
  <c r="C1883" i="9"/>
  <c r="I1879" i="9"/>
  <c r="G1879" i="9"/>
  <c r="E1879" i="9"/>
  <c r="F1879" i="9"/>
  <c r="D1879" i="9"/>
  <c r="H1879" i="9"/>
  <c r="C1879" i="9"/>
  <c r="B1879" i="9"/>
  <c r="I1875" i="9"/>
  <c r="G1875" i="9"/>
  <c r="E1875" i="9"/>
  <c r="D1875" i="9"/>
  <c r="H1875" i="9"/>
  <c r="F1875" i="9"/>
  <c r="B1875" i="9"/>
  <c r="C1875" i="9"/>
  <c r="I1871" i="9"/>
  <c r="G1871" i="9"/>
  <c r="H1871" i="9"/>
  <c r="E1871" i="9"/>
  <c r="F1871" i="9"/>
  <c r="D1871" i="9"/>
  <c r="C1871" i="9"/>
  <c r="B1871" i="9"/>
  <c r="I1867" i="9"/>
  <c r="G1867" i="9"/>
  <c r="E1867" i="9"/>
  <c r="D1867" i="9"/>
  <c r="H1867" i="9"/>
  <c r="F1867" i="9"/>
  <c r="B1867" i="9"/>
  <c r="C1867" i="9"/>
  <c r="I1863" i="9"/>
  <c r="G1863" i="9"/>
  <c r="E1863" i="9"/>
  <c r="F1863" i="9"/>
  <c r="D1863" i="9"/>
  <c r="H1863" i="9"/>
  <c r="C1863" i="9"/>
  <c r="B1863" i="9"/>
  <c r="I1859" i="9"/>
  <c r="G1859" i="9"/>
  <c r="E1859" i="9"/>
  <c r="D1859" i="9"/>
  <c r="H1859" i="9"/>
  <c r="F1859" i="9"/>
  <c r="B1859" i="9"/>
  <c r="C1859" i="9"/>
  <c r="I1855" i="9"/>
  <c r="G1855" i="9"/>
  <c r="H1855" i="9"/>
  <c r="E1855" i="9"/>
  <c r="D1855" i="9"/>
  <c r="F1855" i="9"/>
  <c r="C1855" i="9"/>
  <c r="B1855" i="9"/>
  <c r="I1851" i="9"/>
  <c r="G1851" i="9"/>
  <c r="E1851" i="9"/>
  <c r="H1851" i="9"/>
  <c r="F1851" i="9"/>
  <c r="D1851" i="9"/>
  <c r="B1851" i="9"/>
  <c r="C1851" i="9"/>
  <c r="I1847" i="9"/>
  <c r="G1847" i="9"/>
  <c r="E1847" i="9"/>
  <c r="D1847" i="9"/>
  <c r="F1847" i="9"/>
  <c r="H1847" i="9"/>
  <c r="C1847" i="9"/>
  <c r="B1847" i="9"/>
  <c r="I1843" i="9"/>
  <c r="G1843" i="9"/>
  <c r="E1843" i="9"/>
  <c r="D1843" i="9"/>
  <c r="H1843" i="9"/>
  <c r="F1843" i="9"/>
  <c r="B1843" i="9"/>
  <c r="C1843" i="9"/>
  <c r="I1839" i="9"/>
  <c r="G1839" i="9"/>
  <c r="H1839" i="9"/>
  <c r="E1839" i="9"/>
  <c r="F1839" i="9"/>
  <c r="D1839" i="9"/>
  <c r="C1839" i="9"/>
  <c r="B1839" i="9"/>
  <c r="I1835" i="9"/>
  <c r="G1835" i="9"/>
  <c r="E1835" i="9"/>
  <c r="D1835" i="9"/>
  <c r="H1835" i="9"/>
  <c r="F1835" i="9"/>
  <c r="B1835" i="9"/>
  <c r="C1835" i="9"/>
  <c r="I1831" i="9"/>
  <c r="G1831" i="9"/>
  <c r="E1831" i="9"/>
  <c r="D1831" i="9"/>
  <c r="F1831" i="9"/>
  <c r="H1831" i="9"/>
  <c r="C1831" i="9"/>
  <c r="B1831" i="9"/>
  <c r="I1827" i="9"/>
  <c r="G1827" i="9"/>
  <c r="E1827" i="9"/>
  <c r="H1827" i="9"/>
  <c r="F1827" i="9"/>
  <c r="D1827" i="9"/>
  <c r="B1827" i="9"/>
  <c r="C1827" i="9"/>
  <c r="I1823" i="9"/>
  <c r="G1823" i="9"/>
  <c r="H1823" i="9"/>
  <c r="E1823" i="9"/>
  <c r="D1823" i="9"/>
  <c r="F1823" i="9"/>
  <c r="C1823" i="9"/>
  <c r="B1823" i="9"/>
  <c r="I1819" i="9"/>
  <c r="G1819" i="9"/>
  <c r="E1819" i="9"/>
  <c r="D1819" i="9"/>
  <c r="H1819" i="9"/>
  <c r="F1819" i="9"/>
  <c r="B1819" i="9"/>
  <c r="C1819" i="9"/>
  <c r="I1815" i="9"/>
  <c r="G1815" i="9"/>
  <c r="E1815" i="9"/>
  <c r="F1815" i="9"/>
  <c r="D1815" i="9"/>
  <c r="H1815" i="9"/>
  <c r="C1815" i="9"/>
  <c r="B1815" i="9"/>
  <c r="I1811" i="9"/>
  <c r="G1811" i="9"/>
  <c r="E1811" i="9"/>
  <c r="D1811" i="9"/>
  <c r="H1811" i="9"/>
  <c r="F1811" i="9"/>
  <c r="B1811" i="9"/>
  <c r="C1811" i="9"/>
  <c r="I1807" i="9"/>
  <c r="G1807" i="9"/>
  <c r="H1807" i="9"/>
  <c r="E1807" i="9"/>
  <c r="D1807" i="9"/>
  <c r="F1807" i="9"/>
  <c r="C1807" i="9"/>
  <c r="B1807" i="9"/>
  <c r="I1803" i="9"/>
  <c r="G1803" i="9"/>
  <c r="E1803" i="9"/>
  <c r="H1803" i="9"/>
  <c r="F1803" i="9"/>
  <c r="D1803" i="9"/>
  <c r="B1803" i="9"/>
  <c r="C1803" i="9"/>
  <c r="I1799" i="9"/>
  <c r="G1799" i="9"/>
  <c r="E1799" i="9"/>
  <c r="D1799" i="9"/>
  <c r="F1799" i="9"/>
  <c r="H1799" i="9"/>
  <c r="C1799" i="9"/>
  <c r="B1799" i="9"/>
  <c r="I1795" i="9"/>
  <c r="G1795" i="9"/>
  <c r="E1795" i="9"/>
  <c r="D1795" i="9"/>
  <c r="H1795" i="9"/>
  <c r="F1795" i="9"/>
  <c r="B1795" i="9"/>
  <c r="C1795" i="9"/>
  <c r="I1791" i="9"/>
  <c r="G1791" i="9"/>
  <c r="H1791" i="9"/>
  <c r="E1791" i="9"/>
  <c r="F1791" i="9"/>
  <c r="D1791" i="9"/>
  <c r="C1791" i="9"/>
  <c r="B1791" i="9"/>
  <c r="I1787" i="9"/>
  <c r="G1787" i="9"/>
  <c r="E1787" i="9"/>
  <c r="D1787" i="9"/>
  <c r="H1787" i="9"/>
  <c r="F1787" i="9"/>
  <c r="B1787" i="9"/>
  <c r="C1787" i="9"/>
  <c r="I1783" i="9"/>
  <c r="G1783" i="9"/>
  <c r="E1783" i="9"/>
  <c r="F1783" i="9"/>
  <c r="D1783" i="9"/>
  <c r="H1783" i="9"/>
  <c r="C1783" i="9"/>
  <c r="B1783" i="9"/>
  <c r="I1779" i="9"/>
  <c r="G1779" i="9"/>
  <c r="E1779" i="9"/>
  <c r="D1779" i="9"/>
  <c r="H1779" i="9"/>
  <c r="F1779" i="9"/>
  <c r="B1779" i="9"/>
  <c r="C1779" i="9"/>
  <c r="I1775" i="9"/>
  <c r="G1775" i="9"/>
  <c r="H1775" i="9"/>
  <c r="E1775" i="9"/>
  <c r="D1775" i="9"/>
  <c r="F1775" i="9"/>
  <c r="C1775" i="9"/>
  <c r="B1775" i="9"/>
  <c r="I1771" i="9"/>
  <c r="G1771" i="9"/>
  <c r="E1771" i="9"/>
  <c r="F1771" i="9"/>
  <c r="D1771" i="9"/>
  <c r="H1771" i="9"/>
  <c r="B1771" i="9"/>
  <c r="C1771" i="9"/>
  <c r="I1767" i="9"/>
  <c r="G1767" i="9"/>
  <c r="E1767" i="9"/>
  <c r="D1767" i="9"/>
  <c r="F1767" i="9"/>
  <c r="H1767" i="9"/>
  <c r="C1767" i="9"/>
  <c r="B1767" i="9"/>
  <c r="I1763" i="9"/>
  <c r="G1763" i="9"/>
  <c r="E1763" i="9"/>
  <c r="D1763" i="9"/>
  <c r="H1763" i="9"/>
  <c r="F1763" i="9"/>
  <c r="B1763" i="9"/>
  <c r="C1763" i="9"/>
  <c r="I1759" i="9"/>
  <c r="G1759" i="9"/>
  <c r="H1759" i="9"/>
  <c r="E1759" i="9"/>
  <c r="F1759" i="9"/>
  <c r="D1759" i="9"/>
  <c r="C1759" i="9"/>
  <c r="B1759" i="9"/>
  <c r="I1755" i="9"/>
  <c r="G1755" i="9"/>
  <c r="E1755" i="9"/>
  <c r="D1755" i="9"/>
  <c r="H1755" i="9"/>
  <c r="F1755" i="9"/>
  <c r="B1755" i="9"/>
  <c r="C1755" i="9"/>
  <c r="I1751" i="9"/>
  <c r="G1751" i="9"/>
  <c r="E1751" i="9"/>
  <c r="F1751" i="9"/>
  <c r="D1751" i="9"/>
  <c r="H1751" i="9"/>
  <c r="C1751" i="9"/>
  <c r="B1751" i="9"/>
  <c r="I1747" i="9"/>
  <c r="G1747" i="9"/>
  <c r="E1747" i="9"/>
  <c r="H1747" i="9"/>
  <c r="F1747" i="9"/>
  <c r="D1747" i="9"/>
  <c r="B1747" i="9"/>
  <c r="C1747" i="9"/>
  <c r="I1743" i="9"/>
  <c r="G1743" i="9"/>
  <c r="H1743" i="9"/>
  <c r="E1743" i="9"/>
  <c r="D1743" i="9"/>
  <c r="F1743" i="9"/>
  <c r="C1743" i="9"/>
  <c r="B1743" i="9"/>
  <c r="I1739" i="9"/>
  <c r="G1739" i="9"/>
  <c r="E1739" i="9"/>
  <c r="F1739" i="9"/>
  <c r="D1739" i="9"/>
  <c r="H1739" i="9"/>
  <c r="B1739" i="9"/>
  <c r="C1739" i="9"/>
  <c r="I1735" i="9"/>
  <c r="G1735" i="9"/>
  <c r="E1735" i="9"/>
  <c r="D1735" i="9"/>
  <c r="F1735" i="9"/>
  <c r="H1735" i="9"/>
  <c r="C1735" i="9"/>
  <c r="B1735" i="9"/>
  <c r="I1731" i="9"/>
  <c r="G1731" i="9"/>
  <c r="E1731" i="9"/>
  <c r="H1731" i="9"/>
  <c r="F1731" i="9"/>
  <c r="D1731" i="9"/>
  <c r="B1731" i="9"/>
  <c r="C1731" i="9"/>
  <c r="I1727" i="9"/>
  <c r="G1727" i="9"/>
  <c r="H1727" i="9"/>
  <c r="E1727" i="9"/>
  <c r="D1727" i="9"/>
  <c r="F1727" i="9"/>
  <c r="C1727" i="9"/>
  <c r="B1727" i="9"/>
  <c r="I1723" i="9"/>
  <c r="G1723" i="9"/>
  <c r="E1723" i="9"/>
  <c r="D1723" i="9"/>
  <c r="H1723" i="9"/>
  <c r="F1723" i="9"/>
  <c r="B1723" i="9"/>
  <c r="C1723" i="9"/>
  <c r="I1719" i="9"/>
  <c r="G1719" i="9"/>
  <c r="E1719" i="9"/>
  <c r="F1719" i="9"/>
  <c r="D1719" i="9"/>
  <c r="H1719" i="9"/>
  <c r="C1719" i="9"/>
  <c r="B1719" i="9"/>
  <c r="I1715" i="9"/>
  <c r="G1715" i="9"/>
  <c r="E1715" i="9"/>
  <c r="D1715" i="9"/>
  <c r="H1715" i="9"/>
  <c r="F1715" i="9"/>
  <c r="B1715" i="9"/>
  <c r="C1715" i="9"/>
  <c r="I1711" i="9"/>
  <c r="G1711" i="9"/>
  <c r="H1711" i="9"/>
  <c r="E1711" i="9"/>
  <c r="F1711" i="9"/>
  <c r="D1711" i="9"/>
  <c r="C1711" i="9"/>
  <c r="B1711" i="9"/>
  <c r="I1707" i="9"/>
  <c r="G1707" i="9"/>
  <c r="E1707" i="9"/>
  <c r="D1707" i="9"/>
  <c r="F1707" i="9"/>
  <c r="H1707" i="9"/>
  <c r="B1707" i="9"/>
  <c r="C1707" i="9"/>
  <c r="I1703" i="9"/>
  <c r="G1703" i="9"/>
  <c r="E1703" i="9"/>
  <c r="F1703" i="9"/>
  <c r="D1703" i="9"/>
  <c r="H1703" i="9"/>
  <c r="C1703" i="9"/>
  <c r="B1703" i="9"/>
  <c r="I1699" i="9"/>
  <c r="G1699" i="9"/>
  <c r="E1699" i="9"/>
  <c r="D1699" i="9"/>
  <c r="H1699" i="9"/>
  <c r="F1699" i="9"/>
  <c r="B1699" i="9"/>
  <c r="C1699" i="9"/>
  <c r="I1695" i="9"/>
  <c r="G1695" i="9"/>
  <c r="H1695" i="9"/>
  <c r="E1695" i="9"/>
  <c r="F1695" i="9"/>
  <c r="D1695" i="9"/>
  <c r="C1695" i="9"/>
  <c r="B1695" i="9"/>
  <c r="I1691" i="9"/>
  <c r="G1691" i="9"/>
  <c r="E1691" i="9"/>
  <c r="H1691" i="9"/>
  <c r="F1691" i="9"/>
  <c r="D1691" i="9"/>
  <c r="B1691" i="9"/>
  <c r="C1691" i="9"/>
  <c r="I1687" i="9"/>
  <c r="G1687" i="9"/>
  <c r="E1687" i="9"/>
  <c r="D1687" i="9"/>
  <c r="F1687" i="9"/>
  <c r="H1687" i="9"/>
  <c r="C1687" i="9"/>
  <c r="B1687" i="9"/>
  <c r="I1683" i="9"/>
  <c r="G1683" i="9"/>
  <c r="E1683" i="9"/>
  <c r="H1683" i="9"/>
  <c r="F1683" i="9"/>
  <c r="D1683" i="9"/>
  <c r="B1683" i="9"/>
  <c r="C1683" i="9"/>
  <c r="I1679" i="9"/>
  <c r="G1679" i="9"/>
  <c r="H1679" i="9"/>
  <c r="E1679" i="9"/>
  <c r="D1679" i="9"/>
  <c r="F1679" i="9"/>
  <c r="C1679" i="9"/>
  <c r="B1679" i="9"/>
  <c r="I1675" i="9"/>
  <c r="G1675" i="9"/>
  <c r="E1675" i="9"/>
  <c r="F1675" i="9"/>
  <c r="D1675" i="9"/>
  <c r="H1675" i="9"/>
  <c r="B1675" i="9"/>
  <c r="C1675" i="9"/>
  <c r="I1671" i="9"/>
  <c r="G1671" i="9"/>
  <c r="E1671" i="9"/>
  <c r="D1671" i="9"/>
  <c r="F1671" i="9"/>
  <c r="H1671" i="9"/>
  <c r="C1671" i="9"/>
  <c r="B1671" i="9"/>
  <c r="I1667" i="9"/>
  <c r="G1667" i="9"/>
  <c r="E1667" i="9"/>
  <c r="H1667" i="9"/>
  <c r="F1667" i="9"/>
  <c r="D1667" i="9"/>
  <c r="B1667" i="9"/>
  <c r="C1667" i="9"/>
  <c r="I1663" i="9"/>
  <c r="G1663" i="9"/>
  <c r="H1663" i="9"/>
  <c r="E1663" i="9"/>
  <c r="D1663" i="9"/>
  <c r="F1663" i="9"/>
  <c r="C1663" i="9"/>
  <c r="B1663" i="9"/>
  <c r="I1659" i="9"/>
  <c r="G1659" i="9"/>
  <c r="E1659" i="9"/>
  <c r="D1659" i="9"/>
  <c r="H1659" i="9"/>
  <c r="F1659" i="9"/>
  <c r="B1659" i="9"/>
  <c r="C1659" i="9"/>
  <c r="I1655" i="9"/>
  <c r="G1655" i="9"/>
  <c r="E1655" i="9"/>
  <c r="F1655" i="9"/>
  <c r="D1655" i="9"/>
  <c r="H1655" i="9"/>
  <c r="C1655" i="9"/>
  <c r="B1655" i="9"/>
  <c r="I1651" i="9"/>
  <c r="G1651" i="9"/>
  <c r="E1651" i="9"/>
  <c r="D1651" i="9"/>
  <c r="H1651" i="9"/>
  <c r="F1651" i="9"/>
  <c r="B1651" i="9"/>
  <c r="C1651" i="9"/>
  <c r="I1647" i="9"/>
  <c r="G1647" i="9"/>
  <c r="H1647" i="9"/>
  <c r="E1647" i="9"/>
  <c r="F1647" i="9"/>
  <c r="D1647" i="9"/>
  <c r="C1647" i="9"/>
  <c r="B1647" i="9"/>
  <c r="I1643" i="9"/>
  <c r="G1643" i="9"/>
  <c r="E1643" i="9"/>
  <c r="D1643" i="9"/>
  <c r="F1643" i="9"/>
  <c r="H1643" i="9"/>
  <c r="B1643" i="9"/>
  <c r="C1643" i="9"/>
  <c r="I1639" i="9"/>
  <c r="G1639" i="9"/>
  <c r="E1639" i="9"/>
  <c r="D1639" i="9"/>
  <c r="F1639" i="9"/>
  <c r="H1639" i="9"/>
  <c r="C1639" i="9"/>
  <c r="B1639" i="9"/>
  <c r="I1635" i="9"/>
  <c r="G1635" i="9"/>
  <c r="E1635" i="9"/>
  <c r="H1635" i="9"/>
  <c r="F1635" i="9"/>
  <c r="D1635" i="9"/>
  <c r="B1635" i="9"/>
  <c r="C1635" i="9"/>
  <c r="I1631" i="9"/>
  <c r="G1631" i="9"/>
  <c r="H1631" i="9"/>
  <c r="E1631" i="9"/>
  <c r="D1631" i="9"/>
  <c r="F1631" i="9"/>
  <c r="C1631" i="9"/>
  <c r="B1631" i="9"/>
  <c r="I1627" i="9"/>
  <c r="G1627" i="9"/>
  <c r="E1627" i="9"/>
  <c r="D1627" i="9"/>
  <c r="H1627" i="9"/>
  <c r="F1627" i="9"/>
  <c r="B1627" i="9"/>
  <c r="C1627" i="9"/>
  <c r="I1623" i="9"/>
  <c r="G1623" i="9"/>
  <c r="E1623" i="9"/>
  <c r="F1623" i="9"/>
  <c r="D1623" i="9"/>
  <c r="H1623" i="9"/>
  <c r="C1623" i="9"/>
  <c r="B1623" i="9"/>
  <c r="I1619" i="9"/>
  <c r="G1619" i="9"/>
  <c r="E1619" i="9"/>
  <c r="D1619" i="9"/>
  <c r="H1619" i="9"/>
  <c r="F1619" i="9"/>
  <c r="B1619" i="9"/>
  <c r="C1619" i="9"/>
  <c r="I1615" i="9"/>
  <c r="G1615" i="9"/>
  <c r="H1615" i="9"/>
  <c r="E1615" i="9"/>
  <c r="D1615" i="9"/>
  <c r="F1615" i="9"/>
  <c r="C1615" i="9"/>
  <c r="B1615" i="9"/>
  <c r="I1611" i="9"/>
  <c r="G1611" i="9"/>
  <c r="E1611" i="9"/>
  <c r="F1611" i="9"/>
  <c r="D1611" i="9"/>
  <c r="H1611" i="9"/>
  <c r="B1611" i="9"/>
  <c r="C1611" i="9"/>
  <c r="I1607" i="9"/>
  <c r="G1607" i="9"/>
  <c r="E1607" i="9"/>
  <c r="D1607" i="9"/>
  <c r="F1607" i="9"/>
  <c r="H1607" i="9"/>
  <c r="C1607" i="9"/>
  <c r="B1607" i="9"/>
  <c r="I1603" i="9"/>
  <c r="G1603" i="9"/>
  <c r="E1603" i="9"/>
  <c r="D1603" i="9"/>
  <c r="H1603" i="9"/>
  <c r="F1603" i="9"/>
  <c r="B1603" i="9"/>
  <c r="C1603" i="9"/>
  <c r="I1599" i="9"/>
  <c r="G1599" i="9"/>
  <c r="H1599" i="9"/>
  <c r="E1599" i="9"/>
  <c r="F1599" i="9"/>
  <c r="D1599" i="9"/>
  <c r="C1599" i="9"/>
  <c r="B1599" i="9"/>
  <c r="I1595" i="9"/>
  <c r="G1595" i="9"/>
  <c r="E1595" i="9"/>
  <c r="D1595" i="9"/>
  <c r="H1595" i="9"/>
  <c r="F1595" i="9"/>
  <c r="B1595" i="9"/>
  <c r="C1595" i="9"/>
  <c r="I1591" i="9"/>
  <c r="G1591" i="9"/>
  <c r="E1591" i="9"/>
  <c r="D1591" i="9"/>
  <c r="F1591" i="9"/>
  <c r="H1591" i="9"/>
  <c r="C1591" i="9"/>
  <c r="B1591" i="9"/>
  <c r="I1587" i="9"/>
  <c r="G1587" i="9"/>
  <c r="E1587" i="9"/>
  <c r="H1587" i="9"/>
  <c r="F1587" i="9"/>
  <c r="D1587" i="9"/>
  <c r="B1587" i="9"/>
  <c r="C1587" i="9"/>
  <c r="I1583" i="9"/>
  <c r="G1583" i="9"/>
  <c r="H1583" i="9"/>
  <c r="E1583" i="9"/>
  <c r="D1583" i="9"/>
  <c r="F1583" i="9"/>
  <c r="C1583" i="9"/>
  <c r="B1583" i="9"/>
  <c r="I1579" i="9"/>
  <c r="G1579" i="9"/>
  <c r="E1579" i="9"/>
  <c r="H1579" i="9"/>
  <c r="F1579" i="9"/>
  <c r="D1579" i="9"/>
  <c r="B1579" i="9"/>
  <c r="C1579" i="9"/>
  <c r="I1575" i="9"/>
  <c r="G1575" i="9"/>
  <c r="E1575" i="9"/>
  <c r="D1575" i="9"/>
  <c r="F1575" i="9"/>
  <c r="H1575" i="9"/>
  <c r="C1575" i="9"/>
  <c r="B1575" i="9"/>
  <c r="I1571" i="9"/>
  <c r="G1571" i="9"/>
  <c r="E1571" i="9"/>
  <c r="H1571" i="9"/>
  <c r="F1571" i="9"/>
  <c r="D1571" i="9"/>
  <c r="B1571" i="9"/>
  <c r="C1571" i="9"/>
  <c r="I1567" i="9"/>
  <c r="G1567" i="9"/>
  <c r="H1567" i="9"/>
  <c r="E1567" i="9"/>
  <c r="D1567" i="9"/>
  <c r="F1567" i="9"/>
  <c r="C1567" i="9"/>
  <c r="B1567" i="9"/>
  <c r="I1563" i="9"/>
  <c r="G1563" i="9"/>
  <c r="E1563" i="9"/>
  <c r="D1563" i="9"/>
  <c r="F1563" i="9"/>
  <c r="H1563" i="9"/>
  <c r="B1563" i="9"/>
  <c r="C1563" i="9"/>
  <c r="I1559" i="9"/>
  <c r="G1559" i="9"/>
  <c r="E1559" i="9"/>
  <c r="D1559" i="9"/>
  <c r="F1559" i="9"/>
  <c r="H1559" i="9"/>
  <c r="C1559" i="9"/>
  <c r="B1559" i="9"/>
  <c r="I1555" i="9"/>
  <c r="G1555" i="9"/>
  <c r="E1555" i="9"/>
  <c r="D1555" i="9"/>
  <c r="H1555" i="9"/>
  <c r="F1555" i="9"/>
  <c r="B1555" i="9"/>
  <c r="C1555" i="9"/>
  <c r="I1551" i="9"/>
  <c r="G1551" i="9"/>
  <c r="H1551" i="9"/>
  <c r="E1551" i="9"/>
  <c r="D1551" i="9"/>
  <c r="F1551" i="9"/>
  <c r="C1551" i="9"/>
  <c r="B1551" i="9"/>
  <c r="I1547" i="9"/>
  <c r="G1547" i="9"/>
  <c r="E1547" i="9"/>
  <c r="D1547" i="9"/>
  <c r="H1547" i="9"/>
  <c r="F1547" i="9"/>
  <c r="B1547" i="9"/>
  <c r="C1547" i="9"/>
  <c r="I1543" i="9"/>
  <c r="G1543" i="9"/>
  <c r="E1543" i="9"/>
  <c r="D1543" i="9"/>
  <c r="H1543" i="9"/>
  <c r="F1543" i="9"/>
  <c r="C1543" i="9"/>
  <c r="B1543" i="9"/>
  <c r="I1539" i="9"/>
  <c r="G1539" i="9"/>
  <c r="E1539" i="9"/>
  <c r="H1539" i="9"/>
  <c r="F1539" i="9"/>
  <c r="D1539" i="9"/>
  <c r="B1539" i="9"/>
  <c r="C1539" i="9"/>
  <c r="I1535" i="9"/>
  <c r="G1535" i="9"/>
  <c r="H1535" i="9"/>
  <c r="E1535" i="9"/>
  <c r="D1535" i="9"/>
  <c r="F1535" i="9"/>
  <c r="C1535" i="9"/>
  <c r="B1535" i="9"/>
  <c r="I1531" i="9"/>
  <c r="G1531" i="9"/>
  <c r="E1531" i="9"/>
  <c r="D1531" i="9"/>
  <c r="F1531" i="9"/>
  <c r="H1531" i="9"/>
  <c r="B1531" i="9"/>
  <c r="C1531" i="9"/>
  <c r="I1527" i="9"/>
  <c r="G1527" i="9"/>
  <c r="E1527" i="9"/>
  <c r="D1527" i="9"/>
  <c r="H1527" i="9"/>
  <c r="F1527" i="9"/>
  <c r="C1527" i="9"/>
  <c r="B1527" i="9"/>
  <c r="I1523" i="9"/>
  <c r="G1523" i="9"/>
  <c r="E1523" i="9"/>
  <c r="D1523" i="9"/>
  <c r="H1523" i="9"/>
  <c r="F1523" i="9"/>
  <c r="B1523" i="9"/>
  <c r="C1523" i="9"/>
  <c r="I1519" i="9"/>
  <c r="G1519" i="9"/>
  <c r="H1519" i="9"/>
  <c r="E1519" i="9"/>
  <c r="D1519" i="9"/>
  <c r="F1519" i="9"/>
  <c r="C1519" i="9"/>
  <c r="B1519" i="9"/>
  <c r="I1515" i="9"/>
  <c r="G1515" i="9"/>
  <c r="E1515" i="9"/>
  <c r="D1515" i="9"/>
  <c r="H1515" i="9"/>
  <c r="F1515" i="9"/>
  <c r="B1515" i="9"/>
  <c r="C1515" i="9"/>
  <c r="I1511" i="9"/>
  <c r="G1511" i="9"/>
  <c r="E1511" i="9"/>
  <c r="D1511" i="9"/>
  <c r="H1511" i="9"/>
  <c r="F1511" i="9"/>
  <c r="C1511" i="9"/>
  <c r="B1511" i="9"/>
  <c r="I1507" i="9"/>
  <c r="G1507" i="9"/>
  <c r="E1507" i="9"/>
  <c r="D1507" i="9"/>
  <c r="H1507" i="9"/>
  <c r="F1507" i="9"/>
  <c r="B1507" i="9"/>
  <c r="C1507" i="9"/>
  <c r="I1503" i="9"/>
  <c r="G1503" i="9"/>
  <c r="H1503" i="9"/>
  <c r="E1503" i="9"/>
  <c r="D1503" i="9"/>
  <c r="F1503" i="9"/>
  <c r="C1503" i="9"/>
  <c r="B1503" i="9"/>
  <c r="I1499" i="9"/>
  <c r="G1499" i="9"/>
  <c r="E1499" i="9"/>
  <c r="D1499" i="9"/>
  <c r="F1499" i="9"/>
  <c r="H1499" i="9"/>
  <c r="B1499" i="9"/>
  <c r="C1499" i="9"/>
  <c r="I1495" i="9"/>
  <c r="G1495" i="9"/>
  <c r="E1495" i="9"/>
  <c r="D1495" i="9"/>
  <c r="H1495" i="9"/>
  <c r="F1495" i="9"/>
  <c r="C1495" i="9"/>
  <c r="B1495" i="9"/>
  <c r="I1491" i="9"/>
  <c r="G1491" i="9"/>
  <c r="E1491" i="9"/>
  <c r="H1491" i="9"/>
  <c r="F1491" i="9"/>
  <c r="D1491" i="9"/>
  <c r="B1491" i="9"/>
  <c r="C1491" i="9"/>
  <c r="I1487" i="9"/>
  <c r="G1487" i="9"/>
  <c r="H1487" i="9"/>
  <c r="E1487" i="9"/>
  <c r="D1487" i="9"/>
  <c r="F1487" i="9"/>
  <c r="C1487" i="9"/>
  <c r="B1487" i="9"/>
  <c r="I1483" i="9"/>
  <c r="G1483" i="9"/>
  <c r="E1483" i="9"/>
  <c r="H1483" i="9"/>
  <c r="F1483" i="9"/>
  <c r="D1483" i="9"/>
  <c r="B1483" i="9"/>
  <c r="C1483" i="9"/>
  <c r="I1479" i="9"/>
  <c r="G1479" i="9"/>
  <c r="E1479" i="9"/>
  <c r="D1479" i="9"/>
  <c r="H1479" i="9"/>
  <c r="F1479" i="9"/>
  <c r="C1479" i="9"/>
  <c r="B1479" i="9"/>
  <c r="I1475" i="9"/>
  <c r="G1475" i="9"/>
  <c r="E1475" i="9"/>
  <c r="H1475" i="9"/>
  <c r="F1475" i="9"/>
  <c r="D1475" i="9"/>
  <c r="B1475" i="9"/>
  <c r="C1475" i="9"/>
  <c r="I1471" i="9"/>
  <c r="G1471" i="9"/>
  <c r="H1471" i="9"/>
  <c r="E1471" i="9"/>
  <c r="D1471" i="9"/>
  <c r="F1471" i="9"/>
  <c r="C1471" i="9"/>
  <c r="B1471" i="9"/>
  <c r="I1467" i="9"/>
  <c r="G1467" i="9"/>
  <c r="E1467" i="9"/>
  <c r="H1467" i="9"/>
  <c r="F1467" i="9"/>
  <c r="D1467" i="9"/>
  <c r="B1467" i="9"/>
  <c r="C1467" i="9"/>
  <c r="I1463" i="9"/>
  <c r="G1463" i="9"/>
  <c r="E1463" i="9"/>
  <c r="D1463" i="9"/>
  <c r="H1463" i="9"/>
  <c r="F1463" i="9"/>
  <c r="C1463" i="9"/>
  <c r="B1463" i="9"/>
  <c r="I1459" i="9"/>
  <c r="G1459" i="9"/>
  <c r="E1459" i="9"/>
  <c r="H1459" i="9"/>
  <c r="F1459" i="9"/>
  <c r="D1459" i="9"/>
  <c r="B1459" i="9"/>
  <c r="C1459" i="9"/>
  <c r="I1455" i="9"/>
  <c r="G1455" i="9"/>
  <c r="H1455" i="9"/>
  <c r="E1455" i="9"/>
  <c r="D1455" i="9"/>
  <c r="F1455" i="9"/>
  <c r="C1455" i="9"/>
  <c r="B1455" i="9"/>
  <c r="I1451" i="9"/>
  <c r="G1451" i="9"/>
  <c r="E1451" i="9"/>
  <c r="F1451" i="9"/>
  <c r="D1451" i="9"/>
  <c r="H1451" i="9"/>
  <c r="B1451" i="9"/>
  <c r="C1451" i="9"/>
  <c r="I1447" i="9"/>
  <c r="G1447" i="9"/>
  <c r="E1447" i="9"/>
  <c r="D1447" i="9"/>
  <c r="H1447" i="9"/>
  <c r="F1447" i="9"/>
  <c r="C1447" i="9"/>
  <c r="B1447" i="9"/>
  <c r="I1443" i="9"/>
  <c r="G1443" i="9"/>
  <c r="E1443" i="9"/>
  <c r="H1443" i="9"/>
  <c r="F1443" i="9"/>
  <c r="D1443" i="9"/>
  <c r="B1443" i="9"/>
  <c r="C1443" i="9"/>
  <c r="I1439" i="9"/>
  <c r="G1439" i="9"/>
  <c r="H1439" i="9"/>
  <c r="E1439" i="9"/>
  <c r="D1439" i="9"/>
  <c r="F1439" i="9"/>
  <c r="C1439" i="9"/>
  <c r="B1439" i="9"/>
  <c r="I1435" i="9"/>
  <c r="G1435" i="9"/>
  <c r="E1435" i="9"/>
  <c r="D1435" i="9"/>
  <c r="H1435" i="9"/>
  <c r="F1435" i="9"/>
  <c r="B1435" i="9"/>
  <c r="C1435" i="9"/>
  <c r="I1431" i="9"/>
  <c r="G1431" i="9"/>
  <c r="E1431" i="9"/>
  <c r="D1431" i="9"/>
  <c r="H1431" i="9"/>
  <c r="F1431" i="9"/>
  <c r="C1431" i="9"/>
  <c r="B1431" i="9"/>
  <c r="I1427" i="9"/>
  <c r="G1427" i="9"/>
  <c r="E1427" i="9"/>
  <c r="D1427" i="9"/>
  <c r="H1427" i="9"/>
  <c r="F1427" i="9"/>
  <c r="B1427" i="9"/>
  <c r="C1427" i="9"/>
  <c r="I1423" i="9"/>
  <c r="G1423" i="9"/>
  <c r="H1423" i="9"/>
  <c r="E1423" i="9"/>
  <c r="D1423" i="9"/>
  <c r="F1423" i="9"/>
  <c r="C1423" i="9"/>
  <c r="B1423" i="9"/>
  <c r="I1419" i="9"/>
  <c r="G1419" i="9"/>
  <c r="E1419" i="9"/>
  <c r="F1419" i="9"/>
  <c r="D1419" i="9"/>
  <c r="H1419" i="9"/>
  <c r="B1419" i="9"/>
  <c r="C1419" i="9"/>
  <c r="I1415" i="9"/>
  <c r="G1415" i="9"/>
  <c r="E1415" i="9"/>
  <c r="D1415" i="9"/>
  <c r="H1415" i="9"/>
  <c r="F1415" i="9"/>
  <c r="C1415" i="9"/>
  <c r="B1415" i="9"/>
  <c r="I1411" i="9"/>
  <c r="G1411" i="9"/>
  <c r="E1411" i="9"/>
  <c r="D1411" i="9"/>
  <c r="H1411" i="9"/>
  <c r="F1411" i="9"/>
  <c r="B1411" i="9"/>
  <c r="C1411" i="9"/>
  <c r="I1407" i="9"/>
  <c r="G1407" i="9"/>
  <c r="H1407" i="9"/>
  <c r="E1407" i="9"/>
  <c r="D1407" i="9"/>
  <c r="F1407" i="9"/>
  <c r="C1407" i="9"/>
  <c r="B1407" i="9"/>
  <c r="I1403" i="9"/>
  <c r="G1403" i="9"/>
  <c r="E1403" i="9"/>
  <c r="D1403" i="9"/>
  <c r="H1403" i="9"/>
  <c r="F1403" i="9"/>
  <c r="B1403" i="9"/>
  <c r="C1403" i="9"/>
  <c r="I1399" i="9"/>
  <c r="G1399" i="9"/>
  <c r="E1399" i="9"/>
  <c r="D1399" i="9"/>
  <c r="H1399" i="9"/>
  <c r="F1399" i="9"/>
  <c r="B1399" i="9"/>
  <c r="C1399" i="9"/>
  <c r="I1395" i="9"/>
  <c r="G1395" i="9"/>
  <c r="E1395" i="9"/>
  <c r="H1395" i="9"/>
  <c r="F1395" i="9"/>
  <c r="D1395" i="9"/>
  <c r="B1395" i="9"/>
  <c r="C1395" i="9"/>
  <c r="I1391" i="9"/>
  <c r="G1391" i="9"/>
  <c r="H1391" i="9"/>
  <c r="E1391" i="9"/>
  <c r="D1391" i="9"/>
  <c r="F1391" i="9"/>
  <c r="B1391" i="9"/>
  <c r="C1391" i="9"/>
  <c r="I1387" i="9"/>
  <c r="G1387" i="9"/>
  <c r="E1387" i="9"/>
  <c r="D1387" i="9"/>
  <c r="H1387" i="9"/>
  <c r="F1387" i="9"/>
  <c r="B1387" i="9"/>
  <c r="C1387" i="9"/>
  <c r="I1383" i="9"/>
  <c r="G1383" i="9"/>
  <c r="E1383" i="9"/>
  <c r="D1383" i="9"/>
  <c r="H1383" i="9"/>
  <c r="F1383" i="9"/>
  <c r="B1383" i="9"/>
  <c r="C1383" i="9"/>
  <c r="I1379" i="9"/>
  <c r="G1379" i="9"/>
  <c r="E1379" i="9"/>
  <c r="D1379" i="9"/>
  <c r="H1379" i="9"/>
  <c r="F1379" i="9"/>
  <c r="B1379" i="9"/>
  <c r="C1379" i="9"/>
  <c r="I1375" i="9"/>
  <c r="G1375" i="9"/>
  <c r="H1375" i="9"/>
  <c r="E1375" i="9"/>
  <c r="D1375" i="9"/>
  <c r="F1375" i="9"/>
  <c r="B1375" i="9"/>
  <c r="C1375" i="9"/>
  <c r="I1371" i="9"/>
  <c r="G1371" i="9"/>
  <c r="E1371" i="9"/>
  <c r="F1371" i="9"/>
  <c r="D1371" i="9"/>
  <c r="H1371" i="9"/>
  <c r="B1371" i="9"/>
  <c r="C1371" i="9"/>
  <c r="I1367" i="9"/>
  <c r="G1367" i="9"/>
  <c r="E1367" i="9"/>
  <c r="D1367" i="9"/>
  <c r="H1367" i="9"/>
  <c r="F1367" i="9"/>
  <c r="B1367" i="9"/>
  <c r="C1367" i="9"/>
  <c r="I1363" i="9"/>
  <c r="G1363" i="9"/>
  <c r="E1363" i="9"/>
  <c r="D1363" i="9"/>
  <c r="H1363" i="9"/>
  <c r="F1363" i="9"/>
  <c r="B1363" i="9"/>
  <c r="C1363" i="9"/>
  <c r="I1359" i="9"/>
  <c r="G1359" i="9"/>
  <c r="H1359" i="9"/>
  <c r="E1359" i="9"/>
  <c r="D1359" i="9"/>
  <c r="F1359" i="9"/>
  <c r="B1359" i="9"/>
  <c r="C1359" i="9"/>
  <c r="I1355" i="9"/>
  <c r="G1355" i="9"/>
  <c r="E1355" i="9"/>
  <c r="D1355" i="9"/>
  <c r="H1355" i="9"/>
  <c r="F1355" i="9"/>
  <c r="B1355" i="9"/>
  <c r="C1355" i="9"/>
  <c r="I1351" i="9"/>
  <c r="G1351" i="9"/>
  <c r="E1351" i="9"/>
  <c r="D1351" i="9"/>
  <c r="H1351" i="9"/>
  <c r="F1351" i="9"/>
  <c r="B1351" i="9"/>
  <c r="C1351" i="9"/>
  <c r="I1347" i="9"/>
  <c r="G1347" i="9"/>
  <c r="E1347" i="9"/>
  <c r="H1347" i="9"/>
  <c r="F1347" i="9"/>
  <c r="D1347" i="9"/>
  <c r="B1347" i="9"/>
  <c r="C1347" i="9"/>
  <c r="I1343" i="9"/>
  <c r="G1343" i="9"/>
  <c r="H1343" i="9"/>
  <c r="E1343" i="9"/>
  <c r="D1343" i="9"/>
  <c r="F1343" i="9"/>
  <c r="B1343" i="9"/>
  <c r="C1343" i="9"/>
  <c r="I1339" i="9"/>
  <c r="G1339" i="9"/>
  <c r="E1339" i="9"/>
  <c r="D1339" i="9"/>
  <c r="F1339" i="9"/>
  <c r="H1339" i="9"/>
  <c r="B1339" i="9"/>
  <c r="C1339" i="9"/>
  <c r="I1335" i="9"/>
  <c r="G1335" i="9"/>
  <c r="E1335" i="9"/>
  <c r="D1335" i="9"/>
  <c r="H1335" i="9"/>
  <c r="F1335" i="9"/>
  <c r="B1335" i="9"/>
  <c r="C1335" i="9"/>
  <c r="I1331" i="9"/>
  <c r="G1331" i="9"/>
  <c r="E1331" i="9"/>
  <c r="D1331" i="9"/>
  <c r="H1331" i="9"/>
  <c r="F1331" i="9"/>
  <c r="B1331" i="9"/>
  <c r="C1331" i="9"/>
  <c r="I1327" i="9"/>
  <c r="G1327" i="9"/>
  <c r="H1327" i="9"/>
  <c r="E1327" i="9"/>
  <c r="D1327" i="9"/>
  <c r="F1327" i="9"/>
  <c r="B1327" i="9"/>
  <c r="C1327" i="9"/>
  <c r="I1323" i="9"/>
  <c r="G1323" i="9"/>
  <c r="E1323" i="9"/>
  <c r="D1323" i="9"/>
  <c r="H1323" i="9"/>
  <c r="F1323" i="9"/>
  <c r="B1323" i="9"/>
  <c r="C1323" i="9"/>
  <c r="I1319" i="9"/>
  <c r="G1319" i="9"/>
  <c r="E1319" i="9"/>
  <c r="D1319" i="9"/>
  <c r="H1319" i="9"/>
  <c r="F1319" i="9"/>
  <c r="B1319" i="9"/>
  <c r="C1319" i="9"/>
  <c r="I1315" i="9"/>
  <c r="G1315" i="9"/>
  <c r="E1315" i="9"/>
  <c r="H1315" i="9"/>
  <c r="F1315" i="9"/>
  <c r="D1315" i="9"/>
  <c r="B1315" i="9"/>
  <c r="C1315" i="9"/>
  <c r="I1311" i="9"/>
  <c r="G1311" i="9"/>
  <c r="H1311" i="9"/>
  <c r="E1311" i="9"/>
  <c r="D1311" i="9"/>
  <c r="F1311" i="9"/>
  <c r="B1311" i="9"/>
  <c r="C1311" i="9"/>
  <c r="I1307" i="9"/>
  <c r="G1307" i="9"/>
  <c r="E1307" i="9"/>
  <c r="D1307" i="9"/>
  <c r="F1307" i="9"/>
  <c r="H1307" i="9"/>
  <c r="B1307" i="9"/>
  <c r="C1307" i="9"/>
  <c r="I1303" i="9"/>
  <c r="G1303" i="9"/>
  <c r="E1303" i="9"/>
  <c r="D1303" i="9"/>
  <c r="H1303" i="9"/>
  <c r="F1303" i="9"/>
  <c r="B1303" i="9"/>
  <c r="C1303" i="9"/>
  <c r="I1299" i="9"/>
  <c r="G1299" i="9"/>
  <c r="F1299" i="9"/>
  <c r="E1299" i="9"/>
  <c r="D1299" i="9"/>
  <c r="H1299" i="9"/>
  <c r="B1299" i="9"/>
  <c r="C1299" i="9"/>
  <c r="I1295" i="9"/>
  <c r="G1295" i="9"/>
  <c r="F1295" i="9"/>
  <c r="H1295" i="9"/>
  <c r="E1295" i="9"/>
  <c r="D1295" i="9"/>
  <c r="B1295" i="9"/>
  <c r="C1295" i="9"/>
  <c r="I1291" i="9"/>
  <c r="G1291" i="9"/>
  <c r="F1291" i="9"/>
  <c r="E1291" i="9"/>
  <c r="H1291" i="9"/>
  <c r="D1291" i="9"/>
  <c r="B1291" i="9"/>
  <c r="C1291" i="9"/>
  <c r="I1287" i="9"/>
  <c r="G1287" i="9"/>
  <c r="F1287" i="9"/>
  <c r="E1287" i="9"/>
  <c r="D1287" i="9"/>
  <c r="H1287" i="9"/>
  <c r="B1287" i="9"/>
  <c r="C1287" i="9"/>
  <c r="I1283" i="9"/>
  <c r="G1283" i="9"/>
  <c r="F1283" i="9"/>
  <c r="E1283" i="9"/>
  <c r="H1283" i="9"/>
  <c r="D1283" i="9"/>
  <c r="B1283" i="9"/>
  <c r="C1283" i="9"/>
  <c r="I1279" i="9"/>
  <c r="G1279" i="9"/>
  <c r="F1279" i="9"/>
  <c r="H1279" i="9"/>
  <c r="E1279" i="9"/>
  <c r="D1279" i="9"/>
  <c r="B1279" i="9"/>
  <c r="C1279" i="9"/>
  <c r="I1275" i="9"/>
  <c r="G1275" i="9"/>
  <c r="F1275" i="9"/>
  <c r="E1275" i="9"/>
  <c r="D1275" i="9"/>
  <c r="H1275" i="9"/>
  <c r="B1275" i="9"/>
  <c r="C1275" i="9"/>
  <c r="I1271" i="9"/>
  <c r="G1271" i="9"/>
  <c r="F1271" i="9"/>
  <c r="E1271" i="9"/>
  <c r="D1271" i="9"/>
  <c r="H1271" i="9"/>
  <c r="B1271" i="9"/>
  <c r="C1271" i="9"/>
  <c r="I1267" i="9"/>
  <c r="G1267" i="9"/>
  <c r="F1267" i="9"/>
  <c r="E1267" i="9"/>
  <c r="D1267" i="9"/>
  <c r="H1267" i="9"/>
  <c r="B1267" i="9"/>
  <c r="C1267" i="9"/>
  <c r="I1263" i="9"/>
  <c r="G1263" i="9"/>
  <c r="F1263" i="9"/>
  <c r="H1263" i="9"/>
  <c r="E1263" i="9"/>
  <c r="D1263" i="9"/>
  <c r="B1263" i="9"/>
  <c r="C1263" i="9"/>
  <c r="I1259" i="9"/>
  <c r="G1259" i="9"/>
  <c r="F1259" i="9"/>
  <c r="E1259" i="9"/>
  <c r="D1259" i="9"/>
  <c r="H1259" i="9"/>
  <c r="B1259" i="9"/>
  <c r="C1259" i="9"/>
  <c r="I1255" i="9"/>
  <c r="G1255" i="9"/>
  <c r="F1255" i="9"/>
  <c r="E1255" i="9"/>
  <c r="D1255" i="9"/>
  <c r="H1255" i="9"/>
  <c r="B1255" i="9"/>
  <c r="C1255" i="9"/>
  <c r="I1251" i="9"/>
  <c r="G1251" i="9"/>
  <c r="F1251" i="9"/>
  <c r="E1251" i="9"/>
  <c r="D1251" i="9"/>
  <c r="H1251" i="9"/>
  <c r="B1251" i="9"/>
  <c r="C1251" i="9"/>
  <c r="I1247" i="9"/>
  <c r="G1247" i="9"/>
  <c r="F1247" i="9"/>
  <c r="H1247" i="9"/>
  <c r="E1247" i="9"/>
  <c r="D1247" i="9"/>
  <c r="B1247" i="9"/>
  <c r="C1247" i="9"/>
  <c r="I1243" i="9"/>
  <c r="G1243" i="9"/>
  <c r="F1243" i="9"/>
  <c r="E1243" i="9"/>
  <c r="D1243" i="9"/>
  <c r="H1243" i="9"/>
  <c r="B1243" i="9"/>
  <c r="C1243" i="9"/>
  <c r="I1239" i="9"/>
  <c r="G1239" i="9"/>
  <c r="F1239" i="9"/>
  <c r="E1239" i="9"/>
  <c r="D1239" i="9"/>
  <c r="H1239" i="9"/>
  <c r="B1239" i="9"/>
  <c r="C1239" i="9"/>
  <c r="I1235" i="9"/>
  <c r="G1235" i="9"/>
  <c r="F1235" i="9"/>
  <c r="E1235" i="9"/>
  <c r="D1235" i="9"/>
  <c r="H1235" i="9"/>
  <c r="B1235" i="9"/>
  <c r="C1235" i="9"/>
  <c r="I1231" i="9"/>
  <c r="G1231" i="9"/>
  <c r="F1231" i="9"/>
  <c r="H1231" i="9"/>
  <c r="E1231" i="9"/>
  <c r="D1231" i="9"/>
  <c r="B1231" i="9"/>
  <c r="C1231" i="9"/>
  <c r="I1227" i="9"/>
  <c r="G1227" i="9"/>
  <c r="F1227" i="9"/>
  <c r="E1227" i="9"/>
  <c r="D1227" i="9"/>
  <c r="H1227" i="9"/>
  <c r="B1227" i="9"/>
  <c r="C1227" i="9"/>
  <c r="I1223" i="9"/>
  <c r="G1223" i="9"/>
  <c r="F1223" i="9"/>
  <c r="E1223" i="9"/>
  <c r="D1223" i="9"/>
  <c r="H1223" i="9"/>
  <c r="B1223" i="9"/>
  <c r="C1223" i="9"/>
  <c r="I1219" i="9"/>
  <c r="G1219" i="9"/>
  <c r="F1219" i="9"/>
  <c r="E1219" i="9"/>
  <c r="D1219" i="9"/>
  <c r="H1219" i="9"/>
  <c r="B1219" i="9"/>
  <c r="C1219" i="9"/>
  <c r="I1215" i="9"/>
  <c r="G1215" i="9"/>
  <c r="F1215" i="9"/>
  <c r="H1215" i="9"/>
  <c r="E1215" i="9"/>
  <c r="D1215" i="9"/>
  <c r="B1215" i="9"/>
  <c r="C1215" i="9"/>
  <c r="I1211" i="9"/>
  <c r="G1211" i="9"/>
  <c r="F1211" i="9"/>
  <c r="E1211" i="9"/>
  <c r="D1211" i="9"/>
  <c r="H1211" i="9"/>
  <c r="B1211" i="9"/>
  <c r="C1211" i="9"/>
  <c r="I1207" i="9"/>
  <c r="G1207" i="9"/>
  <c r="F1207" i="9"/>
  <c r="E1207" i="9"/>
  <c r="D1207" i="9"/>
  <c r="H1207" i="9"/>
  <c r="B1207" i="9"/>
  <c r="C1207" i="9"/>
  <c r="I1203" i="9"/>
  <c r="G1203" i="9"/>
  <c r="F1203" i="9"/>
  <c r="E1203" i="9"/>
  <c r="H1203" i="9"/>
  <c r="D1203" i="9"/>
  <c r="B1203" i="9"/>
  <c r="C1203" i="9"/>
  <c r="I1199" i="9"/>
  <c r="G1199" i="9"/>
  <c r="F1199" i="9"/>
  <c r="H1199" i="9"/>
  <c r="E1199" i="9"/>
  <c r="D1199" i="9"/>
  <c r="B1199" i="9"/>
  <c r="C1199" i="9"/>
  <c r="I1195" i="9"/>
  <c r="G1195" i="9"/>
  <c r="F1195" i="9"/>
  <c r="E1195" i="9"/>
  <c r="D1195" i="9"/>
  <c r="H1195" i="9"/>
  <c r="B1195" i="9"/>
  <c r="C1195" i="9"/>
  <c r="I1191" i="9"/>
  <c r="G1191" i="9"/>
  <c r="F1191" i="9"/>
  <c r="E1191" i="9"/>
  <c r="D1191" i="9"/>
  <c r="H1191" i="9"/>
  <c r="B1191" i="9"/>
  <c r="C1191" i="9"/>
  <c r="I1187" i="9"/>
  <c r="G1187" i="9"/>
  <c r="F1187" i="9"/>
  <c r="E1187" i="9"/>
  <c r="D1187" i="9"/>
  <c r="H1187" i="9"/>
  <c r="B1187" i="9"/>
  <c r="C1187" i="9"/>
  <c r="I1183" i="9"/>
  <c r="G1183" i="9"/>
  <c r="F1183" i="9"/>
  <c r="H1183" i="9"/>
  <c r="E1183" i="9"/>
  <c r="D1183" i="9"/>
  <c r="B1183" i="9"/>
  <c r="C1183" i="9"/>
  <c r="I1179" i="9"/>
  <c r="G1179" i="9"/>
  <c r="F1179" i="9"/>
  <c r="E1179" i="9"/>
  <c r="D1179" i="9"/>
  <c r="H1179" i="9"/>
  <c r="B1179" i="9"/>
  <c r="C1179" i="9"/>
  <c r="I1175" i="9"/>
  <c r="G1175" i="9"/>
  <c r="F1175" i="9"/>
  <c r="E1175" i="9"/>
  <c r="D1175" i="9"/>
  <c r="H1175" i="9"/>
  <c r="B1175" i="9"/>
  <c r="C1175" i="9"/>
  <c r="I1171" i="9"/>
  <c r="G1171" i="9"/>
  <c r="F1171" i="9"/>
  <c r="E1171" i="9"/>
  <c r="D1171" i="9"/>
  <c r="H1171" i="9"/>
  <c r="B1171" i="9"/>
  <c r="C1171" i="9"/>
  <c r="I1167" i="9"/>
  <c r="G1167" i="9"/>
  <c r="F1167" i="9"/>
  <c r="H1167" i="9"/>
  <c r="E1167" i="9"/>
  <c r="D1167" i="9"/>
  <c r="B1167" i="9"/>
  <c r="C1167" i="9"/>
  <c r="I1163" i="9"/>
  <c r="G1163" i="9"/>
  <c r="F1163" i="9"/>
  <c r="E1163" i="9"/>
  <c r="D1163" i="9"/>
  <c r="H1163" i="9"/>
  <c r="B1163" i="9"/>
  <c r="C1163" i="9"/>
  <c r="I1159" i="9"/>
  <c r="G1159" i="9"/>
  <c r="F1159" i="9"/>
  <c r="E1159" i="9"/>
  <c r="D1159" i="9"/>
  <c r="H1159" i="9"/>
  <c r="B1159" i="9"/>
  <c r="C1159" i="9"/>
  <c r="I1155" i="9"/>
  <c r="G1155" i="9"/>
  <c r="F1155" i="9"/>
  <c r="E1155" i="9"/>
  <c r="D1155" i="9"/>
  <c r="H1155" i="9"/>
  <c r="B1155" i="9"/>
  <c r="C1155" i="9"/>
  <c r="I1151" i="9"/>
  <c r="G1151" i="9"/>
  <c r="F1151" i="9"/>
  <c r="H1151" i="9"/>
  <c r="E1151" i="9"/>
  <c r="D1151" i="9"/>
  <c r="B1151" i="9"/>
  <c r="C1151" i="9"/>
  <c r="I1147" i="9"/>
  <c r="G1147" i="9"/>
  <c r="F1147" i="9"/>
  <c r="E1147" i="9"/>
  <c r="D1147" i="9"/>
  <c r="H1147" i="9"/>
  <c r="B1147" i="9"/>
  <c r="C1147" i="9"/>
  <c r="I1143" i="9"/>
  <c r="G1143" i="9"/>
  <c r="F1143" i="9"/>
  <c r="E1143" i="9"/>
  <c r="D1143" i="9"/>
  <c r="H1143" i="9"/>
  <c r="B1143" i="9"/>
  <c r="C1143" i="9"/>
  <c r="I1139" i="9"/>
  <c r="G1139" i="9"/>
  <c r="F1139" i="9"/>
  <c r="E1139" i="9"/>
  <c r="H1139" i="9"/>
  <c r="D1139" i="9"/>
  <c r="B1139" i="9"/>
  <c r="C1139" i="9"/>
  <c r="I1135" i="9"/>
  <c r="G1135" i="9"/>
  <c r="F1135" i="9"/>
  <c r="H1135" i="9"/>
  <c r="E1135" i="9"/>
  <c r="D1135" i="9"/>
  <c r="B1135" i="9"/>
  <c r="C1135" i="9"/>
  <c r="I1131" i="9"/>
  <c r="G1131" i="9"/>
  <c r="F1131" i="9"/>
  <c r="E1131" i="9"/>
  <c r="D1131" i="9"/>
  <c r="H1131" i="9"/>
  <c r="B1131" i="9"/>
  <c r="C1131" i="9"/>
  <c r="I1127" i="9"/>
  <c r="G1127" i="9"/>
  <c r="F1127" i="9"/>
  <c r="E1127" i="9"/>
  <c r="D1127" i="9"/>
  <c r="H1127" i="9"/>
  <c r="B1127" i="9"/>
  <c r="C1127" i="9"/>
  <c r="I1123" i="9"/>
  <c r="G1123" i="9"/>
  <c r="F1123" i="9"/>
  <c r="E1123" i="9"/>
  <c r="D1123" i="9"/>
  <c r="H1123" i="9"/>
  <c r="B1123" i="9"/>
  <c r="C1123" i="9"/>
  <c r="I1119" i="9"/>
  <c r="G1119" i="9"/>
  <c r="F1119" i="9"/>
  <c r="H1119" i="9"/>
  <c r="E1119" i="9"/>
  <c r="D1119" i="9"/>
  <c r="B1119" i="9"/>
  <c r="C1119" i="9"/>
  <c r="I1115" i="9"/>
  <c r="G1115" i="9"/>
  <c r="F1115" i="9"/>
  <c r="E1115" i="9"/>
  <c r="D1115" i="9"/>
  <c r="H1115" i="9"/>
  <c r="B1115" i="9"/>
  <c r="C1115" i="9"/>
  <c r="I1111" i="9"/>
  <c r="G1111" i="9"/>
  <c r="F1111" i="9"/>
  <c r="E1111" i="9"/>
  <c r="D1111" i="9"/>
  <c r="H1111" i="9"/>
  <c r="B1111" i="9"/>
  <c r="C1111" i="9"/>
  <c r="I1107" i="9"/>
  <c r="G1107" i="9"/>
  <c r="F1107" i="9"/>
  <c r="E1107" i="9"/>
  <c r="D1107" i="9"/>
  <c r="H1107" i="9"/>
  <c r="B1107" i="9"/>
  <c r="C1107" i="9"/>
  <c r="I1103" i="9"/>
  <c r="G1103" i="9"/>
  <c r="F1103" i="9"/>
  <c r="H1103" i="9"/>
  <c r="E1103" i="9"/>
  <c r="D1103" i="9"/>
  <c r="B1103" i="9"/>
  <c r="C1103" i="9"/>
  <c r="I1099" i="9"/>
  <c r="G1099" i="9"/>
  <c r="F1099" i="9"/>
  <c r="E1099" i="9"/>
  <c r="D1099" i="9"/>
  <c r="H1099" i="9"/>
  <c r="B1099" i="9"/>
  <c r="C1099" i="9"/>
  <c r="I1095" i="9"/>
  <c r="G1095" i="9"/>
  <c r="F1095" i="9"/>
  <c r="E1095" i="9"/>
  <c r="D1095" i="9"/>
  <c r="H1095" i="9"/>
  <c r="B1095" i="9"/>
  <c r="C1095" i="9"/>
  <c r="I1091" i="9"/>
  <c r="G1091" i="9"/>
  <c r="F1091" i="9"/>
  <c r="E1091" i="9"/>
  <c r="H1091" i="9"/>
  <c r="D1091" i="9"/>
  <c r="B1091" i="9"/>
  <c r="C1091" i="9"/>
  <c r="I1087" i="9"/>
  <c r="G1087" i="9"/>
  <c r="F1087" i="9"/>
  <c r="H1087" i="9"/>
  <c r="E1087" i="9"/>
  <c r="D1087" i="9"/>
  <c r="B1087" i="9"/>
  <c r="C1087" i="9"/>
  <c r="I1083" i="9"/>
  <c r="G1083" i="9"/>
  <c r="F1083" i="9"/>
  <c r="E1083" i="9"/>
  <c r="D1083" i="9"/>
  <c r="H1083" i="9"/>
  <c r="B1083" i="9"/>
  <c r="C1083" i="9"/>
  <c r="I1079" i="9"/>
  <c r="G1079" i="9"/>
  <c r="F1079" i="9"/>
  <c r="E1079" i="9"/>
  <c r="D1079" i="9"/>
  <c r="H1079" i="9"/>
  <c r="B1079" i="9"/>
  <c r="C1079" i="9"/>
  <c r="I1075" i="9"/>
  <c r="G1075" i="9"/>
  <c r="F1075" i="9"/>
  <c r="E1075" i="9"/>
  <c r="H1075" i="9"/>
  <c r="D1075" i="9"/>
  <c r="B1075" i="9"/>
  <c r="C1075" i="9"/>
  <c r="I1071" i="9"/>
  <c r="G1071" i="9"/>
  <c r="F1071" i="9"/>
  <c r="H1071" i="9"/>
  <c r="E1071" i="9"/>
  <c r="D1071" i="9"/>
  <c r="B1071" i="9"/>
  <c r="C1071" i="9"/>
  <c r="I1067" i="9"/>
  <c r="G1067" i="9"/>
  <c r="F1067" i="9"/>
  <c r="E1067" i="9"/>
  <c r="H1067" i="9"/>
  <c r="D1067" i="9"/>
  <c r="B1067" i="9"/>
  <c r="C1067" i="9"/>
  <c r="I1063" i="9"/>
  <c r="G1063" i="9"/>
  <c r="F1063" i="9"/>
  <c r="E1063" i="9"/>
  <c r="D1063" i="9"/>
  <c r="H1063" i="9"/>
  <c r="B1063" i="9"/>
  <c r="C1063" i="9"/>
  <c r="I1059" i="9"/>
  <c r="G1059" i="9"/>
  <c r="F1059" i="9"/>
  <c r="E1059" i="9"/>
  <c r="H1059" i="9"/>
  <c r="D1059" i="9"/>
  <c r="B1059" i="9"/>
  <c r="C1059" i="9"/>
  <c r="I1055" i="9"/>
  <c r="G1055" i="9"/>
  <c r="F1055" i="9"/>
  <c r="H1055" i="9"/>
  <c r="E1055" i="9"/>
  <c r="D1055" i="9"/>
  <c r="B1055" i="9"/>
  <c r="C1055" i="9"/>
  <c r="I1051" i="9"/>
  <c r="G1051" i="9"/>
  <c r="F1051" i="9"/>
  <c r="E1051" i="9"/>
  <c r="D1051" i="9"/>
  <c r="H1051" i="9"/>
  <c r="B1051" i="9"/>
  <c r="C1051" i="9"/>
  <c r="I1047" i="9"/>
  <c r="G1047" i="9"/>
  <c r="F1047" i="9"/>
  <c r="E1047" i="9"/>
  <c r="D1047" i="9"/>
  <c r="H1047" i="9"/>
  <c r="B1047" i="9"/>
  <c r="C1047" i="9"/>
  <c r="I1043" i="9"/>
  <c r="G1043" i="9"/>
  <c r="F1043" i="9"/>
  <c r="E1043" i="9"/>
  <c r="H1043" i="9"/>
  <c r="D1043" i="9"/>
  <c r="B1043" i="9"/>
  <c r="C1043" i="9"/>
  <c r="I1039" i="9"/>
  <c r="G1039" i="9"/>
  <c r="F1039" i="9"/>
  <c r="H1039" i="9"/>
  <c r="E1039" i="9"/>
  <c r="D1039" i="9"/>
  <c r="B1039" i="9"/>
  <c r="C1039" i="9"/>
  <c r="I1035" i="9"/>
  <c r="G1035" i="9"/>
  <c r="F1035" i="9"/>
  <c r="E1035" i="9"/>
  <c r="D1035" i="9"/>
  <c r="H1035" i="9"/>
  <c r="B1035" i="9"/>
  <c r="C1035" i="9"/>
  <c r="I1031" i="9"/>
  <c r="G1031" i="9"/>
  <c r="F1031" i="9"/>
  <c r="E1031" i="9"/>
  <c r="D1031" i="9"/>
  <c r="H1031" i="9"/>
  <c r="B1031" i="9"/>
  <c r="C1031" i="9"/>
  <c r="I1027" i="9"/>
  <c r="G1027" i="9"/>
  <c r="F1027" i="9"/>
  <c r="E1027" i="9"/>
  <c r="H1027" i="9"/>
  <c r="D1027" i="9"/>
  <c r="B1027" i="9"/>
  <c r="C1027" i="9"/>
  <c r="I1023" i="9"/>
  <c r="G1023" i="9"/>
  <c r="F1023" i="9"/>
  <c r="H1023" i="9"/>
  <c r="E1023" i="9"/>
  <c r="D1023" i="9"/>
  <c r="B1023" i="9"/>
  <c r="C1023" i="9"/>
  <c r="I1019" i="9"/>
  <c r="G1019" i="9"/>
  <c r="F1019" i="9"/>
  <c r="E1019" i="9"/>
  <c r="D1019" i="9"/>
  <c r="H1019" i="9"/>
  <c r="B1019" i="9"/>
  <c r="C1019" i="9"/>
  <c r="I1015" i="9"/>
  <c r="G1015" i="9"/>
  <c r="F1015" i="9"/>
  <c r="E1015" i="9"/>
  <c r="D1015" i="9"/>
  <c r="H1015" i="9"/>
  <c r="B1015" i="9"/>
  <c r="C1015" i="9"/>
  <c r="I1011" i="9"/>
  <c r="G1011" i="9"/>
  <c r="F1011" i="9"/>
  <c r="E1011" i="9"/>
  <c r="H1011" i="9"/>
  <c r="D1011" i="9"/>
  <c r="B1011" i="9"/>
  <c r="C1011" i="9"/>
  <c r="I1007" i="9"/>
  <c r="G1007" i="9"/>
  <c r="F1007" i="9"/>
  <c r="H1007" i="9"/>
  <c r="E1007" i="9"/>
  <c r="D1007" i="9"/>
  <c r="B1007" i="9"/>
  <c r="C1007" i="9"/>
  <c r="I1003" i="9"/>
  <c r="G1003" i="9"/>
  <c r="F1003" i="9"/>
  <c r="E1003" i="9"/>
  <c r="H1003" i="9"/>
  <c r="D1003" i="9"/>
  <c r="B1003" i="9"/>
  <c r="C1003" i="9"/>
  <c r="I999" i="9"/>
  <c r="G999" i="9"/>
  <c r="F999" i="9"/>
  <c r="E999" i="9"/>
  <c r="D999" i="9"/>
  <c r="H999" i="9"/>
  <c r="B999" i="9"/>
  <c r="C999" i="9"/>
  <c r="I995" i="9"/>
  <c r="G995" i="9"/>
  <c r="F995" i="9"/>
  <c r="E995" i="9"/>
  <c r="H995" i="9"/>
  <c r="D995" i="9"/>
  <c r="B995" i="9"/>
  <c r="C995" i="9"/>
  <c r="I991" i="9"/>
  <c r="G991" i="9"/>
  <c r="F991" i="9"/>
  <c r="H991" i="9"/>
  <c r="E991" i="9"/>
  <c r="D991" i="9"/>
  <c r="B991" i="9"/>
  <c r="C991" i="9"/>
  <c r="I987" i="9"/>
  <c r="G987" i="9"/>
  <c r="F987" i="9"/>
  <c r="E987" i="9"/>
  <c r="D987" i="9"/>
  <c r="H987" i="9"/>
  <c r="B987" i="9"/>
  <c r="C987" i="9"/>
  <c r="I983" i="9"/>
  <c r="G983" i="9"/>
  <c r="F983" i="9"/>
  <c r="E983" i="9"/>
  <c r="D983" i="9"/>
  <c r="H983" i="9"/>
  <c r="B983" i="9"/>
  <c r="C983" i="9"/>
  <c r="I979" i="9"/>
  <c r="G979" i="9"/>
  <c r="F979" i="9"/>
  <c r="E979" i="9"/>
  <c r="H979" i="9"/>
  <c r="D979" i="9"/>
  <c r="B979" i="9"/>
  <c r="C979" i="9"/>
  <c r="I975" i="9"/>
  <c r="G975" i="9"/>
  <c r="F975" i="9"/>
  <c r="H975" i="9"/>
  <c r="E975" i="9"/>
  <c r="D975" i="9"/>
  <c r="B975" i="9"/>
  <c r="C975" i="9"/>
  <c r="I971" i="9"/>
  <c r="G971" i="9"/>
  <c r="F971" i="9"/>
  <c r="E971" i="9"/>
  <c r="D971" i="9"/>
  <c r="H971" i="9"/>
  <c r="B971" i="9"/>
  <c r="C971" i="9"/>
  <c r="I967" i="9"/>
  <c r="G967" i="9"/>
  <c r="F967" i="9"/>
  <c r="E967" i="9"/>
  <c r="D967" i="9"/>
  <c r="H967" i="9"/>
  <c r="B967" i="9"/>
  <c r="C967" i="9"/>
  <c r="I963" i="9"/>
  <c r="G963" i="9"/>
  <c r="F963" i="9"/>
  <c r="E963" i="9"/>
  <c r="H963" i="9"/>
  <c r="D963" i="9"/>
  <c r="B963" i="9"/>
  <c r="C963" i="9"/>
  <c r="I959" i="9"/>
  <c r="G959" i="9"/>
  <c r="F959" i="9"/>
  <c r="H959" i="9"/>
  <c r="E959" i="9"/>
  <c r="D959" i="9"/>
  <c r="B959" i="9"/>
  <c r="C959" i="9"/>
  <c r="I955" i="9"/>
  <c r="G955" i="9"/>
  <c r="F955" i="9"/>
  <c r="E955" i="9"/>
  <c r="D955" i="9"/>
  <c r="H955" i="9"/>
  <c r="B955" i="9"/>
  <c r="C955" i="9"/>
  <c r="I951" i="9"/>
  <c r="G951" i="9"/>
  <c r="F951" i="9"/>
  <c r="E951" i="9"/>
  <c r="D951" i="9"/>
  <c r="H951" i="9"/>
  <c r="B951" i="9"/>
  <c r="C951" i="9"/>
  <c r="I947" i="9"/>
  <c r="G947" i="9"/>
  <c r="F947" i="9"/>
  <c r="E947" i="9"/>
  <c r="H947" i="9"/>
  <c r="D947" i="9"/>
  <c r="B947" i="9"/>
  <c r="C947" i="9"/>
  <c r="I943" i="9"/>
  <c r="G943" i="9"/>
  <c r="F943" i="9"/>
  <c r="H943" i="9"/>
  <c r="E943" i="9"/>
  <c r="D943" i="9"/>
  <c r="B943" i="9"/>
  <c r="C943" i="9"/>
  <c r="I939" i="9"/>
  <c r="G939" i="9"/>
  <c r="F939" i="9"/>
  <c r="E939" i="9"/>
  <c r="D939" i="9"/>
  <c r="H939" i="9"/>
  <c r="B939" i="9"/>
  <c r="C939" i="9"/>
  <c r="I935" i="9"/>
  <c r="G935" i="9"/>
  <c r="F935" i="9"/>
  <c r="E935" i="9"/>
  <c r="D935" i="9"/>
  <c r="H935" i="9"/>
  <c r="B935" i="9"/>
  <c r="C935" i="9"/>
  <c r="I931" i="9"/>
  <c r="G931" i="9"/>
  <c r="F931" i="9"/>
  <c r="E931" i="9"/>
  <c r="H931" i="9"/>
  <c r="D931" i="9"/>
  <c r="B931" i="9"/>
  <c r="C931" i="9"/>
  <c r="I927" i="9"/>
  <c r="G927" i="9"/>
  <c r="F927" i="9"/>
  <c r="H927" i="9"/>
  <c r="E927" i="9"/>
  <c r="D927" i="9"/>
  <c r="B927" i="9"/>
  <c r="C927" i="9"/>
  <c r="I923" i="9"/>
  <c r="G923" i="9"/>
  <c r="F923" i="9"/>
  <c r="E923" i="9"/>
  <c r="D923" i="9"/>
  <c r="H923" i="9"/>
  <c r="B923" i="9"/>
  <c r="C923" i="9"/>
  <c r="I919" i="9"/>
  <c r="G919" i="9"/>
  <c r="F919" i="9"/>
  <c r="E919" i="9"/>
  <c r="D919" i="9"/>
  <c r="H919" i="9"/>
  <c r="B919" i="9"/>
  <c r="C919" i="9"/>
  <c r="I915" i="9"/>
  <c r="G915" i="9"/>
  <c r="F915" i="9"/>
  <c r="E915" i="9"/>
  <c r="H915" i="9"/>
  <c r="D915" i="9"/>
  <c r="B915" i="9"/>
  <c r="C915" i="9"/>
  <c r="I911" i="9"/>
  <c r="G911" i="9"/>
  <c r="F911" i="9"/>
  <c r="H911" i="9"/>
  <c r="E911" i="9"/>
  <c r="D911" i="9"/>
  <c r="B911" i="9"/>
  <c r="C911" i="9"/>
  <c r="I907" i="9"/>
  <c r="G907" i="9"/>
  <c r="F907" i="9"/>
  <c r="E907" i="9"/>
  <c r="D907" i="9"/>
  <c r="H907" i="9"/>
  <c r="B907" i="9"/>
  <c r="C907" i="9"/>
  <c r="I903" i="9"/>
  <c r="G903" i="9"/>
  <c r="F903" i="9"/>
  <c r="E903" i="9"/>
  <c r="D903" i="9"/>
  <c r="H903" i="9"/>
  <c r="B903" i="9"/>
  <c r="C903" i="9"/>
  <c r="I899" i="9"/>
  <c r="G899" i="9"/>
  <c r="F899" i="9"/>
  <c r="E899" i="9"/>
  <c r="H899" i="9"/>
  <c r="D899" i="9"/>
  <c r="B899" i="9"/>
  <c r="C899" i="9"/>
  <c r="I895" i="9"/>
  <c r="G895" i="9"/>
  <c r="F895" i="9"/>
  <c r="H895" i="9"/>
  <c r="E895" i="9"/>
  <c r="D895" i="9"/>
  <c r="B895" i="9"/>
  <c r="C895" i="9"/>
  <c r="I891" i="9"/>
  <c r="G891" i="9"/>
  <c r="F891" i="9"/>
  <c r="E891" i="9"/>
  <c r="H891" i="9"/>
  <c r="D891" i="9"/>
  <c r="B891" i="9"/>
  <c r="C891" i="9"/>
  <c r="I887" i="9"/>
  <c r="G887" i="9"/>
  <c r="F887" i="9"/>
  <c r="E887" i="9"/>
  <c r="D887" i="9"/>
  <c r="H887" i="9"/>
  <c r="B887" i="9"/>
  <c r="C887" i="9"/>
  <c r="I883" i="9"/>
  <c r="G883" i="9"/>
  <c r="F883" i="9"/>
  <c r="E883" i="9"/>
  <c r="H883" i="9"/>
  <c r="D883" i="9"/>
  <c r="B883" i="9"/>
  <c r="C883" i="9"/>
  <c r="I879" i="9"/>
  <c r="G879" i="9"/>
  <c r="F879" i="9"/>
  <c r="H879" i="9"/>
  <c r="E879" i="9"/>
  <c r="D879" i="9"/>
  <c r="B879" i="9"/>
  <c r="C879" i="9"/>
  <c r="I875" i="9"/>
  <c r="G875" i="9"/>
  <c r="F875" i="9"/>
  <c r="E875" i="9"/>
  <c r="D875" i="9"/>
  <c r="H875" i="9"/>
  <c r="B875" i="9"/>
  <c r="C875" i="9"/>
  <c r="I871" i="9"/>
  <c r="G871" i="9"/>
  <c r="F871" i="9"/>
  <c r="E871" i="9"/>
  <c r="D871" i="9"/>
  <c r="H871" i="9"/>
  <c r="B871" i="9"/>
  <c r="C871" i="9"/>
  <c r="I867" i="9"/>
  <c r="G867" i="9"/>
  <c r="F867" i="9"/>
  <c r="E867" i="9"/>
  <c r="H867" i="9"/>
  <c r="D867" i="9"/>
  <c r="B867" i="9"/>
  <c r="C867" i="9"/>
  <c r="I863" i="9"/>
  <c r="G863" i="9"/>
  <c r="F863" i="9"/>
  <c r="H863" i="9"/>
  <c r="E863" i="9"/>
  <c r="D863" i="9"/>
  <c r="B863" i="9"/>
  <c r="C863" i="9"/>
  <c r="I859" i="9"/>
  <c r="G859" i="9"/>
  <c r="F859" i="9"/>
  <c r="E859" i="9"/>
  <c r="H859" i="9"/>
  <c r="D859" i="9"/>
  <c r="B859" i="9"/>
  <c r="C859" i="9"/>
  <c r="I855" i="9"/>
  <c r="G855" i="9"/>
  <c r="F855" i="9"/>
  <c r="E855" i="9"/>
  <c r="D855" i="9"/>
  <c r="H855" i="9"/>
  <c r="B855" i="9"/>
  <c r="C855" i="9"/>
  <c r="I851" i="9"/>
  <c r="G851" i="9"/>
  <c r="F851" i="9"/>
  <c r="E851" i="9"/>
  <c r="H851" i="9"/>
  <c r="D851" i="9"/>
  <c r="B851" i="9"/>
  <c r="C851" i="9"/>
  <c r="I847" i="9"/>
  <c r="G847" i="9"/>
  <c r="F847" i="9"/>
  <c r="H847" i="9"/>
  <c r="E847" i="9"/>
  <c r="D847" i="9"/>
  <c r="B847" i="9"/>
  <c r="C847" i="9"/>
  <c r="I843" i="9"/>
  <c r="G843" i="9"/>
  <c r="F843" i="9"/>
  <c r="E843" i="9"/>
  <c r="D843" i="9"/>
  <c r="H843" i="9"/>
  <c r="B843" i="9"/>
  <c r="C843" i="9"/>
  <c r="I839" i="9"/>
  <c r="G839" i="9"/>
  <c r="F839" i="9"/>
  <c r="E839" i="9"/>
  <c r="D839" i="9"/>
  <c r="H839" i="9"/>
  <c r="B839" i="9"/>
  <c r="C839" i="9"/>
  <c r="I835" i="9"/>
  <c r="G835" i="9"/>
  <c r="F835" i="9"/>
  <c r="E835" i="9"/>
  <c r="H835" i="9"/>
  <c r="D835" i="9"/>
  <c r="B835" i="9"/>
  <c r="C835" i="9"/>
  <c r="I831" i="9"/>
  <c r="G831" i="9"/>
  <c r="F831" i="9"/>
  <c r="H831" i="9"/>
  <c r="E831" i="9"/>
  <c r="D831" i="9"/>
  <c r="B831" i="9"/>
  <c r="C831" i="9"/>
  <c r="I827" i="9"/>
  <c r="G827" i="9"/>
  <c r="F827" i="9"/>
  <c r="E827" i="9"/>
  <c r="H827" i="9"/>
  <c r="D827" i="9"/>
  <c r="B827" i="9"/>
  <c r="C827" i="9"/>
  <c r="I823" i="9"/>
  <c r="G823" i="9"/>
  <c r="F823" i="9"/>
  <c r="E823" i="9"/>
  <c r="D823" i="9"/>
  <c r="H823" i="9"/>
  <c r="B823" i="9"/>
  <c r="C823" i="9"/>
  <c r="I819" i="9"/>
  <c r="G819" i="9"/>
  <c r="F819" i="9"/>
  <c r="E819" i="9"/>
  <c r="H819" i="9"/>
  <c r="D819" i="9"/>
  <c r="B819" i="9"/>
  <c r="C819" i="9"/>
  <c r="I815" i="9"/>
  <c r="G815" i="9"/>
  <c r="F815" i="9"/>
  <c r="H815" i="9"/>
  <c r="E815" i="9"/>
  <c r="D815" i="9"/>
  <c r="B815" i="9"/>
  <c r="C815" i="9"/>
  <c r="I811" i="9"/>
  <c r="G811" i="9"/>
  <c r="F811" i="9"/>
  <c r="E811" i="9"/>
  <c r="D811" i="9"/>
  <c r="H811" i="9"/>
  <c r="B811" i="9"/>
  <c r="C811" i="9"/>
  <c r="I807" i="9"/>
  <c r="G807" i="9"/>
  <c r="F807" i="9"/>
  <c r="E807" i="9"/>
  <c r="D807" i="9"/>
  <c r="H807" i="9"/>
  <c r="B807" i="9"/>
  <c r="C807" i="9"/>
  <c r="I803" i="9"/>
  <c r="G803" i="9"/>
  <c r="F803" i="9"/>
  <c r="E803" i="9"/>
  <c r="H803" i="9"/>
  <c r="D803" i="9"/>
  <c r="B803" i="9"/>
  <c r="C803" i="9"/>
  <c r="I799" i="9"/>
  <c r="G799" i="9"/>
  <c r="F799" i="9"/>
  <c r="H799" i="9"/>
  <c r="E799" i="9"/>
  <c r="D799" i="9"/>
  <c r="B799" i="9"/>
  <c r="C799" i="9"/>
  <c r="I795" i="9"/>
  <c r="G795" i="9"/>
  <c r="F795" i="9"/>
  <c r="E795" i="9"/>
  <c r="H795" i="9"/>
  <c r="D795" i="9"/>
  <c r="B795" i="9"/>
  <c r="C795" i="9"/>
  <c r="I791" i="9"/>
  <c r="G791" i="9"/>
  <c r="F791" i="9"/>
  <c r="E791" i="9"/>
  <c r="D791" i="9"/>
  <c r="H791" i="9"/>
  <c r="B791" i="9"/>
  <c r="C791" i="9"/>
  <c r="I787" i="9"/>
  <c r="G787" i="9"/>
  <c r="F787" i="9"/>
  <c r="E787" i="9"/>
  <c r="H787" i="9"/>
  <c r="D787" i="9"/>
  <c r="B787" i="9"/>
  <c r="C787" i="9"/>
  <c r="I783" i="9"/>
  <c r="G783" i="9"/>
  <c r="F783" i="9"/>
  <c r="H783" i="9"/>
  <c r="E783" i="9"/>
  <c r="D783" i="9"/>
  <c r="B783" i="9"/>
  <c r="C783" i="9"/>
  <c r="I779" i="9"/>
  <c r="G779" i="9"/>
  <c r="F779" i="9"/>
  <c r="E779" i="9"/>
  <c r="D779" i="9"/>
  <c r="H779" i="9"/>
  <c r="B779" i="9"/>
  <c r="C779" i="9"/>
  <c r="I775" i="9"/>
  <c r="G775" i="9"/>
  <c r="F775" i="9"/>
  <c r="D775" i="9"/>
  <c r="H775" i="9"/>
  <c r="E775" i="9"/>
  <c r="B775" i="9"/>
  <c r="C775" i="9"/>
  <c r="I771" i="9"/>
  <c r="G771" i="9"/>
  <c r="F771" i="9"/>
  <c r="H771" i="9"/>
  <c r="D771" i="9"/>
  <c r="E771" i="9"/>
  <c r="B771" i="9"/>
  <c r="C771" i="9"/>
  <c r="I767" i="9"/>
  <c r="G767" i="9"/>
  <c r="F767" i="9"/>
  <c r="H767" i="9"/>
  <c r="D767" i="9"/>
  <c r="E767" i="9"/>
  <c r="B767" i="9"/>
  <c r="C767" i="9"/>
  <c r="I763" i="9"/>
  <c r="G763" i="9"/>
  <c r="F763" i="9"/>
  <c r="H763" i="9"/>
  <c r="D763" i="9"/>
  <c r="E763" i="9"/>
  <c r="B763" i="9"/>
  <c r="C763" i="9"/>
  <c r="I759" i="9"/>
  <c r="G759" i="9"/>
  <c r="F759" i="9"/>
  <c r="D759" i="9"/>
  <c r="H759" i="9"/>
  <c r="E759" i="9"/>
  <c r="B759" i="9"/>
  <c r="C759" i="9"/>
  <c r="I755" i="9"/>
  <c r="G755" i="9"/>
  <c r="F755" i="9"/>
  <c r="H755" i="9"/>
  <c r="D755" i="9"/>
  <c r="E755" i="9"/>
  <c r="B755" i="9"/>
  <c r="C755" i="9"/>
  <c r="I751" i="9"/>
  <c r="G751" i="9"/>
  <c r="F751" i="9"/>
  <c r="H751" i="9"/>
  <c r="D751" i="9"/>
  <c r="E751" i="9"/>
  <c r="B751" i="9"/>
  <c r="C751" i="9"/>
  <c r="I747" i="9"/>
  <c r="G747" i="9"/>
  <c r="F747" i="9"/>
  <c r="D747" i="9"/>
  <c r="H747" i="9"/>
  <c r="E747" i="9"/>
  <c r="B747" i="9"/>
  <c r="C747" i="9"/>
  <c r="I743" i="9"/>
  <c r="G743" i="9"/>
  <c r="F743" i="9"/>
  <c r="D743" i="9"/>
  <c r="H743" i="9"/>
  <c r="E743" i="9"/>
  <c r="B743" i="9"/>
  <c r="C743" i="9"/>
  <c r="I739" i="9"/>
  <c r="G739" i="9"/>
  <c r="F739" i="9"/>
  <c r="H739" i="9"/>
  <c r="D739" i="9"/>
  <c r="E739" i="9"/>
  <c r="B739" i="9"/>
  <c r="C739" i="9"/>
  <c r="I735" i="9"/>
  <c r="G735" i="9"/>
  <c r="F735" i="9"/>
  <c r="H735" i="9"/>
  <c r="D735" i="9"/>
  <c r="E735" i="9"/>
  <c r="B735" i="9"/>
  <c r="C735" i="9"/>
  <c r="I731" i="9"/>
  <c r="G731" i="9"/>
  <c r="F731" i="9"/>
  <c r="H731" i="9"/>
  <c r="D731" i="9"/>
  <c r="E731" i="9"/>
  <c r="B731" i="9"/>
  <c r="C731" i="9"/>
  <c r="I727" i="9"/>
  <c r="G727" i="9"/>
  <c r="F727" i="9"/>
  <c r="D727" i="9"/>
  <c r="H727" i="9"/>
  <c r="E727" i="9"/>
  <c r="B727" i="9"/>
  <c r="C727" i="9"/>
  <c r="I723" i="9"/>
  <c r="G723" i="9"/>
  <c r="F723" i="9"/>
  <c r="H723" i="9"/>
  <c r="D723" i="9"/>
  <c r="E723" i="9"/>
  <c r="B723" i="9"/>
  <c r="C723" i="9"/>
  <c r="I719" i="9"/>
  <c r="G719" i="9"/>
  <c r="F719" i="9"/>
  <c r="H719" i="9"/>
  <c r="D719" i="9"/>
  <c r="E719" i="9"/>
  <c r="B719" i="9"/>
  <c r="C719" i="9"/>
  <c r="I715" i="9"/>
  <c r="G715" i="9"/>
  <c r="F715" i="9"/>
  <c r="D715" i="9"/>
  <c r="H715" i="9"/>
  <c r="E715" i="9"/>
  <c r="B715" i="9"/>
  <c r="C715" i="9"/>
  <c r="I711" i="9"/>
  <c r="G711" i="9"/>
  <c r="F711" i="9"/>
  <c r="D711" i="9"/>
  <c r="H711" i="9"/>
  <c r="E711" i="9"/>
  <c r="B711" i="9"/>
  <c r="C711" i="9"/>
  <c r="I707" i="9"/>
  <c r="G707" i="9"/>
  <c r="F707" i="9"/>
  <c r="H707" i="9"/>
  <c r="D707" i="9"/>
  <c r="E707" i="9"/>
  <c r="B707" i="9"/>
  <c r="C707" i="9"/>
  <c r="I703" i="9"/>
  <c r="G703" i="9"/>
  <c r="F703" i="9"/>
  <c r="H703" i="9"/>
  <c r="D703" i="9"/>
  <c r="E703" i="9"/>
  <c r="B703" i="9"/>
  <c r="C703" i="9"/>
  <c r="I699" i="9"/>
  <c r="G699" i="9"/>
  <c r="F699" i="9"/>
  <c r="H699" i="9"/>
  <c r="D699" i="9"/>
  <c r="E699" i="9"/>
  <c r="B699" i="9"/>
  <c r="C699" i="9"/>
  <c r="I695" i="9"/>
  <c r="G695" i="9"/>
  <c r="F695" i="9"/>
  <c r="D695" i="9"/>
  <c r="H695" i="9"/>
  <c r="E695" i="9"/>
  <c r="B695" i="9"/>
  <c r="C695" i="9"/>
  <c r="I691" i="9"/>
  <c r="G691" i="9"/>
  <c r="F691" i="9"/>
  <c r="H691" i="9"/>
  <c r="D691" i="9"/>
  <c r="E691" i="9"/>
  <c r="B691" i="9"/>
  <c r="C691" i="9"/>
  <c r="I687" i="9"/>
  <c r="G687" i="9"/>
  <c r="F687" i="9"/>
  <c r="H687" i="9"/>
  <c r="D687" i="9"/>
  <c r="E687" i="9"/>
  <c r="B687" i="9"/>
  <c r="C687" i="9"/>
  <c r="I683" i="9"/>
  <c r="G683" i="9"/>
  <c r="F683" i="9"/>
  <c r="D683" i="9"/>
  <c r="H683" i="9"/>
  <c r="E683" i="9"/>
  <c r="B683" i="9"/>
  <c r="C683" i="9"/>
  <c r="I679" i="9"/>
  <c r="G679" i="9"/>
  <c r="F679" i="9"/>
  <c r="D679" i="9"/>
  <c r="H679" i="9"/>
  <c r="E679" i="9"/>
  <c r="B679" i="9"/>
  <c r="C679" i="9"/>
  <c r="I675" i="9"/>
  <c r="G675" i="9"/>
  <c r="F675" i="9"/>
  <c r="D675" i="9"/>
  <c r="H675" i="9"/>
  <c r="E675" i="9"/>
  <c r="B675" i="9"/>
  <c r="C675" i="9"/>
  <c r="I671" i="9"/>
  <c r="G671" i="9"/>
  <c r="F671" i="9"/>
  <c r="H671" i="9"/>
  <c r="D671" i="9"/>
  <c r="E671" i="9"/>
  <c r="B671" i="9"/>
  <c r="C671" i="9"/>
  <c r="I667" i="9"/>
  <c r="G667" i="9"/>
  <c r="F667" i="9"/>
  <c r="H667" i="9"/>
  <c r="D667" i="9"/>
  <c r="E667" i="9"/>
  <c r="B667" i="9"/>
  <c r="C667" i="9"/>
  <c r="I663" i="9"/>
  <c r="G663" i="9"/>
  <c r="F663" i="9"/>
  <c r="D663" i="9"/>
  <c r="H663" i="9"/>
  <c r="E663" i="9"/>
  <c r="B663" i="9"/>
  <c r="C663" i="9"/>
  <c r="I659" i="9"/>
  <c r="G659" i="9"/>
  <c r="F659" i="9"/>
  <c r="H659" i="9"/>
  <c r="D659" i="9"/>
  <c r="E659" i="9"/>
  <c r="B659" i="9"/>
  <c r="C659" i="9"/>
  <c r="I655" i="9"/>
  <c r="G655" i="9"/>
  <c r="F655" i="9"/>
  <c r="H655" i="9"/>
  <c r="D655" i="9"/>
  <c r="E655" i="9"/>
  <c r="B655" i="9"/>
  <c r="C655" i="9"/>
  <c r="I651" i="9"/>
  <c r="G651" i="9"/>
  <c r="F651" i="9"/>
  <c r="H651" i="9"/>
  <c r="D651" i="9"/>
  <c r="E651" i="9"/>
  <c r="B651" i="9"/>
  <c r="C651" i="9"/>
  <c r="I647" i="9"/>
  <c r="G647" i="9"/>
  <c r="F647" i="9"/>
  <c r="D647" i="9"/>
  <c r="H647" i="9"/>
  <c r="E647" i="9"/>
  <c r="B647" i="9"/>
  <c r="C647" i="9"/>
  <c r="I643" i="9"/>
  <c r="G643" i="9"/>
  <c r="F643" i="9"/>
  <c r="H643" i="9"/>
  <c r="D643" i="9"/>
  <c r="E643" i="9"/>
  <c r="B643" i="9"/>
  <c r="C643" i="9"/>
  <c r="I639" i="9"/>
  <c r="G639" i="9"/>
  <c r="F639" i="9"/>
  <c r="H639" i="9"/>
  <c r="D639" i="9"/>
  <c r="E639" i="9"/>
  <c r="B639" i="9"/>
  <c r="C639" i="9"/>
  <c r="I635" i="9"/>
  <c r="G635" i="9"/>
  <c r="F635" i="9"/>
  <c r="D635" i="9"/>
  <c r="H635" i="9"/>
  <c r="E635" i="9"/>
  <c r="B635" i="9"/>
  <c r="C635" i="9"/>
  <c r="I631" i="9"/>
  <c r="G631" i="9"/>
  <c r="F631" i="9"/>
  <c r="D631" i="9"/>
  <c r="H631" i="9"/>
  <c r="E631" i="9"/>
  <c r="B631" i="9"/>
  <c r="C631" i="9"/>
  <c r="I627" i="9"/>
  <c r="G627" i="9"/>
  <c r="F627" i="9"/>
  <c r="H627" i="9"/>
  <c r="D627" i="9"/>
  <c r="E627" i="9"/>
  <c r="B627" i="9"/>
  <c r="C627" i="9"/>
  <c r="I623" i="9"/>
  <c r="G623" i="9"/>
  <c r="F623" i="9"/>
  <c r="H623" i="9"/>
  <c r="D623" i="9"/>
  <c r="E623" i="9"/>
  <c r="B623" i="9"/>
  <c r="C623" i="9"/>
  <c r="I619" i="9"/>
  <c r="G619" i="9"/>
  <c r="F619" i="9"/>
  <c r="H619" i="9"/>
  <c r="D619" i="9"/>
  <c r="E619" i="9"/>
  <c r="B619" i="9"/>
  <c r="C619" i="9"/>
  <c r="I615" i="9"/>
  <c r="G615" i="9"/>
  <c r="F615" i="9"/>
  <c r="D615" i="9"/>
  <c r="H615" i="9"/>
  <c r="E615" i="9"/>
  <c r="B615" i="9"/>
  <c r="C615" i="9"/>
  <c r="I611" i="9"/>
  <c r="G611" i="9"/>
  <c r="F611" i="9"/>
  <c r="H611" i="9"/>
  <c r="D611" i="9"/>
  <c r="E611" i="9"/>
  <c r="B611" i="9"/>
  <c r="C611" i="9"/>
  <c r="I607" i="9"/>
  <c r="G607" i="9"/>
  <c r="F607" i="9"/>
  <c r="H607" i="9"/>
  <c r="D607" i="9"/>
  <c r="E607" i="9"/>
  <c r="B607" i="9"/>
  <c r="C607" i="9"/>
  <c r="I603" i="9"/>
  <c r="G603" i="9"/>
  <c r="F603" i="9"/>
  <c r="D603" i="9"/>
  <c r="H603" i="9"/>
  <c r="E603" i="9"/>
  <c r="B603" i="9"/>
  <c r="C603" i="9"/>
  <c r="I599" i="9"/>
  <c r="G599" i="9"/>
  <c r="F599" i="9"/>
  <c r="D599" i="9"/>
  <c r="H599" i="9"/>
  <c r="E599" i="9"/>
  <c r="B599" i="9"/>
  <c r="C599" i="9"/>
  <c r="I595" i="9"/>
  <c r="G595" i="9"/>
  <c r="F595" i="9"/>
  <c r="H595" i="9"/>
  <c r="D595" i="9"/>
  <c r="E595" i="9"/>
  <c r="B595" i="9"/>
  <c r="C595" i="9"/>
  <c r="I591" i="9"/>
  <c r="G591" i="9"/>
  <c r="F591" i="9"/>
  <c r="H591" i="9"/>
  <c r="D591" i="9"/>
  <c r="E591" i="9"/>
  <c r="B591" i="9"/>
  <c r="C591" i="9"/>
  <c r="I587" i="9"/>
  <c r="G587" i="9"/>
  <c r="F587" i="9"/>
  <c r="H587" i="9"/>
  <c r="D587" i="9"/>
  <c r="E587" i="9"/>
  <c r="B587" i="9"/>
  <c r="C587" i="9"/>
  <c r="I583" i="9"/>
  <c r="G583" i="9"/>
  <c r="F583" i="9"/>
  <c r="D583" i="9"/>
  <c r="H583" i="9"/>
  <c r="E583" i="9"/>
  <c r="B583" i="9"/>
  <c r="C583" i="9"/>
  <c r="I579" i="9"/>
  <c r="G579" i="9"/>
  <c r="F579" i="9"/>
  <c r="H579" i="9"/>
  <c r="D579" i="9"/>
  <c r="E579" i="9"/>
  <c r="B579" i="9"/>
  <c r="C579" i="9"/>
  <c r="I575" i="9"/>
  <c r="G575" i="9"/>
  <c r="F575" i="9"/>
  <c r="H575" i="9"/>
  <c r="D575" i="9"/>
  <c r="E575" i="9"/>
  <c r="B575" i="9"/>
  <c r="C575" i="9"/>
  <c r="I571" i="9"/>
  <c r="G571" i="9"/>
  <c r="F571" i="9"/>
  <c r="D571" i="9"/>
  <c r="H571" i="9"/>
  <c r="E571" i="9"/>
  <c r="B571" i="9"/>
  <c r="C571" i="9"/>
  <c r="I567" i="9"/>
  <c r="G567" i="9"/>
  <c r="F567" i="9"/>
  <c r="D567" i="9"/>
  <c r="H567" i="9"/>
  <c r="E567" i="9"/>
  <c r="B567" i="9"/>
  <c r="C567" i="9"/>
  <c r="I563" i="9"/>
  <c r="G563" i="9"/>
  <c r="F563" i="9"/>
  <c r="H563" i="9"/>
  <c r="D563" i="9"/>
  <c r="E563" i="9"/>
  <c r="B563" i="9"/>
  <c r="C563" i="9"/>
  <c r="I559" i="9"/>
  <c r="G559" i="9"/>
  <c r="F559" i="9"/>
  <c r="H559" i="9"/>
  <c r="D559" i="9"/>
  <c r="E559" i="9"/>
  <c r="B559" i="9"/>
  <c r="C559" i="9"/>
  <c r="I555" i="9"/>
  <c r="G555" i="9"/>
  <c r="F555" i="9"/>
  <c r="H555" i="9"/>
  <c r="D555" i="9"/>
  <c r="E555" i="9"/>
  <c r="B555" i="9"/>
  <c r="C555" i="9"/>
  <c r="I551" i="9"/>
  <c r="G551" i="9"/>
  <c r="F551" i="9"/>
  <c r="D551" i="9"/>
  <c r="H551" i="9"/>
  <c r="E551" i="9"/>
  <c r="B551" i="9"/>
  <c r="C551" i="9"/>
  <c r="I547" i="9"/>
  <c r="G547" i="9"/>
  <c r="F547" i="9"/>
  <c r="H547" i="9"/>
  <c r="D547" i="9"/>
  <c r="E547" i="9"/>
  <c r="B547" i="9"/>
  <c r="C547" i="9"/>
  <c r="I543" i="9"/>
  <c r="G543" i="9"/>
  <c r="F543" i="9"/>
  <c r="H543" i="9"/>
  <c r="D543" i="9"/>
  <c r="E543" i="9"/>
  <c r="B543" i="9"/>
  <c r="C543" i="9"/>
  <c r="I539" i="9"/>
  <c r="G539" i="9"/>
  <c r="F539" i="9"/>
  <c r="D539" i="9"/>
  <c r="H539" i="9"/>
  <c r="E539" i="9"/>
  <c r="B539" i="9"/>
  <c r="C539" i="9"/>
  <c r="I535" i="9"/>
  <c r="G535" i="9"/>
  <c r="F535" i="9"/>
  <c r="D535" i="9"/>
  <c r="H535" i="9"/>
  <c r="E535" i="9"/>
  <c r="B535" i="9"/>
  <c r="C535" i="9"/>
  <c r="I531" i="9"/>
  <c r="G531" i="9"/>
  <c r="F531" i="9"/>
  <c r="H531" i="9"/>
  <c r="D531" i="9"/>
  <c r="E531" i="9"/>
  <c r="B531" i="9"/>
  <c r="C531" i="9"/>
  <c r="I527" i="9"/>
  <c r="G527" i="9"/>
  <c r="F527" i="9"/>
  <c r="H527" i="9"/>
  <c r="D527" i="9"/>
  <c r="E527" i="9"/>
  <c r="B527" i="9"/>
  <c r="C527" i="9"/>
  <c r="I523" i="9"/>
  <c r="G523" i="9"/>
  <c r="F523" i="9"/>
  <c r="H523" i="9"/>
  <c r="D523" i="9"/>
  <c r="E523" i="9"/>
  <c r="B523" i="9"/>
  <c r="C523" i="9"/>
  <c r="I519" i="9"/>
  <c r="G519" i="9"/>
  <c r="F519" i="9"/>
  <c r="D519" i="9"/>
  <c r="H519" i="9"/>
  <c r="E519" i="9"/>
  <c r="B519" i="9"/>
  <c r="C519" i="9"/>
  <c r="I515" i="9"/>
  <c r="G515" i="9"/>
  <c r="F515" i="9"/>
  <c r="H515" i="9"/>
  <c r="D515" i="9"/>
  <c r="E515" i="9"/>
  <c r="B515" i="9"/>
  <c r="C515" i="9"/>
  <c r="I511" i="9"/>
  <c r="G511" i="9"/>
  <c r="F511" i="9"/>
  <c r="H511" i="9"/>
  <c r="D511" i="9"/>
  <c r="E511" i="9"/>
  <c r="B511" i="9"/>
  <c r="C511" i="9"/>
  <c r="I507" i="9"/>
  <c r="G507" i="9"/>
  <c r="F507" i="9"/>
  <c r="D507" i="9"/>
  <c r="H507" i="9"/>
  <c r="E507" i="9"/>
  <c r="B507" i="9"/>
  <c r="C507" i="9"/>
  <c r="I503" i="9"/>
  <c r="G503" i="9"/>
  <c r="F503" i="9"/>
  <c r="D503" i="9"/>
  <c r="H503" i="9"/>
  <c r="E503" i="9"/>
  <c r="B503" i="9"/>
  <c r="C503" i="9"/>
  <c r="I499" i="9"/>
  <c r="G499" i="9"/>
  <c r="F499" i="9"/>
  <c r="H499" i="9"/>
  <c r="D499" i="9"/>
  <c r="E499" i="9"/>
  <c r="B499" i="9"/>
  <c r="C499" i="9"/>
  <c r="I495" i="9"/>
  <c r="G495" i="9"/>
  <c r="F495" i="9"/>
  <c r="H495" i="9"/>
  <c r="D495" i="9"/>
  <c r="E495" i="9"/>
  <c r="B495" i="9"/>
  <c r="C495" i="9"/>
  <c r="I491" i="9"/>
  <c r="G491" i="9"/>
  <c r="F491" i="9"/>
  <c r="H491" i="9"/>
  <c r="D491" i="9"/>
  <c r="E491" i="9"/>
  <c r="B491" i="9"/>
  <c r="C491" i="9"/>
  <c r="I487" i="9"/>
  <c r="G487" i="9"/>
  <c r="F487" i="9"/>
  <c r="D487" i="9"/>
  <c r="H487" i="9"/>
  <c r="E487" i="9"/>
  <c r="B487" i="9"/>
  <c r="C487" i="9"/>
  <c r="I483" i="9"/>
  <c r="G483" i="9"/>
  <c r="F483" i="9"/>
  <c r="H483" i="9"/>
  <c r="D483" i="9"/>
  <c r="E483" i="9"/>
  <c r="B483" i="9"/>
  <c r="C483" i="9"/>
  <c r="I479" i="9"/>
  <c r="G479" i="9"/>
  <c r="F479" i="9"/>
  <c r="H479" i="9"/>
  <c r="D479" i="9"/>
  <c r="E479" i="9"/>
  <c r="B479" i="9"/>
  <c r="C479" i="9"/>
  <c r="I475" i="9"/>
  <c r="G475" i="9"/>
  <c r="F475" i="9"/>
  <c r="H475" i="9"/>
  <c r="D475" i="9"/>
  <c r="E475" i="9"/>
  <c r="B475" i="9"/>
  <c r="C475" i="9"/>
  <c r="I471" i="9"/>
  <c r="G471" i="9"/>
  <c r="F471" i="9"/>
  <c r="D471" i="9"/>
  <c r="H471" i="9"/>
  <c r="E471" i="9"/>
  <c r="B471" i="9"/>
  <c r="C471" i="9"/>
  <c r="I467" i="9"/>
  <c r="G467" i="9"/>
  <c r="F467" i="9"/>
  <c r="H467" i="9"/>
  <c r="D467" i="9"/>
  <c r="E467" i="9"/>
  <c r="B467" i="9"/>
  <c r="C467" i="9"/>
  <c r="I463" i="9"/>
  <c r="G463" i="9"/>
  <c r="F463" i="9"/>
  <c r="H463" i="9"/>
  <c r="D463" i="9"/>
  <c r="E463" i="9"/>
  <c r="B463" i="9"/>
  <c r="C463" i="9"/>
  <c r="I459" i="9"/>
  <c r="G459" i="9"/>
  <c r="F459" i="9"/>
  <c r="D459" i="9"/>
  <c r="H459" i="9"/>
  <c r="E459" i="9"/>
  <c r="B459" i="9"/>
  <c r="C459" i="9"/>
  <c r="I455" i="9"/>
  <c r="G455" i="9"/>
  <c r="F455" i="9"/>
  <c r="D455" i="9"/>
  <c r="H455" i="9"/>
  <c r="E455" i="9"/>
  <c r="B455" i="9"/>
  <c r="C455" i="9"/>
  <c r="I451" i="9"/>
  <c r="G451" i="9"/>
  <c r="F451" i="9"/>
  <c r="H451" i="9"/>
  <c r="D451" i="9"/>
  <c r="E451" i="9"/>
  <c r="B451" i="9"/>
  <c r="C451" i="9"/>
  <c r="I447" i="9"/>
  <c r="G447" i="9"/>
  <c r="F447" i="9"/>
  <c r="H447" i="9"/>
  <c r="D447" i="9"/>
  <c r="E447" i="9"/>
  <c r="B447" i="9"/>
  <c r="C447" i="9"/>
  <c r="I443" i="9"/>
  <c r="G443" i="9"/>
  <c r="F443" i="9"/>
  <c r="H443" i="9"/>
  <c r="D443" i="9"/>
  <c r="E443" i="9"/>
  <c r="B443" i="9"/>
  <c r="C443" i="9"/>
  <c r="I439" i="9"/>
  <c r="G439" i="9"/>
  <c r="F439" i="9"/>
  <c r="D439" i="9"/>
  <c r="H439" i="9"/>
  <c r="E439" i="9"/>
  <c r="B439" i="9"/>
  <c r="C439" i="9"/>
  <c r="I435" i="9"/>
  <c r="G435" i="9"/>
  <c r="F435" i="9"/>
  <c r="H435" i="9"/>
  <c r="D435" i="9"/>
  <c r="E435" i="9"/>
  <c r="B435" i="9"/>
  <c r="C435" i="9"/>
  <c r="I431" i="9"/>
  <c r="G431" i="9"/>
  <c r="F431" i="9"/>
  <c r="H431" i="9"/>
  <c r="D431" i="9"/>
  <c r="E431" i="9"/>
  <c r="B431" i="9"/>
  <c r="C431" i="9"/>
  <c r="I427" i="9"/>
  <c r="G427" i="9"/>
  <c r="F427" i="9"/>
  <c r="D427" i="9"/>
  <c r="H427" i="9"/>
  <c r="E427" i="9"/>
  <c r="B427" i="9"/>
  <c r="C427" i="9"/>
  <c r="I423" i="9"/>
  <c r="G423" i="9"/>
  <c r="F423" i="9"/>
  <c r="D423" i="9"/>
  <c r="H423" i="9"/>
  <c r="E423" i="9"/>
  <c r="B423" i="9"/>
  <c r="C423" i="9"/>
  <c r="I419" i="9"/>
  <c r="G419" i="9"/>
  <c r="F419" i="9"/>
  <c r="H419" i="9"/>
  <c r="D419" i="9"/>
  <c r="E419" i="9"/>
  <c r="B419" i="9"/>
  <c r="C419" i="9"/>
  <c r="I415" i="9"/>
  <c r="G415" i="9"/>
  <c r="F415" i="9"/>
  <c r="H415" i="9"/>
  <c r="D415" i="9"/>
  <c r="E415" i="9"/>
  <c r="B415" i="9"/>
  <c r="C415" i="9"/>
  <c r="I411" i="9"/>
  <c r="G411" i="9"/>
  <c r="F411" i="9"/>
  <c r="H411" i="9"/>
  <c r="D411" i="9"/>
  <c r="E411" i="9"/>
  <c r="B411" i="9"/>
  <c r="C411" i="9"/>
  <c r="I407" i="9"/>
  <c r="G407" i="9"/>
  <c r="F407" i="9"/>
  <c r="D407" i="9"/>
  <c r="H407" i="9"/>
  <c r="E407" i="9"/>
  <c r="B407" i="9"/>
  <c r="C407" i="9"/>
  <c r="I403" i="9"/>
  <c r="G403" i="9"/>
  <c r="F403" i="9"/>
  <c r="H403" i="9"/>
  <c r="D403" i="9"/>
  <c r="E403" i="9"/>
  <c r="B403" i="9"/>
  <c r="C403" i="9"/>
  <c r="I399" i="9"/>
  <c r="G399" i="9"/>
  <c r="F399" i="9"/>
  <c r="H399" i="9"/>
  <c r="D399" i="9"/>
  <c r="E399" i="9"/>
  <c r="B399" i="9"/>
  <c r="C399" i="9"/>
  <c r="I395" i="9"/>
  <c r="G395" i="9"/>
  <c r="F395" i="9"/>
  <c r="D395" i="9"/>
  <c r="H395" i="9"/>
  <c r="E395" i="9"/>
  <c r="B395" i="9"/>
  <c r="C395" i="9"/>
  <c r="I391" i="9"/>
  <c r="G391" i="9"/>
  <c r="F391" i="9"/>
  <c r="D391" i="9"/>
  <c r="H391" i="9"/>
  <c r="E391" i="9"/>
  <c r="B391" i="9"/>
  <c r="C391" i="9"/>
  <c r="I387" i="9"/>
  <c r="G387" i="9"/>
  <c r="F387" i="9"/>
  <c r="H387" i="9"/>
  <c r="D387" i="9"/>
  <c r="E387" i="9"/>
  <c r="B387" i="9"/>
  <c r="C387" i="9"/>
  <c r="I383" i="9"/>
  <c r="G383" i="9"/>
  <c r="F383" i="9"/>
  <c r="H383" i="9"/>
  <c r="D383" i="9"/>
  <c r="E383" i="9"/>
  <c r="B383" i="9"/>
  <c r="C383" i="9"/>
  <c r="I379" i="9"/>
  <c r="G379" i="9"/>
  <c r="F379" i="9"/>
  <c r="H379" i="9"/>
  <c r="D379" i="9"/>
  <c r="E379" i="9"/>
  <c r="B379" i="9"/>
  <c r="C379" i="9"/>
  <c r="I375" i="9"/>
  <c r="G375" i="9"/>
  <c r="F375" i="9"/>
  <c r="D375" i="9"/>
  <c r="H375" i="9"/>
  <c r="E375" i="9"/>
  <c r="B375" i="9"/>
  <c r="C375" i="9"/>
  <c r="I371" i="9"/>
  <c r="G371" i="9"/>
  <c r="F371" i="9"/>
  <c r="H371" i="9"/>
  <c r="D371" i="9"/>
  <c r="E371" i="9"/>
  <c r="B371" i="9"/>
  <c r="C371" i="9"/>
  <c r="I367" i="9"/>
  <c r="G367" i="9"/>
  <c r="F367" i="9"/>
  <c r="H367" i="9"/>
  <c r="D367" i="9"/>
  <c r="E367" i="9"/>
  <c r="B367" i="9"/>
  <c r="C367" i="9"/>
  <c r="I363" i="9"/>
  <c r="G363" i="9"/>
  <c r="F363" i="9"/>
  <c r="H363" i="9"/>
  <c r="D363" i="9"/>
  <c r="E363" i="9"/>
  <c r="B363" i="9"/>
  <c r="C363" i="9"/>
  <c r="I359" i="9"/>
  <c r="G359" i="9"/>
  <c r="F359" i="9"/>
  <c r="D359" i="9"/>
  <c r="H359" i="9"/>
  <c r="E359" i="9"/>
  <c r="B359" i="9"/>
  <c r="C359" i="9"/>
  <c r="I355" i="9"/>
  <c r="G355" i="9"/>
  <c r="F355" i="9"/>
  <c r="H355" i="9"/>
  <c r="D355" i="9"/>
  <c r="E355" i="9"/>
  <c r="B355" i="9"/>
  <c r="C355" i="9"/>
  <c r="I351" i="9"/>
  <c r="G351" i="9"/>
  <c r="F351" i="9"/>
  <c r="H351" i="9"/>
  <c r="D351" i="9"/>
  <c r="E351" i="9"/>
  <c r="B351" i="9"/>
  <c r="C351" i="9"/>
  <c r="I347" i="9"/>
  <c r="G347" i="9"/>
  <c r="F347" i="9"/>
  <c r="D347" i="9"/>
  <c r="H347" i="9"/>
  <c r="E347" i="9"/>
  <c r="B347" i="9"/>
  <c r="C347" i="9"/>
  <c r="I343" i="9"/>
  <c r="G343" i="9"/>
  <c r="F343" i="9"/>
  <c r="D343" i="9"/>
  <c r="H343" i="9"/>
  <c r="E343" i="9"/>
  <c r="B343" i="9"/>
  <c r="C343" i="9"/>
  <c r="I339" i="9"/>
  <c r="G339" i="9"/>
  <c r="F339" i="9"/>
  <c r="H339" i="9"/>
  <c r="D339" i="9"/>
  <c r="E339" i="9"/>
  <c r="B339" i="9"/>
  <c r="C339" i="9"/>
  <c r="I335" i="9"/>
  <c r="G335" i="9"/>
  <c r="F335" i="9"/>
  <c r="H335" i="9"/>
  <c r="D335" i="9"/>
  <c r="E335" i="9"/>
  <c r="B335" i="9"/>
  <c r="C335" i="9"/>
  <c r="I331" i="9"/>
  <c r="G331" i="9"/>
  <c r="F331" i="9"/>
  <c r="H331" i="9"/>
  <c r="D331" i="9"/>
  <c r="E331" i="9"/>
  <c r="B331" i="9"/>
  <c r="C331" i="9"/>
  <c r="I327" i="9"/>
  <c r="G327" i="9"/>
  <c r="F327" i="9"/>
  <c r="D327" i="9"/>
  <c r="H327" i="9"/>
  <c r="E327" i="9"/>
  <c r="B327" i="9"/>
  <c r="C327" i="9"/>
  <c r="I323" i="9"/>
  <c r="G323" i="9"/>
  <c r="F323" i="9"/>
  <c r="H323" i="9"/>
  <c r="D323" i="9"/>
  <c r="E323" i="9"/>
  <c r="B323" i="9"/>
  <c r="C323" i="9"/>
  <c r="I319" i="9"/>
  <c r="G319" i="9"/>
  <c r="F319" i="9"/>
  <c r="H319" i="9"/>
  <c r="D319" i="9"/>
  <c r="E319" i="9"/>
  <c r="B319" i="9"/>
  <c r="C319" i="9"/>
  <c r="I315" i="9"/>
  <c r="G315" i="9"/>
  <c r="F315" i="9"/>
  <c r="D315" i="9"/>
  <c r="H315" i="9"/>
  <c r="E315" i="9"/>
  <c r="B315" i="9"/>
  <c r="C315" i="9"/>
  <c r="I311" i="9"/>
  <c r="G311" i="9"/>
  <c r="F311" i="9"/>
  <c r="D311" i="9"/>
  <c r="H311" i="9"/>
  <c r="E311" i="9"/>
  <c r="B311" i="9"/>
  <c r="C311" i="9"/>
  <c r="I307" i="9"/>
  <c r="G307" i="9"/>
  <c r="F307" i="9"/>
  <c r="H307" i="9"/>
  <c r="D307" i="9"/>
  <c r="E307" i="9"/>
  <c r="B307" i="9"/>
  <c r="C307" i="9"/>
  <c r="I303" i="9"/>
  <c r="G303" i="9"/>
  <c r="F303" i="9"/>
  <c r="H303" i="9"/>
  <c r="D303" i="9"/>
  <c r="E303" i="9"/>
  <c r="B303" i="9"/>
  <c r="C303" i="9"/>
  <c r="I299" i="9"/>
  <c r="G299" i="9"/>
  <c r="F299" i="9"/>
  <c r="H299" i="9"/>
  <c r="D299" i="9"/>
  <c r="E299" i="9"/>
  <c r="B299" i="9"/>
  <c r="C299" i="9"/>
  <c r="I295" i="9"/>
  <c r="G295" i="9"/>
  <c r="F295" i="9"/>
  <c r="D295" i="9"/>
  <c r="H295" i="9"/>
  <c r="E295" i="9"/>
  <c r="B295" i="9"/>
  <c r="C295" i="9"/>
  <c r="I291" i="9"/>
  <c r="G291" i="9"/>
  <c r="F291" i="9"/>
  <c r="H291" i="9"/>
  <c r="D291" i="9"/>
  <c r="E291" i="9"/>
  <c r="B291" i="9"/>
  <c r="C291" i="9"/>
  <c r="I287" i="9"/>
  <c r="G287" i="9"/>
  <c r="F287" i="9"/>
  <c r="H287" i="9"/>
  <c r="D287" i="9"/>
  <c r="E287" i="9"/>
  <c r="B287" i="9"/>
  <c r="C287" i="9"/>
  <c r="I283" i="9"/>
  <c r="G283" i="9"/>
  <c r="F283" i="9"/>
  <c r="D283" i="9"/>
  <c r="H283" i="9"/>
  <c r="E283" i="9"/>
  <c r="B283" i="9"/>
  <c r="C283" i="9"/>
  <c r="I279" i="9"/>
  <c r="G279" i="9"/>
  <c r="F279" i="9"/>
  <c r="D279" i="9"/>
  <c r="H279" i="9"/>
  <c r="E279" i="9"/>
  <c r="B279" i="9"/>
  <c r="C279" i="9"/>
  <c r="I275" i="9"/>
  <c r="G275" i="9"/>
  <c r="F275" i="9"/>
  <c r="H275" i="9"/>
  <c r="D275" i="9"/>
  <c r="E275" i="9"/>
  <c r="B275" i="9"/>
  <c r="C275" i="9"/>
  <c r="I271" i="9"/>
  <c r="G271" i="9"/>
  <c r="F271" i="9"/>
  <c r="H271" i="9"/>
  <c r="D271" i="9"/>
  <c r="E271" i="9"/>
  <c r="B271" i="9"/>
  <c r="C271" i="9"/>
  <c r="I267" i="9"/>
  <c r="G267" i="9"/>
  <c r="F267" i="9"/>
  <c r="H267" i="9"/>
  <c r="D267" i="9"/>
  <c r="E267" i="9"/>
  <c r="B267" i="9"/>
  <c r="C267" i="9"/>
  <c r="I263" i="9"/>
  <c r="G263" i="9"/>
  <c r="F263" i="9"/>
  <c r="D263" i="9"/>
  <c r="H263" i="9"/>
  <c r="E263" i="9"/>
  <c r="B263" i="9"/>
  <c r="C263" i="9"/>
  <c r="I259" i="9"/>
  <c r="G259" i="9"/>
  <c r="F259" i="9"/>
  <c r="H259" i="9"/>
  <c r="D259" i="9"/>
  <c r="E259" i="9"/>
  <c r="B259" i="9"/>
  <c r="C259" i="9"/>
  <c r="I255" i="9"/>
  <c r="G255" i="9"/>
  <c r="F255" i="9"/>
  <c r="H255" i="9"/>
  <c r="D255" i="9"/>
  <c r="E255" i="9"/>
  <c r="B255" i="9"/>
  <c r="C255" i="9"/>
  <c r="I251" i="9"/>
  <c r="G251" i="9"/>
  <c r="F251" i="9"/>
  <c r="H251" i="9"/>
  <c r="D251" i="9"/>
  <c r="E251" i="9"/>
  <c r="B251" i="9"/>
  <c r="C251" i="9"/>
  <c r="I247" i="9"/>
  <c r="G247" i="9"/>
  <c r="F247" i="9"/>
  <c r="D247" i="9"/>
  <c r="H247" i="9"/>
  <c r="E247" i="9"/>
  <c r="B247" i="9"/>
  <c r="C247" i="9"/>
  <c r="I243" i="9"/>
  <c r="G243" i="9"/>
  <c r="F243" i="9"/>
  <c r="H243" i="9"/>
  <c r="D243" i="9"/>
  <c r="E243" i="9"/>
  <c r="B243" i="9"/>
  <c r="C243" i="9"/>
  <c r="I239" i="9"/>
  <c r="G239" i="9"/>
  <c r="F239" i="9"/>
  <c r="H239" i="9"/>
  <c r="D239" i="9"/>
  <c r="E239" i="9"/>
  <c r="B239" i="9"/>
  <c r="C239" i="9"/>
  <c r="I235" i="9"/>
  <c r="G235" i="9"/>
  <c r="F235" i="9"/>
  <c r="D235" i="9"/>
  <c r="H235" i="9"/>
  <c r="E235" i="9"/>
  <c r="B235" i="9"/>
  <c r="C235" i="9"/>
  <c r="I231" i="9"/>
  <c r="G231" i="9"/>
  <c r="F231" i="9"/>
  <c r="D231" i="9"/>
  <c r="H231" i="9"/>
  <c r="E231" i="9"/>
  <c r="B231" i="9"/>
  <c r="C231" i="9"/>
  <c r="I227" i="9"/>
  <c r="G227" i="9"/>
  <c r="F227" i="9"/>
  <c r="H227" i="9"/>
  <c r="D227" i="9"/>
  <c r="E227" i="9"/>
  <c r="B227" i="9"/>
  <c r="C227" i="9"/>
  <c r="I223" i="9"/>
  <c r="G223" i="9"/>
  <c r="F223" i="9"/>
  <c r="H223" i="9"/>
  <c r="D223" i="9"/>
  <c r="E223" i="9"/>
  <c r="B223" i="9"/>
  <c r="C223" i="9"/>
  <c r="I219" i="9"/>
  <c r="G219" i="9"/>
  <c r="F219" i="9"/>
  <c r="H219" i="9"/>
  <c r="D219" i="9"/>
  <c r="E219" i="9"/>
  <c r="B219" i="9"/>
  <c r="C219" i="9"/>
  <c r="I215" i="9"/>
  <c r="G215" i="9"/>
  <c r="F215" i="9"/>
  <c r="D215" i="9"/>
  <c r="H215" i="9"/>
  <c r="E215" i="9"/>
  <c r="B215" i="9"/>
  <c r="C215" i="9"/>
  <c r="I211" i="9"/>
  <c r="G211" i="9"/>
  <c r="F211" i="9"/>
  <c r="H211" i="9"/>
  <c r="D211" i="9"/>
  <c r="E211" i="9"/>
  <c r="B211" i="9"/>
  <c r="C211" i="9"/>
  <c r="I207" i="9"/>
  <c r="G207" i="9"/>
  <c r="F207" i="9"/>
  <c r="H207" i="9"/>
  <c r="D207" i="9"/>
  <c r="E207" i="9"/>
  <c r="B207" i="9"/>
  <c r="C207" i="9"/>
  <c r="I203" i="9"/>
  <c r="G203" i="9"/>
  <c r="F203" i="9"/>
  <c r="H203" i="9"/>
  <c r="D203" i="9"/>
  <c r="E203" i="9"/>
  <c r="B203" i="9"/>
  <c r="C203" i="9"/>
  <c r="I199" i="9"/>
  <c r="G199" i="9"/>
  <c r="F199" i="9"/>
  <c r="D199" i="9"/>
  <c r="H199" i="9"/>
  <c r="E199" i="9"/>
  <c r="B199" i="9"/>
  <c r="C199" i="9"/>
  <c r="I195" i="9"/>
  <c r="G195" i="9"/>
  <c r="F195" i="9"/>
  <c r="H195" i="9"/>
  <c r="D195" i="9"/>
  <c r="E195" i="9"/>
  <c r="B195" i="9"/>
  <c r="C195" i="9"/>
  <c r="I191" i="9"/>
  <c r="G191" i="9"/>
  <c r="F191" i="9"/>
  <c r="H191" i="9"/>
  <c r="D191" i="9"/>
  <c r="E191" i="9"/>
  <c r="B191" i="9"/>
  <c r="C191" i="9"/>
  <c r="I187" i="9"/>
  <c r="G187" i="9"/>
  <c r="F187" i="9"/>
  <c r="D187" i="9"/>
  <c r="H187" i="9"/>
  <c r="E187" i="9"/>
  <c r="B187" i="9"/>
  <c r="C187" i="9"/>
  <c r="I183" i="9"/>
  <c r="G183" i="9"/>
  <c r="F183" i="9"/>
  <c r="D183" i="9"/>
  <c r="H183" i="9"/>
  <c r="E183" i="9"/>
  <c r="B183" i="9"/>
  <c r="C183" i="9"/>
  <c r="I179" i="9"/>
  <c r="G179" i="9"/>
  <c r="F179" i="9"/>
  <c r="H179" i="9"/>
  <c r="D179" i="9"/>
  <c r="E179" i="9"/>
  <c r="B179" i="9"/>
  <c r="C179" i="9"/>
  <c r="I175" i="9"/>
  <c r="G175" i="9"/>
  <c r="F175" i="9"/>
  <c r="H175" i="9"/>
  <c r="D175" i="9"/>
  <c r="E175" i="9"/>
  <c r="B175" i="9"/>
  <c r="C175" i="9"/>
  <c r="I171" i="9"/>
  <c r="G171" i="9"/>
  <c r="F171" i="9"/>
  <c r="H171" i="9"/>
  <c r="D171" i="9"/>
  <c r="E171" i="9"/>
  <c r="B171" i="9"/>
  <c r="C171" i="9"/>
  <c r="I167" i="9"/>
  <c r="G167" i="9"/>
  <c r="F167" i="9"/>
  <c r="D167" i="9"/>
  <c r="H167" i="9"/>
  <c r="E167" i="9"/>
  <c r="B167" i="9"/>
  <c r="C167" i="9"/>
  <c r="I163" i="9"/>
  <c r="G163" i="9"/>
  <c r="F163" i="9"/>
  <c r="H163" i="9"/>
  <c r="D163" i="9"/>
  <c r="E163" i="9"/>
  <c r="B163" i="9"/>
  <c r="C163" i="9"/>
  <c r="I159" i="9"/>
  <c r="G159" i="9"/>
  <c r="F159" i="9"/>
  <c r="H159" i="9"/>
  <c r="D159" i="9"/>
  <c r="E159" i="9"/>
  <c r="B159" i="9"/>
  <c r="C159" i="9"/>
  <c r="I155" i="9"/>
  <c r="G155" i="9"/>
  <c r="F155" i="9"/>
  <c r="D155" i="9"/>
  <c r="H155" i="9"/>
  <c r="E155" i="9"/>
  <c r="B155" i="9"/>
  <c r="C155" i="9"/>
  <c r="I151" i="9"/>
  <c r="G151" i="9"/>
  <c r="F151" i="9"/>
  <c r="D151" i="9"/>
  <c r="H151" i="9"/>
  <c r="E151" i="9"/>
  <c r="B151" i="9"/>
  <c r="C151" i="9"/>
  <c r="I147" i="9"/>
  <c r="G147" i="9"/>
  <c r="F147" i="9"/>
  <c r="H147" i="9"/>
  <c r="D147" i="9"/>
  <c r="E147" i="9"/>
  <c r="B147" i="9"/>
  <c r="C147" i="9"/>
  <c r="I143" i="9"/>
  <c r="G143" i="9"/>
  <c r="F143" i="9"/>
  <c r="H143" i="9"/>
  <c r="D143" i="9"/>
  <c r="E143" i="9"/>
  <c r="B143" i="9"/>
  <c r="C143" i="9"/>
  <c r="I139" i="9"/>
  <c r="G139" i="9"/>
  <c r="F139" i="9"/>
  <c r="H139" i="9"/>
  <c r="D139" i="9"/>
  <c r="E139" i="9"/>
  <c r="B139" i="9"/>
  <c r="C139" i="9"/>
  <c r="I135" i="9"/>
  <c r="G135" i="9"/>
  <c r="F135" i="9"/>
  <c r="D135" i="9"/>
  <c r="H135" i="9"/>
  <c r="E135" i="9"/>
  <c r="B135" i="9"/>
  <c r="C135" i="9"/>
  <c r="I131" i="9"/>
  <c r="G131" i="9"/>
  <c r="F131" i="9"/>
  <c r="H131" i="9"/>
  <c r="D131" i="9"/>
  <c r="E131" i="9"/>
  <c r="B131" i="9"/>
  <c r="C131" i="9"/>
  <c r="I127" i="9"/>
  <c r="G127" i="9"/>
  <c r="F127" i="9"/>
  <c r="H127" i="9"/>
  <c r="D127" i="9"/>
  <c r="E127" i="9"/>
  <c r="B127" i="9"/>
  <c r="C127" i="9"/>
  <c r="I123" i="9"/>
  <c r="G123" i="9"/>
  <c r="F123" i="9"/>
  <c r="D123" i="9"/>
  <c r="H123" i="9"/>
  <c r="E123" i="9"/>
  <c r="B123" i="9"/>
  <c r="C123" i="9"/>
  <c r="I119" i="9"/>
  <c r="G119" i="9"/>
  <c r="F119" i="9"/>
  <c r="D119" i="9"/>
  <c r="H119" i="9"/>
  <c r="E119" i="9"/>
  <c r="B119" i="9"/>
  <c r="C119" i="9"/>
  <c r="I115" i="9"/>
  <c r="G115" i="9"/>
  <c r="F115" i="9"/>
  <c r="H115" i="9"/>
  <c r="D115" i="9"/>
  <c r="E115" i="9"/>
  <c r="B115" i="9"/>
  <c r="C115" i="9"/>
  <c r="I111" i="9"/>
  <c r="G111" i="9"/>
  <c r="F111" i="9"/>
  <c r="H111" i="9"/>
  <c r="D111" i="9"/>
  <c r="E111" i="9"/>
  <c r="B111" i="9"/>
  <c r="C111" i="9"/>
  <c r="I107" i="9"/>
  <c r="G107" i="9"/>
  <c r="F107" i="9"/>
  <c r="H107" i="9"/>
  <c r="D107" i="9"/>
  <c r="E107" i="9"/>
  <c r="B107" i="9"/>
  <c r="C107" i="9"/>
  <c r="I103" i="9"/>
  <c r="G103" i="9"/>
  <c r="F103" i="9"/>
  <c r="D103" i="9"/>
  <c r="H103" i="9"/>
  <c r="E103" i="9"/>
  <c r="B103" i="9"/>
  <c r="C103" i="9"/>
  <c r="I99" i="9"/>
  <c r="G99" i="9"/>
  <c r="F99" i="9"/>
  <c r="H99" i="9"/>
  <c r="D99" i="9"/>
  <c r="E99" i="9"/>
  <c r="B99" i="9"/>
  <c r="C99" i="9"/>
  <c r="I95" i="9"/>
  <c r="G95" i="9"/>
  <c r="F95" i="9"/>
  <c r="H95" i="9"/>
  <c r="D95" i="9"/>
  <c r="E95" i="9"/>
  <c r="B95" i="9"/>
  <c r="C95" i="9"/>
  <c r="I91" i="9"/>
  <c r="G91" i="9"/>
  <c r="F91" i="9"/>
  <c r="D91" i="9"/>
  <c r="H91" i="9"/>
  <c r="E91" i="9"/>
  <c r="B91" i="9"/>
  <c r="C91" i="9"/>
  <c r="I87" i="9"/>
  <c r="G87" i="9"/>
  <c r="F87" i="9"/>
  <c r="D87" i="9"/>
  <c r="H87" i="9"/>
  <c r="E87" i="9"/>
  <c r="B87" i="9"/>
  <c r="C87" i="9"/>
  <c r="I83" i="9"/>
  <c r="G83" i="9"/>
  <c r="F83" i="9"/>
  <c r="H83" i="9"/>
  <c r="D83" i="9"/>
  <c r="E83" i="9"/>
  <c r="B83" i="9"/>
  <c r="C83" i="9"/>
  <c r="I79" i="9"/>
  <c r="G79" i="9"/>
  <c r="F79" i="9"/>
  <c r="H79" i="9"/>
  <c r="D79" i="9"/>
  <c r="E79" i="9"/>
  <c r="B79" i="9"/>
  <c r="C79" i="9"/>
  <c r="I75" i="9"/>
  <c r="G75" i="9"/>
  <c r="F75" i="9"/>
  <c r="H75" i="9"/>
  <c r="D75" i="9"/>
  <c r="E75" i="9"/>
  <c r="B75" i="9"/>
  <c r="C75" i="9"/>
  <c r="I71" i="9"/>
  <c r="G71" i="9"/>
  <c r="F71" i="9"/>
  <c r="D71" i="9"/>
  <c r="H71" i="9"/>
  <c r="E71" i="9"/>
  <c r="B71" i="9"/>
  <c r="C71" i="9"/>
  <c r="I67" i="9"/>
  <c r="G67" i="9"/>
  <c r="F67" i="9"/>
  <c r="H67" i="9"/>
  <c r="D67" i="9"/>
  <c r="E67" i="9"/>
  <c r="B67" i="9"/>
  <c r="C67" i="9"/>
  <c r="I63" i="9"/>
  <c r="G63" i="9"/>
  <c r="F63" i="9"/>
  <c r="H63" i="9"/>
  <c r="D63" i="9"/>
  <c r="E63" i="9"/>
  <c r="B63" i="9"/>
  <c r="C63" i="9"/>
  <c r="I59" i="9"/>
  <c r="G59" i="9"/>
  <c r="F59" i="9"/>
  <c r="D59" i="9"/>
  <c r="H59" i="9"/>
  <c r="E59" i="9"/>
  <c r="B59" i="9"/>
  <c r="C59" i="9"/>
  <c r="I55" i="9"/>
  <c r="G55" i="9"/>
  <c r="F55" i="9"/>
  <c r="D55" i="9"/>
  <c r="H55" i="9"/>
  <c r="E55" i="9"/>
  <c r="B55" i="9"/>
  <c r="C55" i="9"/>
  <c r="I51" i="9"/>
  <c r="G51" i="9"/>
  <c r="F51" i="9"/>
  <c r="H51" i="9"/>
  <c r="D51" i="9"/>
  <c r="E51" i="9"/>
  <c r="B51" i="9"/>
  <c r="C51" i="9"/>
  <c r="I47" i="9"/>
  <c r="G47" i="9"/>
  <c r="F47" i="9"/>
  <c r="H47" i="9"/>
  <c r="D47" i="9"/>
  <c r="E47" i="9"/>
  <c r="B47" i="9"/>
  <c r="C47" i="9"/>
  <c r="I43" i="9"/>
  <c r="G43" i="9"/>
  <c r="F43" i="9"/>
  <c r="H43" i="9"/>
  <c r="D43" i="9"/>
  <c r="E43" i="9"/>
  <c r="B43" i="9"/>
  <c r="C43" i="9"/>
  <c r="I39" i="9"/>
  <c r="G39" i="9"/>
  <c r="F39" i="9"/>
  <c r="D39" i="9"/>
  <c r="H39" i="9"/>
  <c r="E39" i="9"/>
  <c r="B39" i="9"/>
  <c r="C39" i="9"/>
  <c r="B35" i="9"/>
  <c r="I35" i="9"/>
  <c r="G35" i="9"/>
  <c r="F35" i="9"/>
  <c r="H35" i="9"/>
  <c r="D35" i="9"/>
  <c r="E35" i="9"/>
  <c r="C35" i="9"/>
  <c r="B31" i="9"/>
  <c r="I31" i="9"/>
  <c r="G31" i="9"/>
  <c r="F31" i="9"/>
  <c r="H31" i="9"/>
  <c r="D31" i="9"/>
  <c r="E31" i="9"/>
  <c r="C31" i="9"/>
  <c r="B27" i="9"/>
  <c r="I27" i="9"/>
  <c r="G27" i="9"/>
  <c r="F27" i="9"/>
  <c r="H27" i="9"/>
  <c r="D27" i="9"/>
  <c r="E27" i="9"/>
  <c r="C27" i="9"/>
  <c r="B23" i="9"/>
  <c r="I23" i="9"/>
  <c r="G23" i="9"/>
  <c r="F23" i="9"/>
  <c r="D23" i="9"/>
  <c r="H23" i="9"/>
  <c r="E23" i="9"/>
  <c r="C23" i="9"/>
  <c r="B19" i="9"/>
  <c r="I19" i="9"/>
  <c r="G19" i="9"/>
  <c r="F19" i="9"/>
  <c r="H19" i="9"/>
  <c r="D19" i="9"/>
  <c r="E19" i="9"/>
  <c r="C19" i="9"/>
  <c r="B15" i="9"/>
  <c r="I15" i="9"/>
  <c r="G15" i="9"/>
  <c r="F15" i="9"/>
  <c r="H15" i="9"/>
  <c r="D15" i="9"/>
  <c r="E15" i="9"/>
  <c r="C15" i="9"/>
  <c r="B11" i="9"/>
  <c r="I11" i="9"/>
  <c r="G11" i="9"/>
  <c r="F11" i="9"/>
  <c r="D11" i="9"/>
  <c r="H11" i="9"/>
  <c r="E11" i="9"/>
  <c r="C11" i="9"/>
  <c r="B7" i="9"/>
  <c r="I7" i="9"/>
  <c r="G7" i="9"/>
  <c r="F7" i="9"/>
  <c r="D7" i="9"/>
  <c r="H7" i="9"/>
  <c r="E7" i="9"/>
  <c r="C7" i="9"/>
  <c r="T2501" i="9"/>
  <c r="V2501" i="9" s="1"/>
  <c r="U2501" i="9"/>
  <c r="O2501" i="9"/>
  <c r="P2501" i="9" s="1"/>
  <c r="N2501" i="9"/>
  <c r="M2501" i="9"/>
  <c r="L2501" i="9"/>
  <c r="K2501" i="9"/>
  <c r="T2497" i="9"/>
  <c r="V2497" i="9" s="1"/>
  <c r="U2497" i="9"/>
  <c r="O2497" i="9"/>
  <c r="P2497" i="9" s="1"/>
  <c r="N2497" i="9"/>
  <c r="M2497" i="9"/>
  <c r="L2497" i="9"/>
  <c r="K2497" i="9"/>
  <c r="T2493" i="9"/>
  <c r="V2493" i="9" s="1"/>
  <c r="U2493" i="9"/>
  <c r="O2493" i="9"/>
  <c r="P2493" i="9" s="1"/>
  <c r="N2493" i="9"/>
  <c r="M2493" i="9"/>
  <c r="L2493" i="9"/>
  <c r="K2493" i="9"/>
  <c r="T2489" i="9"/>
  <c r="V2489" i="9" s="1"/>
  <c r="O2489" i="9"/>
  <c r="P2489" i="9" s="1"/>
  <c r="U2489" i="9"/>
  <c r="N2489" i="9"/>
  <c r="M2489" i="9"/>
  <c r="L2489" i="9"/>
  <c r="K2489" i="9"/>
  <c r="T2485" i="9"/>
  <c r="V2485" i="9" s="1"/>
  <c r="U2485" i="9"/>
  <c r="O2485" i="9"/>
  <c r="P2485" i="9" s="1"/>
  <c r="N2485" i="9"/>
  <c r="M2485" i="9"/>
  <c r="L2485" i="9"/>
  <c r="K2485" i="9"/>
  <c r="T2481" i="9"/>
  <c r="V2481" i="9" s="1"/>
  <c r="U2481" i="9"/>
  <c r="O2481" i="9"/>
  <c r="P2481" i="9" s="1"/>
  <c r="N2481" i="9"/>
  <c r="M2481" i="9"/>
  <c r="L2481" i="9"/>
  <c r="K2481" i="9"/>
  <c r="T2477" i="9"/>
  <c r="V2477" i="9" s="1"/>
  <c r="U2477" i="9"/>
  <c r="O2477" i="9"/>
  <c r="P2477" i="9" s="1"/>
  <c r="N2477" i="9"/>
  <c r="M2477" i="9"/>
  <c r="L2477" i="9"/>
  <c r="K2477" i="9"/>
  <c r="T2473" i="9"/>
  <c r="V2473" i="9" s="1"/>
  <c r="O2473" i="9"/>
  <c r="P2473" i="9" s="1"/>
  <c r="U2473" i="9"/>
  <c r="N2473" i="9"/>
  <c r="M2473" i="9"/>
  <c r="L2473" i="9"/>
  <c r="K2473" i="9"/>
  <c r="T2469" i="9"/>
  <c r="V2469" i="9" s="1"/>
  <c r="U2469" i="9"/>
  <c r="O2469" i="9"/>
  <c r="P2469" i="9" s="1"/>
  <c r="N2469" i="9"/>
  <c r="M2469" i="9"/>
  <c r="L2469" i="9"/>
  <c r="K2469" i="9"/>
  <c r="T2465" i="9"/>
  <c r="V2465" i="9" s="1"/>
  <c r="U2465" i="9"/>
  <c r="O2465" i="9"/>
  <c r="P2465" i="9" s="1"/>
  <c r="N2465" i="9"/>
  <c r="M2465" i="9"/>
  <c r="L2465" i="9"/>
  <c r="K2465" i="9"/>
  <c r="T2461" i="9"/>
  <c r="V2461" i="9" s="1"/>
  <c r="U2461" i="9"/>
  <c r="O2461" i="9"/>
  <c r="P2461" i="9" s="1"/>
  <c r="N2461" i="9"/>
  <c r="M2461" i="9"/>
  <c r="L2461" i="9"/>
  <c r="K2461" i="9"/>
  <c r="T2457" i="9"/>
  <c r="V2457" i="9" s="1"/>
  <c r="O2457" i="9"/>
  <c r="P2457" i="9" s="1"/>
  <c r="U2457" i="9"/>
  <c r="N2457" i="9"/>
  <c r="M2457" i="9"/>
  <c r="L2457" i="9"/>
  <c r="K2457" i="9"/>
  <c r="T2453" i="9"/>
  <c r="V2453" i="9" s="1"/>
  <c r="U2453" i="9"/>
  <c r="O2453" i="9"/>
  <c r="P2453" i="9" s="1"/>
  <c r="N2453" i="9"/>
  <c r="M2453" i="9"/>
  <c r="L2453" i="9"/>
  <c r="K2453" i="9"/>
  <c r="T2449" i="9"/>
  <c r="V2449" i="9" s="1"/>
  <c r="U2449" i="9"/>
  <c r="O2449" i="9"/>
  <c r="P2449" i="9" s="1"/>
  <c r="N2449" i="9"/>
  <c r="M2449" i="9"/>
  <c r="L2449" i="9"/>
  <c r="K2449" i="9"/>
  <c r="T2445" i="9"/>
  <c r="V2445" i="9" s="1"/>
  <c r="U2445" i="9"/>
  <c r="O2445" i="9"/>
  <c r="P2445" i="9" s="1"/>
  <c r="N2445" i="9"/>
  <c r="M2445" i="9"/>
  <c r="L2445" i="9"/>
  <c r="K2445" i="9"/>
  <c r="T2441" i="9"/>
  <c r="V2441" i="9" s="1"/>
  <c r="O2441" i="9"/>
  <c r="P2441" i="9" s="1"/>
  <c r="U2441" i="9"/>
  <c r="N2441" i="9"/>
  <c r="M2441" i="9"/>
  <c r="L2441" i="9"/>
  <c r="K2441" i="9"/>
  <c r="T2437" i="9"/>
  <c r="V2437" i="9" s="1"/>
  <c r="U2437" i="9"/>
  <c r="O2437" i="9"/>
  <c r="P2437" i="9" s="1"/>
  <c r="N2437" i="9"/>
  <c r="M2437" i="9"/>
  <c r="L2437" i="9"/>
  <c r="K2437" i="9"/>
  <c r="T2433" i="9"/>
  <c r="V2433" i="9" s="1"/>
  <c r="U2433" i="9"/>
  <c r="O2433" i="9"/>
  <c r="P2433" i="9" s="1"/>
  <c r="N2433" i="9"/>
  <c r="M2433" i="9"/>
  <c r="L2433" i="9"/>
  <c r="K2433" i="9"/>
  <c r="T2429" i="9"/>
  <c r="V2429" i="9" s="1"/>
  <c r="U2429" i="9"/>
  <c r="O2429" i="9"/>
  <c r="P2429" i="9" s="1"/>
  <c r="N2429" i="9"/>
  <c r="M2429" i="9"/>
  <c r="L2429" i="9"/>
  <c r="K2429" i="9"/>
  <c r="T2425" i="9"/>
  <c r="V2425" i="9" s="1"/>
  <c r="O2425" i="9"/>
  <c r="P2425" i="9" s="1"/>
  <c r="U2425" i="9"/>
  <c r="N2425" i="9"/>
  <c r="M2425" i="9"/>
  <c r="L2425" i="9"/>
  <c r="K2425" i="9"/>
  <c r="T2421" i="9"/>
  <c r="V2421" i="9" s="1"/>
  <c r="U2421" i="9"/>
  <c r="O2421" i="9"/>
  <c r="P2421" i="9" s="1"/>
  <c r="N2421" i="9"/>
  <c r="M2421" i="9"/>
  <c r="L2421" i="9"/>
  <c r="K2421" i="9"/>
  <c r="T2417" i="9"/>
  <c r="V2417" i="9" s="1"/>
  <c r="U2417" i="9"/>
  <c r="O2417" i="9"/>
  <c r="P2417" i="9" s="1"/>
  <c r="N2417" i="9"/>
  <c r="M2417" i="9"/>
  <c r="L2417" i="9"/>
  <c r="K2417" i="9"/>
  <c r="T2413" i="9"/>
  <c r="V2413" i="9" s="1"/>
  <c r="U2413" i="9"/>
  <c r="O2413" i="9"/>
  <c r="P2413" i="9" s="1"/>
  <c r="N2413" i="9"/>
  <c r="M2413" i="9"/>
  <c r="L2413" i="9"/>
  <c r="K2413" i="9"/>
  <c r="T2409" i="9"/>
  <c r="V2409" i="9" s="1"/>
  <c r="O2409" i="9"/>
  <c r="P2409" i="9" s="1"/>
  <c r="U2409" i="9"/>
  <c r="N2409" i="9"/>
  <c r="M2409" i="9"/>
  <c r="L2409" i="9"/>
  <c r="K2409" i="9"/>
  <c r="T2405" i="9"/>
  <c r="V2405" i="9" s="1"/>
  <c r="U2405" i="9"/>
  <c r="O2405" i="9"/>
  <c r="P2405" i="9" s="1"/>
  <c r="N2405" i="9"/>
  <c r="M2405" i="9"/>
  <c r="L2405" i="9"/>
  <c r="K2405" i="9"/>
  <c r="T2401" i="9"/>
  <c r="V2401" i="9" s="1"/>
  <c r="U2401" i="9"/>
  <c r="O2401" i="9"/>
  <c r="P2401" i="9" s="1"/>
  <c r="N2401" i="9"/>
  <c r="M2401" i="9"/>
  <c r="L2401" i="9"/>
  <c r="K2401" i="9"/>
  <c r="T2397" i="9"/>
  <c r="V2397" i="9" s="1"/>
  <c r="U2397" i="9"/>
  <c r="O2397" i="9"/>
  <c r="P2397" i="9" s="1"/>
  <c r="N2397" i="9"/>
  <c r="M2397" i="9"/>
  <c r="L2397" i="9"/>
  <c r="K2397" i="9"/>
  <c r="T2393" i="9"/>
  <c r="V2393" i="9" s="1"/>
  <c r="O2393" i="9"/>
  <c r="P2393" i="9" s="1"/>
  <c r="U2393" i="9"/>
  <c r="N2393" i="9"/>
  <c r="M2393" i="9"/>
  <c r="L2393" i="9"/>
  <c r="K2393" i="9"/>
  <c r="T2389" i="9"/>
  <c r="V2389" i="9" s="1"/>
  <c r="U2389" i="9"/>
  <c r="O2389" i="9"/>
  <c r="P2389" i="9" s="1"/>
  <c r="N2389" i="9"/>
  <c r="M2389" i="9"/>
  <c r="L2389" i="9"/>
  <c r="K2389" i="9"/>
  <c r="T2385" i="9"/>
  <c r="V2385" i="9" s="1"/>
  <c r="U2385" i="9"/>
  <c r="O2385" i="9"/>
  <c r="P2385" i="9" s="1"/>
  <c r="N2385" i="9"/>
  <c r="M2385" i="9"/>
  <c r="L2385" i="9"/>
  <c r="K2385" i="9"/>
  <c r="T2381" i="9"/>
  <c r="V2381" i="9" s="1"/>
  <c r="U2381" i="9"/>
  <c r="O2381" i="9"/>
  <c r="P2381" i="9" s="1"/>
  <c r="N2381" i="9"/>
  <c r="M2381" i="9"/>
  <c r="L2381" i="9"/>
  <c r="K2381" i="9"/>
  <c r="T2377" i="9"/>
  <c r="V2377" i="9" s="1"/>
  <c r="O2377" i="9"/>
  <c r="P2377" i="9" s="1"/>
  <c r="U2377" i="9"/>
  <c r="N2377" i="9"/>
  <c r="M2377" i="9"/>
  <c r="L2377" i="9"/>
  <c r="K2377" i="9"/>
  <c r="T2373" i="9"/>
  <c r="V2373" i="9" s="1"/>
  <c r="U2373" i="9"/>
  <c r="O2373" i="9"/>
  <c r="P2373" i="9" s="1"/>
  <c r="N2373" i="9"/>
  <c r="M2373" i="9"/>
  <c r="L2373" i="9"/>
  <c r="K2373" i="9"/>
  <c r="T2369" i="9"/>
  <c r="V2369" i="9" s="1"/>
  <c r="U2369" i="9"/>
  <c r="O2369" i="9"/>
  <c r="P2369" i="9" s="1"/>
  <c r="N2369" i="9"/>
  <c r="M2369" i="9"/>
  <c r="L2369" i="9"/>
  <c r="K2369" i="9"/>
  <c r="T2365" i="9"/>
  <c r="V2365" i="9" s="1"/>
  <c r="U2365" i="9"/>
  <c r="O2365" i="9"/>
  <c r="P2365" i="9" s="1"/>
  <c r="N2365" i="9"/>
  <c r="M2365" i="9"/>
  <c r="L2365" i="9"/>
  <c r="K2365" i="9"/>
  <c r="T2361" i="9"/>
  <c r="V2361" i="9" s="1"/>
  <c r="O2361" i="9"/>
  <c r="P2361" i="9" s="1"/>
  <c r="U2361" i="9"/>
  <c r="N2361" i="9"/>
  <c r="M2361" i="9"/>
  <c r="L2361" i="9"/>
  <c r="K2361" i="9"/>
  <c r="T2357" i="9"/>
  <c r="V2357" i="9" s="1"/>
  <c r="U2357" i="9"/>
  <c r="O2357" i="9"/>
  <c r="P2357" i="9" s="1"/>
  <c r="N2357" i="9"/>
  <c r="M2357" i="9"/>
  <c r="L2357" i="9"/>
  <c r="K2357" i="9"/>
  <c r="T2353" i="9"/>
  <c r="V2353" i="9" s="1"/>
  <c r="U2353" i="9"/>
  <c r="O2353" i="9"/>
  <c r="P2353" i="9" s="1"/>
  <c r="N2353" i="9"/>
  <c r="M2353" i="9"/>
  <c r="L2353" i="9"/>
  <c r="K2353" i="9"/>
  <c r="T2349" i="9"/>
  <c r="V2349" i="9" s="1"/>
  <c r="U2349" i="9"/>
  <c r="O2349" i="9"/>
  <c r="P2349" i="9" s="1"/>
  <c r="N2349" i="9"/>
  <c r="M2349" i="9"/>
  <c r="L2349" i="9"/>
  <c r="K2349" i="9"/>
  <c r="T2345" i="9"/>
  <c r="V2345" i="9" s="1"/>
  <c r="O2345" i="9"/>
  <c r="P2345" i="9" s="1"/>
  <c r="U2345" i="9"/>
  <c r="N2345" i="9"/>
  <c r="M2345" i="9"/>
  <c r="L2345" i="9"/>
  <c r="K2345" i="9"/>
  <c r="T2341" i="9"/>
  <c r="V2341" i="9" s="1"/>
  <c r="U2341" i="9"/>
  <c r="O2341" i="9"/>
  <c r="P2341" i="9" s="1"/>
  <c r="N2341" i="9"/>
  <c r="M2341" i="9"/>
  <c r="L2341" i="9"/>
  <c r="K2341" i="9"/>
  <c r="T2337" i="9"/>
  <c r="V2337" i="9" s="1"/>
  <c r="U2337" i="9"/>
  <c r="O2337" i="9"/>
  <c r="P2337" i="9" s="1"/>
  <c r="N2337" i="9"/>
  <c r="M2337" i="9"/>
  <c r="L2337" i="9"/>
  <c r="K2337" i="9"/>
  <c r="T2333" i="9"/>
  <c r="V2333" i="9" s="1"/>
  <c r="U2333" i="9"/>
  <c r="O2333" i="9"/>
  <c r="P2333" i="9" s="1"/>
  <c r="N2333" i="9"/>
  <c r="M2333" i="9"/>
  <c r="L2333" i="9"/>
  <c r="K2333" i="9"/>
  <c r="T2329" i="9"/>
  <c r="V2329" i="9" s="1"/>
  <c r="O2329" i="9"/>
  <c r="P2329" i="9" s="1"/>
  <c r="U2329" i="9"/>
  <c r="N2329" i="9"/>
  <c r="M2329" i="9"/>
  <c r="L2329" i="9"/>
  <c r="K2329" i="9"/>
  <c r="T2325" i="9"/>
  <c r="V2325" i="9" s="1"/>
  <c r="U2325" i="9"/>
  <c r="O2325" i="9"/>
  <c r="P2325" i="9" s="1"/>
  <c r="N2325" i="9"/>
  <c r="M2325" i="9"/>
  <c r="L2325" i="9"/>
  <c r="K2325" i="9"/>
  <c r="T2321" i="9"/>
  <c r="V2321" i="9" s="1"/>
  <c r="U2321" i="9"/>
  <c r="O2321" i="9"/>
  <c r="P2321" i="9" s="1"/>
  <c r="N2321" i="9"/>
  <c r="M2321" i="9"/>
  <c r="L2321" i="9"/>
  <c r="K2321" i="9"/>
  <c r="T2317" i="9"/>
  <c r="V2317" i="9" s="1"/>
  <c r="U2317" i="9"/>
  <c r="O2317" i="9"/>
  <c r="P2317" i="9" s="1"/>
  <c r="N2317" i="9"/>
  <c r="M2317" i="9"/>
  <c r="L2317" i="9"/>
  <c r="K2317" i="9"/>
  <c r="T2313" i="9"/>
  <c r="V2313" i="9" s="1"/>
  <c r="O2313" i="9"/>
  <c r="P2313" i="9" s="1"/>
  <c r="U2313" i="9"/>
  <c r="N2313" i="9"/>
  <c r="M2313" i="9"/>
  <c r="L2313" i="9"/>
  <c r="K2313" i="9"/>
  <c r="T2309" i="9"/>
  <c r="V2309" i="9" s="1"/>
  <c r="U2309" i="9"/>
  <c r="O2309" i="9"/>
  <c r="P2309" i="9" s="1"/>
  <c r="N2309" i="9"/>
  <c r="M2309" i="9"/>
  <c r="L2309" i="9"/>
  <c r="K2309" i="9"/>
  <c r="T2305" i="9"/>
  <c r="V2305" i="9" s="1"/>
  <c r="U2305" i="9"/>
  <c r="O2305" i="9"/>
  <c r="P2305" i="9" s="1"/>
  <c r="N2305" i="9"/>
  <c r="M2305" i="9"/>
  <c r="L2305" i="9"/>
  <c r="K2305" i="9"/>
  <c r="T2301" i="9"/>
  <c r="V2301" i="9" s="1"/>
  <c r="U2301" i="9"/>
  <c r="O2301" i="9"/>
  <c r="P2301" i="9" s="1"/>
  <c r="N2301" i="9"/>
  <c r="M2301" i="9"/>
  <c r="L2301" i="9"/>
  <c r="K2301" i="9"/>
  <c r="T2297" i="9"/>
  <c r="V2297" i="9" s="1"/>
  <c r="O2297" i="9"/>
  <c r="P2297" i="9" s="1"/>
  <c r="U2297" i="9"/>
  <c r="N2297" i="9"/>
  <c r="M2297" i="9"/>
  <c r="L2297" i="9"/>
  <c r="K2297" i="9"/>
  <c r="T2293" i="9"/>
  <c r="V2293" i="9" s="1"/>
  <c r="U2293" i="9"/>
  <c r="O2293" i="9"/>
  <c r="P2293" i="9" s="1"/>
  <c r="N2293" i="9"/>
  <c r="M2293" i="9"/>
  <c r="L2293" i="9"/>
  <c r="K2293" i="9"/>
  <c r="T2289" i="9"/>
  <c r="V2289" i="9" s="1"/>
  <c r="U2289" i="9"/>
  <c r="O2289" i="9"/>
  <c r="P2289" i="9" s="1"/>
  <c r="N2289" i="9"/>
  <c r="M2289" i="9"/>
  <c r="L2289" i="9"/>
  <c r="K2289" i="9"/>
  <c r="T2285" i="9"/>
  <c r="V2285" i="9" s="1"/>
  <c r="U2285" i="9"/>
  <c r="O2285" i="9"/>
  <c r="P2285" i="9" s="1"/>
  <c r="N2285" i="9"/>
  <c r="M2285" i="9"/>
  <c r="L2285" i="9"/>
  <c r="K2285" i="9"/>
  <c r="T2281" i="9"/>
  <c r="V2281" i="9" s="1"/>
  <c r="O2281" i="9"/>
  <c r="P2281" i="9" s="1"/>
  <c r="U2281" i="9"/>
  <c r="N2281" i="9"/>
  <c r="M2281" i="9"/>
  <c r="L2281" i="9"/>
  <c r="K2281" i="9"/>
  <c r="T2277" i="9"/>
  <c r="V2277" i="9" s="1"/>
  <c r="U2277" i="9"/>
  <c r="O2277" i="9"/>
  <c r="P2277" i="9" s="1"/>
  <c r="N2277" i="9"/>
  <c r="M2277" i="9"/>
  <c r="L2277" i="9"/>
  <c r="K2277" i="9"/>
  <c r="T2273" i="9"/>
  <c r="V2273" i="9" s="1"/>
  <c r="U2273" i="9"/>
  <c r="O2273" i="9"/>
  <c r="P2273" i="9" s="1"/>
  <c r="N2273" i="9"/>
  <c r="M2273" i="9"/>
  <c r="L2273" i="9"/>
  <c r="K2273" i="9"/>
  <c r="T2269" i="9"/>
  <c r="V2269" i="9" s="1"/>
  <c r="U2269" i="9"/>
  <c r="O2269" i="9"/>
  <c r="P2269" i="9" s="1"/>
  <c r="N2269" i="9"/>
  <c r="M2269" i="9"/>
  <c r="L2269" i="9"/>
  <c r="K2269" i="9"/>
  <c r="T2265" i="9"/>
  <c r="V2265" i="9" s="1"/>
  <c r="O2265" i="9"/>
  <c r="P2265" i="9" s="1"/>
  <c r="U2265" i="9"/>
  <c r="N2265" i="9"/>
  <c r="M2265" i="9"/>
  <c r="L2265" i="9"/>
  <c r="K2265" i="9"/>
  <c r="T2261" i="9"/>
  <c r="V2261" i="9" s="1"/>
  <c r="U2261" i="9"/>
  <c r="O2261" i="9"/>
  <c r="P2261" i="9" s="1"/>
  <c r="N2261" i="9"/>
  <c r="M2261" i="9"/>
  <c r="L2261" i="9"/>
  <c r="K2261" i="9"/>
  <c r="T2257" i="9"/>
  <c r="V2257" i="9" s="1"/>
  <c r="U2257" i="9"/>
  <c r="O2257" i="9"/>
  <c r="P2257" i="9" s="1"/>
  <c r="N2257" i="9"/>
  <c r="M2257" i="9"/>
  <c r="L2257" i="9"/>
  <c r="K2257" i="9"/>
  <c r="T2253" i="9"/>
  <c r="V2253" i="9" s="1"/>
  <c r="U2253" i="9"/>
  <c r="O2253" i="9"/>
  <c r="P2253" i="9" s="1"/>
  <c r="N2253" i="9"/>
  <c r="M2253" i="9"/>
  <c r="L2253" i="9"/>
  <c r="K2253" i="9"/>
  <c r="T2249" i="9"/>
  <c r="V2249" i="9" s="1"/>
  <c r="O2249" i="9"/>
  <c r="P2249" i="9" s="1"/>
  <c r="U2249" i="9"/>
  <c r="N2249" i="9"/>
  <c r="M2249" i="9"/>
  <c r="L2249" i="9"/>
  <c r="K2249" i="9"/>
  <c r="T2245" i="9"/>
  <c r="V2245" i="9" s="1"/>
  <c r="U2245" i="9"/>
  <c r="O2245" i="9"/>
  <c r="P2245" i="9" s="1"/>
  <c r="N2245" i="9"/>
  <c r="M2245" i="9"/>
  <c r="L2245" i="9"/>
  <c r="K2245" i="9"/>
  <c r="T2241" i="9"/>
  <c r="V2241" i="9" s="1"/>
  <c r="U2241" i="9"/>
  <c r="O2241" i="9"/>
  <c r="P2241" i="9" s="1"/>
  <c r="N2241" i="9"/>
  <c r="M2241" i="9"/>
  <c r="L2241" i="9"/>
  <c r="K2241" i="9"/>
  <c r="T2237" i="9"/>
  <c r="V2237" i="9" s="1"/>
  <c r="U2237" i="9"/>
  <c r="O2237" i="9"/>
  <c r="P2237" i="9" s="1"/>
  <c r="N2237" i="9"/>
  <c r="M2237" i="9"/>
  <c r="L2237" i="9"/>
  <c r="K2237" i="9"/>
  <c r="T2233" i="9"/>
  <c r="V2233" i="9" s="1"/>
  <c r="O2233" i="9"/>
  <c r="P2233" i="9" s="1"/>
  <c r="U2233" i="9"/>
  <c r="N2233" i="9"/>
  <c r="M2233" i="9"/>
  <c r="L2233" i="9"/>
  <c r="K2233" i="9"/>
  <c r="T2229" i="9"/>
  <c r="V2229" i="9" s="1"/>
  <c r="U2229" i="9"/>
  <c r="O2229" i="9"/>
  <c r="P2229" i="9" s="1"/>
  <c r="N2229" i="9"/>
  <c r="M2229" i="9"/>
  <c r="L2229" i="9"/>
  <c r="K2229" i="9"/>
  <c r="T2225" i="9"/>
  <c r="V2225" i="9" s="1"/>
  <c r="U2225" i="9"/>
  <c r="O2225" i="9"/>
  <c r="P2225" i="9" s="1"/>
  <c r="N2225" i="9"/>
  <c r="M2225" i="9"/>
  <c r="L2225" i="9"/>
  <c r="K2225" i="9"/>
  <c r="T2221" i="9"/>
  <c r="V2221" i="9" s="1"/>
  <c r="U2221" i="9"/>
  <c r="O2221" i="9"/>
  <c r="P2221" i="9" s="1"/>
  <c r="N2221" i="9"/>
  <c r="M2221" i="9"/>
  <c r="L2221" i="9"/>
  <c r="K2221" i="9"/>
  <c r="T2217" i="9"/>
  <c r="V2217" i="9" s="1"/>
  <c r="O2217" i="9"/>
  <c r="P2217" i="9" s="1"/>
  <c r="U2217" i="9"/>
  <c r="N2217" i="9"/>
  <c r="M2217" i="9"/>
  <c r="L2217" i="9"/>
  <c r="K2217" i="9"/>
  <c r="T2213" i="9"/>
  <c r="V2213" i="9" s="1"/>
  <c r="U2213" i="9"/>
  <c r="O2213" i="9"/>
  <c r="P2213" i="9" s="1"/>
  <c r="N2213" i="9"/>
  <c r="M2213" i="9"/>
  <c r="L2213" i="9"/>
  <c r="K2213" i="9"/>
  <c r="T2209" i="9"/>
  <c r="V2209" i="9" s="1"/>
  <c r="U2209" i="9"/>
  <c r="O2209" i="9"/>
  <c r="P2209" i="9" s="1"/>
  <c r="N2209" i="9"/>
  <c r="M2209" i="9"/>
  <c r="L2209" i="9"/>
  <c r="K2209" i="9"/>
  <c r="T2205" i="9"/>
  <c r="V2205" i="9" s="1"/>
  <c r="U2205" i="9"/>
  <c r="O2205" i="9"/>
  <c r="P2205" i="9" s="1"/>
  <c r="N2205" i="9"/>
  <c r="M2205" i="9"/>
  <c r="L2205" i="9"/>
  <c r="K2205" i="9"/>
  <c r="T2201" i="9"/>
  <c r="V2201" i="9" s="1"/>
  <c r="O2201" i="9"/>
  <c r="P2201" i="9" s="1"/>
  <c r="U2201" i="9"/>
  <c r="N2201" i="9"/>
  <c r="M2201" i="9"/>
  <c r="L2201" i="9"/>
  <c r="K2201" i="9"/>
  <c r="T2197" i="9"/>
  <c r="V2197" i="9" s="1"/>
  <c r="U2197" i="9"/>
  <c r="O2197" i="9"/>
  <c r="P2197" i="9" s="1"/>
  <c r="N2197" i="9"/>
  <c r="M2197" i="9"/>
  <c r="L2197" i="9"/>
  <c r="K2197" i="9"/>
  <c r="T2193" i="9"/>
  <c r="V2193" i="9" s="1"/>
  <c r="U2193" i="9"/>
  <c r="O2193" i="9"/>
  <c r="P2193" i="9" s="1"/>
  <c r="N2193" i="9"/>
  <c r="M2193" i="9"/>
  <c r="L2193" i="9"/>
  <c r="K2193" i="9"/>
  <c r="T2189" i="9"/>
  <c r="V2189" i="9" s="1"/>
  <c r="U2189" i="9"/>
  <c r="O2189" i="9"/>
  <c r="P2189" i="9" s="1"/>
  <c r="N2189" i="9"/>
  <c r="M2189" i="9"/>
  <c r="L2189" i="9"/>
  <c r="K2189" i="9"/>
  <c r="T2185" i="9"/>
  <c r="V2185" i="9" s="1"/>
  <c r="O2185" i="9"/>
  <c r="P2185" i="9" s="1"/>
  <c r="U2185" i="9"/>
  <c r="N2185" i="9"/>
  <c r="M2185" i="9"/>
  <c r="L2185" i="9"/>
  <c r="K2185" i="9"/>
  <c r="T2181" i="9"/>
  <c r="V2181" i="9" s="1"/>
  <c r="U2181" i="9"/>
  <c r="O2181" i="9"/>
  <c r="P2181" i="9" s="1"/>
  <c r="N2181" i="9"/>
  <c r="M2181" i="9"/>
  <c r="L2181" i="9"/>
  <c r="K2181" i="9"/>
  <c r="T2177" i="9"/>
  <c r="V2177" i="9" s="1"/>
  <c r="U2177" i="9"/>
  <c r="O2177" i="9"/>
  <c r="P2177" i="9" s="1"/>
  <c r="N2177" i="9"/>
  <c r="M2177" i="9"/>
  <c r="L2177" i="9"/>
  <c r="K2177" i="9"/>
  <c r="T2173" i="9"/>
  <c r="V2173" i="9" s="1"/>
  <c r="U2173" i="9"/>
  <c r="O2173" i="9"/>
  <c r="P2173" i="9" s="1"/>
  <c r="N2173" i="9"/>
  <c r="M2173" i="9"/>
  <c r="L2173" i="9"/>
  <c r="K2173" i="9"/>
  <c r="T2169" i="9"/>
  <c r="V2169" i="9" s="1"/>
  <c r="O2169" i="9"/>
  <c r="P2169" i="9" s="1"/>
  <c r="U2169" i="9"/>
  <c r="N2169" i="9"/>
  <c r="M2169" i="9"/>
  <c r="L2169" i="9"/>
  <c r="K2169" i="9"/>
  <c r="T2165" i="9"/>
  <c r="V2165" i="9" s="1"/>
  <c r="U2165" i="9"/>
  <c r="O2165" i="9"/>
  <c r="P2165" i="9" s="1"/>
  <c r="N2165" i="9"/>
  <c r="M2165" i="9"/>
  <c r="L2165" i="9"/>
  <c r="K2165" i="9"/>
  <c r="T2161" i="9"/>
  <c r="V2161" i="9" s="1"/>
  <c r="U2161" i="9"/>
  <c r="O2161" i="9"/>
  <c r="P2161" i="9" s="1"/>
  <c r="N2161" i="9"/>
  <c r="M2161" i="9"/>
  <c r="L2161" i="9"/>
  <c r="K2161" i="9"/>
  <c r="T2157" i="9"/>
  <c r="V2157" i="9" s="1"/>
  <c r="U2157" i="9"/>
  <c r="O2157" i="9"/>
  <c r="P2157" i="9" s="1"/>
  <c r="N2157" i="9"/>
  <c r="M2157" i="9"/>
  <c r="L2157" i="9"/>
  <c r="K2157" i="9"/>
  <c r="T2153" i="9"/>
  <c r="V2153" i="9" s="1"/>
  <c r="O2153" i="9"/>
  <c r="P2153" i="9" s="1"/>
  <c r="U2153" i="9"/>
  <c r="N2153" i="9"/>
  <c r="M2153" i="9"/>
  <c r="L2153" i="9"/>
  <c r="K2153" i="9"/>
  <c r="T2149" i="9"/>
  <c r="V2149" i="9" s="1"/>
  <c r="U2149" i="9"/>
  <c r="O2149" i="9"/>
  <c r="P2149" i="9" s="1"/>
  <c r="N2149" i="9"/>
  <c r="M2149" i="9"/>
  <c r="L2149" i="9"/>
  <c r="K2149" i="9"/>
  <c r="T2145" i="9"/>
  <c r="V2145" i="9" s="1"/>
  <c r="U2145" i="9"/>
  <c r="O2145" i="9"/>
  <c r="P2145" i="9" s="1"/>
  <c r="N2145" i="9"/>
  <c r="M2145" i="9"/>
  <c r="L2145" i="9"/>
  <c r="K2145" i="9"/>
  <c r="T2141" i="9"/>
  <c r="V2141" i="9" s="1"/>
  <c r="U2141" i="9"/>
  <c r="O2141" i="9"/>
  <c r="P2141" i="9" s="1"/>
  <c r="N2141" i="9"/>
  <c r="M2141" i="9"/>
  <c r="L2141" i="9"/>
  <c r="K2141" i="9"/>
  <c r="T2137" i="9"/>
  <c r="V2137" i="9" s="1"/>
  <c r="O2137" i="9"/>
  <c r="P2137" i="9" s="1"/>
  <c r="U2137" i="9"/>
  <c r="N2137" i="9"/>
  <c r="M2137" i="9"/>
  <c r="L2137" i="9"/>
  <c r="K2137" i="9"/>
  <c r="T2133" i="9"/>
  <c r="V2133" i="9" s="1"/>
  <c r="U2133" i="9"/>
  <c r="O2133" i="9"/>
  <c r="P2133" i="9" s="1"/>
  <c r="N2133" i="9"/>
  <c r="M2133" i="9"/>
  <c r="L2133" i="9"/>
  <c r="K2133" i="9"/>
  <c r="T2129" i="9"/>
  <c r="V2129" i="9" s="1"/>
  <c r="U2129" i="9"/>
  <c r="O2129" i="9"/>
  <c r="P2129" i="9" s="1"/>
  <c r="N2129" i="9"/>
  <c r="M2129" i="9"/>
  <c r="L2129" i="9"/>
  <c r="K2129" i="9"/>
  <c r="T2125" i="9"/>
  <c r="V2125" i="9" s="1"/>
  <c r="U2125" i="9"/>
  <c r="O2125" i="9"/>
  <c r="P2125" i="9" s="1"/>
  <c r="N2125" i="9"/>
  <c r="M2125" i="9"/>
  <c r="L2125" i="9"/>
  <c r="K2125" i="9"/>
  <c r="T2121" i="9"/>
  <c r="V2121" i="9" s="1"/>
  <c r="O2121" i="9"/>
  <c r="P2121" i="9" s="1"/>
  <c r="U2121" i="9"/>
  <c r="N2121" i="9"/>
  <c r="M2121" i="9"/>
  <c r="L2121" i="9"/>
  <c r="K2121" i="9"/>
  <c r="T2117" i="9"/>
  <c r="V2117" i="9" s="1"/>
  <c r="U2117" i="9"/>
  <c r="O2117" i="9"/>
  <c r="P2117" i="9" s="1"/>
  <c r="N2117" i="9"/>
  <c r="M2117" i="9"/>
  <c r="L2117" i="9"/>
  <c r="K2117" i="9"/>
  <c r="T2113" i="9"/>
  <c r="V2113" i="9" s="1"/>
  <c r="U2113" i="9"/>
  <c r="O2113" i="9"/>
  <c r="P2113" i="9" s="1"/>
  <c r="N2113" i="9"/>
  <c r="M2113" i="9"/>
  <c r="L2113" i="9"/>
  <c r="K2113" i="9"/>
  <c r="T2109" i="9"/>
  <c r="V2109" i="9" s="1"/>
  <c r="U2109" i="9"/>
  <c r="O2109" i="9"/>
  <c r="P2109" i="9" s="1"/>
  <c r="N2109" i="9"/>
  <c r="M2109" i="9"/>
  <c r="L2109" i="9"/>
  <c r="K2109" i="9"/>
  <c r="T2105" i="9"/>
  <c r="V2105" i="9" s="1"/>
  <c r="O2105" i="9"/>
  <c r="P2105" i="9" s="1"/>
  <c r="U2105" i="9"/>
  <c r="N2105" i="9"/>
  <c r="M2105" i="9"/>
  <c r="L2105" i="9"/>
  <c r="K2105" i="9"/>
  <c r="T2101" i="9"/>
  <c r="V2101" i="9" s="1"/>
  <c r="U2101" i="9"/>
  <c r="O2101" i="9"/>
  <c r="P2101" i="9" s="1"/>
  <c r="N2101" i="9"/>
  <c r="M2101" i="9"/>
  <c r="L2101" i="9"/>
  <c r="K2101" i="9"/>
  <c r="T2097" i="9"/>
  <c r="V2097" i="9" s="1"/>
  <c r="U2097" i="9"/>
  <c r="O2097" i="9"/>
  <c r="P2097" i="9" s="1"/>
  <c r="N2097" i="9"/>
  <c r="M2097" i="9"/>
  <c r="L2097" i="9"/>
  <c r="K2097" i="9"/>
  <c r="T2093" i="9"/>
  <c r="V2093" i="9" s="1"/>
  <c r="U2093" i="9"/>
  <c r="O2093" i="9"/>
  <c r="P2093" i="9" s="1"/>
  <c r="N2093" i="9"/>
  <c r="M2093" i="9"/>
  <c r="L2093" i="9"/>
  <c r="K2093" i="9"/>
  <c r="T2089" i="9"/>
  <c r="V2089" i="9" s="1"/>
  <c r="O2089" i="9"/>
  <c r="P2089" i="9" s="1"/>
  <c r="U2089" i="9"/>
  <c r="N2089" i="9"/>
  <c r="M2089" i="9"/>
  <c r="L2089" i="9"/>
  <c r="K2089" i="9"/>
  <c r="T2085" i="9"/>
  <c r="V2085" i="9" s="1"/>
  <c r="U2085" i="9"/>
  <c r="O2085" i="9"/>
  <c r="P2085" i="9" s="1"/>
  <c r="N2085" i="9"/>
  <c r="M2085" i="9"/>
  <c r="L2085" i="9"/>
  <c r="K2085" i="9"/>
  <c r="T2081" i="9"/>
  <c r="V2081" i="9" s="1"/>
  <c r="U2081" i="9"/>
  <c r="O2081" i="9"/>
  <c r="P2081" i="9" s="1"/>
  <c r="N2081" i="9"/>
  <c r="M2081" i="9"/>
  <c r="L2081" i="9"/>
  <c r="K2081" i="9"/>
  <c r="T2077" i="9"/>
  <c r="V2077" i="9" s="1"/>
  <c r="U2077" i="9"/>
  <c r="O2077" i="9"/>
  <c r="P2077" i="9" s="1"/>
  <c r="N2077" i="9"/>
  <c r="M2077" i="9"/>
  <c r="L2077" i="9"/>
  <c r="K2077" i="9"/>
  <c r="T2073" i="9"/>
  <c r="V2073" i="9" s="1"/>
  <c r="O2073" i="9"/>
  <c r="P2073" i="9" s="1"/>
  <c r="U2073" i="9"/>
  <c r="N2073" i="9"/>
  <c r="M2073" i="9"/>
  <c r="L2073" i="9"/>
  <c r="K2073" i="9"/>
  <c r="T2069" i="9"/>
  <c r="V2069" i="9" s="1"/>
  <c r="U2069" i="9"/>
  <c r="O2069" i="9"/>
  <c r="P2069" i="9" s="1"/>
  <c r="N2069" i="9"/>
  <c r="M2069" i="9"/>
  <c r="L2069" i="9"/>
  <c r="K2069" i="9"/>
  <c r="T2065" i="9"/>
  <c r="V2065" i="9" s="1"/>
  <c r="U2065" i="9"/>
  <c r="O2065" i="9"/>
  <c r="P2065" i="9" s="1"/>
  <c r="N2065" i="9"/>
  <c r="M2065" i="9"/>
  <c r="L2065" i="9"/>
  <c r="K2065" i="9"/>
  <c r="T2061" i="9"/>
  <c r="V2061" i="9" s="1"/>
  <c r="U2061" i="9"/>
  <c r="O2061" i="9"/>
  <c r="P2061" i="9" s="1"/>
  <c r="N2061" i="9"/>
  <c r="M2061" i="9"/>
  <c r="L2061" i="9"/>
  <c r="K2061" i="9"/>
  <c r="T2057" i="9"/>
  <c r="V2057" i="9" s="1"/>
  <c r="O2057" i="9"/>
  <c r="P2057" i="9" s="1"/>
  <c r="U2057" i="9"/>
  <c r="N2057" i="9"/>
  <c r="M2057" i="9"/>
  <c r="L2057" i="9"/>
  <c r="K2057" i="9"/>
  <c r="T2053" i="9"/>
  <c r="V2053" i="9" s="1"/>
  <c r="U2053" i="9"/>
  <c r="O2053" i="9"/>
  <c r="P2053" i="9" s="1"/>
  <c r="N2053" i="9"/>
  <c r="M2053" i="9"/>
  <c r="L2053" i="9"/>
  <c r="K2053" i="9"/>
  <c r="T2049" i="9"/>
  <c r="V2049" i="9" s="1"/>
  <c r="U2049" i="9"/>
  <c r="O2049" i="9"/>
  <c r="P2049" i="9" s="1"/>
  <c r="N2049" i="9"/>
  <c r="M2049" i="9"/>
  <c r="L2049" i="9"/>
  <c r="K2049" i="9"/>
  <c r="T2045" i="9"/>
  <c r="V2045" i="9" s="1"/>
  <c r="U2045" i="9"/>
  <c r="O2045" i="9"/>
  <c r="P2045" i="9" s="1"/>
  <c r="N2045" i="9"/>
  <c r="M2045" i="9"/>
  <c r="L2045" i="9"/>
  <c r="K2045" i="9"/>
  <c r="T2041" i="9"/>
  <c r="V2041" i="9" s="1"/>
  <c r="O2041" i="9"/>
  <c r="P2041" i="9" s="1"/>
  <c r="U2041" i="9"/>
  <c r="N2041" i="9"/>
  <c r="M2041" i="9"/>
  <c r="L2041" i="9"/>
  <c r="K2041" i="9"/>
  <c r="T2037" i="9"/>
  <c r="V2037" i="9" s="1"/>
  <c r="U2037" i="9"/>
  <c r="O2037" i="9"/>
  <c r="P2037" i="9" s="1"/>
  <c r="N2037" i="9"/>
  <c r="M2037" i="9"/>
  <c r="L2037" i="9"/>
  <c r="K2037" i="9"/>
  <c r="T2033" i="9"/>
  <c r="V2033" i="9" s="1"/>
  <c r="U2033" i="9"/>
  <c r="O2033" i="9"/>
  <c r="P2033" i="9" s="1"/>
  <c r="N2033" i="9"/>
  <c r="M2033" i="9"/>
  <c r="L2033" i="9"/>
  <c r="K2033" i="9"/>
  <c r="T2029" i="9"/>
  <c r="V2029" i="9" s="1"/>
  <c r="U2029" i="9"/>
  <c r="O2029" i="9"/>
  <c r="P2029" i="9" s="1"/>
  <c r="N2029" i="9"/>
  <c r="M2029" i="9"/>
  <c r="L2029" i="9"/>
  <c r="K2029" i="9"/>
  <c r="T2025" i="9"/>
  <c r="V2025" i="9" s="1"/>
  <c r="O2025" i="9"/>
  <c r="P2025" i="9" s="1"/>
  <c r="U2025" i="9"/>
  <c r="N2025" i="9"/>
  <c r="M2025" i="9"/>
  <c r="L2025" i="9"/>
  <c r="K2025" i="9"/>
  <c r="T2021" i="9"/>
  <c r="V2021" i="9" s="1"/>
  <c r="U2021" i="9"/>
  <c r="O2021" i="9"/>
  <c r="P2021" i="9" s="1"/>
  <c r="N2021" i="9"/>
  <c r="M2021" i="9"/>
  <c r="L2021" i="9"/>
  <c r="K2021" i="9"/>
  <c r="T2017" i="9"/>
  <c r="V2017" i="9" s="1"/>
  <c r="U2017" i="9"/>
  <c r="O2017" i="9"/>
  <c r="P2017" i="9" s="1"/>
  <c r="N2017" i="9"/>
  <c r="M2017" i="9"/>
  <c r="L2017" i="9"/>
  <c r="K2017" i="9"/>
  <c r="T2013" i="9"/>
  <c r="V2013" i="9" s="1"/>
  <c r="U2013" i="9"/>
  <c r="O2013" i="9"/>
  <c r="P2013" i="9" s="1"/>
  <c r="N2013" i="9"/>
  <c r="M2013" i="9"/>
  <c r="L2013" i="9"/>
  <c r="K2013" i="9"/>
  <c r="T2009" i="9"/>
  <c r="V2009" i="9" s="1"/>
  <c r="O2009" i="9"/>
  <c r="P2009" i="9" s="1"/>
  <c r="U2009" i="9"/>
  <c r="N2009" i="9"/>
  <c r="M2009" i="9"/>
  <c r="L2009" i="9"/>
  <c r="K2009" i="9"/>
  <c r="T2005" i="9"/>
  <c r="V2005" i="9" s="1"/>
  <c r="U2005" i="9"/>
  <c r="O2005" i="9"/>
  <c r="P2005" i="9" s="1"/>
  <c r="N2005" i="9"/>
  <c r="M2005" i="9"/>
  <c r="L2005" i="9"/>
  <c r="K2005" i="9"/>
  <c r="T2001" i="9"/>
  <c r="V2001" i="9" s="1"/>
  <c r="U2001" i="9"/>
  <c r="O2001" i="9"/>
  <c r="P2001" i="9" s="1"/>
  <c r="N2001" i="9"/>
  <c r="M2001" i="9"/>
  <c r="L2001" i="9"/>
  <c r="K2001" i="9"/>
  <c r="T1997" i="9"/>
  <c r="V1997" i="9" s="1"/>
  <c r="U1997" i="9"/>
  <c r="O1997" i="9"/>
  <c r="P1997" i="9" s="1"/>
  <c r="N1997" i="9"/>
  <c r="M1997" i="9"/>
  <c r="L1997" i="9"/>
  <c r="K1997" i="9"/>
  <c r="T1993" i="9"/>
  <c r="V1993" i="9" s="1"/>
  <c r="O1993" i="9"/>
  <c r="P1993" i="9" s="1"/>
  <c r="U1993" i="9"/>
  <c r="N1993" i="9"/>
  <c r="M1993" i="9"/>
  <c r="L1993" i="9"/>
  <c r="K1993" i="9"/>
  <c r="T1989" i="9"/>
  <c r="V1989" i="9" s="1"/>
  <c r="U1989" i="9"/>
  <c r="O1989" i="9"/>
  <c r="P1989" i="9" s="1"/>
  <c r="N1989" i="9"/>
  <c r="M1989" i="9"/>
  <c r="L1989" i="9"/>
  <c r="K1989" i="9"/>
  <c r="T1985" i="9"/>
  <c r="V1985" i="9" s="1"/>
  <c r="U1985" i="9"/>
  <c r="O1985" i="9"/>
  <c r="P1985" i="9" s="1"/>
  <c r="N1985" i="9"/>
  <c r="M1985" i="9"/>
  <c r="L1985" i="9"/>
  <c r="K1985" i="9"/>
  <c r="T1981" i="9"/>
  <c r="V1981" i="9" s="1"/>
  <c r="U1981" i="9"/>
  <c r="O1981" i="9"/>
  <c r="P1981" i="9" s="1"/>
  <c r="N1981" i="9"/>
  <c r="M1981" i="9"/>
  <c r="L1981" i="9"/>
  <c r="K1981" i="9"/>
  <c r="T1977" i="9"/>
  <c r="V1977" i="9" s="1"/>
  <c r="O1977" i="9"/>
  <c r="P1977" i="9" s="1"/>
  <c r="U1977" i="9"/>
  <c r="N1977" i="9"/>
  <c r="M1977" i="9"/>
  <c r="L1977" i="9"/>
  <c r="K1977" i="9"/>
  <c r="T1973" i="9"/>
  <c r="V1973" i="9" s="1"/>
  <c r="U1973" i="9"/>
  <c r="O1973" i="9"/>
  <c r="P1973" i="9" s="1"/>
  <c r="N1973" i="9"/>
  <c r="M1973" i="9"/>
  <c r="L1973" i="9"/>
  <c r="K1973" i="9"/>
  <c r="T1969" i="9"/>
  <c r="V1969" i="9" s="1"/>
  <c r="U1969" i="9"/>
  <c r="O1969" i="9"/>
  <c r="P1969" i="9" s="1"/>
  <c r="N1969" i="9"/>
  <c r="M1969" i="9"/>
  <c r="L1969" i="9"/>
  <c r="K1969" i="9"/>
  <c r="T1965" i="9"/>
  <c r="V1965" i="9" s="1"/>
  <c r="U1965" i="9"/>
  <c r="O1965" i="9"/>
  <c r="P1965" i="9" s="1"/>
  <c r="N1965" i="9"/>
  <c r="M1965" i="9"/>
  <c r="L1965" i="9"/>
  <c r="K1965" i="9"/>
  <c r="T1961" i="9"/>
  <c r="V1961" i="9" s="1"/>
  <c r="O1961" i="9"/>
  <c r="P1961" i="9" s="1"/>
  <c r="U1961" i="9"/>
  <c r="N1961" i="9"/>
  <c r="M1961" i="9"/>
  <c r="L1961" i="9"/>
  <c r="K1961" i="9"/>
  <c r="T1957" i="9"/>
  <c r="V1957" i="9" s="1"/>
  <c r="U1957" i="9"/>
  <c r="O1957" i="9"/>
  <c r="P1957" i="9" s="1"/>
  <c r="N1957" i="9"/>
  <c r="M1957" i="9"/>
  <c r="L1957" i="9"/>
  <c r="K1957" i="9"/>
  <c r="T1953" i="9"/>
  <c r="V1953" i="9" s="1"/>
  <c r="U1953" i="9"/>
  <c r="O1953" i="9"/>
  <c r="P1953" i="9" s="1"/>
  <c r="N1953" i="9"/>
  <c r="M1953" i="9"/>
  <c r="L1953" i="9"/>
  <c r="K1953" i="9"/>
  <c r="T1949" i="9"/>
  <c r="V1949" i="9" s="1"/>
  <c r="U1949" i="9"/>
  <c r="O1949" i="9"/>
  <c r="P1949" i="9" s="1"/>
  <c r="N1949" i="9"/>
  <c r="M1949" i="9"/>
  <c r="L1949" i="9"/>
  <c r="K1949" i="9"/>
  <c r="T1945" i="9"/>
  <c r="V1945" i="9" s="1"/>
  <c r="O1945" i="9"/>
  <c r="P1945" i="9" s="1"/>
  <c r="U1945" i="9"/>
  <c r="N1945" i="9"/>
  <c r="M1945" i="9"/>
  <c r="L1945" i="9"/>
  <c r="K1945" i="9"/>
  <c r="T1941" i="9"/>
  <c r="V1941" i="9" s="1"/>
  <c r="U1941" i="9"/>
  <c r="O1941" i="9"/>
  <c r="P1941" i="9" s="1"/>
  <c r="N1941" i="9"/>
  <c r="M1941" i="9"/>
  <c r="L1941" i="9"/>
  <c r="K1941" i="9"/>
  <c r="T1937" i="9"/>
  <c r="V1937" i="9" s="1"/>
  <c r="U1937" i="9"/>
  <c r="O1937" i="9"/>
  <c r="P1937" i="9" s="1"/>
  <c r="N1937" i="9"/>
  <c r="M1937" i="9"/>
  <c r="L1937" i="9"/>
  <c r="K1937" i="9"/>
  <c r="T1933" i="9"/>
  <c r="V1933" i="9" s="1"/>
  <c r="U1933" i="9"/>
  <c r="O1933" i="9"/>
  <c r="P1933" i="9" s="1"/>
  <c r="N1933" i="9"/>
  <c r="M1933" i="9"/>
  <c r="L1933" i="9"/>
  <c r="K1933" i="9"/>
  <c r="T1929" i="9"/>
  <c r="V1929" i="9" s="1"/>
  <c r="O1929" i="9"/>
  <c r="P1929" i="9" s="1"/>
  <c r="U1929" i="9"/>
  <c r="N1929" i="9"/>
  <c r="M1929" i="9"/>
  <c r="L1929" i="9"/>
  <c r="K1929" i="9"/>
  <c r="T1925" i="9"/>
  <c r="V1925" i="9" s="1"/>
  <c r="U1925" i="9"/>
  <c r="O1925" i="9"/>
  <c r="P1925" i="9" s="1"/>
  <c r="N1925" i="9"/>
  <c r="M1925" i="9"/>
  <c r="L1925" i="9"/>
  <c r="K1925" i="9"/>
  <c r="T1921" i="9"/>
  <c r="V1921" i="9" s="1"/>
  <c r="U1921" i="9"/>
  <c r="O1921" i="9"/>
  <c r="P1921" i="9" s="1"/>
  <c r="N1921" i="9"/>
  <c r="M1921" i="9"/>
  <c r="L1921" i="9"/>
  <c r="K1921" i="9"/>
  <c r="T1917" i="9"/>
  <c r="V1917" i="9" s="1"/>
  <c r="U1917" i="9"/>
  <c r="O1917" i="9"/>
  <c r="P1917" i="9" s="1"/>
  <c r="N1917" i="9"/>
  <c r="M1917" i="9"/>
  <c r="L1917" i="9"/>
  <c r="K1917" i="9"/>
  <c r="T1913" i="9"/>
  <c r="V1913" i="9" s="1"/>
  <c r="O1913" i="9"/>
  <c r="P1913" i="9" s="1"/>
  <c r="U1913" i="9"/>
  <c r="N1913" i="9"/>
  <c r="M1913" i="9"/>
  <c r="L1913" i="9"/>
  <c r="K1913" i="9"/>
  <c r="T1909" i="9"/>
  <c r="V1909" i="9" s="1"/>
  <c r="U1909" i="9"/>
  <c r="O1909" i="9"/>
  <c r="P1909" i="9" s="1"/>
  <c r="N1909" i="9"/>
  <c r="M1909" i="9"/>
  <c r="L1909" i="9"/>
  <c r="K1909" i="9"/>
  <c r="T1905" i="9"/>
  <c r="V1905" i="9" s="1"/>
  <c r="U1905" i="9"/>
  <c r="O1905" i="9"/>
  <c r="P1905" i="9" s="1"/>
  <c r="N1905" i="9"/>
  <c r="M1905" i="9"/>
  <c r="L1905" i="9"/>
  <c r="K1905" i="9"/>
  <c r="T1901" i="9"/>
  <c r="V1901" i="9" s="1"/>
  <c r="U1901" i="9"/>
  <c r="O1901" i="9"/>
  <c r="P1901" i="9" s="1"/>
  <c r="N1901" i="9"/>
  <c r="M1901" i="9"/>
  <c r="L1901" i="9"/>
  <c r="K1901" i="9"/>
  <c r="T1897" i="9"/>
  <c r="V1897" i="9" s="1"/>
  <c r="O1897" i="9"/>
  <c r="P1897" i="9" s="1"/>
  <c r="U1897" i="9"/>
  <c r="N1897" i="9"/>
  <c r="M1897" i="9"/>
  <c r="L1897" i="9"/>
  <c r="K1897" i="9"/>
  <c r="T1893" i="9"/>
  <c r="V1893" i="9" s="1"/>
  <c r="U1893" i="9"/>
  <c r="O1893" i="9"/>
  <c r="P1893" i="9" s="1"/>
  <c r="N1893" i="9"/>
  <c r="M1893" i="9"/>
  <c r="L1893" i="9"/>
  <c r="K1893" i="9"/>
  <c r="T1889" i="9"/>
  <c r="V1889" i="9" s="1"/>
  <c r="U1889" i="9"/>
  <c r="O1889" i="9"/>
  <c r="P1889" i="9" s="1"/>
  <c r="N1889" i="9"/>
  <c r="M1889" i="9"/>
  <c r="L1889" i="9"/>
  <c r="K1889" i="9"/>
  <c r="T1885" i="9"/>
  <c r="V1885" i="9" s="1"/>
  <c r="U1885" i="9"/>
  <c r="O1885" i="9"/>
  <c r="P1885" i="9" s="1"/>
  <c r="N1885" i="9"/>
  <c r="M1885" i="9"/>
  <c r="L1885" i="9"/>
  <c r="K1885" i="9"/>
  <c r="T1881" i="9"/>
  <c r="V1881" i="9" s="1"/>
  <c r="O1881" i="9"/>
  <c r="P1881" i="9" s="1"/>
  <c r="U1881" i="9"/>
  <c r="N1881" i="9"/>
  <c r="M1881" i="9"/>
  <c r="L1881" i="9"/>
  <c r="K1881" i="9"/>
  <c r="T1877" i="9"/>
  <c r="V1877" i="9" s="1"/>
  <c r="U1877" i="9"/>
  <c r="O1877" i="9"/>
  <c r="P1877" i="9" s="1"/>
  <c r="N1877" i="9"/>
  <c r="M1877" i="9"/>
  <c r="L1877" i="9"/>
  <c r="K1877" i="9"/>
  <c r="T1873" i="9"/>
  <c r="V1873" i="9" s="1"/>
  <c r="U1873" i="9"/>
  <c r="O1873" i="9"/>
  <c r="P1873" i="9" s="1"/>
  <c r="N1873" i="9"/>
  <c r="M1873" i="9"/>
  <c r="L1873" i="9"/>
  <c r="K1873" i="9"/>
  <c r="T1869" i="9"/>
  <c r="V1869" i="9" s="1"/>
  <c r="U1869" i="9"/>
  <c r="O1869" i="9"/>
  <c r="P1869" i="9" s="1"/>
  <c r="N1869" i="9"/>
  <c r="M1869" i="9"/>
  <c r="L1869" i="9"/>
  <c r="K1869" i="9"/>
  <c r="T1865" i="9"/>
  <c r="V1865" i="9" s="1"/>
  <c r="O1865" i="9"/>
  <c r="P1865" i="9" s="1"/>
  <c r="U1865" i="9"/>
  <c r="N1865" i="9"/>
  <c r="M1865" i="9"/>
  <c r="L1865" i="9"/>
  <c r="K1865" i="9"/>
  <c r="T1861" i="9"/>
  <c r="V1861" i="9" s="1"/>
  <c r="U1861" i="9"/>
  <c r="O1861" i="9"/>
  <c r="P1861" i="9" s="1"/>
  <c r="N1861" i="9"/>
  <c r="M1861" i="9"/>
  <c r="L1861" i="9"/>
  <c r="K1861" i="9"/>
  <c r="T1857" i="9"/>
  <c r="V1857" i="9" s="1"/>
  <c r="U1857" i="9"/>
  <c r="O1857" i="9"/>
  <c r="P1857" i="9" s="1"/>
  <c r="N1857" i="9"/>
  <c r="M1857" i="9"/>
  <c r="L1857" i="9"/>
  <c r="K1857" i="9"/>
  <c r="T1853" i="9"/>
  <c r="V1853" i="9" s="1"/>
  <c r="U1853" i="9"/>
  <c r="O1853" i="9"/>
  <c r="P1853" i="9" s="1"/>
  <c r="N1853" i="9"/>
  <c r="M1853" i="9"/>
  <c r="L1853" i="9"/>
  <c r="K1853" i="9"/>
  <c r="T1849" i="9"/>
  <c r="V1849" i="9" s="1"/>
  <c r="O1849" i="9"/>
  <c r="P1849" i="9" s="1"/>
  <c r="U1849" i="9"/>
  <c r="N1849" i="9"/>
  <c r="M1849" i="9"/>
  <c r="L1849" i="9"/>
  <c r="K1849" i="9"/>
  <c r="T1845" i="9"/>
  <c r="V1845" i="9" s="1"/>
  <c r="U1845" i="9"/>
  <c r="O1845" i="9"/>
  <c r="P1845" i="9" s="1"/>
  <c r="N1845" i="9"/>
  <c r="M1845" i="9"/>
  <c r="L1845" i="9"/>
  <c r="K1845" i="9"/>
  <c r="T1841" i="9"/>
  <c r="V1841" i="9" s="1"/>
  <c r="U1841" i="9"/>
  <c r="O1841" i="9"/>
  <c r="P1841" i="9" s="1"/>
  <c r="N1841" i="9"/>
  <c r="M1841" i="9"/>
  <c r="L1841" i="9"/>
  <c r="K1841" i="9"/>
  <c r="T1837" i="9"/>
  <c r="V1837" i="9" s="1"/>
  <c r="U1837" i="9"/>
  <c r="O1837" i="9"/>
  <c r="P1837" i="9" s="1"/>
  <c r="N1837" i="9"/>
  <c r="M1837" i="9"/>
  <c r="L1837" i="9"/>
  <c r="K1837" i="9"/>
  <c r="T1833" i="9"/>
  <c r="V1833" i="9" s="1"/>
  <c r="O1833" i="9"/>
  <c r="P1833" i="9" s="1"/>
  <c r="U1833" i="9"/>
  <c r="N1833" i="9"/>
  <c r="M1833" i="9"/>
  <c r="L1833" i="9"/>
  <c r="K1833" i="9"/>
  <c r="T1829" i="9"/>
  <c r="V1829" i="9" s="1"/>
  <c r="U1829" i="9"/>
  <c r="O1829" i="9"/>
  <c r="P1829" i="9" s="1"/>
  <c r="N1829" i="9"/>
  <c r="M1829" i="9"/>
  <c r="L1829" i="9"/>
  <c r="K1829" i="9"/>
  <c r="T1825" i="9"/>
  <c r="V1825" i="9" s="1"/>
  <c r="U1825" i="9"/>
  <c r="O1825" i="9"/>
  <c r="P1825" i="9" s="1"/>
  <c r="N1825" i="9"/>
  <c r="M1825" i="9"/>
  <c r="L1825" i="9"/>
  <c r="K1825" i="9"/>
  <c r="T1821" i="9"/>
  <c r="V1821" i="9" s="1"/>
  <c r="U1821" i="9"/>
  <c r="O1821" i="9"/>
  <c r="P1821" i="9" s="1"/>
  <c r="N1821" i="9"/>
  <c r="M1821" i="9"/>
  <c r="L1821" i="9"/>
  <c r="K1821" i="9"/>
  <c r="T1817" i="9"/>
  <c r="V1817" i="9" s="1"/>
  <c r="O1817" i="9"/>
  <c r="P1817" i="9" s="1"/>
  <c r="U1817" i="9"/>
  <c r="N1817" i="9"/>
  <c r="M1817" i="9"/>
  <c r="L1817" i="9"/>
  <c r="K1817" i="9"/>
  <c r="T1813" i="9"/>
  <c r="V1813" i="9" s="1"/>
  <c r="U1813" i="9"/>
  <c r="O1813" i="9"/>
  <c r="P1813" i="9" s="1"/>
  <c r="N1813" i="9"/>
  <c r="M1813" i="9"/>
  <c r="L1813" i="9"/>
  <c r="K1813" i="9"/>
  <c r="T1809" i="9"/>
  <c r="V1809" i="9" s="1"/>
  <c r="U1809" i="9"/>
  <c r="O1809" i="9"/>
  <c r="P1809" i="9" s="1"/>
  <c r="N1809" i="9"/>
  <c r="M1809" i="9"/>
  <c r="L1809" i="9"/>
  <c r="K1809" i="9"/>
  <c r="T1805" i="9"/>
  <c r="V1805" i="9" s="1"/>
  <c r="U1805" i="9"/>
  <c r="O1805" i="9"/>
  <c r="P1805" i="9" s="1"/>
  <c r="N1805" i="9"/>
  <c r="M1805" i="9"/>
  <c r="L1805" i="9"/>
  <c r="K1805" i="9"/>
  <c r="T1801" i="9"/>
  <c r="V1801" i="9" s="1"/>
  <c r="O1801" i="9"/>
  <c r="P1801" i="9" s="1"/>
  <c r="U1801" i="9"/>
  <c r="N1801" i="9"/>
  <c r="M1801" i="9"/>
  <c r="L1801" i="9"/>
  <c r="K1801" i="9"/>
  <c r="T1797" i="9"/>
  <c r="V1797" i="9" s="1"/>
  <c r="U1797" i="9"/>
  <c r="O1797" i="9"/>
  <c r="P1797" i="9" s="1"/>
  <c r="N1797" i="9"/>
  <c r="M1797" i="9"/>
  <c r="L1797" i="9"/>
  <c r="K1797" i="9"/>
  <c r="T1793" i="9"/>
  <c r="V1793" i="9" s="1"/>
  <c r="U1793" i="9"/>
  <c r="O1793" i="9"/>
  <c r="P1793" i="9" s="1"/>
  <c r="N1793" i="9"/>
  <c r="M1793" i="9"/>
  <c r="L1793" i="9"/>
  <c r="K1793" i="9"/>
  <c r="T1789" i="9"/>
  <c r="V1789" i="9" s="1"/>
  <c r="U1789" i="9"/>
  <c r="O1789" i="9"/>
  <c r="P1789" i="9" s="1"/>
  <c r="N1789" i="9"/>
  <c r="M1789" i="9"/>
  <c r="L1789" i="9"/>
  <c r="K1789" i="9"/>
  <c r="T1785" i="9"/>
  <c r="V1785" i="9" s="1"/>
  <c r="O1785" i="9"/>
  <c r="P1785" i="9" s="1"/>
  <c r="U1785" i="9"/>
  <c r="N1785" i="9"/>
  <c r="M1785" i="9"/>
  <c r="L1785" i="9"/>
  <c r="K1785" i="9"/>
  <c r="T1781" i="9"/>
  <c r="V1781" i="9" s="1"/>
  <c r="U1781" i="9"/>
  <c r="O1781" i="9"/>
  <c r="P1781" i="9" s="1"/>
  <c r="N1781" i="9"/>
  <c r="M1781" i="9"/>
  <c r="L1781" i="9"/>
  <c r="K1781" i="9"/>
  <c r="T1777" i="9"/>
  <c r="V1777" i="9" s="1"/>
  <c r="U1777" i="9"/>
  <c r="O1777" i="9"/>
  <c r="P1777" i="9" s="1"/>
  <c r="N1777" i="9"/>
  <c r="M1777" i="9"/>
  <c r="L1777" i="9"/>
  <c r="K1777" i="9"/>
  <c r="T1773" i="9"/>
  <c r="V1773" i="9" s="1"/>
  <c r="U1773" i="9"/>
  <c r="O1773" i="9"/>
  <c r="P1773" i="9" s="1"/>
  <c r="N1773" i="9"/>
  <c r="M1773" i="9"/>
  <c r="L1773" i="9"/>
  <c r="K1773" i="9"/>
  <c r="T1769" i="9"/>
  <c r="V1769" i="9" s="1"/>
  <c r="O1769" i="9"/>
  <c r="P1769" i="9" s="1"/>
  <c r="U1769" i="9"/>
  <c r="N1769" i="9"/>
  <c r="M1769" i="9"/>
  <c r="L1769" i="9"/>
  <c r="K1769" i="9"/>
  <c r="T1765" i="9"/>
  <c r="V1765" i="9" s="1"/>
  <c r="U1765" i="9"/>
  <c r="O1765" i="9"/>
  <c r="P1765" i="9" s="1"/>
  <c r="N1765" i="9"/>
  <c r="M1765" i="9"/>
  <c r="L1765" i="9"/>
  <c r="K1765" i="9"/>
  <c r="T1761" i="9"/>
  <c r="V1761" i="9" s="1"/>
  <c r="U1761" i="9"/>
  <c r="O1761" i="9"/>
  <c r="P1761" i="9" s="1"/>
  <c r="N1761" i="9"/>
  <c r="M1761" i="9"/>
  <c r="L1761" i="9"/>
  <c r="K1761" i="9"/>
  <c r="T1757" i="9"/>
  <c r="V1757" i="9" s="1"/>
  <c r="U1757" i="9"/>
  <c r="O1757" i="9"/>
  <c r="P1757" i="9" s="1"/>
  <c r="N1757" i="9"/>
  <c r="M1757" i="9"/>
  <c r="L1757" i="9"/>
  <c r="K1757" i="9"/>
  <c r="T1753" i="9"/>
  <c r="V1753" i="9" s="1"/>
  <c r="O1753" i="9"/>
  <c r="P1753" i="9" s="1"/>
  <c r="U1753" i="9"/>
  <c r="N1753" i="9"/>
  <c r="M1753" i="9"/>
  <c r="L1753" i="9"/>
  <c r="K1753" i="9"/>
  <c r="T1749" i="9"/>
  <c r="V1749" i="9" s="1"/>
  <c r="U1749" i="9"/>
  <c r="O1749" i="9"/>
  <c r="P1749" i="9" s="1"/>
  <c r="N1749" i="9"/>
  <c r="M1749" i="9"/>
  <c r="L1749" i="9"/>
  <c r="K1749" i="9"/>
  <c r="T1745" i="9"/>
  <c r="V1745" i="9" s="1"/>
  <c r="U1745" i="9"/>
  <c r="O1745" i="9"/>
  <c r="P1745" i="9" s="1"/>
  <c r="N1745" i="9"/>
  <c r="M1745" i="9"/>
  <c r="L1745" i="9"/>
  <c r="K1745" i="9"/>
  <c r="T1741" i="9"/>
  <c r="V1741" i="9" s="1"/>
  <c r="U1741" i="9"/>
  <c r="O1741" i="9"/>
  <c r="P1741" i="9" s="1"/>
  <c r="N1741" i="9"/>
  <c r="M1741" i="9"/>
  <c r="L1741" i="9"/>
  <c r="K1741" i="9"/>
  <c r="T1737" i="9"/>
  <c r="V1737" i="9" s="1"/>
  <c r="O1737" i="9"/>
  <c r="P1737" i="9" s="1"/>
  <c r="U1737" i="9"/>
  <c r="N1737" i="9"/>
  <c r="M1737" i="9"/>
  <c r="L1737" i="9"/>
  <c r="K1737" i="9"/>
  <c r="T1733" i="9"/>
  <c r="V1733" i="9" s="1"/>
  <c r="U1733" i="9"/>
  <c r="O1733" i="9"/>
  <c r="P1733" i="9" s="1"/>
  <c r="N1733" i="9"/>
  <c r="M1733" i="9"/>
  <c r="L1733" i="9"/>
  <c r="K1733" i="9"/>
  <c r="T1729" i="9"/>
  <c r="V1729" i="9" s="1"/>
  <c r="U1729" i="9"/>
  <c r="O1729" i="9"/>
  <c r="P1729" i="9" s="1"/>
  <c r="N1729" i="9"/>
  <c r="M1729" i="9"/>
  <c r="L1729" i="9"/>
  <c r="K1729" i="9"/>
  <c r="T1725" i="9"/>
  <c r="V1725" i="9" s="1"/>
  <c r="U1725" i="9"/>
  <c r="O1725" i="9"/>
  <c r="P1725" i="9" s="1"/>
  <c r="N1725" i="9"/>
  <c r="M1725" i="9"/>
  <c r="L1725" i="9"/>
  <c r="K1725" i="9"/>
  <c r="T1721" i="9"/>
  <c r="V1721" i="9" s="1"/>
  <c r="O1721" i="9"/>
  <c r="P1721" i="9" s="1"/>
  <c r="U1721" i="9"/>
  <c r="N1721" i="9"/>
  <c r="M1721" i="9"/>
  <c r="L1721" i="9"/>
  <c r="K1721" i="9"/>
  <c r="T1717" i="9"/>
  <c r="V1717" i="9" s="1"/>
  <c r="U1717" i="9"/>
  <c r="O1717" i="9"/>
  <c r="P1717" i="9" s="1"/>
  <c r="N1717" i="9"/>
  <c r="M1717" i="9"/>
  <c r="L1717" i="9"/>
  <c r="K1717" i="9"/>
  <c r="T1713" i="9"/>
  <c r="V1713" i="9" s="1"/>
  <c r="U1713" i="9"/>
  <c r="O1713" i="9"/>
  <c r="P1713" i="9" s="1"/>
  <c r="N1713" i="9"/>
  <c r="M1713" i="9"/>
  <c r="L1713" i="9"/>
  <c r="K1713" i="9"/>
  <c r="T1709" i="9"/>
  <c r="V1709" i="9" s="1"/>
  <c r="U1709" i="9"/>
  <c r="O1709" i="9"/>
  <c r="P1709" i="9" s="1"/>
  <c r="N1709" i="9"/>
  <c r="M1709" i="9"/>
  <c r="L1709" i="9"/>
  <c r="K1709" i="9"/>
  <c r="T1705" i="9"/>
  <c r="V1705" i="9" s="1"/>
  <c r="O1705" i="9"/>
  <c r="P1705" i="9" s="1"/>
  <c r="U1705" i="9"/>
  <c r="N1705" i="9"/>
  <c r="M1705" i="9"/>
  <c r="L1705" i="9"/>
  <c r="K1705" i="9"/>
  <c r="T1701" i="9"/>
  <c r="V1701" i="9" s="1"/>
  <c r="U1701" i="9"/>
  <c r="O1701" i="9"/>
  <c r="P1701" i="9" s="1"/>
  <c r="N1701" i="9"/>
  <c r="M1701" i="9"/>
  <c r="L1701" i="9"/>
  <c r="K1701" i="9"/>
  <c r="T1697" i="9"/>
  <c r="V1697" i="9" s="1"/>
  <c r="U1697" i="9"/>
  <c r="O1697" i="9"/>
  <c r="P1697" i="9" s="1"/>
  <c r="N1697" i="9"/>
  <c r="M1697" i="9"/>
  <c r="L1697" i="9"/>
  <c r="K1697" i="9"/>
  <c r="T1693" i="9"/>
  <c r="V1693" i="9" s="1"/>
  <c r="U1693" i="9"/>
  <c r="O1693" i="9"/>
  <c r="P1693" i="9" s="1"/>
  <c r="N1693" i="9"/>
  <c r="M1693" i="9"/>
  <c r="L1693" i="9"/>
  <c r="K1693" i="9"/>
  <c r="T1689" i="9"/>
  <c r="V1689" i="9" s="1"/>
  <c r="O1689" i="9"/>
  <c r="P1689" i="9" s="1"/>
  <c r="U1689" i="9"/>
  <c r="N1689" i="9"/>
  <c r="M1689" i="9"/>
  <c r="L1689" i="9"/>
  <c r="K1689" i="9"/>
  <c r="T1685" i="9"/>
  <c r="V1685" i="9" s="1"/>
  <c r="U1685" i="9"/>
  <c r="O1685" i="9"/>
  <c r="P1685" i="9" s="1"/>
  <c r="N1685" i="9"/>
  <c r="M1685" i="9"/>
  <c r="L1685" i="9"/>
  <c r="K1685" i="9"/>
  <c r="T1681" i="9"/>
  <c r="V1681" i="9" s="1"/>
  <c r="U1681" i="9"/>
  <c r="O1681" i="9"/>
  <c r="P1681" i="9" s="1"/>
  <c r="N1681" i="9"/>
  <c r="M1681" i="9"/>
  <c r="L1681" i="9"/>
  <c r="K1681" i="9"/>
  <c r="T1677" i="9"/>
  <c r="V1677" i="9" s="1"/>
  <c r="U1677" i="9"/>
  <c r="O1677" i="9"/>
  <c r="P1677" i="9" s="1"/>
  <c r="N1677" i="9"/>
  <c r="M1677" i="9"/>
  <c r="L1677" i="9"/>
  <c r="K1677" i="9"/>
  <c r="T1673" i="9"/>
  <c r="V1673" i="9" s="1"/>
  <c r="O1673" i="9"/>
  <c r="P1673" i="9" s="1"/>
  <c r="U1673" i="9"/>
  <c r="N1673" i="9"/>
  <c r="M1673" i="9"/>
  <c r="L1673" i="9"/>
  <c r="K1673" i="9"/>
  <c r="T1669" i="9"/>
  <c r="V1669" i="9" s="1"/>
  <c r="U1669" i="9"/>
  <c r="O1669" i="9"/>
  <c r="P1669" i="9" s="1"/>
  <c r="N1669" i="9"/>
  <c r="M1669" i="9"/>
  <c r="L1669" i="9"/>
  <c r="K1669" i="9"/>
  <c r="T1665" i="9"/>
  <c r="V1665" i="9" s="1"/>
  <c r="U1665" i="9"/>
  <c r="O1665" i="9"/>
  <c r="P1665" i="9" s="1"/>
  <c r="N1665" i="9"/>
  <c r="M1665" i="9"/>
  <c r="L1665" i="9"/>
  <c r="K1665" i="9"/>
  <c r="T1661" i="9"/>
  <c r="V1661" i="9" s="1"/>
  <c r="U1661" i="9"/>
  <c r="O1661" i="9"/>
  <c r="P1661" i="9" s="1"/>
  <c r="N1661" i="9"/>
  <c r="M1661" i="9"/>
  <c r="L1661" i="9"/>
  <c r="K1661" i="9"/>
  <c r="T1657" i="9"/>
  <c r="V1657" i="9" s="1"/>
  <c r="O1657" i="9"/>
  <c r="P1657" i="9" s="1"/>
  <c r="U1657" i="9"/>
  <c r="N1657" i="9"/>
  <c r="M1657" i="9"/>
  <c r="L1657" i="9"/>
  <c r="K1657" i="9"/>
  <c r="T1653" i="9"/>
  <c r="V1653" i="9" s="1"/>
  <c r="U1653" i="9"/>
  <c r="O1653" i="9"/>
  <c r="P1653" i="9" s="1"/>
  <c r="N1653" i="9"/>
  <c r="M1653" i="9"/>
  <c r="L1653" i="9"/>
  <c r="K1653" i="9"/>
  <c r="T1649" i="9"/>
  <c r="V1649" i="9" s="1"/>
  <c r="U1649" i="9"/>
  <c r="O1649" i="9"/>
  <c r="P1649" i="9" s="1"/>
  <c r="N1649" i="9"/>
  <c r="M1649" i="9"/>
  <c r="L1649" i="9"/>
  <c r="K1649" i="9"/>
  <c r="T1645" i="9"/>
  <c r="V1645" i="9" s="1"/>
  <c r="U1645" i="9"/>
  <c r="O1645" i="9"/>
  <c r="P1645" i="9" s="1"/>
  <c r="N1645" i="9"/>
  <c r="M1645" i="9"/>
  <c r="L1645" i="9"/>
  <c r="K1645" i="9"/>
  <c r="T1641" i="9"/>
  <c r="V1641" i="9" s="1"/>
  <c r="O1641" i="9"/>
  <c r="P1641" i="9" s="1"/>
  <c r="U1641" i="9"/>
  <c r="N1641" i="9"/>
  <c r="M1641" i="9"/>
  <c r="L1641" i="9"/>
  <c r="K1641" i="9"/>
  <c r="T1637" i="9"/>
  <c r="V1637" i="9" s="1"/>
  <c r="U1637" i="9"/>
  <c r="N1637" i="9"/>
  <c r="O1637" i="9"/>
  <c r="P1637" i="9" s="1"/>
  <c r="M1637" i="9"/>
  <c r="L1637" i="9"/>
  <c r="K1637" i="9"/>
  <c r="T1633" i="9"/>
  <c r="V1633" i="9" s="1"/>
  <c r="U1633" i="9"/>
  <c r="O1633" i="9"/>
  <c r="P1633" i="9" s="1"/>
  <c r="N1633" i="9"/>
  <c r="M1633" i="9"/>
  <c r="L1633" i="9"/>
  <c r="K1633" i="9"/>
  <c r="T1629" i="9"/>
  <c r="V1629" i="9" s="1"/>
  <c r="U1629" i="9"/>
  <c r="N1629" i="9"/>
  <c r="O1629" i="9"/>
  <c r="P1629" i="9" s="1"/>
  <c r="M1629" i="9"/>
  <c r="L1629" i="9"/>
  <c r="K1629" i="9"/>
  <c r="T1625" i="9"/>
  <c r="V1625" i="9" s="1"/>
  <c r="O1625" i="9"/>
  <c r="P1625" i="9" s="1"/>
  <c r="N1625" i="9"/>
  <c r="U1625" i="9"/>
  <c r="M1625" i="9"/>
  <c r="L1625" i="9"/>
  <c r="K1625" i="9"/>
  <c r="T1621" i="9"/>
  <c r="V1621" i="9" s="1"/>
  <c r="U1621" i="9"/>
  <c r="N1621" i="9"/>
  <c r="O1621" i="9"/>
  <c r="P1621" i="9" s="1"/>
  <c r="M1621" i="9"/>
  <c r="L1621" i="9"/>
  <c r="K1621" i="9"/>
  <c r="T1617" i="9"/>
  <c r="V1617" i="9" s="1"/>
  <c r="U1617" i="9"/>
  <c r="O1617" i="9"/>
  <c r="P1617" i="9" s="1"/>
  <c r="N1617" i="9"/>
  <c r="M1617" i="9"/>
  <c r="L1617" i="9"/>
  <c r="K1617" i="9"/>
  <c r="T1613" i="9"/>
  <c r="V1613" i="9" s="1"/>
  <c r="U1613" i="9"/>
  <c r="N1613" i="9"/>
  <c r="O1613" i="9"/>
  <c r="P1613" i="9" s="1"/>
  <c r="M1613" i="9"/>
  <c r="L1613" i="9"/>
  <c r="K1613" i="9"/>
  <c r="T1609" i="9"/>
  <c r="V1609" i="9" s="1"/>
  <c r="O1609" i="9"/>
  <c r="P1609" i="9" s="1"/>
  <c r="N1609" i="9"/>
  <c r="U1609" i="9"/>
  <c r="M1609" i="9"/>
  <c r="L1609" i="9"/>
  <c r="K1609" i="9"/>
  <c r="T1605" i="9"/>
  <c r="V1605" i="9" s="1"/>
  <c r="U1605" i="9"/>
  <c r="N1605" i="9"/>
  <c r="O1605" i="9"/>
  <c r="P1605" i="9" s="1"/>
  <c r="M1605" i="9"/>
  <c r="L1605" i="9"/>
  <c r="K1605" i="9"/>
  <c r="T1601" i="9"/>
  <c r="V1601" i="9" s="1"/>
  <c r="U1601" i="9"/>
  <c r="O1601" i="9"/>
  <c r="P1601" i="9" s="1"/>
  <c r="N1601" i="9"/>
  <c r="M1601" i="9"/>
  <c r="L1601" i="9"/>
  <c r="K1601" i="9"/>
  <c r="T1597" i="9"/>
  <c r="V1597" i="9" s="1"/>
  <c r="U1597" i="9"/>
  <c r="N1597" i="9"/>
  <c r="O1597" i="9"/>
  <c r="P1597" i="9" s="1"/>
  <c r="M1597" i="9"/>
  <c r="L1597" i="9"/>
  <c r="K1597" i="9"/>
  <c r="T1593" i="9"/>
  <c r="V1593" i="9" s="1"/>
  <c r="O1593" i="9"/>
  <c r="P1593" i="9" s="1"/>
  <c r="N1593" i="9"/>
  <c r="U1593" i="9"/>
  <c r="M1593" i="9"/>
  <c r="L1593" i="9"/>
  <c r="K1593" i="9"/>
  <c r="T1589" i="9"/>
  <c r="V1589" i="9" s="1"/>
  <c r="U1589" i="9"/>
  <c r="N1589" i="9"/>
  <c r="O1589" i="9"/>
  <c r="P1589" i="9" s="1"/>
  <c r="M1589" i="9"/>
  <c r="L1589" i="9"/>
  <c r="K1589" i="9"/>
  <c r="T1585" i="9"/>
  <c r="V1585" i="9" s="1"/>
  <c r="U1585" i="9"/>
  <c r="O1585" i="9"/>
  <c r="P1585" i="9" s="1"/>
  <c r="N1585" i="9"/>
  <c r="M1585" i="9"/>
  <c r="L1585" i="9"/>
  <c r="K1585" i="9"/>
  <c r="T1581" i="9"/>
  <c r="V1581" i="9" s="1"/>
  <c r="U1581" i="9"/>
  <c r="N1581" i="9"/>
  <c r="O1581" i="9"/>
  <c r="P1581" i="9" s="1"/>
  <c r="M1581" i="9"/>
  <c r="L1581" i="9"/>
  <c r="K1581" i="9"/>
  <c r="T1577" i="9"/>
  <c r="V1577" i="9" s="1"/>
  <c r="O1577" i="9"/>
  <c r="P1577" i="9" s="1"/>
  <c r="N1577" i="9"/>
  <c r="U1577" i="9"/>
  <c r="M1577" i="9"/>
  <c r="L1577" i="9"/>
  <c r="K1577" i="9"/>
  <c r="T1573" i="9"/>
  <c r="V1573" i="9" s="1"/>
  <c r="U1573" i="9"/>
  <c r="N1573" i="9"/>
  <c r="O1573" i="9"/>
  <c r="P1573" i="9" s="1"/>
  <c r="M1573" i="9"/>
  <c r="L1573" i="9"/>
  <c r="K1573" i="9"/>
  <c r="T1569" i="9"/>
  <c r="V1569" i="9" s="1"/>
  <c r="U1569" i="9"/>
  <c r="O1569" i="9"/>
  <c r="P1569" i="9" s="1"/>
  <c r="N1569" i="9"/>
  <c r="M1569" i="9"/>
  <c r="L1569" i="9"/>
  <c r="K1569" i="9"/>
  <c r="T1565" i="9"/>
  <c r="V1565" i="9" s="1"/>
  <c r="U1565" i="9"/>
  <c r="N1565" i="9"/>
  <c r="O1565" i="9"/>
  <c r="P1565" i="9" s="1"/>
  <c r="M1565" i="9"/>
  <c r="L1565" i="9"/>
  <c r="K1565" i="9"/>
  <c r="T1561" i="9"/>
  <c r="V1561" i="9" s="1"/>
  <c r="O1561" i="9"/>
  <c r="P1561" i="9" s="1"/>
  <c r="N1561" i="9"/>
  <c r="U1561" i="9"/>
  <c r="M1561" i="9"/>
  <c r="L1561" i="9"/>
  <c r="K1561" i="9"/>
  <c r="T1557" i="9"/>
  <c r="V1557" i="9" s="1"/>
  <c r="U1557" i="9"/>
  <c r="N1557" i="9"/>
  <c r="O1557" i="9"/>
  <c r="P1557" i="9" s="1"/>
  <c r="M1557" i="9"/>
  <c r="L1557" i="9"/>
  <c r="K1557" i="9"/>
  <c r="T1553" i="9"/>
  <c r="V1553" i="9" s="1"/>
  <c r="U1553" i="9"/>
  <c r="O1553" i="9"/>
  <c r="P1553" i="9" s="1"/>
  <c r="N1553" i="9"/>
  <c r="M1553" i="9"/>
  <c r="L1553" i="9"/>
  <c r="K1553" i="9"/>
  <c r="T1549" i="9"/>
  <c r="V1549" i="9" s="1"/>
  <c r="U1549" i="9"/>
  <c r="N1549" i="9"/>
  <c r="O1549" i="9"/>
  <c r="P1549" i="9" s="1"/>
  <c r="M1549" i="9"/>
  <c r="L1549" i="9"/>
  <c r="K1549" i="9"/>
  <c r="T1545" i="9"/>
  <c r="V1545" i="9" s="1"/>
  <c r="O1545" i="9"/>
  <c r="P1545" i="9" s="1"/>
  <c r="N1545" i="9"/>
  <c r="U1545" i="9"/>
  <c r="M1545" i="9"/>
  <c r="L1545" i="9"/>
  <c r="K1545" i="9"/>
  <c r="T1541" i="9"/>
  <c r="V1541" i="9" s="1"/>
  <c r="U1541" i="9"/>
  <c r="N1541" i="9"/>
  <c r="O1541" i="9"/>
  <c r="P1541" i="9" s="1"/>
  <c r="M1541" i="9"/>
  <c r="L1541" i="9"/>
  <c r="K1541" i="9"/>
  <c r="T1537" i="9"/>
  <c r="V1537" i="9" s="1"/>
  <c r="U1537" i="9"/>
  <c r="O1537" i="9"/>
  <c r="P1537" i="9" s="1"/>
  <c r="N1537" i="9"/>
  <c r="M1537" i="9"/>
  <c r="L1537" i="9"/>
  <c r="K1537" i="9"/>
  <c r="T1533" i="9"/>
  <c r="V1533" i="9" s="1"/>
  <c r="U1533" i="9"/>
  <c r="N1533" i="9"/>
  <c r="O1533" i="9"/>
  <c r="P1533" i="9" s="1"/>
  <c r="M1533" i="9"/>
  <c r="L1533" i="9"/>
  <c r="K1533" i="9"/>
  <c r="T1529" i="9"/>
  <c r="V1529" i="9" s="1"/>
  <c r="O1529" i="9"/>
  <c r="P1529" i="9" s="1"/>
  <c r="N1529" i="9"/>
  <c r="U1529" i="9"/>
  <c r="M1529" i="9"/>
  <c r="L1529" i="9"/>
  <c r="K1529" i="9"/>
  <c r="T1525" i="9"/>
  <c r="V1525" i="9" s="1"/>
  <c r="U1525" i="9"/>
  <c r="N1525" i="9"/>
  <c r="O1525" i="9"/>
  <c r="P1525" i="9" s="1"/>
  <c r="M1525" i="9"/>
  <c r="L1525" i="9"/>
  <c r="K1525" i="9"/>
  <c r="T1521" i="9"/>
  <c r="V1521" i="9" s="1"/>
  <c r="U1521" i="9"/>
  <c r="O1521" i="9"/>
  <c r="P1521" i="9" s="1"/>
  <c r="N1521" i="9"/>
  <c r="M1521" i="9"/>
  <c r="L1521" i="9"/>
  <c r="K1521" i="9"/>
  <c r="T1517" i="9"/>
  <c r="V1517" i="9" s="1"/>
  <c r="U1517" i="9"/>
  <c r="N1517" i="9"/>
  <c r="O1517" i="9"/>
  <c r="P1517" i="9" s="1"/>
  <c r="M1517" i="9"/>
  <c r="L1517" i="9"/>
  <c r="K1517" i="9"/>
  <c r="T1513" i="9"/>
  <c r="V1513" i="9" s="1"/>
  <c r="O1513" i="9"/>
  <c r="P1513" i="9" s="1"/>
  <c r="N1513" i="9"/>
  <c r="U1513" i="9"/>
  <c r="M1513" i="9"/>
  <c r="L1513" i="9"/>
  <c r="K1513" i="9"/>
  <c r="T1509" i="9"/>
  <c r="V1509" i="9" s="1"/>
  <c r="U1509" i="9"/>
  <c r="N1509" i="9"/>
  <c r="O1509" i="9"/>
  <c r="P1509" i="9" s="1"/>
  <c r="M1509" i="9"/>
  <c r="L1509" i="9"/>
  <c r="K1509" i="9"/>
  <c r="T1505" i="9"/>
  <c r="V1505" i="9" s="1"/>
  <c r="U1505" i="9"/>
  <c r="O1505" i="9"/>
  <c r="P1505" i="9" s="1"/>
  <c r="N1505" i="9"/>
  <c r="M1505" i="9"/>
  <c r="L1505" i="9"/>
  <c r="K1505" i="9"/>
  <c r="T1501" i="9"/>
  <c r="V1501" i="9" s="1"/>
  <c r="U1501" i="9"/>
  <c r="N1501" i="9"/>
  <c r="O1501" i="9"/>
  <c r="P1501" i="9" s="1"/>
  <c r="M1501" i="9"/>
  <c r="L1501" i="9"/>
  <c r="K1501" i="9"/>
  <c r="T1497" i="9"/>
  <c r="V1497" i="9" s="1"/>
  <c r="O1497" i="9"/>
  <c r="P1497" i="9" s="1"/>
  <c r="N1497" i="9"/>
  <c r="U1497" i="9"/>
  <c r="M1497" i="9"/>
  <c r="L1497" i="9"/>
  <c r="K1497" i="9"/>
  <c r="T1493" i="9"/>
  <c r="V1493" i="9" s="1"/>
  <c r="U1493" i="9"/>
  <c r="N1493" i="9"/>
  <c r="O1493" i="9"/>
  <c r="P1493" i="9" s="1"/>
  <c r="M1493" i="9"/>
  <c r="L1493" i="9"/>
  <c r="K1493" i="9"/>
  <c r="T1489" i="9"/>
  <c r="V1489" i="9" s="1"/>
  <c r="U1489" i="9"/>
  <c r="O1489" i="9"/>
  <c r="P1489" i="9" s="1"/>
  <c r="N1489" i="9"/>
  <c r="M1489" i="9"/>
  <c r="L1489" i="9"/>
  <c r="K1489" i="9"/>
  <c r="T1485" i="9"/>
  <c r="V1485" i="9" s="1"/>
  <c r="U1485" i="9"/>
  <c r="N1485" i="9"/>
  <c r="O1485" i="9"/>
  <c r="P1485" i="9" s="1"/>
  <c r="M1485" i="9"/>
  <c r="L1485" i="9"/>
  <c r="K1485" i="9"/>
  <c r="T1481" i="9"/>
  <c r="V1481" i="9" s="1"/>
  <c r="O1481" i="9"/>
  <c r="P1481" i="9" s="1"/>
  <c r="N1481" i="9"/>
  <c r="U1481" i="9"/>
  <c r="M1481" i="9"/>
  <c r="L1481" i="9"/>
  <c r="K1481" i="9"/>
  <c r="T1477" i="9"/>
  <c r="V1477" i="9" s="1"/>
  <c r="U1477" i="9"/>
  <c r="N1477" i="9"/>
  <c r="O1477" i="9"/>
  <c r="P1477" i="9" s="1"/>
  <c r="M1477" i="9"/>
  <c r="L1477" i="9"/>
  <c r="K1477" i="9"/>
  <c r="T1473" i="9"/>
  <c r="V1473" i="9" s="1"/>
  <c r="U1473" i="9"/>
  <c r="O1473" i="9"/>
  <c r="P1473" i="9" s="1"/>
  <c r="N1473" i="9"/>
  <c r="M1473" i="9"/>
  <c r="L1473" i="9"/>
  <c r="K1473" i="9"/>
  <c r="T1469" i="9"/>
  <c r="V1469" i="9" s="1"/>
  <c r="U1469" i="9"/>
  <c r="N1469" i="9"/>
  <c r="O1469" i="9"/>
  <c r="P1469" i="9" s="1"/>
  <c r="M1469" i="9"/>
  <c r="L1469" i="9"/>
  <c r="K1469" i="9"/>
  <c r="T1465" i="9"/>
  <c r="V1465" i="9" s="1"/>
  <c r="O1465" i="9"/>
  <c r="P1465" i="9" s="1"/>
  <c r="N1465" i="9"/>
  <c r="U1465" i="9"/>
  <c r="M1465" i="9"/>
  <c r="L1465" i="9"/>
  <c r="K1465" i="9"/>
  <c r="T1461" i="9"/>
  <c r="V1461" i="9" s="1"/>
  <c r="U1461" i="9"/>
  <c r="N1461" i="9"/>
  <c r="O1461" i="9"/>
  <c r="P1461" i="9" s="1"/>
  <c r="M1461" i="9"/>
  <c r="L1461" i="9"/>
  <c r="K1461" i="9"/>
  <c r="T1457" i="9"/>
  <c r="V1457" i="9" s="1"/>
  <c r="U1457" i="9"/>
  <c r="O1457" i="9"/>
  <c r="P1457" i="9" s="1"/>
  <c r="N1457" i="9"/>
  <c r="M1457" i="9"/>
  <c r="L1457" i="9"/>
  <c r="K1457" i="9"/>
  <c r="T1453" i="9"/>
  <c r="V1453" i="9" s="1"/>
  <c r="U1453" i="9"/>
  <c r="N1453" i="9"/>
  <c r="O1453" i="9"/>
  <c r="P1453" i="9" s="1"/>
  <c r="M1453" i="9"/>
  <c r="L1453" i="9"/>
  <c r="K1453" i="9"/>
  <c r="T1449" i="9"/>
  <c r="V1449" i="9" s="1"/>
  <c r="O1449" i="9"/>
  <c r="P1449" i="9" s="1"/>
  <c r="N1449" i="9"/>
  <c r="U1449" i="9"/>
  <c r="M1449" i="9"/>
  <c r="L1449" i="9"/>
  <c r="K1449" i="9"/>
  <c r="T1445" i="9"/>
  <c r="V1445" i="9" s="1"/>
  <c r="U1445" i="9"/>
  <c r="N1445" i="9"/>
  <c r="O1445" i="9"/>
  <c r="P1445" i="9" s="1"/>
  <c r="M1445" i="9"/>
  <c r="L1445" i="9"/>
  <c r="K1445" i="9"/>
  <c r="T1441" i="9"/>
  <c r="V1441" i="9" s="1"/>
  <c r="U1441" i="9"/>
  <c r="O1441" i="9"/>
  <c r="P1441" i="9" s="1"/>
  <c r="N1441" i="9"/>
  <c r="M1441" i="9"/>
  <c r="L1441" i="9"/>
  <c r="K1441" i="9"/>
  <c r="T1437" i="9"/>
  <c r="V1437" i="9" s="1"/>
  <c r="U1437" i="9"/>
  <c r="N1437" i="9"/>
  <c r="O1437" i="9"/>
  <c r="P1437" i="9" s="1"/>
  <c r="M1437" i="9"/>
  <c r="L1437" i="9"/>
  <c r="K1437" i="9"/>
  <c r="T1433" i="9"/>
  <c r="V1433" i="9" s="1"/>
  <c r="O1433" i="9"/>
  <c r="P1433" i="9" s="1"/>
  <c r="N1433" i="9"/>
  <c r="U1433" i="9"/>
  <c r="M1433" i="9"/>
  <c r="L1433" i="9"/>
  <c r="K1433" i="9"/>
  <c r="T1429" i="9"/>
  <c r="V1429" i="9" s="1"/>
  <c r="U1429" i="9"/>
  <c r="N1429" i="9"/>
  <c r="O1429" i="9"/>
  <c r="P1429" i="9" s="1"/>
  <c r="M1429" i="9"/>
  <c r="L1429" i="9"/>
  <c r="K1429" i="9"/>
  <c r="T1425" i="9"/>
  <c r="V1425" i="9" s="1"/>
  <c r="U1425" i="9"/>
  <c r="O1425" i="9"/>
  <c r="P1425" i="9" s="1"/>
  <c r="N1425" i="9"/>
  <c r="M1425" i="9"/>
  <c r="L1425" i="9"/>
  <c r="K1425" i="9"/>
  <c r="T1421" i="9"/>
  <c r="V1421" i="9" s="1"/>
  <c r="U1421" i="9"/>
  <c r="N1421" i="9"/>
  <c r="O1421" i="9"/>
  <c r="P1421" i="9" s="1"/>
  <c r="M1421" i="9"/>
  <c r="L1421" i="9"/>
  <c r="K1421" i="9"/>
  <c r="T1417" i="9"/>
  <c r="V1417" i="9" s="1"/>
  <c r="O1417" i="9"/>
  <c r="P1417" i="9" s="1"/>
  <c r="N1417" i="9"/>
  <c r="U1417" i="9"/>
  <c r="M1417" i="9"/>
  <c r="L1417" i="9"/>
  <c r="K1417" i="9"/>
  <c r="T1413" i="9"/>
  <c r="V1413" i="9" s="1"/>
  <c r="U1413" i="9"/>
  <c r="N1413" i="9"/>
  <c r="O1413" i="9"/>
  <c r="P1413" i="9" s="1"/>
  <c r="M1413" i="9"/>
  <c r="L1413" i="9"/>
  <c r="K1413" i="9"/>
  <c r="T1409" i="9"/>
  <c r="V1409" i="9" s="1"/>
  <c r="U1409" i="9"/>
  <c r="O1409" i="9"/>
  <c r="P1409" i="9" s="1"/>
  <c r="N1409" i="9"/>
  <c r="M1409" i="9"/>
  <c r="L1409" i="9"/>
  <c r="K1409" i="9"/>
  <c r="T1405" i="9"/>
  <c r="V1405" i="9" s="1"/>
  <c r="U1405" i="9"/>
  <c r="N1405" i="9"/>
  <c r="O1405" i="9"/>
  <c r="P1405" i="9" s="1"/>
  <c r="M1405" i="9"/>
  <c r="L1405" i="9"/>
  <c r="K1405" i="9"/>
  <c r="T1401" i="9"/>
  <c r="V1401" i="9" s="1"/>
  <c r="O1401" i="9"/>
  <c r="P1401" i="9" s="1"/>
  <c r="N1401" i="9"/>
  <c r="U1401" i="9"/>
  <c r="M1401" i="9"/>
  <c r="L1401" i="9"/>
  <c r="K1401" i="9"/>
  <c r="T1397" i="9"/>
  <c r="V1397" i="9" s="1"/>
  <c r="U1397" i="9"/>
  <c r="N1397" i="9"/>
  <c r="O1397" i="9"/>
  <c r="P1397" i="9" s="1"/>
  <c r="M1397" i="9"/>
  <c r="L1397" i="9"/>
  <c r="K1397" i="9"/>
  <c r="T1393" i="9"/>
  <c r="V1393" i="9" s="1"/>
  <c r="U1393" i="9"/>
  <c r="O1393" i="9"/>
  <c r="P1393" i="9" s="1"/>
  <c r="N1393" i="9"/>
  <c r="M1393" i="9"/>
  <c r="L1393" i="9"/>
  <c r="K1393" i="9"/>
  <c r="T1389" i="9"/>
  <c r="V1389" i="9" s="1"/>
  <c r="U1389" i="9"/>
  <c r="N1389" i="9"/>
  <c r="O1389" i="9"/>
  <c r="P1389" i="9" s="1"/>
  <c r="M1389" i="9"/>
  <c r="L1389" i="9"/>
  <c r="K1389" i="9"/>
  <c r="T1385" i="9"/>
  <c r="V1385" i="9" s="1"/>
  <c r="O1385" i="9"/>
  <c r="P1385" i="9" s="1"/>
  <c r="N1385" i="9"/>
  <c r="U1385" i="9"/>
  <c r="M1385" i="9"/>
  <c r="L1385" i="9"/>
  <c r="K1385" i="9"/>
  <c r="T1381" i="9"/>
  <c r="V1381" i="9" s="1"/>
  <c r="U1381" i="9"/>
  <c r="N1381" i="9"/>
  <c r="O1381" i="9"/>
  <c r="P1381" i="9" s="1"/>
  <c r="M1381" i="9"/>
  <c r="L1381" i="9"/>
  <c r="K1381" i="9"/>
  <c r="T1377" i="9"/>
  <c r="V1377" i="9" s="1"/>
  <c r="U1377" i="9"/>
  <c r="O1377" i="9"/>
  <c r="P1377" i="9" s="1"/>
  <c r="N1377" i="9"/>
  <c r="M1377" i="9"/>
  <c r="L1377" i="9"/>
  <c r="K1377" i="9"/>
  <c r="T1373" i="9"/>
  <c r="V1373" i="9" s="1"/>
  <c r="U1373" i="9"/>
  <c r="N1373" i="9"/>
  <c r="O1373" i="9"/>
  <c r="P1373" i="9" s="1"/>
  <c r="M1373" i="9"/>
  <c r="L1373" i="9"/>
  <c r="K1373" i="9"/>
  <c r="T1369" i="9"/>
  <c r="V1369" i="9" s="1"/>
  <c r="O1369" i="9"/>
  <c r="P1369" i="9" s="1"/>
  <c r="N1369" i="9"/>
  <c r="U1369" i="9"/>
  <c r="M1369" i="9"/>
  <c r="L1369" i="9"/>
  <c r="K1369" i="9"/>
  <c r="T1365" i="9"/>
  <c r="V1365" i="9" s="1"/>
  <c r="U1365" i="9"/>
  <c r="N1365" i="9"/>
  <c r="O1365" i="9"/>
  <c r="P1365" i="9" s="1"/>
  <c r="M1365" i="9"/>
  <c r="L1365" i="9"/>
  <c r="K1365" i="9"/>
  <c r="T1361" i="9"/>
  <c r="V1361" i="9" s="1"/>
  <c r="U1361" i="9"/>
  <c r="O1361" i="9"/>
  <c r="P1361" i="9" s="1"/>
  <c r="N1361" i="9"/>
  <c r="M1361" i="9"/>
  <c r="L1361" i="9"/>
  <c r="K1361" i="9"/>
  <c r="T1357" i="9"/>
  <c r="V1357" i="9" s="1"/>
  <c r="U1357" i="9"/>
  <c r="N1357" i="9"/>
  <c r="O1357" i="9"/>
  <c r="P1357" i="9" s="1"/>
  <c r="M1357" i="9"/>
  <c r="L1357" i="9"/>
  <c r="K1357" i="9"/>
  <c r="T1353" i="9"/>
  <c r="V1353" i="9" s="1"/>
  <c r="O1353" i="9"/>
  <c r="P1353" i="9" s="1"/>
  <c r="N1353" i="9"/>
  <c r="U1353" i="9"/>
  <c r="M1353" i="9"/>
  <c r="L1353" i="9"/>
  <c r="K1353" i="9"/>
  <c r="T1349" i="9"/>
  <c r="V1349" i="9" s="1"/>
  <c r="U1349" i="9"/>
  <c r="N1349" i="9"/>
  <c r="O1349" i="9"/>
  <c r="P1349" i="9" s="1"/>
  <c r="M1349" i="9"/>
  <c r="L1349" i="9"/>
  <c r="K1349" i="9"/>
  <c r="T1345" i="9"/>
  <c r="V1345" i="9" s="1"/>
  <c r="U1345" i="9"/>
  <c r="O1345" i="9"/>
  <c r="P1345" i="9" s="1"/>
  <c r="N1345" i="9"/>
  <c r="M1345" i="9"/>
  <c r="L1345" i="9"/>
  <c r="K1345" i="9"/>
  <c r="T1341" i="9"/>
  <c r="V1341" i="9" s="1"/>
  <c r="U1341" i="9"/>
  <c r="N1341" i="9"/>
  <c r="O1341" i="9"/>
  <c r="P1341" i="9" s="1"/>
  <c r="M1341" i="9"/>
  <c r="L1341" i="9"/>
  <c r="K1341" i="9"/>
  <c r="T1337" i="9"/>
  <c r="V1337" i="9" s="1"/>
  <c r="O1337" i="9"/>
  <c r="P1337" i="9" s="1"/>
  <c r="N1337" i="9"/>
  <c r="U1337" i="9"/>
  <c r="M1337" i="9"/>
  <c r="L1337" i="9"/>
  <c r="K1337" i="9"/>
  <c r="T1333" i="9"/>
  <c r="V1333" i="9" s="1"/>
  <c r="U1333" i="9"/>
  <c r="N1333" i="9"/>
  <c r="O1333" i="9"/>
  <c r="P1333" i="9" s="1"/>
  <c r="M1333" i="9"/>
  <c r="L1333" i="9"/>
  <c r="K1333" i="9"/>
  <c r="T1329" i="9"/>
  <c r="V1329" i="9" s="1"/>
  <c r="U1329" i="9"/>
  <c r="O1329" i="9"/>
  <c r="P1329" i="9" s="1"/>
  <c r="N1329" i="9"/>
  <c r="M1329" i="9"/>
  <c r="L1329" i="9"/>
  <c r="K1329" i="9"/>
  <c r="T1325" i="9"/>
  <c r="V1325" i="9" s="1"/>
  <c r="U1325" i="9"/>
  <c r="N1325" i="9"/>
  <c r="O1325" i="9"/>
  <c r="P1325" i="9" s="1"/>
  <c r="M1325" i="9"/>
  <c r="L1325" i="9"/>
  <c r="K1325" i="9"/>
  <c r="T1321" i="9"/>
  <c r="V1321" i="9" s="1"/>
  <c r="O1321" i="9"/>
  <c r="P1321" i="9" s="1"/>
  <c r="N1321" i="9"/>
  <c r="U1321" i="9"/>
  <c r="M1321" i="9"/>
  <c r="L1321" i="9"/>
  <c r="K1321" i="9"/>
  <c r="T1317" i="9"/>
  <c r="V1317" i="9" s="1"/>
  <c r="U1317" i="9"/>
  <c r="N1317" i="9"/>
  <c r="O1317" i="9"/>
  <c r="P1317" i="9" s="1"/>
  <c r="M1317" i="9"/>
  <c r="L1317" i="9"/>
  <c r="K1317" i="9"/>
  <c r="T1313" i="9"/>
  <c r="V1313" i="9" s="1"/>
  <c r="U1313" i="9"/>
  <c r="O1313" i="9"/>
  <c r="P1313" i="9" s="1"/>
  <c r="N1313" i="9"/>
  <c r="M1313" i="9"/>
  <c r="L1313" i="9"/>
  <c r="K1313" i="9"/>
  <c r="T1309" i="9"/>
  <c r="V1309" i="9" s="1"/>
  <c r="U1309" i="9"/>
  <c r="N1309" i="9"/>
  <c r="O1309" i="9"/>
  <c r="P1309" i="9" s="1"/>
  <c r="M1309" i="9"/>
  <c r="L1309" i="9"/>
  <c r="K1309" i="9"/>
  <c r="T1305" i="9"/>
  <c r="V1305" i="9" s="1"/>
  <c r="O1305" i="9"/>
  <c r="P1305" i="9" s="1"/>
  <c r="N1305" i="9"/>
  <c r="U1305" i="9"/>
  <c r="M1305" i="9"/>
  <c r="L1305" i="9"/>
  <c r="K1305" i="9"/>
  <c r="T1301" i="9"/>
  <c r="V1301" i="9" s="1"/>
  <c r="U1301" i="9"/>
  <c r="N1301" i="9"/>
  <c r="O1301" i="9"/>
  <c r="P1301" i="9" s="1"/>
  <c r="M1301" i="9"/>
  <c r="L1301" i="9"/>
  <c r="K1301" i="9"/>
  <c r="T1297" i="9"/>
  <c r="V1297" i="9" s="1"/>
  <c r="U1297" i="9"/>
  <c r="O1297" i="9"/>
  <c r="P1297" i="9" s="1"/>
  <c r="N1297" i="9"/>
  <c r="M1297" i="9"/>
  <c r="L1297" i="9"/>
  <c r="K1297" i="9"/>
  <c r="T1293" i="9"/>
  <c r="V1293" i="9" s="1"/>
  <c r="U1293" i="9"/>
  <c r="N1293" i="9"/>
  <c r="O1293" i="9"/>
  <c r="P1293" i="9" s="1"/>
  <c r="M1293" i="9"/>
  <c r="L1293" i="9"/>
  <c r="K1293" i="9"/>
  <c r="T1289" i="9"/>
  <c r="V1289" i="9" s="1"/>
  <c r="O1289" i="9"/>
  <c r="P1289" i="9" s="1"/>
  <c r="N1289" i="9"/>
  <c r="U1289" i="9"/>
  <c r="M1289" i="9"/>
  <c r="L1289" i="9"/>
  <c r="K1289" i="9"/>
  <c r="T1285" i="9"/>
  <c r="V1285" i="9" s="1"/>
  <c r="U1285" i="9"/>
  <c r="N1285" i="9"/>
  <c r="O1285" i="9"/>
  <c r="P1285" i="9" s="1"/>
  <c r="M1285" i="9"/>
  <c r="L1285" i="9"/>
  <c r="K1285" i="9"/>
  <c r="T1281" i="9"/>
  <c r="V1281" i="9" s="1"/>
  <c r="U1281" i="9"/>
  <c r="O1281" i="9"/>
  <c r="P1281" i="9" s="1"/>
  <c r="N1281" i="9"/>
  <c r="M1281" i="9"/>
  <c r="L1281" i="9"/>
  <c r="K1281" i="9"/>
  <c r="T1277" i="9"/>
  <c r="V1277" i="9" s="1"/>
  <c r="U1277" i="9"/>
  <c r="N1277" i="9"/>
  <c r="O1277" i="9"/>
  <c r="P1277" i="9" s="1"/>
  <c r="M1277" i="9"/>
  <c r="L1277" i="9"/>
  <c r="K1277" i="9"/>
  <c r="T1273" i="9"/>
  <c r="V1273" i="9" s="1"/>
  <c r="O1273" i="9"/>
  <c r="P1273" i="9" s="1"/>
  <c r="N1273" i="9"/>
  <c r="U1273" i="9"/>
  <c r="M1273" i="9"/>
  <c r="L1273" i="9"/>
  <c r="K1273" i="9"/>
  <c r="T1269" i="9"/>
  <c r="V1269" i="9" s="1"/>
  <c r="U1269" i="9"/>
  <c r="N1269" i="9"/>
  <c r="O1269" i="9"/>
  <c r="P1269" i="9" s="1"/>
  <c r="M1269" i="9"/>
  <c r="L1269" i="9"/>
  <c r="K1269" i="9"/>
  <c r="T1265" i="9"/>
  <c r="V1265" i="9" s="1"/>
  <c r="U1265" i="9"/>
  <c r="O1265" i="9"/>
  <c r="P1265" i="9" s="1"/>
  <c r="N1265" i="9"/>
  <c r="M1265" i="9"/>
  <c r="L1265" i="9"/>
  <c r="K1265" i="9"/>
  <c r="T1261" i="9"/>
  <c r="V1261" i="9" s="1"/>
  <c r="U1261" i="9"/>
  <c r="N1261" i="9"/>
  <c r="O1261" i="9"/>
  <c r="P1261" i="9" s="1"/>
  <c r="M1261" i="9"/>
  <c r="L1261" i="9"/>
  <c r="K1261" i="9"/>
  <c r="T1257" i="9"/>
  <c r="V1257" i="9" s="1"/>
  <c r="O1257" i="9"/>
  <c r="P1257" i="9" s="1"/>
  <c r="N1257" i="9"/>
  <c r="U1257" i="9"/>
  <c r="M1257" i="9"/>
  <c r="L1257" i="9"/>
  <c r="K1257" i="9"/>
  <c r="T1253" i="9"/>
  <c r="V1253" i="9" s="1"/>
  <c r="U1253" i="9"/>
  <c r="N1253" i="9"/>
  <c r="O1253" i="9"/>
  <c r="P1253" i="9" s="1"/>
  <c r="M1253" i="9"/>
  <c r="L1253" i="9"/>
  <c r="K1253" i="9"/>
  <c r="T1249" i="9"/>
  <c r="V1249" i="9" s="1"/>
  <c r="U1249" i="9"/>
  <c r="O1249" i="9"/>
  <c r="P1249" i="9" s="1"/>
  <c r="N1249" i="9"/>
  <c r="M1249" i="9"/>
  <c r="L1249" i="9"/>
  <c r="K1249" i="9"/>
  <c r="T1245" i="9"/>
  <c r="V1245" i="9" s="1"/>
  <c r="U1245" i="9"/>
  <c r="N1245" i="9"/>
  <c r="O1245" i="9"/>
  <c r="P1245" i="9" s="1"/>
  <c r="M1245" i="9"/>
  <c r="L1245" i="9"/>
  <c r="K1245" i="9"/>
  <c r="T1241" i="9"/>
  <c r="V1241" i="9" s="1"/>
  <c r="O1241" i="9"/>
  <c r="P1241" i="9" s="1"/>
  <c r="N1241" i="9"/>
  <c r="U1241" i="9"/>
  <c r="M1241" i="9"/>
  <c r="L1241" i="9"/>
  <c r="K1241" i="9"/>
  <c r="U1237" i="9"/>
  <c r="T1237" i="9"/>
  <c r="V1237" i="9" s="1"/>
  <c r="N1237" i="9"/>
  <c r="O1237" i="9"/>
  <c r="P1237" i="9" s="1"/>
  <c r="M1237" i="9"/>
  <c r="L1237" i="9"/>
  <c r="K1237" i="9"/>
  <c r="T1233" i="9"/>
  <c r="V1233" i="9" s="1"/>
  <c r="U1233" i="9"/>
  <c r="O1233" i="9"/>
  <c r="P1233" i="9" s="1"/>
  <c r="N1233" i="9"/>
  <c r="M1233" i="9"/>
  <c r="L1233" i="9"/>
  <c r="K1233" i="9"/>
  <c r="U1229" i="9"/>
  <c r="T1229" i="9"/>
  <c r="V1229" i="9" s="1"/>
  <c r="N1229" i="9"/>
  <c r="O1229" i="9"/>
  <c r="P1229" i="9" s="1"/>
  <c r="M1229" i="9"/>
  <c r="L1229" i="9"/>
  <c r="K1229" i="9"/>
  <c r="T1225" i="9"/>
  <c r="V1225" i="9" s="1"/>
  <c r="O1225" i="9"/>
  <c r="P1225" i="9" s="1"/>
  <c r="N1225" i="9"/>
  <c r="U1225" i="9"/>
  <c r="M1225" i="9"/>
  <c r="L1225" i="9"/>
  <c r="K1225" i="9"/>
  <c r="U1221" i="9"/>
  <c r="T1221" i="9"/>
  <c r="V1221" i="9" s="1"/>
  <c r="N1221" i="9"/>
  <c r="O1221" i="9"/>
  <c r="P1221" i="9" s="1"/>
  <c r="M1221" i="9"/>
  <c r="L1221" i="9"/>
  <c r="K1221" i="9"/>
  <c r="T1217" i="9"/>
  <c r="V1217" i="9" s="1"/>
  <c r="U1217" i="9"/>
  <c r="O1217" i="9"/>
  <c r="P1217" i="9" s="1"/>
  <c r="N1217" i="9"/>
  <c r="M1217" i="9"/>
  <c r="L1217" i="9"/>
  <c r="K1217" i="9"/>
  <c r="U1213" i="9"/>
  <c r="T1213" i="9"/>
  <c r="V1213" i="9" s="1"/>
  <c r="N1213" i="9"/>
  <c r="O1213" i="9"/>
  <c r="P1213" i="9" s="1"/>
  <c r="M1213" i="9"/>
  <c r="L1213" i="9"/>
  <c r="K1213" i="9"/>
  <c r="T1209" i="9"/>
  <c r="V1209" i="9" s="1"/>
  <c r="O1209" i="9"/>
  <c r="P1209" i="9" s="1"/>
  <c r="N1209" i="9"/>
  <c r="U1209" i="9"/>
  <c r="M1209" i="9"/>
  <c r="L1209" i="9"/>
  <c r="K1209" i="9"/>
  <c r="U1205" i="9"/>
  <c r="T1205" i="9"/>
  <c r="V1205" i="9" s="1"/>
  <c r="N1205" i="9"/>
  <c r="O1205" i="9"/>
  <c r="P1205" i="9" s="1"/>
  <c r="M1205" i="9"/>
  <c r="L1205" i="9"/>
  <c r="K1205" i="9"/>
  <c r="T1201" i="9"/>
  <c r="V1201" i="9" s="1"/>
  <c r="U1201" i="9"/>
  <c r="O1201" i="9"/>
  <c r="P1201" i="9" s="1"/>
  <c r="N1201" i="9"/>
  <c r="M1201" i="9"/>
  <c r="L1201" i="9"/>
  <c r="K1201" i="9"/>
  <c r="U1197" i="9"/>
  <c r="T1197" i="9"/>
  <c r="V1197" i="9" s="1"/>
  <c r="N1197" i="9"/>
  <c r="O1197" i="9"/>
  <c r="P1197" i="9" s="1"/>
  <c r="M1197" i="9"/>
  <c r="L1197" i="9"/>
  <c r="K1197" i="9"/>
  <c r="T1193" i="9"/>
  <c r="V1193" i="9" s="1"/>
  <c r="O1193" i="9"/>
  <c r="P1193" i="9" s="1"/>
  <c r="N1193" i="9"/>
  <c r="U1193" i="9"/>
  <c r="M1193" i="9"/>
  <c r="L1193" i="9"/>
  <c r="K1193" i="9"/>
  <c r="U1189" i="9"/>
  <c r="T1189" i="9"/>
  <c r="V1189" i="9" s="1"/>
  <c r="N1189" i="9"/>
  <c r="O1189" i="9"/>
  <c r="P1189" i="9" s="1"/>
  <c r="M1189" i="9"/>
  <c r="L1189" i="9"/>
  <c r="K1189" i="9"/>
  <c r="T1185" i="9"/>
  <c r="V1185" i="9" s="1"/>
  <c r="U1185" i="9"/>
  <c r="O1185" i="9"/>
  <c r="P1185" i="9" s="1"/>
  <c r="N1185" i="9"/>
  <c r="M1185" i="9"/>
  <c r="L1185" i="9"/>
  <c r="K1185" i="9"/>
  <c r="U1181" i="9"/>
  <c r="T1181" i="9"/>
  <c r="V1181" i="9" s="1"/>
  <c r="N1181" i="9"/>
  <c r="O1181" i="9"/>
  <c r="P1181" i="9" s="1"/>
  <c r="M1181" i="9"/>
  <c r="L1181" i="9"/>
  <c r="K1181" i="9"/>
  <c r="T1177" i="9"/>
  <c r="V1177" i="9" s="1"/>
  <c r="O1177" i="9"/>
  <c r="P1177" i="9" s="1"/>
  <c r="N1177" i="9"/>
  <c r="U1177" i="9"/>
  <c r="M1177" i="9"/>
  <c r="L1177" i="9"/>
  <c r="K1177" i="9"/>
  <c r="U1173" i="9"/>
  <c r="T1173" i="9"/>
  <c r="V1173" i="9" s="1"/>
  <c r="N1173" i="9"/>
  <c r="O1173" i="9"/>
  <c r="P1173" i="9" s="1"/>
  <c r="M1173" i="9"/>
  <c r="L1173" i="9"/>
  <c r="K1173" i="9"/>
  <c r="T1169" i="9"/>
  <c r="V1169" i="9" s="1"/>
  <c r="U1169" i="9"/>
  <c r="O1169" i="9"/>
  <c r="P1169" i="9" s="1"/>
  <c r="N1169" i="9"/>
  <c r="M1169" i="9"/>
  <c r="L1169" i="9"/>
  <c r="K1169" i="9"/>
  <c r="U1165" i="9"/>
  <c r="T1165" i="9"/>
  <c r="V1165" i="9" s="1"/>
  <c r="N1165" i="9"/>
  <c r="O1165" i="9"/>
  <c r="P1165" i="9" s="1"/>
  <c r="M1165" i="9"/>
  <c r="L1165" i="9"/>
  <c r="K1165" i="9"/>
  <c r="T1161" i="9"/>
  <c r="V1161" i="9" s="1"/>
  <c r="O1161" i="9"/>
  <c r="P1161" i="9" s="1"/>
  <c r="N1161" i="9"/>
  <c r="U1161" i="9"/>
  <c r="M1161" i="9"/>
  <c r="L1161" i="9"/>
  <c r="K1161" i="9"/>
  <c r="U1157" i="9"/>
  <c r="T1157" i="9"/>
  <c r="V1157" i="9" s="1"/>
  <c r="N1157" i="9"/>
  <c r="O1157" i="9"/>
  <c r="P1157" i="9" s="1"/>
  <c r="M1157" i="9"/>
  <c r="L1157" i="9"/>
  <c r="K1157" i="9"/>
  <c r="T1153" i="9"/>
  <c r="V1153" i="9" s="1"/>
  <c r="U1153" i="9"/>
  <c r="O1153" i="9"/>
  <c r="P1153" i="9" s="1"/>
  <c r="N1153" i="9"/>
  <c r="M1153" i="9"/>
  <c r="L1153" i="9"/>
  <c r="K1153" i="9"/>
  <c r="U1149" i="9"/>
  <c r="T1149" i="9"/>
  <c r="V1149" i="9" s="1"/>
  <c r="N1149" i="9"/>
  <c r="O1149" i="9"/>
  <c r="P1149" i="9" s="1"/>
  <c r="M1149" i="9"/>
  <c r="L1149" i="9"/>
  <c r="K1149" i="9"/>
  <c r="T1145" i="9"/>
  <c r="V1145" i="9" s="1"/>
  <c r="O1145" i="9"/>
  <c r="P1145" i="9" s="1"/>
  <c r="N1145" i="9"/>
  <c r="U1145" i="9"/>
  <c r="M1145" i="9"/>
  <c r="L1145" i="9"/>
  <c r="K1145" i="9"/>
  <c r="U1141" i="9"/>
  <c r="T1141" i="9"/>
  <c r="V1141" i="9" s="1"/>
  <c r="N1141" i="9"/>
  <c r="O1141" i="9"/>
  <c r="P1141" i="9" s="1"/>
  <c r="M1141" i="9"/>
  <c r="L1141" i="9"/>
  <c r="K1141" i="9"/>
  <c r="T1137" i="9"/>
  <c r="V1137" i="9" s="1"/>
  <c r="U1137" i="9"/>
  <c r="O1137" i="9"/>
  <c r="P1137" i="9" s="1"/>
  <c r="N1137" i="9"/>
  <c r="M1137" i="9"/>
  <c r="L1137" i="9"/>
  <c r="K1137" i="9"/>
  <c r="U1133" i="9"/>
  <c r="T1133" i="9"/>
  <c r="V1133" i="9" s="1"/>
  <c r="N1133" i="9"/>
  <c r="O1133" i="9"/>
  <c r="P1133" i="9" s="1"/>
  <c r="M1133" i="9"/>
  <c r="L1133" i="9"/>
  <c r="K1133" i="9"/>
  <c r="T1129" i="9"/>
  <c r="V1129" i="9" s="1"/>
  <c r="O1129" i="9"/>
  <c r="P1129" i="9" s="1"/>
  <c r="N1129" i="9"/>
  <c r="U1129" i="9"/>
  <c r="M1129" i="9"/>
  <c r="L1129" i="9"/>
  <c r="K1129" i="9"/>
  <c r="U1125" i="9"/>
  <c r="T1125" i="9"/>
  <c r="V1125" i="9" s="1"/>
  <c r="N1125" i="9"/>
  <c r="O1125" i="9"/>
  <c r="P1125" i="9" s="1"/>
  <c r="M1125" i="9"/>
  <c r="L1125" i="9"/>
  <c r="K1125" i="9"/>
  <c r="T1121" i="9"/>
  <c r="V1121" i="9" s="1"/>
  <c r="U1121" i="9"/>
  <c r="O1121" i="9"/>
  <c r="P1121" i="9" s="1"/>
  <c r="N1121" i="9"/>
  <c r="M1121" i="9"/>
  <c r="L1121" i="9"/>
  <c r="K1121" i="9"/>
  <c r="U1117" i="9"/>
  <c r="T1117" i="9"/>
  <c r="V1117" i="9" s="1"/>
  <c r="N1117" i="9"/>
  <c r="O1117" i="9"/>
  <c r="P1117" i="9" s="1"/>
  <c r="M1117" i="9"/>
  <c r="L1117" i="9"/>
  <c r="K1117" i="9"/>
  <c r="T1113" i="9"/>
  <c r="V1113" i="9" s="1"/>
  <c r="O1113" i="9"/>
  <c r="P1113" i="9" s="1"/>
  <c r="N1113" i="9"/>
  <c r="U1113" i="9"/>
  <c r="M1113" i="9"/>
  <c r="L1113" i="9"/>
  <c r="K1113" i="9"/>
  <c r="U1109" i="9"/>
  <c r="T1109" i="9"/>
  <c r="V1109" i="9" s="1"/>
  <c r="N1109" i="9"/>
  <c r="O1109" i="9"/>
  <c r="P1109" i="9" s="1"/>
  <c r="M1109" i="9"/>
  <c r="L1109" i="9"/>
  <c r="K1109" i="9"/>
  <c r="T1105" i="9"/>
  <c r="V1105" i="9" s="1"/>
  <c r="U1105" i="9"/>
  <c r="O1105" i="9"/>
  <c r="P1105" i="9" s="1"/>
  <c r="N1105" i="9"/>
  <c r="M1105" i="9"/>
  <c r="L1105" i="9"/>
  <c r="K1105" i="9"/>
  <c r="U1101" i="9"/>
  <c r="T1101" i="9"/>
  <c r="V1101" i="9" s="1"/>
  <c r="N1101" i="9"/>
  <c r="O1101" i="9"/>
  <c r="P1101" i="9" s="1"/>
  <c r="M1101" i="9"/>
  <c r="L1101" i="9"/>
  <c r="K1101" i="9"/>
  <c r="T1097" i="9"/>
  <c r="V1097" i="9" s="1"/>
  <c r="O1097" i="9"/>
  <c r="P1097" i="9" s="1"/>
  <c r="N1097" i="9"/>
  <c r="U1097" i="9"/>
  <c r="M1097" i="9"/>
  <c r="L1097" i="9"/>
  <c r="K1097" i="9"/>
  <c r="U1093" i="9"/>
  <c r="T1093" i="9"/>
  <c r="V1093" i="9" s="1"/>
  <c r="N1093" i="9"/>
  <c r="O1093" i="9"/>
  <c r="P1093" i="9" s="1"/>
  <c r="M1093" i="9"/>
  <c r="L1093" i="9"/>
  <c r="K1093" i="9"/>
  <c r="T1089" i="9"/>
  <c r="V1089" i="9" s="1"/>
  <c r="U1089" i="9"/>
  <c r="O1089" i="9"/>
  <c r="P1089" i="9" s="1"/>
  <c r="N1089" i="9"/>
  <c r="M1089" i="9"/>
  <c r="L1089" i="9"/>
  <c r="K1089" i="9"/>
  <c r="U1085" i="9"/>
  <c r="T1085" i="9"/>
  <c r="V1085" i="9" s="1"/>
  <c r="N1085" i="9"/>
  <c r="O1085" i="9"/>
  <c r="P1085" i="9" s="1"/>
  <c r="M1085" i="9"/>
  <c r="L1085" i="9"/>
  <c r="K1085" i="9"/>
  <c r="T1081" i="9"/>
  <c r="V1081" i="9" s="1"/>
  <c r="O1081" i="9"/>
  <c r="P1081" i="9" s="1"/>
  <c r="N1081" i="9"/>
  <c r="U1081" i="9"/>
  <c r="M1081" i="9"/>
  <c r="L1081" i="9"/>
  <c r="K1081" i="9"/>
  <c r="U1077" i="9"/>
  <c r="T1077" i="9"/>
  <c r="V1077" i="9" s="1"/>
  <c r="N1077" i="9"/>
  <c r="O1077" i="9"/>
  <c r="P1077" i="9" s="1"/>
  <c r="M1077" i="9"/>
  <c r="L1077" i="9"/>
  <c r="K1077" i="9"/>
  <c r="T1073" i="9"/>
  <c r="V1073" i="9" s="1"/>
  <c r="U1073" i="9"/>
  <c r="O1073" i="9"/>
  <c r="P1073" i="9" s="1"/>
  <c r="N1073" i="9"/>
  <c r="M1073" i="9"/>
  <c r="L1073" i="9"/>
  <c r="K1073" i="9"/>
  <c r="U1069" i="9"/>
  <c r="T1069" i="9"/>
  <c r="V1069" i="9" s="1"/>
  <c r="N1069" i="9"/>
  <c r="O1069" i="9"/>
  <c r="P1069" i="9" s="1"/>
  <c r="M1069" i="9"/>
  <c r="L1069" i="9"/>
  <c r="K1069" i="9"/>
  <c r="T1065" i="9"/>
  <c r="V1065" i="9" s="1"/>
  <c r="O1065" i="9"/>
  <c r="P1065" i="9" s="1"/>
  <c r="N1065" i="9"/>
  <c r="U1065" i="9"/>
  <c r="M1065" i="9"/>
  <c r="L1065" i="9"/>
  <c r="K1065" i="9"/>
  <c r="U1061" i="9"/>
  <c r="T1061" i="9"/>
  <c r="V1061" i="9" s="1"/>
  <c r="N1061" i="9"/>
  <c r="O1061" i="9"/>
  <c r="P1061" i="9" s="1"/>
  <c r="M1061" i="9"/>
  <c r="L1061" i="9"/>
  <c r="K1061" i="9"/>
  <c r="T1057" i="9"/>
  <c r="V1057" i="9" s="1"/>
  <c r="U1057" i="9"/>
  <c r="O1057" i="9"/>
  <c r="P1057" i="9" s="1"/>
  <c r="N1057" i="9"/>
  <c r="M1057" i="9"/>
  <c r="L1057" i="9"/>
  <c r="K1057" i="9"/>
  <c r="U1053" i="9"/>
  <c r="T1053" i="9"/>
  <c r="V1053" i="9" s="1"/>
  <c r="N1053" i="9"/>
  <c r="O1053" i="9"/>
  <c r="P1053" i="9" s="1"/>
  <c r="M1053" i="9"/>
  <c r="L1053" i="9"/>
  <c r="K1053" i="9"/>
  <c r="T1049" i="9"/>
  <c r="V1049" i="9" s="1"/>
  <c r="O1049" i="9"/>
  <c r="P1049" i="9" s="1"/>
  <c r="N1049" i="9"/>
  <c r="U1049" i="9"/>
  <c r="M1049" i="9"/>
  <c r="L1049" i="9"/>
  <c r="K1049" i="9"/>
  <c r="U1045" i="9"/>
  <c r="T1045" i="9"/>
  <c r="V1045" i="9" s="1"/>
  <c r="N1045" i="9"/>
  <c r="O1045" i="9"/>
  <c r="P1045" i="9" s="1"/>
  <c r="M1045" i="9"/>
  <c r="L1045" i="9"/>
  <c r="K1045" i="9"/>
  <c r="T1041" i="9"/>
  <c r="V1041" i="9" s="1"/>
  <c r="U1041" i="9"/>
  <c r="O1041" i="9"/>
  <c r="P1041" i="9" s="1"/>
  <c r="N1041" i="9"/>
  <c r="M1041" i="9"/>
  <c r="L1041" i="9"/>
  <c r="K1041" i="9"/>
  <c r="U1037" i="9"/>
  <c r="T1037" i="9"/>
  <c r="V1037" i="9" s="1"/>
  <c r="N1037" i="9"/>
  <c r="O1037" i="9"/>
  <c r="P1037" i="9" s="1"/>
  <c r="M1037" i="9"/>
  <c r="L1037" i="9"/>
  <c r="K1037" i="9"/>
  <c r="T1033" i="9"/>
  <c r="V1033" i="9" s="1"/>
  <c r="O1033" i="9"/>
  <c r="P1033" i="9" s="1"/>
  <c r="N1033" i="9"/>
  <c r="U1033" i="9"/>
  <c r="M1033" i="9"/>
  <c r="L1033" i="9"/>
  <c r="K1033" i="9"/>
  <c r="U1029" i="9"/>
  <c r="T1029" i="9"/>
  <c r="V1029" i="9" s="1"/>
  <c r="N1029" i="9"/>
  <c r="O1029" i="9"/>
  <c r="P1029" i="9" s="1"/>
  <c r="M1029" i="9"/>
  <c r="L1029" i="9"/>
  <c r="K1029" i="9"/>
  <c r="T1025" i="9"/>
  <c r="V1025" i="9" s="1"/>
  <c r="U1025" i="9"/>
  <c r="O1025" i="9"/>
  <c r="P1025" i="9" s="1"/>
  <c r="N1025" i="9"/>
  <c r="M1025" i="9"/>
  <c r="L1025" i="9"/>
  <c r="K1025" i="9"/>
  <c r="U1021" i="9"/>
  <c r="T1021" i="9"/>
  <c r="V1021" i="9" s="1"/>
  <c r="N1021" i="9"/>
  <c r="O1021" i="9"/>
  <c r="P1021" i="9" s="1"/>
  <c r="M1021" i="9"/>
  <c r="L1021" i="9"/>
  <c r="K1021" i="9"/>
  <c r="T1017" i="9"/>
  <c r="V1017" i="9" s="1"/>
  <c r="O1017" i="9"/>
  <c r="P1017" i="9" s="1"/>
  <c r="N1017" i="9"/>
  <c r="U1017" i="9"/>
  <c r="M1017" i="9"/>
  <c r="L1017" i="9"/>
  <c r="K1017" i="9"/>
  <c r="U1013" i="9"/>
  <c r="T1013" i="9"/>
  <c r="V1013" i="9" s="1"/>
  <c r="N1013" i="9"/>
  <c r="O1013" i="9"/>
  <c r="P1013" i="9" s="1"/>
  <c r="M1013" i="9"/>
  <c r="L1013" i="9"/>
  <c r="K1013" i="9"/>
  <c r="T1009" i="9"/>
  <c r="V1009" i="9" s="1"/>
  <c r="U1009" i="9"/>
  <c r="O1009" i="9"/>
  <c r="P1009" i="9" s="1"/>
  <c r="N1009" i="9"/>
  <c r="M1009" i="9"/>
  <c r="L1009" i="9"/>
  <c r="K1009" i="9"/>
  <c r="U1005" i="9"/>
  <c r="T1005" i="9"/>
  <c r="V1005" i="9" s="1"/>
  <c r="N1005" i="9"/>
  <c r="O1005" i="9"/>
  <c r="P1005" i="9" s="1"/>
  <c r="M1005" i="9"/>
  <c r="L1005" i="9"/>
  <c r="K1005" i="9"/>
  <c r="T1001" i="9"/>
  <c r="V1001" i="9" s="1"/>
  <c r="O1001" i="9"/>
  <c r="P1001" i="9" s="1"/>
  <c r="N1001" i="9"/>
  <c r="U1001" i="9"/>
  <c r="M1001" i="9"/>
  <c r="L1001" i="9"/>
  <c r="K1001" i="9"/>
  <c r="U997" i="9"/>
  <c r="T997" i="9"/>
  <c r="V997" i="9" s="1"/>
  <c r="N997" i="9"/>
  <c r="O997" i="9"/>
  <c r="P997" i="9" s="1"/>
  <c r="M997" i="9"/>
  <c r="L997" i="9"/>
  <c r="K997" i="9"/>
  <c r="T993" i="9"/>
  <c r="V993" i="9" s="1"/>
  <c r="U993" i="9"/>
  <c r="O993" i="9"/>
  <c r="P993" i="9" s="1"/>
  <c r="N993" i="9"/>
  <c r="M993" i="9"/>
  <c r="L993" i="9"/>
  <c r="K993" i="9"/>
  <c r="U989" i="9"/>
  <c r="T989" i="9"/>
  <c r="V989" i="9" s="1"/>
  <c r="N989" i="9"/>
  <c r="O989" i="9"/>
  <c r="P989" i="9" s="1"/>
  <c r="M989" i="9"/>
  <c r="L989" i="9"/>
  <c r="K989" i="9"/>
  <c r="T985" i="9"/>
  <c r="V985" i="9" s="1"/>
  <c r="O985" i="9"/>
  <c r="P985" i="9" s="1"/>
  <c r="N985" i="9"/>
  <c r="U985" i="9"/>
  <c r="M985" i="9"/>
  <c r="L985" i="9"/>
  <c r="K985" i="9"/>
  <c r="U981" i="9"/>
  <c r="T981" i="9"/>
  <c r="V981" i="9" s="1"/>
  <c r="N981" i="9"/>
  <c r="O981" i="9"/>
  <c r="P981" i="9" s="1"/>
  <c r="M981" i="9"/>
  <c r="L981" i="9"/>
  <c r="K981" i="9"/>
  <c r="T977" i="9"/>
  <c r="V977" i="9" s="1"/>
  <c r="U977" i="9"/>
  <c r="O977" i="9"/>
  <c r="P977" i="9" s="1"/>
  <c r="N977" i="9"/>
  <c r="M977" i="9"/>
  <c r="L977" i="9"/>
  <c r="K977" i="9"/>
  <c r="U973" i="9"/>
  <c r="T973" i="9"/>
  <c r="V973" i="9" s="1"/>
  <c r="N973" i="9"/>
  <c r="O973" i="9"/>
  <c r="P973" i="9" s="1"/>
  <c r="M973" i="9"/>
  <c r="L973" i="9"/>
  <c r="K973" i="9"/>
  <c r="T969" i="9"/>
  <c r="V969" i="9" s="1"/>
  <c r="O969" i="9"/>
  <c r="P969" i="9" s="1"/>
  <c r="N969" i="9"/>
  <c r="U969" i="9"/>
  <c r="M969" i="9"/>
  <c r="L969" i="9"/>
  <c r="K969" i="9"/>
  <c r="U965" i="9"/>
  <c r="T965" i="9"/>
  <c r="V965" i="9" s="1"/>
  <c r="N965" i="9"/>
  <c r="O965" i="9"/>
  <c r="P965" i="9" s="1"/>
  <c r="M965" i="9"/>
  <c r="L965" i="9"/>
  <c r="K965" i="9"/>
  <c r="T961" i="9"/>
  <c r="V961" i="9" s="1"/>
  <c r="U961" i="9"/>
  <c r="O961" i="9"/>
  <c r="P961" i="9" s="1"/>
  <c r="N961" i="9"/>
  <c r="M961" i="9"/>
  <c r="L961" i="9"/>
  <c r="K961" i="9"/>
  <c r="U957" i="9"/>
  <c r="T957" i="9"/>
  <c r="V957" i="9" s="1"/>
  <c r="N957" i="9"/>
  <c r="O957" i="9"/>
  <c r="P957" i="9" s="1"/>
  <c r="M957" i="9"/>
  <c r="L957" i="9"/>
  <c r="K957" i="9"/>
  <c r="T953" i="9"/>
  <c r="V953" i="9" s="1"/>
  <c r="O953" i="9"/>
  <c r="P953" i="9" s="1"/>
  <c r="N953" i="9"/>
  <c r="U953" i="9"/>
  <c r="M953" i="9"/>
  <c r="L953" i="9"/>
  <c r="K953" i="9"/>
  <c r="U949" i="9"/>
  <c r="T949" i="9"/>
  <c r="V949" i="9" s="1"/>
  <c r="N949" i="9"/>
  <c r="O949" i="9"/>
  <c r="P949" i="9" s="1"/>
  <c r="M949" i="9"/>
  <c r="L949" i="9"/>
  <c r="K949" i="9"/>
  <c r="T945" i="9"/>
  <c r="V945" i="9" s="1"/>
  <c r="U945" i="9"/>
  <c r="O945" i="9"/>
  <c r="P945" i="9" s="1"/>
  <c r="N945" i="9"/>
  <c r="M945" i="9"/>
  <c r="L945" i="9"/>
  <c r="K945" i="9"/>
  <c r="U941" i="9"/>
  <c r="T941" i="9"/>
  <c r="V941" i="9" s="1"/>
  <c r="N941" i="9"/>
  <c r="O941" i="9"/>
  <c r="P941" i="9" s="1"/>
  <c r="M941" i="9"/>
  <c r="L941" i="9"/>
  <c r="K941" i="9"/>
  <c r="T937" i="9"/>
  <c r="V937" i="9" s="1"/>
  <c r="O937" i="9"/>
  <c r="P937" i="9" s="1"/>
  <c r="N937" i="9"/>
  <c r="U937" i="9"/>
  <c r="M937" i="9"/>
  <c r="L937" i="9"/>
  <c r="K937" i="9"/>
  <c r="U933" i="9"/>
  <c r="T933" i="9"/>
  <c r="V933" i="9" s="1"/>
  <c r="N933" i="9"/>
  <c r="O933" i="9"/>
  <c r="P933" i="9" s="1"/>
  <c r="M933" i="9"/>
  <c r="L933" i="9"/>
  <c r="K933" i="9"/>
  <c r="T929" i="9"/>
  <c r="V929" i="9" s="1"/>
  <c r="U929" i="9"/>
  <c r="O929" i="9"/>
  <c r="P929" i="9" s="1"/>
  <c r="N929" i="9"/>
  <c r="M929" i="9"/>
  <c r="L929" i="9"/>
  <c r="K929" i="9"/>
  <c r="U925" i="9"/>
  <c r="T925" i="9"/>
  <c r="V925" i="9" s="1"/>
  <c r="N925" i="9"/>
  <c r="O925" i="9"/>
  <c r="P925" i="9" s="1"/>
  <c r="M925" i="9"/>
  <c r="L925" i="9"/>
  <c r="K925" i="9"/>
  <c r="T921" i="9"/>
  <c r="V921" i="9" s="1"/>
  <c r="O921" i="9"/>
  <c r="P921" i="9" s="1"/>
  <c r="N921" i="9"/>
  <c r="U921" i="9"/>
  <c r="M921" i="9"/>
  <c r="L921" i="9"/>
  <c r="K921" i="9"/>
  <c r="U917" i="9"/>
  <c r="T917" i="9"/>
  <c r="V917" i="9" s="1"/>
  <c r="N917" i="9"/>
  <c r="O917" i="9"/>
  <c r="P917" i="9" s="1"/>
  <c r="M917" i="9"/>
  <c r="L917" i="9"/>
  <c r="K917" i="9"/>
  <c r="T913" i="9"/>
  <c r="V913" i="9" s="1"/>
  <c r="U913" i="9"/>
  <c r="O913" i="9"/>
  <c r="P913" i="9" s="1"/>
  <c r="N913" i="9"/>
  <c r="M913" i="9"/>
  <c r="L913" i="9"/>
  <c r="K913" i="9"/>
  <c r="U909" i="9"/>
  <c r="T909" i="9"/>
  <c r="V909" i="9" s="1"/>
  <c r="N909" i="9"/>
  <c r="O909" i="9"/>
  <c r="P909" i="9" s="1"/>
  <c r="M909" i="9"/>
  <c r="L909" i="9"/>
  <c r="K909" i="9"/>
  <c r="T905" i="9"/>
  <c r="V905" i="9" s="1"/>
  <c r="O905" i="9"/>
  <c r="P905" i="9" s="1"/>
  <c r="N905" i="9"/>
  <c r="U905" i="9"/>
  <c r="M905" i="9"/>
  <c r="L905" i="9"/>
  <c r="K905" i="9"/>
  <c r="U901" i="9"/>
  <c r="T901" i="9"/>
  <c r="V901" i="9" s="1"/>
  <c r="N901" i="9"/>
  <c r="O901" i="9"/>
  <c r="P901" i="9" s="1"/>
  <c r="M901" i="9"/>
  <c r="L901" i="9"/>
  <c r="K901" i="9"/>
  <c r="T897" i="9"/>
  <c r="V897" i="9" s="1"/>
  <c r="U897" i="9"/>
  <c r="O897" i="9"/>
  <c r="P897" i="9" s="1"/>
  <c r="N897" i="9"/>
  <c r="M897" i="9"/>
  <c r="L897" i="9"/>
  <c r="K897" i="9"/>
  <c r="U893" i="9"/>
  <c r="T893" i="9"/>
  <c r="V893" i="9" s="1"/>
  <c r="N893" i="9"/>
  <c r="O893" i="9"/>
  <c r="P893" i="9" s="1"/>
  <c r="M893" i="9"/>
  <c r="L893" i="9"/>
  <c r="K893" i="9"/>
  <c r="T889" i="9"/>
  <c r="V889" i="9" s="1"/>
  <c r="O889" i="9"/>
  <c r="P889" i="9" s="1"/>
  <c r="N889" i="9"/>
  <c r="U889" i="9"/>
  <c r="M889" i="9"/>
  <c r="L889" i="9"/>
  <c r="K889" i="9"/>
  <c r="U885" i="9"/>
  <c r="T885" i="9"/>
  <c r="V885" i="9" s="1"/>
  <c r="N885" i="9"/>
  <c r="O885" i="9"/>
  <c r="P885" i="9" s="1"/>
  <c r="M885" i="9"/>
  <c r="L885" i="9"/>
  <c r="K885" i="9"/>
  <c r="T881" i="9"/>
  <c r="V881" i="9" s="1"/>
  <c r="U881" i="9"/>
  <c r="O881" i="9"/>
  <c r="P881" i="9" s="1"/>
  <c r="N881" i="9"/>
  <c r="M881" i="9"/>
  <c r="L881" i="9"/>
  <c r="K881" i="9"/>
  <c r="U877" i="9"/>
  <c r="T877" i="9"/>
  <c r="V877" i="9" s="1"/>
  <c r="N877" i="9"/>
  <c r="O877" i="9"/>
  <c r="P877" i="9" s="1"/>
  <c r="M877" i="9"/>
  <c r="L877" i="9"/>
  <c r="K877" i="9"/>
  <c r="T873" i="9"/>
  <c r="V873" i="9" s="1"/>
  <c r="O873" i="9"/>
  <c r="P873" i="9" s="1"/>
  <c r="N873" i="9"/>
  <c r="U873" i="9"/>
  <c r="M873" i="9"/>
  <c r="L873" i="9"/>
  <c r="K873" i="9"/>
  <c r="U869" i="9"/>
  <c r="T869" i="9"/>
  <c r="V869" i="9" s="1"/>
  <c r="N869" i="9"/>
  <c r="O869" i="9"/>
  <c r="P869" i="9" s="1"/>
  <c r="M869" i="9"/>
  <c r="L869" i="9"/>
  <c r="K869" i="9"/>
  <c r="T865" i="9"/>
  <c r="V865" i="9" s="1"/>
  <c r="U865" i="9"/>
  <c r="O865" i="9"/>
  <c r="P865" i="9" s="1"/>
  <c r="N865" i="9"/>
  <c r="M865" i="9"/>
  <c r="L865" i="9"/>
  <c r="K865" i="9"/>
  <c r="U861" i="9"/>
  <c r="T861" i="9"/>
  <c r="V861" i="9" s="1"/>
  <c r="N861" i="9"/>
  <c r="O861" i="9"/>
  <c r="P861" i="9" s="1"/>
  <c r="M861" i="9"/>
  <c r="L861" i="9"/>
  <c r="K861" i="9"/>
  <c r="T857" i="9"/>
  <c r="V857" i="9" s="1"/>
  <c r="O857" i="9"/>
  <c r="P857" i="9" s="1"/>
  <c r="N857" i="9"/>
  <c r="U857" i="9"/>
  <c r="M857" i="9"/>
  <c r="L857" i="9"/>
  <c r="K857" i="9"/>
  <c r="U853" i="9"/>
  <c r="T853" i="9"/>
  <c r="V853" i="9" s="1"/>
  <c r="N853" i="9"/>
  <c r="O853" i="9"/>
  <c r="P853" i="9" s="1"/>
  <c r="M853" i="9"/>
  <c r="L853" i="9"/>
  <c r="K853" i="9"/>
  <c r="T849" i="9"/>
  <c r="V849" i="9" s="1"/>
  <c r="U849" i="9"/>
  <c r="O849" i="9"/>
  <c r="P849" i="9" s="1"/>
  <c r="N849" i="9"/>
  <c r="M849" i="9"/>
  <c r="L849" i="9"/>
  <c r="K849" i="9"/>
  <c r="U845" i="9"/>
  <c r="T845" i="9"/>
  <c r="V845" i="9" s="1"/>
  <c r="N845" i="9"/>
  <c r="O845" i="9"/>
  <c r="P845" i="9" s="1"/>
  <c r="M845" i="9"/>
  <c r="L845" i="9"/>
  <c r="K845" i="9"/>
  <c r="T841" i="9"/>
  <c r="V841" i="9" s="1"/>
  <c r="O841" i="9"/>
  <c r="P841" i="9" s="1"/>
  <c r="N841" i="9"/>
  <c r="U841" i="9"/>
  <c r="M841" i="9"/>
  <c r="L841" i="9"/>
  <c r="K841" i="9"/>
  <c r="U837" i="9"/>
  <c r="T837" i="9"/>
  <c r="V837" i="9" s="1"/>
  <c r="N837" i="9"/>
  <c r="O837" i="9"/>
  <c r="P837" i="9" s="1"/>
  <c r="M837" i="9"/>
  <c r="L837" i="9"/>
  <c r="K837" i="9"/>
  <c r="T833" i="9"/>
  <c r="V833" i="9" s="1"/>
  <c r="U833" i="9"/>
  <c r="O833" i="9"/>
  <c r="P833" i="9" s="1"/>
  <c r="N833" i="9"/>
  <c r="M833" i="9"/>
  <c r="L833" i="9"/>
  <c r="K833" i="9"/>
  <c r="U829" i="9"/>
  <c r="T829" i="9"/>
  <c r="V829" i="9" s="1"/>
  <c r="N829" i="9"/>
  <c r="O829" i="9"/>
  <c r="P829" i="9" s="1"/>
  <c r="M829" i="9"/>
  <c r="L829" i="9"/>
  <c r="K829" i="9"/>
  <c r="T825" i="9"/>
  <c r="V825" i="9" s="1"/>
  <c r="O825" i="9"/>
  <c r="P825" i="9" s="1"/>
  <c r="N825" i="9"/>
  <c r="U825" i="9"/>
  <c r="M825" i="9"/>
  <c r="L825" i="9"/>
  <c r="K825" i="9"/>
  <c r="U821" i="9"/>
  <c r="T821" i="9"/>
  <c r="V821" i="9" s="1"/>
  <c r="N821" i="9"/>
  <c r="O821" i="9"/>
  <c r="P821" i="9" s="1"/>
  <c r="M821" i="9"/>
  <c r="L821" i="9"/>
  <c r="K821" i="9"/>
  <c r="T817" i="9"/>
  <c r="V817" i="9" s="1"/>
  <c r="U817" i="9"/>
  <c r="O817" i="9"/>
  <c r="P817" i="9" s="1"/>
  <c r="N817" i="9"/>
  <c r="M817" i="9"/>
  <c r="L817" i="9"/>
  <c r="K817" i="9"/>
  <c r="U813" i="9"/>
  <c r="T813" i="9"/>
  <c r="V813" i="9" s="1"/>
  <c r="N813" i="9"/>
  <c r="O813" i="9"/>
  <c r="P813" i="9" s="1"/>
  <c r="M813" i="9"/>
  <c r="L813" i="9"/>
  <c r="K813" i="9"/>
  <c r="T809" i="9"/>
  <c r="V809" i="9" s="1"/>
  <c r="O809" i="9"/>
  <c r="P809" i="9" s="1"/>
  <c r="N809" i="9"/>
  <c r="U809" i="9"/>
  <c r="M809" i="9"/>
  <c r="L809" i="9"/>
  <c r="K809" i="9"/>
  <c r="U805" i="9"/>
  <c r="T805" i="9"/>
  <c r="V805" i="9" s="1"/>
  <c r="N805" i="9"/>
  <c r="O805" i="9"/>
  <c r="P805" i="9" s="1"/>
  <c r="M805" i="9"/>
  <c r="L805" i="9"/>
  <c r="K805" i="9"/>
  <c r="T801" i="9"/>
  <c r="V801" i="9" s="1"/>
  <c r="U801" i="9"/>
  <c r="O801" i="9"/>
  <c r="P801" i="9" s="1"/>
  <c r="N801" i="9"/>
  <c r="M801" i="9"/>
  <c r="L801" i="9"/>
  <c r="K801" i="9"/>
  <c r="U797" i="9"/>
  <c r="T797" i="9"/>
  <c r="V797" i="9" s="1"/>
  <c r="N797" i="9"/>
  <c r="O797" i="9"/>
  <c r="P797" i="9" s="1"/>
  <c r="M797" i="9"/>
  <c r="L797" i="9"/>
  <c r="K797" i="9"/>
  <c r="T793" i="9"/>
  <c r="V793" i="9" s="1"/>
  <c r="O793" i="9"/>
  <c r="P793" i="9" s="1"/>
  <c r="N793" i="9"/>
  <c r="U793" i="9"/>
  <c r="M793" i="9"/>
  <c r="L793" i="9"/>
  <c r="K793" i="9"/>
  <c r="U789" i="9"/>
  <c r="T789" i="9"/>
  <c r="V789" i="9" s="1"/>
  <c r="N789" i="9"/>
  <c r="O789" i="9"/>
  <c r="P789" i="9" s="1"/>
  <c r="M789" i="9"/>
  <c r="L789" i="9"/>
  <c r="K789" i="9"/>
  <c r="T785" i="9"/>
  <c r="V785" i="9" s="1"/>
  <c r="U785" i="9"/>
  <c r="O785" i="9"/>
  <c r="P785" i="9" s="1"/>
  <c r="N785" i="9"/>
  <c r="M785" i="9"/>
  <c r="L785" i="9"/>
  <c r="K785" i="9"/>
  <c r="U781" i="9"/>
  <c r="T781" i="9"/>
  <c r="V781" i="9" s="1"/>
  <c r="N781" i="9"/>
  <c r="O781" i="9"/>
  <c r="P781" i="9" s="1"/>
  <c r="M781" i="9"/>
  <c r="L781" i="9"/>
  <c r="K781" i="9"/>
  <c r="T777" i="9"/>
  <c r="V777" i="9" s="1"/>
  <c r="O777" i="9"/>
  <c r="P777" i="9" s="1"/>
  <c r="N777" i="9"/>
  <c r="U777" i="9"/>
  <c r="M777" i="9"/>
  <c r="L777" i="9"/>
  <c r="K777" i="9"/>
  <c r="U773" i="9"/>
  <c r="T773" i="9"/>
  <c r="V773" i="9" s="1"/>
  <c r="N773" i="9"/>
  <c r="O773" i="9"/>
  <c r="P773" i="9" s="1"/>
  <c r="M773" i="9"/>
  <c r="L773" i="9"/>
  <c r="K773" i="9"/>
  <c r="T769" i="9"/>
  <c r="V769" i="9" s="1"/>
  <c r="U769" i="9"/>
  <c r="O769" i="9"/>
  <c r="P769" i="9" s="1"/>
  <c r="N769" i="9"/>
  <c r="M769" i="9"/>
  <c r="L769" i="9"/>
  <c r="K769" i="9"/>
  <c r="U765" i="9"/>
  <c r="T765" i="9"/>
  <c r="V765" i="9" s="1"/>
  <c r="N765" i="9"/>
  <c r="O765" i="9"/>
  <c r="P765" i="9" s="1"/>
  <c r="M765" i="9"/>
  <c r="L765" i="9"/>
  <c r="K765" i="9"/>
  <c r="T761" i="9"/>
  <c r="V761" i="9" s="1"/>
  <c r="O761" i="9"/>
  <c r="P761" i="9" s="1"/>
  <c r="N761" i="9"/>
  <c r="U761" i="9"/>
  <c r="M761" i="9"/>
  <c r="L761" i="9"/>
  <c r="K761" i="9"/>
  <c r="U757" i="9"/>
  <c r="T757" i="9"/>
  <c r="V757" i="9" s="1"/>
  <c r="N757" i="9"/>
  <c r="O757" i="9"/>
  <c r="P757" i="9" s="1"/>
  <c r="M757" i="9"/>
  <c r="L757" i="9"/>
  <c r="K757" i="9"/>
  <c r="T753" i="9"/>
  <c r="V753" i="9" s="1"/>
  <c r="U753" i="9"/>
  <c r="O753" i="9"/>
  <c r="P753" i="9" s="1"/>
  <c r="N753" i="9"/>
  <c r="M753" i="9"/>
  <c r="L753" i="9"/>
  <c r="K753" i="9"/>
  <c r="U749" i="9"/>
  <c r="T749" i="9"/>
  <c r="V749" i="9" s="1"/>
  <c r="N749" i="9"/>
  <c r="O749" i="9"/>
  <c r="P749" i="9" s="1"/>
  <c r="M749" i="9"/>
  <c r="L749" i="9"/>
  <c r="K749" i="9"/>
  <c r="T745" i="9"/>
  <c r="V745" i="9" s="1"/>
  <c r="O745" i="9"/>
  <c r="P745" i="9" s="1"/>
  <c r="N745" i="9"/>
  <c r="U745" i="9"/>
  <c r="M745" i="9"/>
  <c r="L745" i="9"/>
  <c r="K745" i="9"/>
  <c r="U741" i="9"/>
  <c r="T741" i="9"/>
  <c r="V741" i="9" s="1"/>
  <c r="N741" i="9"/>
  <c r="O741" i="9"/>
  <c r="P741" i="9" s="1"/>
  <c r="M741" i="9"/>
  <c r="L741" i="9"/>
  <c r="K741" i="9"/>
  <c r="U737" i="9"/>
  <c r="T737" i="9"/>
  <c r="V737" i="9" s="1"/>
  <c r="O737" i="9"/>
  <c r="P737" i="9" s="1"/>
  <c r="N737" i="9"/>
  <c r="M737" i="9"/>
  <c r="L737" i="9"/>
  <c r="K737" i="9"/>
  <c r="U733" i="9"/>
  <c r="T733" i="9"/>
  <c r="V733" i="9" s="1"/>
  <c r="N733" i="9"/>
  <c r="O733" i="9"/>
  <c r="P733" i="9" s="1"/>
  <c r="M733" i="9"/>
  <c r="L733" i="9"/>
  <c r="K733" i="9"/>
  <c r="T729" i="9"/>
  <c r="V729" i="9" s="1"/>
  <c r="U729" i="9"/>
  <c r="O729" i="9"/>
  <c r="P729" i="9" s="1"/>
  <c r="N729" i="9"/>
  <c r="M729" i="9"/>
  <c r="L729" i="9"/>
  <c r="K729" i="9"/>
  <c r="U725" i="9"/>
  <c r="T725" i="9"/>
  <c r="V725" i="9" s="1"/>
  <c r="N725" i="9"/>
  <c r="O725" i="9"/>
  <c r="P725" i="9" s="1"/>
  <c r="M725" i="9"/>
  <c r="L725" i="9"/>
  <c r="K725" i="9"/>
  <c r="U721" i="9"/>
  <c r="T721" i="9"/>
  <c r="V721" i="9" s="1"/>
  <c r="O721" i="9"/>
  <c r="P721" i="9" s="1"/>
  <c r="N721" i="9"/>
  <c r="M721" i="9"/>
  <c r="L721" i="9"/>
  <c r="K721" i="9"/>
  <c r="U717" i="9"/>
  <c r="T717" i="9"/>
  <c r="V717" i="9" s="1"/>
  <c r="N717" i="9"/>
  <c r="O717" i="9"/>
  <c r="P717" i="9" s="1"/>
  <c r="M717" i="9"/>
  <c r="L717" i="9"/>
  <c r="K717" i="9"/>
  <c r="U713" i="9"/>
  <c r="T713" i="9"/>
  <c r="V713" i="9" s="1"/>
  <c r="O713" i="9"/>
  <c r="P713" i="9" s="1"/>
  <c r="N713" i="9"/>
  <c r="M713" i="9"/>
  <c r="L713" i="9"/>
  <c r="K713" i="9"/>
  <c r="U709" i="9"/>
  <c r="T709" i="9"/>
  <c r="V709" i="9" s="1"/>
  <c r="N709" i="9"/>
  <c r="O709" i="9"/>
  <c r="P709" i="9" s="1"/>
  <c r="M709" i="9"/>
  <c r="L709" i="9"/>
  <c r="K709" i="9"/>
  <c r="U705" i="9"/>
  <c r="T705" i="9"/>
  <c r="V705" i="9" s="1"/>
  <c r="O705" i="9"/>
  <c r="P705" i="9" s="1"/>
  <c r="N705" i="9"/>
  <c r="M705" i="9"/>
  <c r="L705" i="9"/>
  <c r="K705" i="9"/>
  <c r="U701" i="9"/>
  <c r="T701" i="9"/>
  <c r="V701" i="9" s="1"/>
  <c r="N701" i="9"/>
  <c r="O701" i="9"/>
  <c r="P701" i="9" s="1"/>
  <c r="M701" i="9"/>
  <c r="L701" i="9"/>
  <c r="K701" i="9"/>
  <c r="T697" i="9"/>
  <c r="V697" i="9" s="1"/>
  <c r="O697" i="9"/>
  <c r="P697" i="9" s="1"/>
  <c r="N697" i="9"/>
  <c r="U697" i="9"/>
  <c r="M697" i="9"/>
  <c r="L697" i="9"/>
  <c r="K697" i="9"/>
  <c r="U693" i="9"/>
  <c r="T693" i="9"/>
  <c r="V693" i="9" s="1"/>
  <c r="N693" i="9"/>
  <c r="O693" i="9"/>
  <c r="P693" i="9" s="1"/>
  <c r="M693" i="9"/>
  <c r="L693" i="9"/>
  <c r="K693" i="9"/>
  <c r="U689" i="9"/>
  <c r="T689" i="9"/>
  <c r="V689" i="9" s="1"/>
  <c r="O689" i="9"/>
  <c r="P689" i="9" s="1"/>
  <c r="N689" i="9"/>
  <c r="M689" i="9"/>
  <c r="L689" i="9"/>
  <c r="K689" i="9"/>
  <c r="U685" i="9"/>
  <c r="T685" i="9"/>
  <c r="V685" i="9" s="1"/>
  <c r="N685" i="9"/>
  <c r="O685" i="9"/>
  <c r="P685" i="9" s="1"/>
  <c r="M685" i="9"/>
  <c r="L685" i="9"/>
  <c r="K685" i="9"/>
  <c r="U681" i="9"/>
  <c r="T681" i="9"/>
  <c r="V681" i="9" s="1"/>
  <c r="O681" i="9"/>
  <c r="P681" i="9" s="1"/>
  <c r="N681" i="9"/>
  <c r="M681" i="9"/>
  <c r="L681" i="9"/>
  <c r="K681" i="9"/>
  <c r="U677" i="9"/>
  <c r="T677" i="9"/>
  <c r="V677" i="9" s="1"/>
  <c r="N677" i="9"/>
  <c r="O677" i="9"/>
  <c r="P677" i="9" s="1"/>
  <c r="M677" i="9"/>
  <c r="L677" i="9"/>
  <c r="K677" i="9"/>
  <c r="U673" i="9"/>
  <c r="T673" i="9"/>
  <c r="V673" i="9" s="1"/>
  <c r="O673" i="9"/>
  <c r="P673" i="9" s="1"/>
  <c r="N673" i="9"/>
  <c r="M673" i="9"/>
  <c r="L673" i="9"/>
  <c r="K673" i="9"/>
  <c r="U669" i="9"/>
  <c r="T669" i="9"/>
  <c r="V669" i="9" s="1"/>
  <c r="N669" i="9"/>
  <c r="O669" i="9"/>
  <c r="P669" i="9" s="1"/>
  <c r="M669" i="9"/>
  <c r="L669" i="9"/>
  <c r="K669" i="9"/>
  <c r="T665" i="9"/>
  <c r="V665" i="9" s="1"/>
  <c r="U665" i="9"/>
  <c r="O665" i="9"/>
  <c r="P665" i="9" s="1"/>
  <c r="N665" i="9"/>
  <c r="M665" i="9"/>
  <c r="L665" i="9"/>
  <c r="K665" i="9"/>
  <c r="U661" i="9"/>
  <c r="T661" i="9"/>
  <c r="V661" i="9" s="1"/>
  <c r="N661" i="9"/>
  <c r="O661" i="9"/>
  <c r="P661" i="9" s="1"/>
  <c r="M661" i="9"/>
  <c r="L661" i="9"/>
  <c r="K661" i="9"/>
  <c r="U657" i="9"/>
  <c r="T657" i="9"/>
  <c r="V657" i="9" s="1"/>
  <c r="O657" i="9"/>
  <c r="P657" i="9" s="1"/>
  <c r="N657" i="9"/>
  <c r="M657" i="9"/>
  <c r="L657" i="9"/>
  <c r="K657" i="9"/>
  <c r="U653" i="9"/>
  <c r="T653" i="9"/>
  <c r="V653" i="9" s="1"/>
  <c r="N653" i="9"/>
  <c r="O653" i="9"/>
  <c r="P653" i="9" s="1"/>
  <c r="M653" i="9"/>
  <c r="L653" i="9"/>
  <c r="K653" i="9"/>
  <c r="U649" i="9"/>
  <c r="T649" i="9"/>
  <c r="V649" i="9" s="1"/>
  <c r="O649" i="9"/>
  <c r="P649" i="9" s="1"/>
  <c r="N649" i="9"/>
  <c r="M649" i="9"/>
  <c r="L649" i="9"/>
  <c r="K649" i="9"/>
  <c r="U645" i="9"/>
  <c r="T645" i="9"/>
  <c r="V645" i="9" s="1"/>
  <c r="N645" i="9"/>
  <c r="O645" i="9"/>
  <c r="P645" i="9" s="1"/>
  <c r="M645" i="9"/>
  <c r="L645" i="9"/>
  <c r="K645" i="9"/>
  <c r="U641" i="9"/>
  <c r="T641" i="9"/>
  <c r="V641" i="9" s="1"/>
  <c r="O641" i="9"/>
  <c r="P641" i="9" s="1"/>
  <c r="N641" i="9"/>
  <c r="M641" i="9"/>
  <c r="L641" i="9"/>
  <c r="K641" i="9"/>
  <c r="U637" i="9"/>
  <c r="T637" i="9"/>
  <c r="V637" i="9" s="1"/>
  <c r="N637" i="9"/>
  <c r="O637" i="9"/>
  <c r="P637" i="9" s="1"/>
  <c r="M637" i="9"/>
  <c r="L637" i="9"/>
  <c r="K637" i="9"/>
  <c r="T633" i="9"/>
  <c r="V633" i="9" s="1"/>
  <c r="O633" i="9"/>
  <c r="P633" i="9" s="1"/>
  <c r="U633" i="9"/>
  <c r="N633" i="9"/>
  <c r="M633" i="9"/>
  <c r="L633" i="9"/>
  <c r="K633" i="9"/>
  <c r="U629" i="9"/>
  <c r="T629" i="9"/>
  <c r="V629" i="9" s="1"/>
  <c r="N629" i="9"/>
  <c r="O629" i="9"/>
  <c r="P629" i="9" s="1"/>
  <c r="M629" i="9"/>
  <c r="L629" i="9"/>
  <c r="K629" i="9"/>
  <c r="U625" i="9"/>
  <c r="T625" i="9"/>
  <c r="V625" i="9" s="1"/>
  <c r="O625" i="9"/>
  <c r="P625" i="9" s="1"/>
  <c r="N625" i="9"/>
  <c r="M625" i="9"/>
  <c r="L625" i="9"/>
  <c r="K625" i="9"/>
  <c r="U621" i="9"/>
  <c r="T621" i="9"/>
  <c r="V621" i="9" s="1"/>
  <c r="N621" i="9"/>
  <c r="O621" i="9"/>
  <c r="P621" i="9" s="1"/>
  <c r="M621" i="9"/>
  <c r="L621" i="9"/>
  <c r="K621" i="9"/>
  <c r="U617" i="9"/>
  <c r="T617" i="9"/>
  <c r="V617" i="9" s="1"/>
  <c r="O617" i="9"/>
  <c r="P617" i="9" s="1"/>
  <c r="N617" i="9"/>
  <c r="M617" i="9"/>
  <c r="L617" i="9"/>
  <c r="K617" i="9"/>
  <c r="U613" i="9"/>
  <c r="T613" i="9"/>
  <c r="V613" i="9" s="1"/>
  <c r="N613" i="9"/>
  <c r="O613" i="9"/>
  <c r="P613" i="9" s="1"/>
  <c r="M613" i="9"/>
  <c r="L613" i="9"/>
  <c r="K613" i="9"/>
  <c r="U609" i="9"/>
  <c r="T609" i="9"/>
  <c r="V609" i="9" s="1"/>
  <c r="O609" i="9"/>
  <c r="P609" i="9" s="1"/>
  <c r="N609" i="9"/>
  <c r="M609" i="9"/>
  <c r="L609" i="9"/>
  <c r="K609" i="9"/>
  <c r="U605" i="9"/>
  <c r="T605" i="9"/>
  <c r="V605" i="9" s="1"/>
  <c r="N605" i="9"/>
  <c r="O605" i="9"/>
  <c r="P605" i="9" s="1"/>
  <c r="M605" i="9"/>
  <c r="L605" i="9"/>
  <c r="K605" i="9"/>
  <c r="T601" i="9"/>
  <c r="V601" i="9" s="1"/>
  <c r="U601" i="9"/>
  <c r="O601" i="9"/>
  <c r="P601" i="9" s="1"/>
  <c r="N601" i="9"/>
  <c r="M601" i="9"/>
  <c r="L601" i="9"/>
  <c r="K601" i="9"/>
  <c r="U597" i="9"/>
  <c r="T597" i="9"/>
  <c r="V597" i="9" s="1"/>
  <c r="N597" i="9"/>
  <c r="O597" i="9"/>
  <c r="P597" i="9" s="1"/>
  <c r="M597" i="9"/>
  <c r="L597" i="9"/>
  <c r="K597" i="9"/>
  <c r="U593" i="9"/>
  <c r="T593" i="9"/>
  <c r="V593" i="9" s="1"/>
  <c r="O593" i="9"/>
  <c r="P593" i="9" s="1"/>
  <c r="N593" i="9"/>
  <c r="M593" i="9"/>
  <c r="L593" i="9"/>
  <c r="K593" i="9"/>
  <c r="U589" i="9"/>
  <c r="T589" i="9"/>
  <c r="V589" i="9" s="1"/>
  <c r="N589" i="9"/>
  <c r="O589" i="9"/>
  <c r="P589" i="9" s="1"/>
  <c r="M589" i="9"/>
  <c r="L589" i="9"/>
  <c r="K589" i="9"/>
  <c r="U585" i="9"/>
  <c r="T585" i="9"/>
  <c r="V585" i="9" s="1"/>
  <c r="O585" i="9"/>
  <c r="P585" i="9" s="1"/>
  <c r="N585" i="9"/>
  <c r="M585" i="9"/>
  <c r="L585" i="9"/>
  <c r="K585" i="9"/>
  <c r="U581" i="9"/>
  <c r="T581" i="9"/>
  <c r="V581" i="9" s="1"/>
  <c r="N581" i="9"/>
  <c r="O581" i="9"/>
  <c r="P581" i="9" s="1"/>
  <c r="M581" i="9"/>
  <c r="L581" i="9"/>
  <c r="K581" i="9"/>
  <c r="U577" i="9"/>
  <c r="T577" i="9"/>
  <c r="V577" i="9" s="1"/>
  <c r="O577" i="9"/>
  <c r="P577" i="9" s="1"/>
  <c r="N577" i="9"/>
  <c r="M577" i="9"/>
  <c r="L577" i="9"/>
  <c r="K577" i="9"/>
  <c r="U573" i="9"/>
  <c r="T573" i="9"/>
  <c r="V573" i="9" s="1"/>
  <c r="N573" i="9"/>
  <c r="O573" i="9"/>
  <c r="P573" i="9" s="1"/>
  <c r="M573" i="9"/>
  <c r="L573" i="9"/>
  <c r="K573" i="9"/>
  <c r="T569" i="9"/>
  <c r="V569" i="9" s="1"/>
  <c r="O569" i="9"/>
  <c r="P569" i="9" s="1"/>
  <c r="U569" i="9"/>
  <c r="N569" i="9"/>
  <c r="M569" i="9"/>
  <c r="L569" i="9"/>
  <c r="K569" i="9"/>
  <c r="U565" i="9"/>
  <c r="T565" i="9"/>
  <c r="V565" i="9" s="1"/>
  <c r="N565" i="9"/>
  <c r="O565" i="9"/>
  <c r="P565" i="9" s="1"/>
  <c r="M565" i="9"/>
  <c r="L565" i="9"/>
  <c r="K565" i="9"/>
  <c r="U561" i="9"/>
  <c r="T561" i="9"/>
  <c r="V561" i="9" s="1"/>
  <c r="O561" i="9"/>
  <c r="P561" i="9" s="1"/>
  <c r="N561" i="9"/>
  <c r="M561" i="9"/>
  <c r="L561" i="9"/>
  <c r="K561" i="9"/>
  <c r="U557" i="9"/>
  <c r="T557" i="9"/>
  <c r="V557" i="9" s="1"/>
  <c r="N557" i="9"/>
  <c r="O557" i="9"/>
  <c r="P557" i="9" s="1"/>
  <c r="M557" i="9"/>
  <c r="L557" i="9"/>
  <c r="K557" i="9"/>
  <c r="U553" i="9"/>
  <c r="T553" i="9"/>
  <c r="V553" i="9" s="1"/>
  <c r="O553" i="9"/>
  <c r="P553" i="9" s="1"/>
  <c r="N553" i="9"/>
  <c r="M553" i="9"/>
  <c r="L553" i="9"/>
  <c r="K553" i="9"/>
  <c r="U549" i="9"/>
  <c r="T549" i="9"/>
  <c r="V549" i="9" s="1"/>
  <c r="N549" i="9"/>
  <c r="O549" i="9"/>
  <c r="P549" i="9" s="1"/>
  <c r="M549" i="9"/>
  <c r="L549" i="9"/>
  <c r="K549" i="9"/>
  <c r="U545" i="9"/>
  <c r="T545" i="9"/>
  <c r="V545" i="9" s="1"/>
  <c r="O545" i="9"/>
  <c r="P545" i="9" s="1"/>
  <c r="N545" i="9"/>
  <c r="M545" i="9"/>
  <c r="L545" i="9"/>
  <c r="K545" i="9"/>
  <c r="U541" i="9"/>
  <c r="T541" i="9"/>
  <c r="V541" i="9" s="1"/>
  <c r="N541" i="9"/>
  <c r="O541" i="9"/>
  <c r="P541" i="9" s="1"/>
  <c r="M541" i="9"/>
  <c r="L541" i="9"/>
  <c r="K541" i="9"/>
  <c r="T537" i="9"/>
  <c r="V537" i="9" s="1"/>
  <c r="U537" i="9"/>
  <c r="O537" i="9"/>
  <c r="P537" i="9" s="1"/>
  <c r="N537" i="9"/>
  <c r="M537" i="9"/>
  <c r="L537" i="9"/>
  <c r="K537" i="9"/>
  <c r="U533" i="9"/>
  <c r="T533" i="9"/>
  <c r="V533" i="9" s="1"/>
  <c r="N533" i="9"/>
  <c r="O533" i="9"/>
  <c r="P533" i="9" s="1"/>
  <c r="M533" i="9"/>
  <c r="L533" i="9"/>
  <c r="K533" i="9"/>
  <c r="U529" i="9"/>
  <c r="T529" i="9"/>
  <c r="V529" i="9" s="1"/>
  <c r="O529" i="9"/>
  <c r="P529" i="9" s="1"/>
  <c r="N529" i="9"/>
  <c r="M529" i="9"/>
  <c r="L529" i="9"/>
  <c r="K529" i="9"/>
  <c r="U525" i="9"/>
  <c r="T525" i="9"/>
  <c r="V525" i="9" s="1"/>
  <c r="N525" i="9"/>
  <c r="O525" i="9"/>
  <c r="P525" i="9" s="1"/>
  <c r="M525" i="9"/>
  <c r="L525" i="9"/>
  <c r="K525" i="9"/>
  <c r="U521" i="9"/>
  <c r="T521" i="9"/>
  <c r="V521" i="9" s="1"/>
  <c r="O521" i="9"/>
  <c r="P521" i="9" s="1"/>
  <c r="N521" i="9"/>
  <c r="M521" i="9"/>
  <c r="L521" i="9"/>
  <c r="K521" i="9"/>
  <c r="U517" i="9"/>
  <c r="T517" i="9"/>
  <c r="V517" i="9" s="1"/>
  <c r="N517" i="9"/>
  <c r="O517" i="9"/>
  <c r="P517" i="9" s="1"/>
  <c r="M517" i="9"/>
  <c r="L517" i="9"/>
  <c r="K517" i="9"/>
  <c r="U513" i="9"/>
  <c r="T513" i="9"/>
  <c r="V513" i="9" s="1"/>
  <c r="O513" i="9"/>
  <c r="P513" i="9" s="1"/>
  <c r="N513" i="9"/>
  <c r="M513" i="9"/>
  <c r="L513" i="9"/>
  <c r="K513" i="9"/>
  <c r="U509" i="9"/>
  <c r="T509" i="9"/>
  <c r="V509" i="9" s="1"/>
  <c r="N509" i="9"/>
  <c r="O509" i="9"/>
  <c r="P509" i="9" s="1"/>
  <c r="M509" i="9"/>
  <c r="L509" i="9"/>
  <c r="K509" i="9"/>
  <c r="T505" i="9"/>
  <c r="V505" i="9" s="1"/>
  <c r="O505" i="9"/>
  <c r="P505" i="9" s="1"/>
  <c r="U505" i="9"/>
  <c r="N505" i="9"/>
  <c r="M505" i="9"/>
  <c r="L505" i="9"/>
  <c r="K505" i="9"/>
  <c r="U501" i="9"/>
  <c r="T501" i="9"/>
  <c r="V501" i="9" s="1"/>
  <c r="N501" i="9"/>
  <c r="O501" i="9"/>
  <c r="P501" i="9" s="1"/>
  <c r="M501" i="9"/>
  <c r="L501" i="9"/>
  <c r="K501" i="9"/>
  <c r="U497" i="9"/>
  <c r="T497" i="9"/>
  <c r="V497" i="9" s="1"/>
  <c r="O497" i="9"/>
  <c r="P497" i="9" s="1"/>
  <c r="N497" i="9"/>
  <c r="M497" i="9"/>
  <c r="L497" i="9"/>
  <c r="K497" i="9"/>
  <c r="U493" i="9"/>
  <c r="T493" i="9"/>
  <c r="V493" i="9" s="1"/>
  <c r="N493" i="9"/>
  <c r="O493" i="9"/>
  <c r="P493" i="9" s="1"/>
  <c r="M493" i="9"/>
  <c r="L493" i="9"/>
  <c r="K493" i="9"/>
  <c r="U489" i="9"/>
  <c r="T489" i="9"/>
  <c r="V489" i="9" s="1"/>
  <c r="O489" i="9"/>
  <c r="P489" i="9" s="1"/>
  <c r="N489" i="9"/>
  <c r="M489" i="9"/>
  <c r="L489" i="9"/>
  <c r="K489" i="9"/>
  <c r="U485" i="9"/>
  <c r="T485" i="9"/>
  <c r="V485" i="9" s="1"/>
  <c r="N485" i="9"/>
  <c r="O485" i="9"/>
  <c r="P485" i="9" s="1"/>
  <c r="M485" i="9"/>
  <c r="L485" i="9"/>
  <c r="K485" i="9"/>
  <c r="U481" i="9"/>
  <c r="T481" i="9"/>
  <c r="V481" i="9" s="1"/>
  <c r="O481" i="9"/>
  <c r="P481" i="9" s="1"/>
  <c r="N481" i="9"/>
  <c r="M481" i="9"/>
  <c r="L481" i="9"/>
  <c r="K481" i="9"/>
  <c r="U477" i="9"/>
  <c r="T477" i="9"/>
  <c r="V477" i="9" s="1"/>
  <c r="N477" i="9"/>
  <c r="O477" i="9"/>
  <c r="P477" i="9" s="1"/>
  <c r="M477" i="9"/>
  <c r="L477" i="9"/>
  <c r="K477" i="9"/>
  <c r="T473" i="9"/>
  <c r="V473" i="9" s="1"/>
  <c r="U473" i="9"/>
  <c r="O473" i="9"/>
  <c r="P473" i="9" s="1"/>
  <c r="N473" i="9"/>
  <c r="M473" i="9"/>
  <c r="L473" i="9"/>
  <c r="K473" i="9"/>
  <c r="U469" i="9"/>
  <c r="T469" i="9"/>
  <c r="V469" i="9" s="1"/>
  <c r="N469" i="9"/>
  <c r="O469" i="9"/>
  <c r="P469" i="9" s="1"/>
  <c r="M469" i="9"/>
  <c r="L469" i="9"/>
  <c r="K469" i="9"/>
  <c r="U465" i="9"/>
  <c r="T465" i="9"/>
  <c r="V465" i="9" s="1"/>
  <c r="O465" i="9"/>
  <c r="P465" i="9" s="1"/>
  <c r="N465" i="9"/>
  <c r="M465" i="9"/>
  <c r="L465" i="9"/>
  <c r="K465" i="9"/>
  <c r="U461" i="9"/>
  <c r="T461" i="9"/>
  <c r="V461" i="9" s="1"/>
  <c r="N461" i="9"/>
  <c r="O461" i="9"/>
  <c r="P461" i="9" s="1"/>
  <c r="M461" i="9"/>
  <c r="L461" i="9"/>
  <c r="K461" i="9"/>
  <c r="U457" i="9"/>
  <c r="T457" i="9"/>
  <c r="V457" i="9" s="1"/>
  <c r="O457" i="9"/>
  <c r="P457" i="9" s="1"/>
  <c r="N457" i="9"/>
  <c r="M457" i="9"/>
  <c r="L457" i="9"/>
  <c r="K457" i="9"/>
  <c r="U453" i="9"/>
  <c r="T453" i="9"/>
  <c r="V453" i="9" s="1"/>
  <c r="N453" i="9"/>
  <c r="O453" i="9"/>
  <c r="P453" i="9" s="1"/>
  <c r="M453" i="9"/>
  <c r="L453" i="9"/>
  <c r="K453" i="9"/>
  <c r="U449" i="9"/>
  <c r="T449" i="9"/>
  <c r="V449" i="9" s="1"/>
  <c r="O449" i="9"/>
  <c r="P449" i="9" s="1"/>
  <c r="N449" i="9"/>
  <c r="M449" i="9"/>
  <c r="L449" i="9"/>
  <c r="K449" i="9"/>
  <c r="U445" i="9"/>
  <c r="T445" i="9"/>
  <c r="V445" i="9" s="1"/>
  <c r="N445" i="9"/>
  <c r="O445" i="9"/>
  <c r="P445" i="9" s="1"/>
  <c r="M445" i="9"/>
  <c r="L445" i="9"/>
  <c r="K445" i="9"/>
  <c r="T441" i="9"/>
  <c r="V441" i="9" s="1"/>
  <c r="O441" i="9"/>
  <c r="P441" i="9" s="1"/>
  <c r="U441" i="9"/>
  <c r="N441" i="9"/>
  <c r="M441" i="9"/>
  <c r="L441" i="9"/>
  <c r="K441" i="9"/>
  <c r="U437" i="9"/>
  <c r="T437" i="9"/>
  <c r="V437" i="9" s="1"/>
  <c r="N437" i="9"/>
  <c r="O437" i="9"/>
  <c r="P437" i="9" s="1"/>
  <c r="M437" i="9"/>
  <c r="L437" i="9"/>
  <c r="K437" i="9"/>
  <c r="U433" i="9"/>
  <c r="T433" i="9"/>
  <c r="V433" i="9" s="1"/>
  <c r="O433" i="9"/>
  <c r="P433" i="9" s="1"/>
  <c r="N433" i="9"/>
  <c r="M433" i="9"/>
  <c r="L433" i="9"/>
  <c r="K433" i="9"/>
  <c r="U429" i="9"/>
  <c r="T429" i="9"/>
  <c r="V429" i="9" s="1"/>
  <c r="N429" i="9"/>
  <c r="O429" i="9"/>
  <c r="P429" i="9" s="1"/>
  <c r="M429" i="9"/>
  <c r="L429" i="9"/>
  <c r="K429" i="9"/>
  <c r="U425" i="9"/>
  <c r="T425" i="9"/>
  <c r="V425" i="9" s="1"/>
  <c r="O425" i="9"/>
  <c r="P425" i="9" s="1"/>
  <c r="N425" i="9"/>
  <c r="M425" i="9"/>
  <c r="L425" i="9"/>
  <c r="K425" i="9"/>
  <c r="U421" i="9"/>
  <c r="T421" i="9"/>
  <c r="V421" i="9" s="1"/>
  <c r="N421" i="9"/>
  <c r="O421" i="9"/>
  <c r="P421" i="9" s="1"/>
  <c r="M421" i="9"/>
  <c r="L421" i="9"/>
  <c r="K421" i="9"/>
  <c r="U417" i="9"/>
  <c r="T417" i="9"/>
  <c r="V417" i="9" s="1"/>
  <c r="O417" i="9"/>
  <c r="P417" i="9" s="1"/>
  <c r="N417" i="9"/>
  <c r="M417" i="9"/>
  <c r="L417" i="9"/>
  <c r="K417" i="9"/>
  <c r="U413" i="9"/>
  <c r="T413" i="9"/>
  <c r="V413" i="9" s="1"/>
  <c r="N413" i="9"/>
  <c r="O413" i="9"/>
  <c r="P413" i="9" s="1"/>
  <c r="M413" i="9"/>
  <c r="L413" i="9"/>
  <c r="K413" i="9"/>
  <c r="T409" i="9"/>
  <c r="V409" i="9" s="1"/>
  <c r="U409" i="9"/>
  <c r="O409" i="9"/>
  <c r="P409" i="9" s="1"/>
  <c r="N409" i="9"/>
  <c r="M409" i="9"/>
  <c r="L409" i="9"/>
  <c r="K409" i="9"/>
  <c r="U405" i="9"/>
  <c r="T405" i="9"/>
  <c r="V405" i="9" s="1"/>
  <c r="N405" i="9"/>
  <c r="O405" i="9"/>
  <c r="P405" i="9" s="1"/>
  <c r="M405" i="9"/>
  <c r="L405" i="9"/>
  <c r="K405" i="9"/>
  <c r="U401" i="9"/>
  <c r="T401" i="9"/>
  <c r="V401" i="9" s="1"/>
  <c r="O401" i="9"/>
  <c r="P401" i="9" s="1"/>
  <c r="N401" i="9"/>
  <c r="M401" i="9"/>
  <c r="L401" i="9"/>
  <c r="K401" i="9"/>
  <c r="U397" i="9"/>
  <c r="T397" i="9"/>
  <c r="V397" i="9" s="1"/>
  <c r="N397" i="9"/>
  <c r="O397" i="9"/>
  <c r="P397" i="9" s="1"/>
  <c r="M397" i="9"/>
  <c r="L397" i="9"/>
  <c r="K397" i="9"/>
  <c r="U393" i="9"/>
  <c r="T393" i="9"/>
  <c r="V393" i="9" s="1"/>
  <c r="O393" i="9"/>
  <c r="P393" i="9" s="1"/>
  <c r="N393" i="9"/>
  <c r="M393" i="9"/>
  <c r="L393" i="9"/>
  <c r="K393" i="9"/>
  <c r="U389" i="9"/>
  <c r="T389" i="9"/>
  <c r="V389" i="9" s="1"/>
  <c r="N389" i="9"/>
  <c r="O389" i="9"/>
  <c r="P389" i="9" s="1"/>
  <c r="M389" i="9"/>
  <c r="L389" i="9"/>
  <c r="K389" i="9"/>
  <c r="U385" i="9"/>
  <c r="T385" i="9"/>
  <c r="V385" i="9" s="1"/>
  <c r="O385" i="9"/>
  <c r="P385" i="9" s="1"/>
  <c r="N385" i="9"/>
  <c r="M385" i="9"/>
  <c r="L385" i="9"/>
  <c r="K385" i="9"/>
  <c r="U381" i="9"/>
  <c r="T381" i="9"/>
  <c r="V381" i="9" s="1"/>
  <c r="N381" i="9"/>
  <c r="O381" i="9"/>
  <c r="P381" i="9" s="1"/>
  <c r="M381" i="9"/>
  <c r="L381" i="9"/>
  <c r="K381" i="9"/>
  <c r="T377" i="9"/>
  <c r="V377" i="9" s="1"/>
  <c r="O377" i="9"/>
  <c r="P377" i="9" s="1"/>
  <c r="U377" i="9"/>
  <c r="N377" i="9"/>
  <c r="M377" i="9"/>
  <c r="L377" i="9"/>
  <c r="K377" i="9"/>
  <c r="U373" i="9"/>
  <c r="T373" i="9"/>
  <c r="V373" i="9" s="1"/>
  <c r="N373" i="9"/>
  <c r="O373" i="9"/>
  <c r="P373" i="9" s="1"/>
  <c r="M373" i="9"/>
  <c r="L373" i="9"/>
  <c r="K373" i="9"/>
  <c r="U369" i="9"/>
  <c r="T369" i="9"/>
  <c r="V369" i="9" s="1"/>
  <c r="O369" i="9"/>
  <c r="P369" i="9" s="1"/>
  <c r="N369" i="9"/>
  <c r="M369" i="9"/>
  <c r="L369" i="9"/>
  <c r="K369" i="9"/>
  <c r="U365" i="9"/>
  <c r="T365" i="9"/>
  <c r="V365" i="9" s="1"/>
  <c r="N365" i="9"/>
  <c r="O365" i="9"/>
  <c r="P365" i="9" s="1"/>
  <c r="M365" i="9"/>
  <c r="L365" i="9"/>
  <c r="K365" i="9"/>
  <c r="U361" i="9"/>
  <c r="T361" i="9"/>
  <c r="V361" i="9" s="1"/>
  <c r="O361" i="9"/>
  <c r="P361" i="9" s="1"/>
  <c r="N361" i="9"/>
  <c r="M361" i="9"/>
  <c r="L361" i="9"/>
  <c r="K361" i="9"/>
  <c r="U357" i="9"/>
  <c r="T357" i="9"/>
  <c r="V357" i="9" s="1"/>
  <c r="N357" i="9"/>
  <c r="O357" i="9"/>
  <c r="P357" i="9" s="1"/>
  <c r="M357" i="9"/>
  <c r="L357" i="9"/>
  <c r="K357" i="9"/>
  <c r="U353" i="9"/>
  <c r="T353" i="9"/>
  <c r="V353" i="9" s="1"/>
  <c r="O353" i="9"/>
  <c r="P353" i="9" s="1"/>
  <c r="N353" i="9"/>
  <c r="M353" i="9"/>
  <c r="L353" i="9"/>
  <c r="K353" i="9"/>
  <c r="U349" i="9"/>
  <c r="T349" i="9"/>
  <c r="V349" i="9" s="1"/>
  <c r="N349" i="9"/>
  <c r="O349" i="9"/>
  <c r="P349" i="9" s="1"/>
  <c r="M349" i="9"/>
  <c r="L349" i="9"/>
  <c r="K349" i="9"/>
  <c r="T345" i="9"/>
  <c r="V345" i="9" s="1"/>
  <c r="U345" i="9"/>
  <c r="O345" i="9"/>
  <c r="P345" i="9" s="1"/>
  <c r="N345" i="9"/>
  <c r="M345" i="9"/>
  <c r="L345" i="9"/>
  <c r="K345" i="9"/>
  <c r="U341" i="9"/>
  <c r="T341" i="9"/>
  <c r="V341" i="9" s="1"/>
  <c r="N341" i="9"/>
  <c r="O341" i="9"/>
  <c r="P341" i="9" s="1"/>
  <c r="M341" i="9"/>
  <c r="L341" i="9"/>
  <c r="K341" i="9"/>
  <c r="U337" i="9"/>
  <c r="T337" i="9"/>
  <c r="V337" i="9" s="1"/>
  <c r="O337" i="9"/>
  <c r="P337" i="9" s="1"/>
  <c r="N337" i="9"/>
  <c r="M337" i="9"/>
  <c r="L337" i="9"/>
  <c r="K337" i="9"/>
  <c r="U333" i="9"/>
  <c r="T333" i="9"/>
  <c r="V333" i="9" s="1"/>
  <c r="N333" i="9"/>
  <c r="O333" i="9"/>
  <c r="P333" i="9" s="1"/>
  <c r="M333" i="9"/>
  <c r="L333" i="9"/>
  <c r="K333" i="9"/>
  <c r="U329" i="9"/>
  <c r="T329" i="9"/>
  <c r="V329" i="9" s="1"/>
  <c r="O329" i="9"/>
  <c r="P329" i="9" s="1"/>
  <c r="N329" i="9"/>
  <c r="M329" i="9"/>
  <c r="L329" i="9"/>
  <c r="K329" i="9"/>
  <c r="U325" i="9"/>
  <c r="T325" i="9"/>
  <c r="V325" i="9" s="1"/>
  <c r="N325" i="9"/>
  <c r="O325" i="9"/>
  <c r="P325" i="9" s="1"/>
  <c r="M325" i="9"/>
  <c r="L325" i="9"/>
  <c r="K325" i="9"/>
  <c r="U321" i="9"/>
  <c r="T321" i="9"/>
  <c r="V321" i="9" s="1"/>
  <c r="O321" i="9"/>
  <c r="P321" i="9" s="1"/>
  <c r="N321" i="9"/>
  <c r="M321" i="9"/>
  <c r="L321" i="9"/>
  <c r="K321" i="9"/>
  <c r="U317" i="9"/>
  <c r="T317" i="9"/>
  <c r="V317" i="9" s="1"/>
  <c r="N317" i="9"/>
  <c r="O317" i="9"/>
  <c r="P317" i="9" s="1"/>
  <c r="M317" i="9"/>
  <c r="L317" i="9"/>
  <c r="K317" i="9"/>
  <c r="T313" i="9"/>
  <c r="V313" i="9" s="1"/>
  <c r="O313" i="9"/>
  <c r="P313" i="9" s="1"/>
  <c r="U313" i="9"/>
  <c r="N313" i="9"/>
  <c r="M313" i="9"/>
  <c r="L313" i="9"/>
  <c r="K313" i="9"/>
  <c r="U309" i="9"/>
  <c r="T309" i="9"/>
  <c r="V309" i="9" s="1"/>
  <c r="N309" i="9"/>
  <c r="O309" i="9"/>
  <c r="P309" i="9" s="1"/>
  <c r="M309" i="9"/>
  <c r="L309" i="9"/>
  <c r="K309" i="9"/>
  <c r="U305" i="9"/>
  <c r="T305" i="9"/>
  <c r="V305" i="9" s="1"/>
  <c r="O305" i="9"/>
  <c r="P305" i="9" s="1"/>
  <c r="N305" i="9"/>
  <c r="M305" i="9"/>
  <c r="L305" i="9"/>
  <c r="K305" i="9"/>
  <c r="U301" i="9"/>
  <c r="T301" i="9"/>
  <c r="V301" i="9" s="1"/>
  <c r="N301" i="9"/>
  <c r="O301" i="9"/>
  <c r="P301" i="9" s="1"/>
  <c r="M301" i="9"/>
  <c r="L301" i="9"/>
  <c r="K301" i="9"/>
  <c r="U297" i="9"/>
  <c r="T297" i="9"/>
  <c r="V297" i="9" s="1"/>
  <c r="O297" i="9"/>
  <c r="P297" i="9" s="1"/>
  <c r="N297" i="9"/>
  <c r="M297" i="9"/>
  <c r="L297" i="9"/>
  <c r="K297" i="9"/>
  <c r="U293" i="9"/>
  <c r="T293" i="9"/>
  <c r="V293" i="9" s="1"/>
  <c r="N293" i="9"/>
  <c r="O293" i="9"/>
  <c r="P293" i="9" s="1"/>
  <c r="M293" i="9"/>
  <c r="L293" i="9"/>
  <c r="K293" i="9"/>
  <c r="U289" i="9"/>
  <c r="T289" i="9"/>
  <c r="V289" i="9" s="1"/>
  <c r="O289" i="9"/>
  <c r="P289" i="9" s="1"/>
  <c r="N289" i="9"/>
  <c r="M289" i="9"/>
  <c r="L289" i="9"/>
  <c r="K289" i="9"/>
  <c r="U285" i="9"/>
  <c r="T285" i="9"/>
  <c r="V285" i="9" s="1"/>
  <c r="N285" i="9"/>
  <c r="O285" i="9"/>
  <c r="P285" i="9" s="1"/>
  <c r="M285" i="9"/>
  <c r="L285" i="9"/>
  <c r="K285" i="9"/>
  <c r="T281" i="9"/>
  <c r="V281" i="9" s="1"/>
  <c r="U281" i="9"/>
  <c r="O281" i="9"/>
  <c r="P281" i="9" s="1"/>
  <c r="N281" i="9"/>
  <c r="M281" i="9"/>
  <c r="L281" i="9"/>
  <c r="K281" i="9"/>
  <c r="U277" i="9"/>
  <c r="T277" i="9"/>
  <c r="V277" i="9" s="1"/>
  <c r="N277" i="9"/>
  <c r="O277" i="9"/>
  <c r="P277" i="9" s="1"/>
  <c r="M277" i="9"/>
  <c r="L277" i="9"/>
  <c r="K277" i="9"/>
  <c r="U273" i="9"/>
  <c r="T273" i="9"/>
  <c r="V273" i="9" s="1"/>
  <c r="O273" i="9"/>
  <c r="P273" i="9" s="1"/>
  <c r="N273" i="9"/>
  <c r="M273" i="9"/>
  <c r="L273" i="9"/>
  <c r="K273" i="9"/>
  <c r="U269" i="9"/>
  <c r="T269" i="9"/>
  <c r="V269" i="9" s="1"/>
  <c r="N269" i="9"/>
  <c r="O269" i="9"/>
  <c r="P269" i="9" s="1"/>
  <c r="M269" i="9"/>
  <c r="L269" i="9"/>
  <c r="K269" i="9"/>
  <c r="T265" i="9"/>
  <c r="V265" i="9" s="1"/>
  <c r="U265" i="9"/>
  <c r="O265" i="9"/>
  <c r="P265" i="9" s="1"/>
  <c r="N265" i="9"/>
  <c r="M265" i="9"/>
  <c r="L265" i="9"/>
  <c r="K265" i="9"/>
  <c r="U261" i="9"/>
  <c r="T261" i="9"/>
  <c r="V261" i="9" s="1"/>
  <c r="N261" i="9"/>
  <c r="O261" i="9"/>
  <c r="P261" i="9" s="1"/>
  <c r="M261" i="9"/>
  <c r="L261" i="9"/>
  <c r="K261" i="9"/>
  <c r="U257" i="9"/>
  <c r="T257" i="9"/>
  <c r="V257" i="9" s="1"/>
  <c r="O257" i="9"/>
  <c r="P257" i="9" s="1"/>
  <c r="N257" i="9"/>
  <c r="M257" i="9"/>
  <c r="L257" i="9"/>
  <c r="K257" i="9"/>
  <c r="U253" i="9"/>
  <c r="T253" i="9"/>
  <c r="V253" i="9" s="1"/>
  <c r="N253" i="9"/>
  <c r="O253" i="9"/>
  <c r="P253" i="9" s="1"/>
  <c r="M253" i="9"/>
  <c r="L253" i="9"/>
  <c r="K253" i="9"/>
  <c r="T249" i="9"/>
  <c r="V249" i="9" s="1"/>
  <c r="O249" i="9"/>
  <c r="P249" i="9" s="1"/>
  <c r="U249" i="9"/>
  <c r="N249" i="9"/>
  <c r="M249" i="9"/>
  <c r="L249" i="9"/>
  <c r="K249" i="9"/>
  <c r="U245" i="9"/>
  <c r="T245" i="9"/>
  <c r="V245" i="9" s="1"/>
  <c r="N245" i="9"/>
  <c r="O245" i="9"/>
  <c r="P245" i="9" s="1"/>
  <c r="M245" i="9"/>
  <c r="L245" i="9"/>
  <c r="K245" i="9"/>
  <c r="U241" i="9"/>
  <c r="T241" i="9"/>
  <c r="V241" i="9" s="1"/>
  <c r="O241" i="9"/>
  <c r="P241" i="9" s="1"/>
  <c r="N241" i="9"/>
  <c r="M241" i="9"/>
  <c r="L241" i="9"/>
  <c r="K241" i="9"/>
  <c r="U237" i="9"/>
  <c r="T237" i="9"/>
  <c r="V237" i="9" s="1"/>
  <c r="N237" i="9"/>
  <c r="O237" i="9"/>
  <c r="P237" i="9" s="1"/>
  <c r="M237" i="9"/>
  <c r="L237" i="9"/>
  <c r="K237" i="9"/>
  <c r="T233" i="9"/>
  <c r="V233" i="9" s="1"/>
  <c r="U233" i="9"/>
  <c r="O233" i="9"/>
  <c r="P233" i="9" s="1"/>
  <c r="N233" i="9"/>
  <c r="M233" i="9"/>
  <c r="L233" i="9"/>
  <c r="K233" i="9"/>
  <c r="U229" i="9"/>
  <c r="T229" i="9"/>
  <c r="V229" i="9" s="1"/>
  <c r="N229" i="9"/>
  <c r="O229" i="9"/>
  <c r="P229" i="9" s="1"/>
  <c r="M229" i="9"/>
  <c r="L229" i="9"/>
  <c r="K229" i="9"/>
  <c r="U225" i="9"/>
  <c r="T225" i="9"/>
  <c r="V225" i="9" s="1"/>
  <c r="O225" i="9"/>
  <c r="P225" i="9" s="1"/>
  <c r="N225" i="9"/>
  <c r="M225" i="9"/>
  <c r="L225" i="9"/>
  <c r="K225" i="9"/>
  <c r="U221" i="9"/>
  <c r="T221" i="9"/>
  <c r="V221" i="9" s="1"/>
  <c r="N221" i="9"/>
  <c r="O221" i="9"/>
  <c r="P221" i="9" s="1"/>
  <c r="M221" i="9"/>
  <c r="L221" i="9"/>
  <c r="K221" i="9"/>
  <c r="T217" i="9"/>
  <c r="V217" i="9" s="1"/>
  <c r="U217" i="9"/>
  <c r="O217" i="9"/>
  <c r="P217" i="9" s="1"/>
  <c r="N217" i="9"/>
  <c r="M217" i="9"/>
  <c r="L217" i="9"/>
  <c r="K217" i="9"/>
  <c r="U213" i="9"/>
  <c r="T213" i="9"/>
  <c r="V213" i="9" s="1"/>
  <c r="N213" i="9"/>
  <c r="O213" i="9"/>
  <c r="P213" i="9" s="1"/>
  <c r="M213" i="9"/>
  <c r="L213" i="9"/>
  <c r="K213" i="9"/>
  <c r="U209" i="9"/>
  <c r="T209" i="9"/>
  <c r="V209" i="9" s="1"/>
  <c r="O209" i="9"/>
  <c r="P209" i="9" s="1"/>
  <c r="N209" i="9"/>
  <c r="M209" i="9"/>
  <c r="L209" i="9"/>
  <c r="K209" i="9"/>
  <c r="U205" i="9"/>
  <c r="T205" i="9"/>
  <c r="V205" i="9" s="1"/>
  <c r="N205" i="9"/>
  <c r="O205" i="9"/>
  <c r="P205" i="9" s="1"/>
  <c r="M205" i="9"/>
  <c r="L205" i="9"/>
  <c r="K205" i="9"/>
  <c r="T201" i="9"/>
  <c r="V201" i="9" s="1"/>
  <c r="U201" i="9"/>
  <c r="O201" i="9"/>
  <c r="P201" i="9" s="1"/>
  <c r="N201" i="9"/>
  <c r="M201" i="9"/>
  <c r="L201" i="9"/>
  <c r="K201" i="9"/>
  <c r="U197" i="9"/>
  <c r="T197" i="9"/>
  <c r="V197" i="9" s="1"/>
  <c r="N197" i="9"/>
  <c r="O197" i="9"/>
  <c r="P197" i="9" s="1"/>
  <c r="M197" i="9"/>
  <c r="L197" i="9"/>
  <c r="K197" i="9"/>
  <c r="U193" i="9"/>
  <c r="T193" i="9"/>
  <c r="V193" i="9" s="1"/>
  <c r="O193" i="9"/>
  <c r="P193" i="9" s="1"/>
  <c r="N193" i="9"/>
  <c r="M193" i="9"/>
  <c r="L193" i="9"/>
  <c r="K193" i="9"/>
  <c r="U189" i="9"/>
  <c r="T189" i="9"/>
  <c r="V189" i="9" s="1"/>
  <c r="N189" i="9"/>
  <c r="O189" i="9"/>
  <c r="P189" i="9" s="1"/>
  <c r="M189" i="9"/>
  <c r="L189" i="9"/>
  <c r="K189" i="9"/>
  <c r="T185" i="9"/>
  <c r="V185" i="9" s="1"/>
  <c r="O185" i="9"/>
  <c r="P185" i="9" s="1"/>
  <c r="U185" i="9"/>
  <c r="N185" i="9"/>
  <c r="M185" i="9"/>
  <c r="L185" i="9"/>
  <c r="K185" i="9"/>
  <c r="U181" i="9"/>
  <c r="T181" i="9"/>
  <c r="V181" i="9" s="1"/>
  <c r="N181" i="9"/>
  <c r="O181" i="9"/>
  <c r="P181" i="9" s="1"/>
  <c r="M181" i="9"/>
  <c r="L181" i="9"/>
  <c r="K181" i="9"/>
  <c r="U177" i="9"/>
  <c r="T177" i="9"/>
  <c r="V177" i="9" s="1"/>
  <c r="O177" i="9"/>
  <c r="P177" i="9" s="1"/>
  <c r="N177" i="9"/>
  <c r="M177" i="9"/>
  <c r="L177" i="9"/>
  <c r="K177" i="9"/>
  <c r="U173" i="9"/>
  <c r="T173" i="9"/>
  <c r="V173" i="9" s="1"/>
  <c r="N173" i="9"/>
  <c r="O173" i="9"/>
  <c r="P173" i="9" s="1"/>
  <c r="M173" i="9"/>
  <c r="L173" i="9"/>
  <c r="K173" i="9"/>
  <c r="T169" i="9"/>
  <c r="V169" i="9" s="1"/>
  <c r="U169" i="9"/>
  <c r="O169" i="9"/>
  <c r="P169" i="9" s="1"/>
  <c r="N169" i="9"/>
  <c r="M169" i="9"/>
  <c r="L169" i="9"/>
  <c r="K169" i="9"/>
  <c r="U165" i="9"/>
  <c r="T165" i="9"/>
  <c r="V165" i="9" s="1"/>
  <c r="N165" i="9"/>
  <c r="O165" i="9"/>
  <c r="P165" i="9" s="1"/>
  <c r="M165" i="9"/>
  <c r="L165" i="9"/>
  <c r="K165" i="9"/>
  <c r="U161" i="9"/>
  <c r="T161" i="9"/>
  <c r="V161" i="9" s="1"/>
  <c r="O161" i="9"/>
  <c r="P161" i="9" s="1"/>
  <c r="N161" i="9"/>
  <c r="M161" i="9"/>
  <c r="L161" i="9"/>
  <c r="K161" i="9"/>
  <c r="U157" i="9"/>
  <c r="T157" i="9"/>
  <c r="V157" i="9" s="1"/>
  <c r="N157" i="9"/>
  <c r="O157" i="9"/>
  <c r="P157" i="9" s="1"/>
  <c r="M157" i="9"/>
  <c r="L157" i="9"/>
  <c r="K157" i="9"/>
  <c r="T153" i="9"/>
  <c r="V153" i="9" s="1"/>
  <c r="U153" i="9"/>
  <c r="O153" i="9"/>
  <c r="P153" i="9" s="1"/>
  <c r="N153" i="9"/>
  <c r="M153" i="9"/>
  <c r="L153" i="9"/>
  <c r="K153" i="9"/>
  <c r="U149" i="9"/>
  <c r="T149" i="9"/>
  <c r="V149" i="9" s="1"/>
  <c r="N149" i="9"/>
  <c r="O149" i="9"/>
  <c r="P149" i="9" s="1"/>
  <c r="M149" i="9"/>
  <c r="L149" i="9"/>
  <c r="K149" i="9"/>
  <c r="U145" i="9"/>
  <c r="T145" i="9"/>
  <c r="V145" i="9" s="1"/>
  <c r="O145" i="9"/>
  <c r="P145" i="9" s="1"/>
  <c r="N145" i="9"/>
  <c r="M145" i="9"/>
  <c r="L145" i="9"/>
  <c r="K145" i="9"/>
  <c r="U141" i="9"/>
  <c r="T141" i="9"/>
  <c r="V141" i="9" s="1"/>
  <c r="N141" i="9"/>
  <c r="O141" i="9"/>
  <c r="P141" i="9" s="1"/>
  <c r="M141" i="9"/>
  <c r="L141" i="9"/>
  <c r="K141" i="9"/>
  <c r="T137" i="9"/>
  <c r="V137" i="9" s="1"/>
  <c r="U137" i="9"/>
  <c r="O137" i="9"/>
  <c r="P137" i="9" s="1"/>
  <c r="N137" i="9"/>
  <c r="M137" i="9"/>
  <c r="L137" i="9"/>
  <c r="K137" i="9"/>
  <c r="U133" i="9"/>
  <c r="T133" i="9"/>
  <c r="V133" i="9" s="1"/>
  <c r="N133" i="9"/>
  <c r="O133" i="9"/>
  <c r="P133" i="9" s="1"/>
  <c r="M133" i="9"/>
  <c r="L133" i="9"/>
  <c r="K133" i="9"/>
  <c r="U129" i="9"/>
  <c r="T129" i="9"/>
  <c r="V129" i="9" s="1"/>
  <c r="O129" i="9"/>
  <c r="P129" i="9" s="1"/>
  <c r="N129" i="9"/>
  <c r="M129" i="9"/>
  <c r="L129" i="9"/>
  <c r="K129" i="9"/>
  <c r="U125" i="9"/>
  <c r="T125" i="9"/>
  <c r="V125" i="9" s="1"/>
  <c r="N125" i="9"/>
  <c r="O125" i="9"/>
  <c r="P125" i="9" s="1"/>
  <c r="M125" i="9"/>
  <c r="L125" i="9"/>
  <c r="K125" i="9"/>
  <c r="T121" i="9"/>
  <c r="V121" i="9" s="1"/>
  <c r="O121" i="9"/>
  <c r="P121" i="9" s="1"/>
  <c r="U121" i="9"/>
  <c r="N121" i="9"/>
  <c r="M121" i="9"/>
  <c r="L121" i="9"/>
  <c r="K121" i="9"/>
  <c r="U117" i="9"/>
  <c r="T117" i="9"/>
  <c r="V117" i="9" s="1"/>
  <c r="N117" i="9"/>
  <c r="O117" i="9"/>
  <c r="P117" i="9" s="1"/>
  <c r="M117" i="9"/>
  <c r="L117" i="9"/>
  <c r="K117" i="9"/>
  <c r="U113" i="9"/>
  <c r="T113" i="9"/>
  <c r="V113" i="9" s="1"/>
  <c r="O113" i="9"/>
  <c r="P113" i="9" s="1"/>
  <c r="N113" i="9"/>
  <c r="M113" i="9"/>
  <c r="L113" i="9"/>
  <c r="K113" i="9"/>
  <c r="U109" i="9"/>
  <c r="T109" i="9"/>
  <c r="V109" i="9" s="1"/>
  <c r="N109" i="9"/>
  <c r="O109" i="9"/>
  <c r="P109" i="9" s="1"/>
  <c r="M109" i="9"/>
  <c r="L109" i="9"/>
  <c r="K109" i="9"/>
  <c r="T105" i="9"/>
  <c r="V105" i="9" s="1"/>
  <c r="U105" i="9"/>
  <c r="O105" i="9"/>
  <c r="P105" i="9" s="1"/>
  <c r="N105" i="9"/>
  <c r="M105" i="9"/>
  <c r="L105" i="9"/>
  <c r="K105" i="9"/>
  <c r="U101" i="9"/>
  <c r="T101" i="9"/>
  <c r="V101" i="9" s="1"/>
  <c r="N101" i="9"/>
  <c r="O101" i="9"/>
  <c r="P101" i="9" s="1"/>
  <c r="M101" i="9"/>
  <c r="L101" i="9"/>
  <c r="K101" i="9"/>
  <c r="U97" i="9"/>
  <c r="T97" i="9"/>
  <c r="V97" i="9" s="1"/>
  <c r="O97" i="9"/>
  <c r="P97" i="9" s="1"/>
  <c r="N97" i="9"/>
  <c r="M97" i="9"/>
  <c r="L97" i="9"/>
  <c r="K97" i="9"/>
  <c r="U93" i="9"/>
  <c r="T93" i="9"/>
  <c r="V93" i="9" s="1"/>
  <c r="N93" i="9"/>
  <c r="O93" i="9"/>
  <c r="P93" i="9" s="1"/>
  <c r="M93" i="9"/>
  <c r="L93" i="9"/>
  <c r="K93" i="9"/>
  <c r="T89" i="9"/>
  <c r="V89" i="9" s="1"/>
  <c r="U89" i="9"/>
  <c r="O89" i="9"/>
  <c r="P89" i="9" s="1"/>
  <c r="N89" i="9"/>
  <c r="M89" i="9"/>
  <c r="L89" i="9"/>
  <c r="K89" i="9"/>
  <c r="U85" i="9"/>
  <c r="T85" i="9"/>
  <c r="V85" i="9" s="1"/>
  <c r="N85" i="9"/>
  <c r="O85" i="9"/>
  <c r="P85" i="9" s="1"/>
  <c r="M85" i="9"/>
  <c r="L85" i="9"/>
  <c r="K85" i="9"/>
  <c r="U81" i="9"/>
  <c r="T81" i="9"/>
  <c r="V81" i="9" s="1"/>
  <c r="O81" i="9"/>
  <c r="P81" i="9" s="1"/>
  <c r="N81" i="9"/>
  <c r="M81" i="9"/>
  <c r="L81" i="9"/>
  <c r="K81" i="9"/>
  <c r="U77" i="9"/>
  <c r="T77" i="9"/>
  <c r="V77" i="9" s="1"/>
  <c r="N77" i="9"/>
  <c r="O77" i="9"/>
  <c r="P77" i="9" s="1"/>
  <c r="M77" i="9"/>
  <c r="L77" i="9"/>
  <c r="K77" i="9"/>
  <c r="T73" i="9"/>
  <c r="V73" i="9" s="1"/>
  <c r="U73" i="9"/>
  <c r="O73" i="9"/>
  <c r="P73" i="9" s="1"/>
  <c r="N73" i="9"/>
  <c r="M73" i="9"/>
  <c r="L73" i="9"/>
  <c r="K73" i="9"/>
  <c r="U69" i="9"/>
  <c r="T69" i="9"/>
  <c r="V69" i="9" s="1"/>
  <c r="N69" i="9"/>
  <c r="O69" i="9"/>
  <c r="P69" i="9" s="1"/>
  <c r="M69" i="9"/>
  <c r="L69" i="9"/>
  <c r="K69" i="9"/>
  <c r="U65" i="9"/>
  <c r="T65" i="9"/>
  <c r="V65" i="9" s="1"/>
  <c r="O65" i="9"/>
  <c r="P65" i="9" s="1"/>
  <c r="N65" i="9"/>
  <c r="M65" i="9"/>
  <c r="L65" i="9"/>
  <c r="K65" i="9"/>
  <c r="U61" i="9"/>
  <c r="T61" i="9"/>
  <c r="V61" i="9" s="1"/>
  <c r="N61" i="9"/>
  <c r="O61" i="9"/>
  <c r="P61" i="9" s="1"/>
  <c r="M61" i="9"/>
  <c r="L61" i="9"/>
  <c r="K61" i="9"/>
  <c r="T57" i="9"/>
  <c r="V57" i="9" s="1"/>
  <c r="O57" i="9"/>
  <c r="P57" i="9" s="1"/>
  <c r="U57" i="9"/>
  <c r="N57" i="9"/>
  <c r="M57" i="9"/>
  <c r="L57" i="9"/>
  <c r="K57" i="9"/>
  <c r="U53" i="9"/>
  <c r="T53" i="9"/>
  <c r="V53" i="9" s="1"/>
  <c r="N53" i="9"/>
  <c r="O53" i="9"/>
  <c r="P53" i="9" s="1"/>
  <c r="M53" i="9"/>
  <c r="L53" i="9"/>
  <c r="K53" i="9"/>
  <c r="U49" i="9"/>
  <c r="T49" i="9"/>
  <c r="V49" i="9" s="1"/>
  <c r="O49" i="9"/>
  <c r="P49" i="9" s="1"/>
  <c r="N49" i="9"/>
  <c r="M49" i="9"/>
  <c r="L49" i="9"/>
  <c r="K49" i="9"/>
  <c r="U45" i="9"/>
  <c r="T45" i="9"/>
  <c r="V45" i="9" s="1"/>
  <c r="N45" i="9"/>
  <c r="O45" i="9"/>
  <c r="P45" i="9" s="1"/>
  <c r="M45" i="9"/>
  <c r="L45" i="9"/>
  <c r="K45" i="9"/>
  <c r="T41" i="9"/>
  <c r="V41" i="9" s="1"/>
  <c r="U41" i="9"/>
  <c r="O41" i="9"/>
  <c r="P41" i="9" s="1"/>
  <c r="N41" i="9"/>
  <c r="M41" i="9"/>
  <c r="L41" i="9"/>
  <c r="K41" i="9"/>
  <c r="U37" i="9"/>
  <c r="T37" i="9"/>
  <c r="V37" i="9" s="1"/>
  <c r="N37" i="9"/>
  <c r="O37" i="9"/>
  <c r="P37" i="9" s="1"/>
  <c r="M37" i="9"/>
  <c r="L37" i="9"/>
  <c r="K37" i="9"/>
  <c r="U33" i="9"/>
  <c r="T33" i="9"/>
  <c r="V33" i="9" s="1"/>
  <c r="O33" i="9"/>
  <c r="P33" i="9" s="1"/>
  <c r="N33" i="9"/>
  <c r="M33" i="9"/>
  <c r="L33" i="9"/>
  <c r="K33" i="9"/>
  <c r="U29" i="9"/>
  <c r="T29" i="9"/>
  <c r="V29" i="9" s="1"/>
  <c r="N29" i="9"/>
  <c r="O29" i="9"/>
  <c r="P29" i="9" s="1"/>
  <c r="M29" i="9"/>
  <c r="L29" i="9"/>
  <c r="K29" i="9"/>
  <c r="T25" i="9"/>
  <c r="V25" i="9" s="1"/>
  <c r="U25" i="9"/>
  <c r="O25" i="9"/>
  <c r="P25" i="9" s="1"/>
  <c r="N25" i="9"/>
  <c r="M25" i="9"/>
  <c r="K25" i="9"/>
  <c r="L25" i="9"/>
  <c r="U21" i="9"/>
  <c r="T21" i="9"/>
  <c r="V21" i="9" s="1"/>
  <c r="N21" i="9"/>
  <c r="O21" i="9"/>
  <c r="P21" i="9" s="1"/>
  <c r="K21" i="9"/>
  <c r="M21" i="9"/>
  <c r="L21" i="9"/>
  <c r="U17" i="9"/>
  <c r="T17" i="9"/>
  <c r="V17" i="9" s="1"/>
  <c r="O17" i="9"/>
  <c r="P17" i="9" s="1"/>
  <c r="N17" i="9"/>
  <c r="K17" i="9"/>
  <c r="M17" i="9"/>
  <c r="L17" i="9"/>
  <c r="U13" i="9"/>
  <c r="T13" i="9"/>
  <c r="V13" i="9" s="1"/>
  <c r="N13" i="9"/>
  <c r="K13" i="9"/>
  <c r="O13" i="9"/>
  <c r="P13" i="9" s="1"/>
  <c r="M13" i="9"/>
  <c r="L13" i="9"/>
  <c r="T9" i="9"/>
  <c r="V9" i="9" s="1"/>
  <c r="U9" i="9"/>
  <c r="N9" i="9"/>
  <c r="O9" i="9"/>
  <c r="P9" i="9" s="1"/>
  <c r="M9" i="9"/>
  <c r="K9" i="9"/>
  <c r="L9" i="9"/>
  <c r="U5" i="9"/>
  <c r="T5" i="9"/>
  <c r="V5" i="9" s="1"/>
  <c r="N5" i="9"/>
  <c r="O5" i="9"/>
  <c r="P5" i="9" s="1"/>
  <c r="M5" i="9"/>
  <c r="K5" i="9"/>
  <c r="L5" i="9"/>
  <c r="U15" i="9"/>
  <c r="O15" i="9"/>
  <c r="P15" i="9" s="1"/>
  <c r="N15" i="9"/>
  <c r="T15" i="9"/>
  <c r="V15" i="9" s="1"/>
  <c r="M15" i="9"/>
  <c r="L15" i="9"/>
  <c r="K15" i="9"/>
  <c r="G2502" i="9"/>
  <c r="H2502" i="9"/>
  <c r="F2502" i="9"/>
  <c r="D2502" i="9"/>
  <c r="I2502" i="9"/>
  <c r="E2502" i="9"/>
  <c r="B2502" i="9"/>
  <c r="C2502" i="9"/>
  <c r="G2498" i="9"/>
  <c r="H2498" i="9"/>
  <c r="I2498" i="9"/>
  <c r="F2498" i="9"/>
  <c r="D2498" i="9"/>
  <c r="E2498" i="9"/>
  <c r="B2498" i="9"/>
  <c r="C2498" i="9"/>
  <c r="G2494" i="9"/>
  <c r="H2494" i="9"/>
  <c r="F2494" i="9"/>
  <c r="D2494" i="9"/>
  <c r="I2494" i="9"/>
  <c r="E2494" i="9"/>
  <c r="B2494" i="9"/>
  <c r="C2494" i="9"/>
  <c r="G2490" i="9"/>
  <c r="H2490" i="9"/>
  <c r="F2490" i="9"/>
  <c r="D2490" i="9"/>
  <c r="I2490" i="9"/>
  <c r="E2490" i="9"/>
  <c r="B2490" i="9"/>
  <c r="C2490" i="9"/>
  <c r="G2486" i="9"/>
  <c r="H2486" i="9"/>
  <c r="F2486" i="9"/>
  <c r="D2486" i="9"/>
  <c r="I2486" i="9"/>
  <c r="E2486" i="9"/>
  <c r="B2486" i="9"/>
  <c r="C2486" i="9"/>
  <c r="G2482" i="9"/>
  <c r="H2482" i="9"/>
  <c r="I2482" i="9"/>
  <c r="F2482" i="9"/>
  <c r="D2482" i="9"/>
  <c r="E2482" i="9"/>
  <c r="B2482" i="9"/>
  <c r="C2482" i="9"/>
  <c r="G2478" i="9"/>
  <c r="H2478" i="9"/>
  <c r="F2478" i="9"/>
  <c r="D2478" i="9"/>
  <c r="I2478" i="9"/>
  <c r="E2478" i="9"/>
  <c r="B2478" i="9"/>
  <c r="C2478" i="9"/>
  <c r="G2474" i="9"/>
  <c r="H2474" i="9"/>
  <c r="F2474" i="9"/>
  <c r="D2474" i="9"/>
  <c r="I2474" i="9"/>
  <c r="E2474" i="9"/>
  <c r="B2474" i="9"/>
  <c r="C2474" i="9"/>
  <c r="G2470" i="9"/>
  <c r="H2470" i="9"/>
  <c r="F2470" i="9"/>
  <c r="D2470" i="9"/>
  <c r="I2470" i="9"/>
  <c r="E2470" i="9"/>
  <c r="B2470" i="9"/>
  <c r="C2470" i="9"/>
  <c r="G2466" i="9"/>
  <c r="H2466" i="9"/>
  <c r="I2466" i="9"/>
  <c r="F2466" i="9"/>
  <c r="D2466" i="9"/>
  <c r="E2466" i="9"/>
  <c r="B2466" i="9"/>
  <c r="C2466" i="9"/>
  <c r="G2462" i="9"/>
  <c r="H2462" i="9"/>
  <c r="F2462" i="9"/>
  <c r="D2462" i="9"/>
  <c r="I2462" i="9"/>
  <c r="E2462" i="9"/>
  <c r="B2462" i="9"/>
  <c r="C2462" i="9"/>
  <c r="G2458" i="9"/>
  <c r="H2458" i="9"/>
  <c r="F2458" i="9"/>
  <c r="D2458" i="9"/>
  <c r="I2458" i="9"/>
  <c r="E2458" i="9"/>
  <c r="B2458" i="9"/>
  <c r="C2458" i="9"/>
  <c r="G2454" i="9"/>
  <c r="H2454" i="9"/>
  <c r="F2454" i="9"/>
  <c r="D2454" i="9"/>
  <c r="I2454" i="9"/>
  <c r="E2454" i="9"/>
  <c r="B2454" i="9"/>
  <c r="C2454" i="9"/>
  <c r="G2450" i="9"/>
  <c r="H2450" i="9"/>
  <c r="I2450" i="9"/>
  <c r="F2450" i="9"/>
  <c r="D2450" i="9"/>
  <c r="E2450" i="9"/>
  <c r="B2450" i="9"/>
  <c r="C2450" i="9"/>
  <c r="G2446" i="9"/>
  <c r="H2446" i="9"/>
  <c r="F2446" i="9"/>
  <c r="D2446" i="9"/>
  <c r="I2446" i="9"/>
  <c r="E2446" i="9"/>
  <c r="B2446" i="9"/>
  <c r="C2446" i="9"/>
  <c r="G2442" i="9"/>
  <c r="H2442" i="9"/>
  <c r="F2442" i="9"/>
  <c r="D2442" i="9"/>
  <c r="I2442" i="9"/>
  <c r="E2442" i="9"/>
  <c r="B2442" i="9"/>
  <c r="C2442" i="9"/>
  <c r="G2438" i="9"/>
  <c r="H2438" i="9"/>
  <c r="F2438" i="9"/>
  <c r="D2438" i="9"/>
  <c r="I2438" i="9"/>
  <c r="E2438" i="9"/>
  <c r="B2438" i="9"/>
  <c r="C2438" i="9"/>
  <c r="G2434" i="9"/>
  <c r="H2434" i="9"/>
  <c r="I2434" i="9"/>
  <c r="F2434" i="9"/>
  <c r="D2434" i="9"/>
  <c r="E2434" i="9"/>
  <c r="B2434" i="9"/>
  <c r="C2434" i="9"/>
  <c r="G2430" i="9"/>
  <c r="H2430" i="9"/>
  <c r="F2430" i="9"/>
  <c r="D2430" i="9"/>
  <c r="I2430" i="9"/>
  <c r="E2430" i="9"/>
  <c r="B2430" i="9"/>
  <c r="C2430" i="9"/>
  <c r="G2426" i="9"/>
  <c r="H2426" i="9"/>
  <c r="F2426" i="9"/>
  <c r="D2426" i="9"/>
  <c r="I2426" i="9"/>
  <c r="E2426" i="9"/>
  <c r="B2426" i="9"/>
  <c r="C2426" i="9"/>
  <c r="G2422" i="9"/>
  <c r="H2422" i="9"/>
  <c r="F2422" i="9"/>
  <c r="D2422" i="9"/>
  <c r="I2422" i="9"/>
  <c r="E2422" i="9"/>
  <c r="B2422" i="9"/>
  <c r="C2422" i="9"/>
  <c r="G2418" i="9"/>
  <c r="H2418" i="9"/>
  <c r="I2418" i="9"/>
  <c r="F2418" i="9"/>
  <c r="D2418" i="9"/>
  <c r="E2418" i="9"/>
  <c r="B2418" i="9"/>
  <c r="C2418" i="9"/>
  <c r="G2414" i="9"/>
  <c r="H2414" i="9"/>
  <c r="F2414" i="9"/>
  <c r="D2414" i="9"/>
  <c r="I2414" i="9"/>
  <c r="E2414" i="9"/>
  <c r="B2414" i="9"/>
  <c r="C2414" i="9"/>
  <c r="G2410" i="9"/>
  <c r="H2410" i="9"/>
  <c r="F2410" i="9"/>
  <c r="D2410" i="9"/>
  <c r="I2410" i="9"/>
  <c r="E2410" i="9"/>
  <c r="B2410" i="9"/>
  <c r="C2410" i="9"/>
  <c r="G2406" i="9"/>
  <c r="H2406" i="9"/>
  <c r="F2406" i="9"/>
  <c r="D2406" i="9"/>
  <c r="I2406" i="9"/>
  <c r="E2406" i="9"/>
  <c r="B2406" i="9"/>
  <c r="C2406" i="9"/>
  <c r="G2402" i="9"/>
  <c r="H2402" i="9"/>
  <c r="I2402" i="9"/>
  <c r="F2402" i="9"/>
  <c r="D2402" i="9"/>
  <c r="E2402" i="9"/>
  <c r="B2402" i="9"/>
  <c r="C2402" i="9"/>
  <c r="G2398" i="9"/>
  <c r="H2398" i="9"/>
  <c r="F2398" i="9"/>
  <c r="D2398" i="9"/>
  <c r="I2398" i="9"/>
  <c r="E2398" i="9"/>
  <c r="B2398" i="9"/>
  <c r="C2398" i="9"/>
  <c r="G2394" i="9"/>
  <c r="H2394" i="9"/>
  <c r="F2394" i="9"/>
  <c r="D2394" i="9"/>
  <c r="I2394" i="9"/>
  <c r="E2394" i="9"/>
  <c r="B2394" i="9"/>
  <c r="C2394" i="9"/>
  <c r="G2390" i="9"/>
  <c r="H2390" i="9"/>
  <c r="F2390" i="9"/>
  <c r="D2390" i="9"/>
  <c r="I2390" i="9"/>
  <c r="E2390" i="9"/>
  <c r="B2390" i="9"/>
  <c r="C2390" i="9"/>
  <c r="G2386" i="9"/>
  <c r="H2386" i="9"/>
  <c r="I2386" i="9"/>
  <c r="F2386" i="9"/>
  <c r="D2386" i="9"/>
  <c r="E2386" i="9"/>
  <c r="B2386" i="9"/>
  <c r="C2386" i="9"/>
  <c r="G2382" i="9"/>
  <c r="H2382" i="9"/>
  <c r="F2382" i="9"/>
  <c r="D2382" i="9"/>
  <c r="I2382" i="9"/>
  <c r="E2382" i="9"/>
  <c r="B2382" i="9"/>
  <c r="C2382" i="9"/>
  <c r="G2378" i="9"/>
  <c r="H2378" i="9"/>
  <c r="F2378" i="9"/>
  <c r="D2378" i="9"/>
  <c r="I2378" i="9"/>
  <c r="E2378" i="9"/>
  <c r="B2378" i="9"/>
  <c r="C2378" i="9"/>
  <c r="G2374" i="9"/>
  <c r="H2374" i="9"/>
  <c r="F2374" i="9"/>
  <c r="D2374" i="9"/>
  <c r="I2374" i="9"/>
  <c r="E2374" i="9"/>
  <c r="B2374" i="9"/>
  <c r="C2374" i="9"/>
  <c r="G2370" i="9"/>
  <c r="H2370" i="9"/>
  <c r="I2370" i="9"/>
  <c r="F2370" i="9"/>
  <c r="D2370" i="9"/>
  <c r="E2370" i="9"/>
  <c r="B2370" i="9"/>
  <c r="C2370" i="9"/>
  <c r="G2366" i="9"/>
  <c r="H2366" i="9"/>
  <c r="F2366" i="9"/>
  <c r="D2366" i="9"/>
  <c r="I2366" i="9"/>
  <c r="E2366" i="9"/>
  <c r="B2366" i="9"/>
  <c r="C2366" i="9"/>
  <c r="G2362" i="9"/>
  <c r="H2362" i="9"/>
  <c r="F2362" i="9"/>
  <c r="D2362" i="9"/>
  <c r="I2362" i="9"/>
  <c r="E2362" i="9"/>
  <c r="B2362" i="9"/>
  <c r="C2362" i="9"/>
  <c r="G2358" i="9"/>
  <c r="H2358" i="9"/>
  <c r="F2358" i="9"/>
  <c r="D2358" i="9"/>
  <c r="I2358" i="9"/>
  <c r="E2358" i="9"/>
  <c r="B2358" i="9"/>
  <c r="C2358" i="9"/>
  <c r="G2354" i="9"/>
  <c r="H2354" i="9"/>
  <c r="I2354" i="9"/>
  <c r="F2354" i="9"/>
  <c r="D2354" i="9"/>
  <c r="E2354" i="9"/>
  <c r="B2354" i="9"/>
  <c r="C2354" i="9"/>
  <c r="G2350" i="9"/>
  <c r="H2350" i="9"/>
  <c r="F2350" i="9"/>
  <c r="D2350" i="9"/>
  <c r="I2350" i="9"/>
  <c r="E2350" i="9"/>
  <c r="B2350" i="9"/>
  <c r="C2350" i="9"/>
  <c r="G2346" i="9"/>
  <c r="H2346" i="9"/>
  <c r="F2346" i="9"/>
  <c r="D2346" i="9"/>
  <c r="I2346" i="9"/>
  <c r="E2346" i="9"/>
  <c r="B2346" i="9"/>
  <c r="C2346" i="9"/>
  <c r="G2342" i="9"/>
  <c r="H2342" i="9"/>
  <c r="F2342" i="9"/>
  <c r="D2342" i="9"/>
  <c r="I2342" i="9"/>
  <c r="E2342" i="9"/>
  <c r="B2342" i="9"/>
  <c r="C2342" i="9"/>
  <c r="G2338" i="9"/>
  <c r="H2338" i="9"/>
  <c r="I2338" i="9"/>
  <c r="F2338" i="9"/>
  <c r="D2338" i="9"/>
  <c r="E2338" i="9"/>
  <c r="B2338" i="9"/>
  <c r="C2338" i="9"/>
  <c r="G2334" i="9"/>
  <c r="H2334" i="9"/>
  <c r="F2334" i="9"/>
  <c r="D2334" i="9"/>
  <c r="I2334" i="9"/>
  <c r="E2334" i="9"/>
  <c r="B2334" i="9"/>
  <c r="C2334" i="9"/>
  <c r="G2330" i="9"/>
  <c r="H2330" i="9"/>
  <c r="F2330" i="9"/>
  <c r="D2330" i="9"/>
  <c r="I2330" i="9"/>
  <c r="E2330" i="9"/>
  <c r="B2330" i="9"/>
  <c r="C2330" i="9"/>
  <c r="G2326" i="9"/>
  <c r="H2326" i="9"/>
  <c r="F2326" i="9"/>
  <c r="D2326" i="9"/>
  <c r="I2326" i="9"/>
  <c r="E2326" i="9"/>
  <c r="B2326" i="9"/>
  <c r="C2326" i="9"/>
  <c r="G2322" i="9"/>
  <c r="H2322" i="9"/>
  <c r="I2322" i="9"/>
  <c r="F2322" i="9"/>
  <c r="D2322" i="9"/>
  <c r="E2322" i="9"/>
  <c r="B2322" i="9"/>
  <c r="C2322" i="9"/>
  <c r="G2318" i="9"/>
  <c r="H2318" i="9"/>
  <c r="F2318" i="9"/>
  <c r="D2318" i="9"/>
  <c r="I2318" i="9"/>
  <c r="E2318" i="9"/>
  <c r="B2318" i="9"/>
  <c r="C2318" i="9"/>
  <c r="G2314" i="9"/>
  <c r="H2314" i="9"/>
  <c r="F2314" i="9"/>
  <c r="D2314" i="9"/>
  <c r="I2314" i="9"/>
  <c r="E2314" i="9"/>
  <c r="B2314" i="9"/>
  <c r="C2314" i="9"/>
  <c r="G2310" i="9"/>
  <c r="H2310" i="9"/>
  <c r="F2310" i="9"/>
  <c r="D2310" i="9"/>
  <c r="I2310" i="9"/>
  <c r="E2310" i="9"/>
  <c r="B2310" i="9"/>
  <c r="C2310" i="9"/>
  <c r="G2306" i="9"/>
  <c r="H2306" i="9"/>
  <c r="I2306" i="9"/>
  <c r="F2306" i="9"/>
  <c r="D2306" i="9"/>
  <c r="E2306" i="9"/>
  <c r="B2306" i="9"/>
  <c r="C2306" i="9"/>
  <c r="G2302" i="9"/>
  <c r="H2302" i="9"/>
  <c r="F2302" i="9"/>
  <c r="D2302" i="9"/>
  <c r="I2302" i="9"/>
  <c r="E2302" i="9"/>
  <c r="B2302" i="9"/>
  <c r="C2302" i="9"/>
  <c r="G2298" i="9"/>
  <c r="H2298" i="9"/>
  <c r="F2298" i="9"/>
  <c r="D2298" i="9"/>
  <c r="I2298" i="9"/>
  <c r="E2298" i="9"/>
  <c r="B2298" i="9"/>
  <c r="C2298" i="9"/>
  <c r="G2294" i="9"/>
  <c r="H2294" i="9"/>
  <c r="F2294" i="9"/>
  <c r="D2294" i="9"/>
  <c r="I2294" i="9"/>
  <c r="E2294" i="9"/>
  <c r="B2294" i="9"/>
  <c r="C2294" i="9"/>
  <c r="G2290" i="9"/>
  <c r="H2290" i="9"/>
  <c r="I2290" i="9"/>
  <c r="F2290" i="9"/>
  <c r="D2290" i="9"/>
  <c r="E2290" i="9"/>
  <c r="B2290" i="9"/>
  <c r="C2290" i="9"/>
  <c r="G2286" i="9"/>
  <c r="H2286" i="9"/>
  <c r="F2286" i="9"/>
  <c r="D2286" i="9"/>
  <c r="I2286" i="9"/>
  <c r="E2286" i="9"/>
  <c r="B2286" i="9"/>
  <c r="C2286" i="9"/>
  <c r="G2282" i="9"/>
  <c r="H2282" i="9"/>
  <c r="F2282" i="9"/>
  <c r="D2282" i="9"/>
  <c r="I2282" i="9"/>
  <c r="E2282" i="9"/>
  <c r="B2282" i="9"/>
  <c r="C2282" i="9"/>
  <c r="G2278" i="9"/>
  <c r="H2278" i="9"/>
  <c r="F2278" i="9"/>
  <c r="D2278" i="9"/>
  <c r="I2278" i="9"/>
  <c r="E2278" i="9"/>
  <c r="B2278" i="9"/>
  <c r="C2278" i="9"/>
  <c r="G2274" i="9"/>
  <c r="H2274" i="9"/>
  <c r="I2274" i="9"/>
  <c r="F2274" i="9"/>
  <c r="D2274" i="9"/>
  <c r="E2274" i="9"/>
  <c r="B2274" i="9"/>
  <c r="C2274" i="9"/>
  <c r="G2270" i="9"/>
  <c r="H2270" i="9"/>
  <c r="F2270" i="9"/>
  <c r="D2270" i="9"/>
  <c r="I2270" i="9"/>
  <c r="E2270" i="9"/>
  <c r="B2270" i="9"/>
  <c r="C2270" i="9"/>
  <c r="G2266" i="9"/>
  <c r="H2266" i="9"/>
  <c r="F2266" i="9"/>
  <c r="D2266" i="9"/>
  <c r="I2266" i="9"/>
  <c r="E2266" i="9"/>
  <c r="B2266" i="9"/>
  <c r="C2266" i="9"/>
  <c r="G2262" i="9"/>
  <c r="H2262" i="9"/>
  <c r="F2262" i="9"/>
  <c r="D2262" i="9"/>
  <c r="I2262" i="9"/>
  <c r="E2262" i="9"/>
  <c r="B2262" i="9"/>
  <c r="C2262" i="9"/>
  <c r="G2258" i="9"/>
  <c r="H2258" i="9"/>
  <c r="I2258" i="9"/>
  <c r="F2258" i="9"/>
  <c r="D2258" i="9"/>
  <c r="E2258" i="9"/>
  <c r="B2258" i="9"/>
  <c r="C2258" i="9"/>
  <c r="G2254" i="9"/>
  <c r="H2254" i="9"/>
  <c r="F2254" i="9"/>
  <c r="D2254" i="9"/>
  <c r="I2254" i="9"/>
  <c r="E2254" i="9"/>
  <c r="B2254" i="9"/>
  <c r="C2254" i="9"/>
  <c r="G2250" i="9"/>
  <c r="H2250" i="9"/>
  <c r="F2250" i="9"/>
  <c r="D2250" i="9"/>
  <c r="I2250" i="9"/>
  <c r="E2250" i="9"/>
  <c r="B2250" i="9"/>
  <c r="C2250" i="9"/>
  <c r="G2246" i="9"/>
  <c r="H2246" i="9"/>
  <c r="F2246" i="9"/>
  <c r="D2246" i="9"/>
  <c r="I2246" i="9"/>
  <c r="E2246" i="9"/>
  <c r="B2246" i="9"/>
  <c r="C2246" i="9"/>
  <c r="G2242" i="9"/>
  <c r="H2242" i="9"/>
  <c r="I2242" i="9"/>
  <c r="F2242" i="9"/>
  <c r="D2242" i="9"/>
  <c r="E2242" i="9"/>
  <c r="B2242" i="9"/>
  <c r="C2242" i="9"/>
  <c r="G2238" i="9"/>
  <c r="H2238" i="9"/>
  <c r="F2238" i="9"/>
  <c r="D2238" i="9"/>
  <c r="I2238" i="9"/>
  <c r="E2238" i="9"/>
  <c r="B2238" i="9"/>
  <c r="C2238" i="9"/>
  <c r="G2234" i="9"/>
  <c r="H2234" i="9"/>
  <c r="F2234" i="9"/>
  <c r="D2234" i="9"/>
  <c r="I2234" i="9"/>
  <c r="E2234" i="9"/>
  <c r="B2234" i="9"/>
  <c r="C2234" i="9"/>
  <c r="G2230" i="9"/>
  <c r="H2230" i="9"/>
  <c r="F2230" i="9"/>
  <c r="D2230" i="9"/>
  <c r="I2230" i="9"/>
  <c r="E2230" i="9"/>
  <c r="B2230" i="9"/>
  <c r="C2230" i="9"/>
  <c r="G2226" i="9"/>
  <c r="H2226" i="9"/>
  <c r="I2226" i="9"/>
  <c r="F2226" i="9"/>
  <c r="D2226" i="9"/>
  <c r="E2226" i="9"/>
  <c r="B2226" i="9"/>
  <c r="C2226" i="9"/>
  <c r="G2222" i="9"/>
  <c r="H2222" i="9"/>
  <c r="F2222" i="9"/>
  <c r="D2222" i="9"/>
  <c r="I2222" i="9"/>
  <c r="E2222" i="9"/>
  <c r="B2222" i="9"/>
  <c r="C2222" i="9"/>
  <c r="G2218" i="9"/>
  <c r="H2218" i="9"/>
  <c r="F2218" i="9"/>
  <c r="D2218" i="9"/>
  <c r="I2218" i="9"/>
  <c r="E2218" i="9"/>
  <c r="B2218" i="9"/>
  <c r="C2218" i="9"/>
  <c r="G2214" i="9"/>
  <c r="H2214" i="9"/>
  <c r="F2214" i="9"/>
  <c r="D2214" i="9"/>
  <c r="I2214" i="9"/>
  <c r="E2214" i="9"/>
  <c r="B2214" i="9"/>
  <c r="C2214" i="9"/>
  <c r="G2210" i="9"/>
  <c r="H2210" i="9"/>
  <c r="I2210" i="9"/>
  <c r="F2210" i="9"/>
  <c r="D2210" i="9"/>
  <c r="E2210" i="9"/>
  <c r="B2210" i="9"/>
  <c r="C2210" i="9"/>
  <c r="G2206" i="9"/>
  <c r="H2206" i="9"/>
  <c r="F2206" i="9"/>
  <c r="D2206" i="9"/>
  <c r="I2206" i="9"/>
  <c r="E2206" i="9"/>
  <c r="B2206" i="9"/>
  <c r="C2206" i="9"/>
  <c r="G2202" i="9"/>
  <c r="H2202" i="9"/>
  <c r="F2202" i="9"/>
  <c r="D2202" i="9"/>
  <c r="I2202" i="9"/>
  <c r="E2202" i="9"/>
  <c r="B2202" i="9"/>
  <c r="C2202" i="9"/>
  <c r="G2198" i="9"/>
  <c r="H2198" i="9"/>
  <c r="F2198" i="9"/>
  <c r="D2198" i="9"/>
  <c r="I2198" i="9"/>
  <c r="E2198" i="9"/>
  <c r="B2198" i="9"/>
  <c r="C2198" i="9"/>
  <c r="G2194" i="9"/>
  <c r="H2194" i="9"/>
  <c r="I2194" i="9"/>
  <c r="F2194" i="9"/>
  <c r="D2194" i="9"/>
  <c r="E2194" i="9"/>
  <c r="B2194" i="9"/>
  <c r="C2194" i="9"/>
  <c r="G2190" i="9"/>
  <c r="H2190" i="9"/>
  <c r="F2190" i="9"/>
  <c r="D2190" i="9"/>
  <c r="I2190" i="9"/>
  <c r="E2190" i="9"/>
  <c r="B2190" i="9"/>
  <c r="C2190" i="9"/>
  <c r="G2186" i="9"/>
  <c r="H2186" i="9"/>
  <c r="F2186" i="9"/>
  <c r="D2186" i="9"/>
  <c r="I2186" i="9"/>
  <c r="E2186" i="9"/>
  <c r="B2186" i="9"/>
  <c r="C2186" i="9"/>
  <c r="G2182" i="9"/>
  <c r="H2182" i="9"/>
  <c r="F2182" i="9"/>
  <c r="D2182" i="9"/>
  <c r="I2182" i="9"/>
  <c r="E2182" i="9"/>
  <c r="B2182" i="9"/>
  <c r="C2182" i="9"/>
  <c r="G2178" i="9"/>
  <c r="H2178" i="9"/>
  <c r="I2178" i="9"/>
  <c r="F2178" i="9"/>
  <c r="D2178" i="9"/>
  <c r="E2178" i="9"/>
  <c r="B2178" i="9"/>
  <c r="C2178" i="9"/>
  <c r="G2174" i="9"/>
  <c r="H2174" i="9"/>
  <c r="F2174" i="9"/>
  <c r="D2174" i="9"/>
  <c r="I2174" i="9"/>
  <c r="E2174" i="9"/>
  <c r="B2174" i="9"/>
  <c r="C2174" i="9"/>
  <c r="G2170" i="9"/>
  <c r="H2170" i="9"/>
  <c r="F2170" i="9"/>
  <c r="D2170" i="9"/>
  <c r="I2170" i="9"/>
  <c r="E2170" i="9"/>
  <c r="B2170" i="9"/>
  <c r="C2170" i="9"/>
  <c r="G2166" i="9"/>
  <c r="H2166" i="9"/>
  <c r="F2166" i="9"/>
  <c r="D2166" i="9"/>
  <c r="I2166" i="9"/>
  <c r="E2166" i="9"/>
  <c r="B2166" i="9"/>
  <c r="C2166" i="9"/>
  <c r="G2162" i="9"/>
  <c r="H2162" i="9"/>
  <c r="I2162" i="9"/>
  <c r="F2162" i="9"/>
  <c r="D2162" i="9"/>
  <c r="E2162" i="9"/>
  <c r="B2162" i="9"/>
  <c r="C2162" i="9"/>
  <c r="G2158" i="9"/>
  <c r="H2158" i="9"/>
  <c r="F2158" i="9"/>
  <c r="D2158" i="9"/>
  <c r="I2158" i="9"/>
  <c r="E2158" i="9"/>
  <c r="B2158" i="9"/>
  <c r="C2158" i="9"/>
  <c r="G2154" i="9"/>
  <c r="H2154" i="9"/>
  <c r="F2154" i="9"/>
  <c r="D2154" i="9"/>
  <c r="I2154" i="9"/>
  <c r="E2154" i="9"/>
  <c r="B2154" i="9"/>
  <c r="C2154" i="9"/>
  <c r="G2150" i="9"/>
  <c r="H2150" i="9"/>
  <c r="F2150" i="9"/>
  <c r="D2150" i="9"/>
  <c r="I2150" i="9"/>
  <c r="E2150" i="9"/>
  <c r="B2150" i="9"/>
  <c r="C2150" i="9"/>
  <c r="G2146" i="9"/>
  <c r="H2146" i="9"/>
  <c r="I2146" i="9"/>
  <c r="F2146" i="9"/>
  <c r="D2146" i="9"/>
  <c r="E2146" i="9"/>
  <c r="B2146" i="9"/>
  <c r="C2146" i="9"/>
  <c r="G2142" i="9"/>
  <c r="H2142" i="9"/>
  <c r="F2142" i="9"/>
  <c r="D2142" i="9"/>
  <c r="I2142" i="9"/>
  <c r="E2142" i="9"/>
  <c r="B2142" i="9"/>
  <c r="C2142" i="9"/>
  <c r="G2138" i="9"/>
  <c r="H2138" i="9"/>
  <c r="F2138" i="9"/>
  <c r="D2138" i="9"/>
  <c r="I2138" i="9"/>
  <c r="E2138" i="9"/>
  <c r="B2138" i="9"/>
  <c r="C2138" i="9"/>
  <c r="G2134" i="9"/>
  <c r="H2134" i="9"/>
  <c r="F2134" i="9"/>
  <c r="D2134" i="9"/>
  <c r="I2134" i="9"/>
  <c r="E2134" i="9"/>
  <c r="B2134" i="9"/>
  <c r="C2134" i="9"/>
  <c r="G2130" i="9"/>
  <c r="H2130" i="9"/>
  <c r="I2130" i="9"/>
  <c r="F2130" i="9"/>
  <c r="D2130" i="9"/>
  <c r="E2130" i="9"/>
  <c r="B2130" i="9"/>
  <c r="C2130" i="9"/>
  <c r="G2126" i="9"/>
  <c r="H2126" i="9"/>
  <c r="F2126" i="9"/>
  <c r="D2126" i="9"/>
  <c r="I2126" i="9"/>
  <c r="E2126" i="9"/>
  <c r="B2126" i="9"/>
  <c r="C2126" i="9"/>
  <c r="G2122" i="9"/>
  <c r="H2122" i="9"/>
  <c r="F2122" i="9"/>
  <c r="D2122" i="9"/>
  <c r="I2122" i="9"/>
  <c r="E2122" i="9"/>
  <c r="B2122" i="9"/>
  <c r="C2122" i="9"/>
  <c r="G2118" i="9"/>
  <c r="H2118" i="9"/>
  <c r="F2118" i="9"/>
  <c r="D2118" i="9"/>
  <c r="I2118" i="9"/>
  <c r="E2118" i="9"/>
  <c r="B2118" i="9"/>
  <c r="C2118" i="9"/>
  <c r="G2114" i="9"/>
  <c r="H2114" i="9"/>
  <c r="I2114" i="9"/>
  <c r="F2114" i="9"/>
  <c r="D2114" i="9"/>
  <c r="E2114" i="9"/>
  <c r="B2114" i="9"/>
  <c r="C2114" i="9"/>
  <c r="G2110" i="9"/>
  <c r="H2110" i="9"/>
  <c r="F2110" i="9"/>
  <c r="D2110" i="9"/>
  <c r="I2110" i="9"/>
  <c r="E2110" i="9"/>
  <c r="B2110" i="9"/>
  <c r="C2110" i="9"/>
  <c r="G2106" i="9"/>
  <c r="H2106" i="9"/>
  <c r="F2106" i="9"/>
  <c r="D2106" i="9"/>
  <c r="I2106" i="9"/>
  <c r="E2106" i="9"/>
  <c r="B2106" i="9"/>
  <c r="C2106" i="9"/>
  <c r="G2102" i="9"/>
  <c r="H2102" i="9"/>
  <c r="F2102" i="9"/>
  <c r="D2102" i="9"/>
  <c r="I2102" i="9"/>
  <c r="E2102" i="9"/>
  <c r="B2102" i="9"/>
  <c r="C2102" i="9"/>
  <c r="G2098" i="9"/>
  <c r="H2098" i="9"/>
  <c r="I2098" i="9"/>
  <c r="F2098" i="9"/>
  <c r="D2098" i="9"/>
  <c r="E2098" i="9"/>
  <c r="B2098" i="9"/>
  <c r="C2098" i="9"/>
  <c r="G2094" i="9"/>
  <c r="H2094" i="9"/>
  <c r="F2094" i="9"/>
  <c r="D2094" i="9"/>
  <c r="I2094" i="9"/>
  <c r="E2094" i="9"/>
  <c r="B2094" i="9"/>
  <c r="C2094" i="9"/>
  <c r="G2090" i="9"/>
  <c r="H2090" i="9"/>
  <c r="F2090" i="9"/>
  <c r="D2090" i="9"/>
  <c r="I2090" i="9"/>
  <c r="E2090" i="9"/>
  <c r="B2090" i="9"/>
  <c r="C2090" i="9"/>
  <c r="G2086" i="9"/>
  <c r="H2086" i="9"/>
  <c r="F2086" i="9"/>
  <c r="D2086" i="9"/>
  <c r="I2086" i="9"/>
  <c r="E2086" i="9"/>
  <c r="B2086" i="9"/>
  <c r="C2086" i="9"/>
  <c r="G2082" i="9"/>
  <c r="H2082" i="9"/>
  <c r="I2082" i="9"/>
  <c r="F2082" i="9"/>
  <c r="D2082" i="9"/>
  <c r="E2082" i="9"/>
  <c r="B2082" i="9"/>
  <c r="C2082" i="9"/>
  <c r="G2078" i="9"/>
  <c r="H2078" i="9"/>
  <c r="F2078" i="9"/>
  <c r="D2078" i="9"/>
  <c r="I2078" i="9"/>
  <c r="E2078" i="9"/>
  <c r="B2078" i="9"/>
  <c r="C2078" i="9"/>
  <c r="G2074" i="9"/>
  <c r="H2074" i="9"/>
  <c r="F2074" i="9"/>
  <c r="D2074" i="9"/>
  <c r="I2074" i="9"/>
  <c r="E2074" i="9"/>
  <c r="B2074" i="9"/>
  <c r="C2074" i="9"/>
  <c r="G2070" i="9"/>
  <c r="H2070" i="9"/>
  <c r="F2070" i="9"/>
  <c r="D2070" i="9"/>
  <c r="I2070" i="9"/>
  <c r="E2070" i="9"/>
  <c r="B2070" i="9"/>
  <c r="C2070" i="9"/>
  <c r="G2066" i="9"/>
  <c r="H2066" i="9"/>
  <c r="I2066" i="9"/>
  <c r="F2066" i="9"/>
  <c r="D2066" i="9"/>
  <c r="E2066" i="9"/>
  <c r="B2066" i="9"/>
  <c r="C2066" i="9"/>
  <c r="G2062" i="9"/>
  <c r="H2062" i="9"/>
  <c r="F2062" i="9"/>
  <c r="D2062" i="9"/>
  <c r="I2062" i="9"/>
  <c r="E2062" i="9"/>
  <c r="B2062" i="9"/>
  <c r="C2062" i="9"/>
  <c r="G2058" i="9"/>
  <c r="H2058" i="9"/>
  <c r="F2058" i="9"/>
  <c r="D2058" i="9"/>
  <c r="I2058" i="9"/>
  <c r="E2058" i="9"/>
  <c r="B2058" i="9"/>
  <c r="C2058" i="9"/>
  <c r="G2054" i="9"/>
  <c r="H2054" i="9"/>
  <c r="F2054" i="9"/>
  <c r="D2054" i="9"/>
  <c r="I2054" i="9"/>
  <c r="E2054" i="9"/>
  <c r="B2054" i="9"/>
  <c r="C2054" i="9"/>
  <c r="G2050" i="9"/>
  <c r="H2050" i="9"/>
  <c r="I2050" i="9"/>
  <c r="F2050" i="9"/>
  <c r="D2050" i="9"/>
  <c r="E2050" i="9"/>
  <c r="B2050" i="9"/>
  <c r="C2050" i="9"/>
  <c r="G2046" i="9"/>
  <c r="H2046" i="9"/>
  <c r="F2046" i="9"/>
  <c r="D2046" i="9"/>
  <c r="I2046" i="9"/>
  <c r="E2046" i="9"/>
  <c r="B2046" i="9"/>
  <c r="C2046" i="9"/>
  <c r="G2042" i="9"/>
  <c r="H2042" i="9"/>
  <c r="F2042" i="9"/>
  <c r="D2042" i="9"/>
  <c r="I2042" i="9"/>
  <c r="E2042" i="9"/>
  <c r="B2042" i="9"/>
  <c r="C2042" i="9"/>
  <c r="G2038" i="9"/>
  <c r="H2038" i="9"/>
  <c r="F2038" i="9"/>
  <c r="D2038" i="9"/>
  <c r="I2038" i="9"/>
  <c r="E2038" i="9"/>
  <c r="B2038" i="9"/>
  <c r="C2038" i="9"/>
  <c r="G2034" i="9"/>
  <c r="H2034" i="9"/>
  <c r="I2034" i="9"/>
  <c r="F2034" i="9"/>
  <c r="D2034" i="9"/>
  <c r="E2034" i="9"/>
  <c r="B2034" i="9"/>
  <c r="C2034" i="9"/>
  <c r="G2030" i="9"/>
  <c r="H2030" i="9"/>
  <c r="F2030" i="9"/>
  <c r="D2030" i="9"/>
  <c r="I2030" i="9"/>
  <c r="E2030" i="9"/>
  <c r="B2030" i="9"/>
  <c r="C2030" i="9"/>
  <c r="G2026" i="9"/>
  <c r="H2026" i="9"/>
  <c r="F2026" i="9"/>
  <c r="D2026" i="9"/>
  <c r="I2026" i="9"/>
  <c r="E2026" i="9"/>
  <c r="B2026" i="9"/>
  <c r="C2026" i="9"/>
  <c r="G2022" i="9"/>
  <c r="H2022" i="9"/>
  <c r="F2022" i="9"/>
  <c r="D2022" i="9"/>
  <c r="I2022" i="9"/>
  <c r="E2022" i="9"/>
  <c r="B2022" i="9"/>
  <c r="C2022" i="9"/>
  <c r="G2018" i="9"/>
  <c r="H2018" i="9"/>
  <c r="I2018" i="9"/>
  <c r="F2018" i="9"/>
  <c r="D2018" i="9"/>
  <c r="E2018" i="9"/>
  <c r="B2018" i="9"/>
  <c r="C2018" i="9"/>
  <c r="G2014" i="9"/>
  <c r="H2014" i="9"/>
  <c r="F2014" i="9"/>
  <c r="D2014" i="9"/>
  <c r="I2014" i="9"/>
  <c r="E2014" i="9"/>
  <c r="B2014" i="9"/>
  <c r="C2014" i="9"/>
  <c r="G2010" i="9"/>
  <c r="H2010" i="9"/>
  <c r="F2010" i="9"/>
  <c r="D2010" i="9"/>
  <c r="I2010" i="9"/>
  <c r="E2010" i="9"/>
  <c r="B2010" i="9"/>
  <c r="C2010" i="9"/>
  <c r="G2006" i="9"/>
  <c r="H2006" i="9"/>
  <c r="F2006" i="9"/>
  <c r="D2006" i="9"/>
  <c r="I2006" i="9"/>
  <c r="E2006" i="9"/>
  <c r="B2006" i="9"/>
  <c r="C2006" i="9"/>
  <c r="G2002" i="9"/>
  <c r="H2002" i="9"/>
  <c r="I2002" i="9"/>
  <c r="F2002" i="9"/>
  <c r="D2002" i="9"/>
  <c r="E2002" i="9"/>
  <c r="B2002" i="9"/>
  <c r="C2002" i="9"/>
  <c r="G1998" i="9"/>
  <c r="H1998" i="9"/>
  <c r="F1998" i="9"/>
  <c r="D1998" i="9"/>
  <c r="I1998" i="9"/>
  <c r="E1998" i="9"/>
  <c r="B1998" i="9"/>
  <c r="C1998" i="9"/>
  <c r="G1994" i="9"/>
  <c r="H1994" i="9"/>
  <c r="F1994" i="9"/>
  <c r="D1994" i="9"/>
  <c r="I1994" i="9"/>
  <c r="E1994" i="9"/>
  <c r="B1994" i="9"/>
  <c r="C1994" i="9"/>
  <c r="G1990" i="9"/>
  <c r="H1990" i="9"/>
  <c r="F1990" i="9"/>
  <c r="D1990" i="9"/>
  <c r="I1990" i="9"/>
  <c r="E1990" i="9"/>
  <c r="B1990" i="9"/>
  <c r="C1990" i="9"/>
  <c r="G1986" i="9"/>
  <c r="H1986" i="9"/>
  <c r="I1986" i="9"/>
  <c r="F1986" i="9"/>
  <c r="D1986" i="9"/>
  <c r="E1986" i="9"/>
  <c r="B1986" i="9"/>
  <c r="C1986" i="9"/>
  <c r="G1982" i="9"/>
  <c r="H1982" i="9"/>
  <c r="F1982" i="9"/>
  <c r="D1982" i="9"/>
  <c r="I1982" i="9"/>
  <c r="E1982" i="9"/>
  <c r="B1982" i="9"/>
  <c r="C1982" i="9"/>
  <c r="G1978" i="9"/>
  <c r="H1978" i="9"/>
  <c r="F1978" i="9"/>
  <c r="D1978" i="9"/>
  <c r="I1978" i="9"/>
  <c r="E1978" i="9"/>
  <c r="B1978" i="9"/>
  <c r="C1978" i="9"/>
  <c r="G1974" i="9"/>
  <c r="H1974" i="9"/>
  <c r="F1974" i="9"/>
  <c r="D1974" i="9"/>
  <c r="I1974" i="9"/>
  <c r="E1974" i="9"/>
  <c r="B1974" i="9"/>
  <c r="C1974" i="9"/>
  <c r="G1970" i="9"/>
  <c r="H1970" i="9"/>
  <c r="I1970" i="9"/>
  <c r="F1970" i="9"/>
  <c r="D1970" i="9"/>
  <c r="E1970" i="9"/>
  <c r="B1970" i="9"/>
  <c r="C1970" i="9"/>
  <c r="G1966" i="9"/>
  <c r="H1966" i="9"/>
  <c r="F1966" i="9"/>
  <c r="D1966" i="9"/>
  <c r="I1966" i="9"/>
  <c r="E1966" i="9"/>
  <c r="B1966" i="9"/>
  <c r="C1966" i="9"/>
  <c r="G1962" i="9"/>
  <c r="H1962" i="9"/>
  <c r="F1962" i="9"/>
  <c r="D1962" i="9"/>
  <c r="I1962" i="9"/>
  <c r="E1962" i="9"/>
  <c r="B1962" i="9"/>
  <c r="C1962" i="9"/>
  <c r="G1958" i="9"/>
  <c r="H1958" i="9"/>
  <c r="F1958" i="9"/>
  <c r="D1958" i="9"/>
  <c r="I1958" i="9"/>
  <c r="E1958" i="9"/>
  <c r="B1958" i="9"/>
  <c r="C1958" i="9"/>
  <c r="G1954" i="9"/>
  <c r="H1954" i="9"/>
  <c r="I1954" i="9"/>
  <c r="F1954" i="9"/>
  <c r="D1954" i="9"/>
  <c r="E1954" i="9"/>
  <c r="B1954" i="9"/>
  <c r="C1954" i="9"/>
  <c r="G1950" i="9"/>
  <c r="H1950" i="9"/>
  <c r="F1950" i="9"/>
  <c r="D1950" i="9"/>
  <c r="I1950" i="9"/>
  <c r="E1950" i="9"/>
  <c r="B1950" i="9"/>
  <c r="C1950" i="9"/>
  <c r="G1946" i="9"/>
  <c r="H1946" i="9"/>
  <c r="F1946" i="9"/>
  <c r="D1946" i="9"/>
  <c r="I1946" i="9"/>
  <c r="E1946" i="9"/>
  <c r="B1946" i="9"/>
  <c r="C1946" i="9"/>
  <c r="G1942" i="9"/>
  <c r="H1942" i="9"/>
  <c r="F1942" i="9"/>
  <c r="D1942" i="9"/>
  <c r="I1942" i="9"/>
  <c r="E1942" i="9"/>
  <c r="B1942" i="9"/>
  <c r="C1942" i="9"/>
  <c r="G1938" i="9"/>
  <c r="H1938" i="9"/>
  <c r="I1938" i="9"/>
  <c r="F1938" i="9"/>
  <c r="D1938" i="9"/>
  <c r="E1938" i="9"/>
  <c r="B1938" i="9"/>
  <c r="C1938" i="9"/>
  <c r="G1934" i="9"/>
  <c r="H1934" i="9"/>
  <c r="F1934" i="9"/>
  <c r="D1934" i="9"/>
  <c r="I1934" i="9"/>
  <c r="E1934" i="9"/>
  <c r="B1934" i="9"/>
  <c r="C1934" i="9"/>
  <c r="G1930" i="9"/>
  <c r="H1930" i="9"/>
  <c r="F1930" i="9"/>
  <c r="D1930" i="9"/>
  <c r="I1930" i="9"/>
  <c r="E1930" i="9"/>
  <c r="B1930" i="9"/>
  <c r="C1930" i="9"/>
  <c r="G1926" i="9"/>
  <c r="H1926" i="9"/>
  <c r="F1926" i="9"/>
  <c r="D1926" i="9"/>
  <c r="I1926" i="9"/>
  <c r="E1926" i="9"/>
  <c r="B1926" i="9"/>
  <c r="C1926" i="9"/>
  <c r="G1922" i="9"/>
  <c r="H1922" i="9"/>
  <c r="I1922" i="9"/>
  <c r="F1922" i="9"/>
  <c r="D1922" i="9"/>
  <c r="E1922" i="9"/>
  <c r="B1922" i="9"/>
  <c r="C1922" i="9"/>
  <c r="G1918" i="9"/>
  <c r="H1918" i="9"/>
  <c r="F1918" i="9"/>
  <c r="D1918" i="9"/>
  <c r="I1918" i="9"/>
  <c r="E1918" i="9"/>
  <c r="B1918" i="9"/>
  <c r="C1918" i="9"/>
  <c r="G1914" i="9"/>
  <c r="H1914" i="9"/>
  <c r="F1914" i="9"/>
  <c r="D1914" i="9"/>
  <c r="I1914" i="9"/>
  <c r="E1914" i="9"/>
  <c r="B1914" i="9"/>
  <c r="C1914" i="9"/>
  <c r="G1910" i="9"/>
  <c r="H1910" i="9"/>
  <c r="F1910" i="9"/>
  <c r="D1910" i="9"/>
  <c r="I1910" i="9"/>
  <c r="E1910" i="9"/>
  <c r="B1910" i="9"/>
  <c r="C1910" i="9"/>
  <c r="G1906" i="9"/>
  <c r="H1906" i="9"/>
  <c r="I1906" i="9"/>
  <c r="F1906" i="9"/>
  <c r="D1906" i="9"/>
  <c r="E1906" i="9"/>
  <c r="B1906" i="9"/>
  <c r="C1906" i="9"/>
  <c r="G1902" i="9"/>
  <c r="H1902" i="9"/>
  <c r="F1902" i="9"/>
  <c r="D1902" i="9"/>
  <c r="I1902" i="9"/>
  <c r="E1902" i="9"/>
  <c r="B1902" i="9"/>
  <c r="C1902" i="9"/>
  <c r="G1898" i="9"/>
  <c r="H1898" i="9"/>
  <c r="F1898" i="9"/>
  <c r="D1898" i="9"/>
  <c r="I1898" i="9"/>
  <c r="E1898" i="9"/>
  <c r="B1898" i="9"/>
  <c r="C1898" i="9"/>
  <c r="G1894" i="9"/>
  <c r="H1894" i="9"/>
  <c r="F1894" i="9"/>
  <c r="D1894" i="9"/>
  <c r="I1894" i="9"/>
  <c r="E1894" i="9"/>
  <c r="B1894" i="9"/>
  <c r="C1894" i="9"/>
  <c r="G1890" i="9"/>
  <c r="H1890" i="9"/>
  <c r="I1890" i="9"/>
  <c r="F1890" i="9"/>
  <c r="D1890" i="9"/>
  <c r="E1890" i="9"/>
  <c r="B1890" i="9"/>
  <c r="C1890" i="9"/>
  <c r="G1886" i="9"/>
  <c r="H1886" i="9"/>
  <c r="F1886" i="9"/>
  <c r="D1886" i="9"/>
  <c r="I1886" i="9"/>
  <c r="E1886" i="9"/>
  <c r="B1886" i="9"/>
  <c r="C1886" i="9"/>
  <c r="G1882" i="9"/>
  <c r="H1882" i="9"/>
  <c r="F1882" i="9"/>
  <c r="D1882" i="9"/>
  <c r="I1882" i="9"/>
  <c r="E1882" i="9"/>
  <c r="B1882" i="9"/>
  <c r="C1882" i="9"/>
  <c r="G1878" i="9"/>
  <c r="H1878" i="9"/>
  <c r="F1878" i="9"/>
  <c r="D1878" i="9"/>
  <c r="I1878" i="9"/>
  <c r="E1878" i="9"/>
  <c r="B1878" i="9"/>
  <c r="C1878" i="9"/>
  <c r="G1874" i="9"/>
  <c r="H1874" i="9"/>
  <c r="I1874" i="9"/>
  <c r="F1874" i="9"/>
  <c r="D1874" i="9"/>
  <c r="E1874" i="9"/>
  <c r="B1874" i="9"/>
  <c r="C1874" i="9"/>
  <c r="G1870" i="9"/>
  <c r="H1870" i="9"/>
  <c r="F1870" i="9"/>
  <c r="D1870" i="9"/>
  <c r="I1870" i="9"/>
  <c r="E1870" i="9"/>
  <c r="B1870" i="9"/>
  <c r="C1870" i="9"/>
  <c r="G1866" i="9"/>
  <c r="H1866" i="9"/>
  <c r="F1866" i="9"/>
  <c r="D1866" i="9"/>
  <c r="I1866" i="9"/>
  <c r="E1866" i="9"/>
  <c r="B1866" i="9"/>
  <c r="C1866" i="9"/>
  <c r="G1862" i="9"/>
  <c r="H1862" i="9"/>
  <c r="F1862" i="9"/>
  <c r="D1862" i="9"/>
  <c r="I1862" i="9"/>
  <c r="E1862" i="9"/>
  <c r="B1862" i="9"/>
  <c r="C1862" i="9"/>
  <c r="G1858" i="9"/>
  <c r="H1858" i="9"/>
  <c r="I1858" i="9"/>
  <c r="F1858" i="9"/>
  <c r="D1858" i="9"/>
  <c r="E1858" i="9"/>
  <c r="B1858" i="9"/>
  <c r="C1858" i="9"/>
  <c r="G1854" i="9"/>
  <c r="H1854" i="9"/>
  <c r="F1854" i="9"/>
  <c r="D1854" i="9"/>
  <c r="I1854" i="9"/>
  <c r="E1854" i="9"/>
  <c r="B1854" i="9"/>
  <c r="C1854" i="9"/>
  <c r="G1850" i="9"/>
  <c r="H1850" i="9"/>
  <c r="F1850" i="9"/>
  <c r="D1850" i="9"/>
  <c r="I1850" i="9"/>
  <c r="E1850" i="9"/>
  <c r="B1850" i="9"/>
  <c r="C1850" i="9"/>
  <c r="G1846" i="9"/>
  <c r="H1846" i="9"/>
  <c r="F1846" i="9"/>
  <c r="D1846" i="9"/>
  <c r="I1846" i="9"/>
  <c r="E1846" i="9"/>
  <c r="B1846" i="9"/>
  <c r="C1846" i="9"/>
  <c r="G1842" i="9"/>
  <c r="H1842" i="9"/>
  <c r="I1842" i="9"/>
  <c r="F1842" i="9"/>
  <c r="D1842" i="9"/>
  <c r="E1842" i="9"/>
  <c r="B1842" i="9"/>
  <c r="C1842" i="9"/>
  <c r="G1838" i="9"/>
  <c r="H1838" i="9"/>
  <c r="F1838" i="9"/>
  <c r="D1838" i="9"/>
  <c r="I1838" i="9"/>
  <c r="E1838" i="9"/>
  <c r="B1838" i="9"/>
  <c r="C1838" i="9"/>
  <c r="G1834" i="9"/>
  <c r="H1834" i="9"/>
  <c r="F1834" i="9"/>
  <c r="D1834" i="9"/>
  <c r="I1834" i="9"/>
  <c r="E1834" i="9"/>
  <c r="B1834" i="9"/>
  <c r="C1834" i="9"/>
  <c r="G1830" i="9"/>
  <c r="H1830" i="9"/>
  <c r="F1830" i="9"/>
  <c r="D1830" i="9"/>
  <c r="I1830" i="9"/>
  <c r="E1830" i="9"/>
  <c r="B1830" i="9"/>
  <c r="C1830" i="9"/>
  <c r="G1826" i="9"/>
  <c r="H1826" i="9"/>
  <c r="I1826" i="9"/>
  <c r="F1826" i="9"/>
  <c r="D1826" i="9"/>
  <c r="E1826" i="9"/>
  <c r="B1826" i="9"/>
  <c r="C1826" i="9"/>
  <c r="G1822" i="9"/>
  <c r="H1822" i="9"/>
  <c r="F1822" i="9"/>
  <c r="D1822" i="9"/>
  <c r="I1822" i="9"/>
  <c r="E1822" i="9"/>
  <c r="B1822" i="9"/>
  <c r="C1822" i="9"/>
  <c r="G1818" i="9"/>
  <c r="H1818" i="9"/>
  <c r="F1818" i="9"/>
  <c r="D1818" i="9"/>
  <c r="I1818" i="9"/>
  <c r="E1818" i="9"/>
  <c r="B1818" i="9"/>
  <c r="C1818" i="9"/>
  <c r="G1814" i="9"/>
  <c r="H1814" i="9"/>
  <c r="F1814" i="9"/>
  <c r="D1814" i="9"/>
  <c r="I1814" i="9"/>
  <c r="E1814" i="9"/>
  <c r="B1814" i="9"/>
  <c r="C1814" i="9"/>
  <c r="G1810" i="9"/>
  <c r="H1810" i="9"/>
  <c r="I1810" i="9"/>
  <c r="F1810" i="9"/>
  <c r="D1810" i="9"/>
  <c r="E1810" i="9"/>
  <c r="B1810" i="9"/>
  <c r="C1810" i="9"/>
  <c r="G1806" i="9"/>
  <c r="H1806" i="9"/>
  <c r="F1806" i="9"/>
  <c r="D1806" i="9"/>
  <c r="I1806" i="9"/>
  <c r="E1806" i="9"/>
  <c r="B1806" i="9"/>
  <c r="C1806" i="9"/>
  <c r="G1802" i="9"/>
  <c r="H1802" i="9"/>
  <c r="F1802" i="9"/>
  <c r="D1802" i="9"/>
  <c r="I1802" i="9"/>
  <c r="E1802" i="9"/>
  <c r="B1802" i="9"/>
  <c r="C1802" i="9"/>
  <c r="G1798" i="9"/>
  <c r="H1798" i="9"/>
  <c r="F1798" i="9"/>
  <c r="D1798" i="9"/>
  <c r="I1798" i="9"/>
  <c r="E1798" i="9"/>
  <c r="B1798" i="9"/>
  <c r="C1798" i="9"/>
  <c r="G1794" i="9"/>
  <c r="H1794" i="9"/>
  <c r="I1794" i="9"/>
  <c r="F1794" i="9"/>
  <c r="D1794" i="9"/>
  <c r="E1794" i="9"/>
  <c r="B1794" i="9"/>
  <c r="C1794" i="9"/>
  <c r="G1790" i="9"/>
  <c r="H1790" i="9"/>
  <c r="F1790" i="9"/>
  <c r="D1790" i="9"/>
  <c r="I1790" i="9"/>
  <c r="E1790" i="9"/>
  <c r="B1790" i="9"/>
  <c r="C1790" i="9"/>
  <c r="G1786" i="9"/>
  <c r="H1786" i="9"/>
  <c r="F1786" i="9"/>
  <c r="D1786" i="9"/>
  <c r="I1786" i="9"/>
  <c r="E1786" i="9"/>
  <c r="B1786" i="9"/>
  <c r="C1786" i="9"/>
  <c r="G1782" i="9"/>
  <c r="H1782" i="9"/>
  <c r="F1782" i="9"/>
  <c r="D1782" i="9"/>
  <c r="I1782" i="9"/>
  <c r="E1782" i="9"/>
  <c r="B1782" i="9"/>
  <c r="C1782" i="9"/>
  <c r="G1778" i="9"/>
  <c r="H1778" i="9"/>
  <c r="I1778" i="9"/>
  <c r="F1778" i="9"/>
  <c r="D1778" i="9"/>
  <c r="E1778" i="9"/>
  <c r="B1778" i="9"/>
  <c r="C1778" i="9"/>
  <c r="G1774" i="9"/>
  <c r="H1774" i="9"/>
  <c r="F1774" i="9"/>
  <c r="D1774" i="9"/>
  <c r="I1774" i="9"/>
  <c r="E1774" i="9"/>
  <c r="B1774" i="9"/>
  <c r="C1774" i="9"/>
  <c r="G1770" i="9"/>
  <c r="H1770" i="9"/>
  <c r="F1770" i="9"/>
  <c r="D1770" i="9"/>
  <c r="I1770" i="9"/>
  <c r="E1770" i="9"/>
  <c r="B1770" i="9"/>
  <c r="C1770" i="9"/>
  <c r="G1766" i="9"/>
  <c r="H1766" i="9"/>
  <c r="F1766" i="9"/>
  <c r="D1766" i="9"/>
  <c r="I1766" i="9"/>
  <c r="E1766" i="9"/>
  <c r="B1766" i="9"/>
  <c r="C1766" i="9"/>
  <c r="G1762" i="9"/>
  <c r="H1762" i="9"/>
  <c r="I1762" i="9"/>
  <c r="F1762" i="9"/>
  <c r="D1762" i="9"/>
  <c r="E1762" i="9"/>
  <c r="B1762" i="9"/>
  <c r="C1762" i="9"/>
  <c r="G1758" i="9"/>
  <c r="H1758" i="9"/>
  <c r="F1758" i="9"/>
  <c r="D1758" i="9"/>
  <c r="I1758" i="9"/>
  <c r="E1758" i="9"/>
  <c r="B1758" i="9"/>
  <c r="C1758" i="9"/>
  <c r="G1754" i="9"/>
  <c r="H1754" i="9"/>
  <c r="F1754" i="9"/>
  <c r="D1754" i="9"/>
  <c r="I1754" i="9"/>
  <c r="E1754" i="9"/>
  <c r="B1754" i="9"/>
  <c r="C1754" i="9"/>
  <c r="G1750" i="9"/>
  <c r="H1750" i="9"/>
  <c r="F1750" i="9"/>
  <c r="D1750" i="9"/>
  <c r="I1750" i="9"/>
  <c r="E1750" i="9"/>
  <c r="B1750" i="9"/>
  <c r="C1750" i="9"/>
  <c r="G1746" i="9"/>
  <c r="H1746" i="9"/>
  <c r="I1746" i="9"/>
  <c r="F1746" i="9"/>
  <c r="D1746" i="9"/>
  <c r="E1746" i="9"/>
  <c r="B1746" i="9"/>
  <c r="C1746" i="9"/>
  <c r="G1742" i="9"/>
  <c r="H1742" i="9"/>
  <c r="F1742" i="9"/>
  <c r="D1742" i="9"/>
  <c r="I1742" i="9"/>
  <c r="E1742" i="9"/>
  <c r="B1742" i="9"/>
  <c r="C1742" i="9"/>
  <c r="G1738" i="9"/>
  <c r="H1738" i="9"/>
  <c r="F1738" i="9"/>
  <c r="D1738" i="9"/>
  <c r="I1738" i="9"/>
  <c r="E1738" i="9"/>
  <c r="B1738" i="9"/>
  <c r="C1738" i="9"/>
  <c r="G1734" i="9"/>
  <c r="H1734" i="9"/>
  <c r="F1734" i="9"/>
  <c r="D1734" i="9"/>
  <c r="I1734" i="9"/>
  <c r="E1734" i="9"/>
  <c r="B1734" i="9"/>
  <c r="C1734" i="9"/>
  <c r="G1730" i="9"/>
  <c r="H1730" i="9"/>
  <c r="I1730" i="9"/>
  <c r="F1730" i="9"/>
  <c r="D1730" i="9"/>
  <c r="E1730" i="9"/>
  <c r="B1730" i="9"/>
  <c r="C1730" i="9"/>
  <c r="G1726" i="9"/>
  <c r="H1726" i="9"/>
  <c r="F1726" i="9"/>
  <c r="D1726" i="9"/>
  <c r="I1726" i="9"/>
  <c r="E1726" i="9"/>
  <c r="B1726" i="9"/>
  <c r="C1726" i="9"/>
  <c r="G1722" i="9"/>
  <c r="H1722" i="9"/>
  <c r="F1722" i="9"/>
  <c r="D1722" i="9"/>
  <c r="I1722" i="9"/>
  <c r="E1722" i="9"/>
  <c r="B1722" i="9"/>
  <c r="C1722" i="9"/>
  <c r="G1718" i="9"/>
  <c r="H1718" i="9"/>
  <c r="F1718" i="9"/>
  <c r="D1718" i="9"/>
  <c r="I1718" i="9"/>
  <c r="E1718" i="9"/>
  <c r="B1718" i="9"/>
  <c r="C1718" i="9"/>
  <c r="G1714" i="9"/>
  <c r="H1714" i="9"/>
  <c r="I1714" i="9"/>
  <c r="F1714" i="9"/>
  <c r="D1714" i="9"/>
  <c r="E1714" i="9"/>
  <c r="B1714" i="9"/>
  <c r="C1714" i="9"/>
  <c r="G1710" i="9"/>
  <c r="H1710" i="9"/>
  <c r="F1710" i="9"/>
  <c r="D1710" i="9"/>
  <c r="I1710" i="9"/>
  <c r="E1710" i="9"/>
  <c r="B1710" i="9"/>
  <c r="C1710" i="9"/>
  <c r="G1706" i="9"/>
  <c r="H1706" i="9"/>
  <c r="F1706" i="9"/>
  <c r="D1706" i="9"/>
  <c r="I1706" i="9"/>
  <c r="E1706" i="9"/>
  <c r="B1706" i="9"/>
  <c r="C1706" i="9"/>
  <c r="G1702" i="9"/>
  <c r="H1702" i="9"/>
  <c r="F1702" i="9"/>
  <c r="D1702" i="9"/>
  <c r="I1702" i="9"/>
  <c r="E1702" i="9"/>
  <c r="B1702" i="9"/>
  <c r="C1702" i="9"/>
  <c r="G1698" i="9"/>
  <c r="H1698" i="9"/>
  <c r="I1698" i="9"/>
  <c r="F1698" i="9"/>
  <c r="D1698" i="9"/>
  <c r="E1698" i="9"/>
  <c r="B1698" i="9"/>
  <c r="C1698" i="9"/>
  <c r="G1694" i="9"/>
  <c r="H1694" i="9"/>
  <c r="F1694" i="9"/>
  <c r="D1694" i="9"/>
  <c r="I1694" i="9"/>
  <c r="E1694" i="9"/>
  <c r="B1694" i="9"/>
  <c r="C1694" i="9"/>
  <c r="G1690" i="9"/>
  <c r="H1690" i="9"/>
  <c r="F1690" i="9"/>
  <c r="D1690" i="9"/>
  <c r="I1690" i="9"/>
  <c r="E1690" i="9"/>
  <c r="B1690" i="9"/>
  <c r="C1690" i="9"/>
  <c r="G1686" i="9"/>
  <c r="H1686" i="9"/>
  <c r="F1686" i="9"/>
  <c r="D1686" i="9"/>
  <c r="I1686" i="9"/>
  <c r="E1686" i="9"/>
  <c r="B1686" i="9"/>
  <c r="C1686" i="9"/>
  <c r="G1682" i="9"/>
  <c r="H1682" i="9"/>
  <c r="I1682" i="9"/>
  <c r="F1682" i="9"/>
  <c r="D1682" i="9"/>
  <c r="E1682" i="9"/>
  <c r="B1682" i="9"/>
  <c r="C1682" i="9"/>
  <c r="G1678" i="9"/>
  <c r="H1678" i="9"/>
  <c r="F1678" i="9"/>
  <c r="D1678" i="9"/>
  <c r="I1678" i="9"/>
  <c r="E1678" i="9"/>
  <c r="B1678" i="9"/>
  <c r="C1678" i="9"/>
  <c r="G1674" i="9"/>
  <c r="H1674" i="9"/>
  <c r="F1674" i="9"/>
  <c r="D1674" i="9"/>
  <c r="I1674" i="9"/>
  <c r="E1674" i="9"/>
  <c r="B1674" i="9"/>
  <c r="C1674" i="9"/>
  <c r="G1670" i="9"/>
  <c r="H1670" i="9"/>
  <c r="F1670" i="9"/>
  <c r="D1670" i="9"/>
  <c r="I1670" i="9"/>
  <c r="E1670" i="9"/>
  <c r="B1670" i="9"/>
  <c r="C1670" i="9"/>
  <c r="G1666" i="9"/>
  <c r="H1666" i="9"/>
  <c r="I1666" i="9"/>
  <c r="F1666" i="9"/>
  <c r="D1666" i="9"/>
  <c r="E1666" i="9"/>
  <c r="B1666" i="9"/>
  <c r="C1666" i="9"/>
  <c r="G1662" i="9"/>
  <c r="H1662" i="9"/>
  <c r="F1662" i="9"/>
  <c r="D1662" i="9"/>
  <c r="I1662" i="9"/>
  <c r="E1662" i="9"/>
  <c r="B1662" i="9"/>
  <c r="C1662" i="9"/>
  <c r="G1658" i="9"/>
  <c r="H1658" i="9"/>
  <c r="F1658" i="9"/>
  <c r="D1658" i="9"/>
  <c r="I1658" i="9"/>
  <c r="E1658" i="9"/>
  <c r="B1658" i="9"/>
  <c r="C1658" i="9"/>
  <c r="G1654" i="9"/>
  <c r="H1654" i="9"/>
  <c r="F1654" i="9"/>
  <c r="D1654" i="9"/>
  <c r="I1654" i="9"/>
  <c r="E1654" i="9"/>
  <c r="B1654" i="9"/>
  <c r="C1654" i="9"/>
  <c r="G1650" i="9"/>
  <c r="H1650" i="9"/>
  <c r="I1650" i="9"/>
  <c r="F1650" i="9"/>
  <c r="D1650" i="9"/>
  <c r="E1650" i="9"/>
  <c r="B1650" i="9"/>
  <c r="C1650" i="9"/>
  <c r="G1646" i="9"/>
  <c r="H1646" i="9"/>
  <c r="F1646" i="9"/>
  <c r="D1646" i="9"/>
  <c r="I1646" i="9"/>
  <c r="E1646" i="9"/>
  <c r="B1646" i="9"/>
  <c r="C1646" i="9"/>
  <c r="G1642" i="9"/>
  <c r="H1642" i="9"/>
  <c r="F1642" i="9"/>
  <c r="D1642" i="9"/>
  <c r="I1642" i="9"/>
  <c r="E1642" i="9"/>
  <c r="B1642" i="9"/>
  <c r="C1642" i="9"/>
  <c r="G1638" i="9"/>
  <c r="H1638" i="9"/>
  <c r="F1638" i="9"/>
  <c r="D1638" i="9"/>
  <c r="I1638" i="9"/>
  <c r="E1638" i="9"/>
  <c r="B1638" i="9"/>
  <c r="C1638" i="9"/>
  <c r="G1634" i="9"/>
  <c r="H1634" i="9"/>
  <c r="I1634" i="9"/>
  <c r="F1634" i="9"/>
  <c r="D1634" i="9"/>
  <c r="E1634" i="9"/>
  <c r="B1634" i="9"/>
  <c r="C1634" i="9"/>
  <c r="G1630" i="9"/>
  <c r="H1630" i="9"/>
  <c r="F1630" i="9"/>
  <c r="D1630" i="9"/>
  <c r="I1630" i="9"/>
  <c r="E1630" i="9"/>
  <c r="B1630" i="9"/>
  <c r="C1630" i="9"/>
  <c r="G1626" i="9"/>
  <c r="H1626" i="9"/>
  <c r="F1626" i="9"/>
  <c r="D1626" i="9"/>
  <c r="I1626" i="9"/>
  <c r="E1626" i="9"/>
  <c r="B1626" i="9"/>
  <c r="C1626" i="9"/>
  <c r="G1622" i="9"/>
  <c r="H1622" i="9"/>
  <c r="F1622" i="9"/>
  <c r="D1622" i="9"/>
  <c r="I1622" i="9"/>
  <c r="E1622" i="9"/>
  <c r="B1622" i="9"/>
  <c r="C1622" i="9"/>
  <c r="G1618" i="9"/>
  <c r="H1618" i="9"/>
  <c r="I1618" i="9"/>
  <c r="F1618" i="9"/>
  <c r="D1618" i="9"/>
  <c r="E1618" i="9"/>
  <c r="B1618" i="9"/>
  <c r="C1618" i="9"/>
  <c r="G1614" i="9"/>
  <c r="H1614" i="9"/>
  <c r="F1614" i="9"/>
  <c r="D1614" i="9"/>
  <c r="I1614" i="9"/>
  <c r="E1614" i="9"/>
  <c r="B1614" i="9"/>
  <c r="C1614" i="9"/>
  <c r="G1610" i="9"/>
  <c r="H1610" i="9"/>
  <c r="F1610" i="9"/>
  <c r="D1610" i="9"/>
  <c r="I1610" i="9"/>
  <c r="E1610" i="9"/>
  <c r="B1610" i="9"/>
  <c r="C1610" i="9"/>
  <c r="G1606" i="9"/>
  <c r="H1606" i="9"/>
  <c r="F1606" i="9"/>
  <c r="D1606" i="9"/>
  <c r="I1606" i="9"/>
  <c r="E1606" i="9"/>
  <c r="B1606" i="9"/>
  <c r="C1606" i="9"/>
  <c r="G1602" i="9"/>
  <c r="H1602" i="9"/>
  <c r="I1602" i="9"/>
  <c r="F1602" i="9"/>
  <c r="D1602" i="9"/>
  <c r="E1602" i="9"/>
  <c r="B1602" i="9"/>
  <c r="C1602" i="9"/>
  <c r="G1598" i="9"/>
  <c r="H1598" i="9"/>
  <c r="F1598" i="9"/>
  <c r="D1598" i="9"/>
  <c r="I1598" i="9"/>
  <c r="E1598" i="9"/>
  <c r="B1598" i="9"/>
  <c r="C1598" i="9"/>
  <c r="G1594" i="9"/>
  <c r="H1594" i="9"/>
  <c r="F1594" i="9"/>
  <c r="D1594" i="9"/>
  <c r="I1594" i="9"/>
  <c r="E1594" i="9"/>
  <c r="B1594" i="9"/>
  <c r="C1594" i="9"/>
  <c r="G1590" i="9"/>
  <c r="H1590" i="9"/>
  <c r="F1590" i="9"/>
  <c r="D1590" i="9"/>
  <c r="I1590" i="9"/>
  <c r="E1590" i="9"/>
  <c r="B1590" i="9"/>
  <c r="C1590" i="9"/>
  <c r="G1586" i="9"/>
  <c r="H1586" i="9"/>
  <c r="I1586" i="9"/>
  <c r="F1586" i="9"/>
  <c r="D1586" i="9"/>
  <c r="E1586" i="9"/>
  <c r="B1586" i="9"/>
  <c r="C1586" i="9"/>
  <c r="G1582" i="9"/>
  <c r="H1582" i="9"/>
  <c r="F1582" i="9"/>
  <c r="D1582" i="9"/>
  <c r="I1582" i="9"/>
  <c r="E1582" i="9"/>
  <c r="B1582" i="9"/>
  <c r="C1582" i="9"/>
  <c r="G1578" i="9"/>
  <c r="H1578" i="9"/>
  <c r="F1578" i="9"/>
  <c r="D1578" i="9"/>
  <c r="I1578" i="9"/>
  <c r="E1578" i="9"/>
  <c r="B1578" i="9"/>
  <c r="C1578" i="9"/>
  <c r="G1574" i="9"/>
  <c r="H1574" i="9"/>
  <c r="F1574" i="9"/>
  <c r="D1574" i="9"/>
  <c r="I1574" i="9"/>
  <c r="E1574" i="9"/>
  <c r="B1574" i="9"/>
  <c r="C1574" i="9"/>
  <c r="G1570" i="9"/>
  <c r="H1570" i="9"/>
  <c r="I1570" i="9"/>
  <c r="F1570" i="9"/>
  <c r="D1570" i="9"/>
  <c r="E1570" i="9"/>
  <c r="B1570" i="9"/>
  <c r="C1570" i="9"/>
  <c r="G1566" i="9"/>
  <c r="H1566" i="9"/>
  <c r="F1566" i="9"/>
  <c r="D1566" i="9"/>
  <c r="I1566" i="9"/>
  <c r="E1566" i="9"/>
  <c r="B1566" i="9"/>
  <c r="C1566" i="9"/>
  <c r="G1562" i="9"/>
  <c r="H1562" i="9"/>
  <c r="F1562" i="9"/>
  <c r="D1562" i="9"/>
  <c r="I1562" i="9"/>
  <c r="E1562" i="9"/>
  <c r="B1562" i="9"/>
  <c r="C1562" i="9"/>
  <c r="G1558" i="9"/>
  <c r="H1558" i="9"/>
  <c r="F1558" i="9"/>
  <c r="D1558" i="9"/>
  <c r="I1558" i="9"/>
  <c r="E1558" i="9"/>
  <c r="B1558" i="9"/>
  <c r="C1558" i="9"/>
  <c r="G1554" i="9"/>
  <c r="F1554" i="9"/>
  <c r="H1554" i="9"/>
  <c r="I1554" i="9"/>
  <c r="D1554" i="9"/>
  <c r="E1554" i="9"/>
  <c r="B1554" i="9"/>
  <c r="C1554" i="9"/>
  <c r="G1550" i="9"/>
  <c r="F1550" i="9"/>
  <c r="H1550" i="9"/>
  <c r="D1550" i="9"/>
  <c r="I1550" i="9"/>
  <c r="E1550" i="9"/>
  <c r="B1550" i="9"/>
  <c r="C1550" i="9"/>
  <c r="G1546" i="9"/>
  <c r="F1546" i="9"/>
  <c r="H1546" i="9"/>
  <c r="D1546" i="9"/>
  <c r="I1546" i="9"/>
  <c r="E1546" i="9"/>
  <c r="B1546" i="9"/>
  <c r="C1546" i="9"/>
  <c r="G1542" i="9"/>
  <c r="F1542" i="9"/>
  <c r="H1542" i="9"/>
  <c r="D1542" i="9"/>
  <c r="I1542" i="9"/>
  <c r="E1542" i="9"/>
  <c r="B1542" i="9"/>
  <c r="C1542" i="9"/>
  <c r="G1538" i="9"/>
  <c r="F1538" i="9"/>
  <c r="H1538" i="9"/>
  <c r="I1538" i="9"/>
  <c r="D1538" i="9"/>
  <c r="E1538" i="9"/>
  <c r="B1538" i="9"/>
  <c r="C1538" i="9"/>
  <c r="G1534" i="9"/>
  <c r="F1534" i="9"/>
  <c r="H1534" i="9"/>
  <c r="D1534" i="9"/>
  <c r="I1534" i="9"/>
  <c r="E1534" i="9"/>
  <c r="B1534" i="9"/>
  <c r="C1534" i="9"/>
  <c r="G1530" i="9"/>
  <c r="F1530" i="9"/>
  <c r="H1530" i="9"/>
  <c r="D1530" i="9"/>
  <c r="I1530" i="9"/>
  <c r="E1530" i="9"/>
  <c r="B1530" i="9"/>
  <c r="C1530" i="9"/>
  <c r="G1526" i="9"/>
  <c r="F1526" i="9"/>
  <c r="H1526" i="9"/>
  <c r="D1526" i="9"/>
  <c r="I1526" i="9"/>
  <c r="E1526" i="9"/>
  <c r="B1526" i="9"/>
  <c r="C1526" i="9"/>
  <c r="G1522" i="9"/>
  <c r="F1522" i="9"/>
  <c r="H1522" i="9"/>
  <c r="I1522" i="9"/>
  <c r="D1522" i="9"/>
  <c r="E1522" i="9"/>
  <c r="B1522" i="9"/>
  <c r="C1522" i="9"/>
  <c r="G1518" i="9"/>
  <c r="F1518" i="9"/>
  <c r="H1518" i="9"/>
  <c r="D1518" i="9"/>
  <c r="I1518" i="9"/>
  <c r="E1518" i="9"/>
  <c r="B1518" i="9"/>
  <c r="C1518" i="9"/>
  <c r="G1514" i="9"/>
  <c r="F1514" i="9"/>
  <c r="H1514" i="9"/>
  <c r="D1514" i="9"/>
  <c r="I1514" i="9"/>
  <c r="E1514" i="9"/>
  <c r="B1514" i="9"/>
  <c r="C1514" i="9"/>
  <c r="G1510" i="9"/>
  <c r="F1510" i="9"/>
  <c r="H1510" i="9"/>
  <c r="D1510" i="9"/>
  <c r="I1510" i="9"/>
  <c r="E1510" i="9"/>
  <c r="B1510" i="9"/>
  <c r="C1510" i="9"/>
  <c r="G1506" i="9"/>
  <c r="F1506" i="9"/>
  <c r="H1506" i="9"/>
  <c r="I1506" i="9"/>
  <c r="D1506" i="9"/>
  <c r="E1506" i="9"/>
  <c r="B1506" i="9"/>
  <c r="C1506" i="9"/>
  <c r="G1502" i="9"/>
  <c r="F1502" i="9"/>
  <c r="H1502" i="9"/>
  <c r="D1502" i="9"/>
  <c r="I1502" i="9"/>
  <c r="E1502" i="9"/>
  <c r="B1502" i="9"/>
  <c r="C1502" i="9"/>
  <c r="G1498" i="9"/>
  <c r="F1498" i="9"/>
  <c r="H1498" i="9"/>
  <c r="D1498" i="9"/>
  <c r="I1498" i="9"/>
  <c r="E1498" i="9"/>
  <c r="B1498" i="9"/>
  <c r="C1498" i="9"/>
  <c r="G1494" i="9"/>
  <c r="F1494" i="9"/>
  <c r="H1494" i="9"/>
  <c r="D1494" i="9"/>
  <c r="I1494" i="9"/>
  <c r="E1494" i="9"/>
  <c r="B1494" i="9"/>
  <c r="C1494" i="9"/>
  <c r="G1490" i="9"/>
  <c r="F1490" i="9"/>
  <c r="H1490" i="9"/>
  <c r="I1490" i="9"/>
  <c r="D1490" i="9"/>
  <c r="E1490" i="9"/>
  <c r="B1490" i="9"/>
  <c r="C1490" i="9"/>
  <c r="G1486" i="9"/>
  <c r="F1486" i="9"/>
  <c r="H1486" i="9"/>
  <c r="D1486" i="9"/>
  <c r="I1486" i="9"/>
  <c r="E1486" i="9"/>
  <c r="B1486" i="9"/>
  <c r="C1486" i="9"/>
  <c r="G1482" i="9"/>
  <c r="F1482" i="9"/>
  <c r="H1482" i="9"/>
  <c r="D1482" i="9"/>
  <c r="I1482" i="9"/>
  <c r="E1482" i="9"/>
  <c r="B1482" i="9"/>
  <c r="C1482" i="9"/>
  <c r="G1478" i="9"/>
  <c r="F1478" i="9"/>
  <c r="H1478" i="9"/>
  <c r="D1478" i="9"/>
  <c r="I1478" i="9"/>
  <c r="E1478" i="9"/>
  <c r="B1478" i="9"/>
  <c r="C1478" i="9"/>
  <c r="G1474" i="9"/>
  <c r="F1474" i="9"/>
  <c r="H1474" i="9"/>
  <c r="I1474" i="9"/>
  <c r="D1474" i="9"/>
  <c r="E1474" i="9"/>
  <c r="B1474" i="9"/>
  <c r="C1474" i="9"/>
  <c r="G1470" i="9"/>
  <c r="F1470" i="9"/>
  <c r="H1470" i="9"/>
  <c r="D1470" i="9"/>
  <c r="I1470" i="9"/>
  <c r="E1470" i="9"/>
  <c r="B1470" i="9"/>
  <c r="C1470" i="9"/>
  <c r="G1466" i="9"/>
  <c r="F1466" i="9"/>
  <c r="H1466" i="9"/>
  <c r="D1466" i="9"/>
  <c r="I1466" i="9"/>
  <c r="E1466" i="9"/>
  <c r="B1466" i="9"/>
  <c r="C1466" i="9"/>
  <c r="G1462" i="9"/>
  <c r="F1462" i="9"/>
  <c r="H1462" i="9"/>
  <c r="D1462" i="9"/>
  <c r="I1462" i="9"/>
  <c r="E1462" i="9"/>
  <c r="B1462" i="9"/>
  <c r="C1462" i="9"/>
  <c r="G1458" i="9"/>
  <c r="F1458" i="9"/>
  <c r="H1458" i="9"/>
  <c r="I1458" i="9"/>
  <c r="D1458" i="9"/>
  <c r="E1458" i="9"/>
  <c r="B1458" i="9"/>
  <c r="C1458" i="9"/>
  <c r="G1454" i="9"/>
  <c r="F1454" i="9"/>
  <c r="H1454" i="9"/>
  <c r="D1454" i="9"/>
  <c r="I1454" i="9"/>
  <c r="E1454" i="9"/>
  <c r="B1454" i="9"/>
  <c r="C1454" i="9"/>
  <c r="G1450" i="9"/>
  <c r="F1450" i="9"/>
  <c r="H1450" i="9"/>
  <c r="D1450" i="9"/>
  <c r="I1450" i="9"/>
  <c r="E1450" i="9"/>
  <c r="B1450" i="9"/>
  <c r="C1450" i="9"/>
  <c r="G1446" i="9"/>
  <c r="F1446" i="9"/>
  <c r="H1446" i="9"/>
  <c r="D1446" i="9"/>
  <c r="I1446" i="9"/>
  <c r="E1446" i="9"/>
  <c r="B1446" i="9"/>
  <c r="C1446" i="9"/>
  <c r="G1442" i="9"/>
  <c r="F1442" i="9"/>
  <c r="H1442" i="9"/>
  <c r="I1442" i="9"/>
  <c r="D1442" i="9"/>
  <c r="E1442" i="9"/>
  <c r="B1442" i="9"/>
  <c r="C1442" i="9"/>
  <c r="G1438" i="9"/>
  <c r="F1438" i="9"/>
  <c r="H1438" i="9"/>
  <c r="D1438" i="9"/>
  <c r="I1438" i="9"/>
  <c r="E1438" i="9"/>
  <c r="B1438" i="9"/>
  <c r="C1438" i="9"/>
  <c r="G1434" i="9"/>
  <c r="F1434" i="9"/>
  <c r="H1434" i="9"/>
  <c r="D1434" i="9"/>
  <c r="I1434" i="9"/>
  <c r="E1434" i="9"/>
  <c r="B1434" i="9"/>
  <c r="C1434" i="9"/>
  <c r="G1430" i="9"/>
  <c r="F1430" i="9"/>
  <c r="H1430" i="9"/>
  <c r="D1430" i="9"/>
  <c r="I1430" i="9"/>
  <c r="E1430" i="9"/>
  <c r="B1430" i="9"/>
  <c r="C1430" i="9"/>
  <c r="G1426" i="9"/>
  <c r="F1426" i="9"/>
  <c r="H1426" i="9"/>
  <c r="I1426" i="9"/>
  <c r="D1426" i="9"/>
  <c r="E1426" i="9"/>
  <c r="B1426" i="9"/>
  <c r="C1426" i="9"/>
  <c r="G1422" i="9"/>
  <c r="F1422" i="9"/>
  <c r="H1422" i="9"/>
  <c r="D1422" i="9"/>
  <c r="I1422" i="9"/>
  <c r="E1422" i="9"/>
  <c r="B1422" i="9"/>
  <c r="C1422" i="9"/>
  <c r="G1418" i="9"/>
  <c r="F1418" i="9"/>
  <c r="H1418" i="9"/>
  <c r="D1418" i="9"/>
  <c r="I1418" i="9"/>
  <c r="E1418" i="9"/>
  <c r="B1418" i="9"/>
  <c r="C1418" i="9"/>
  <c r="G1414" i="9"/>
  <c r="F1414" i="9"/>
  <c r="H1414" i="9"/>
  <c r="D1414" i="9"/>
  <c r="I1414" i="9"/>
  <c r="E1414" i="9"/>
  <c r="B1414" i="9"/>
  <c r="C1414" i="9"/>
  <c r="G1410" i="9"/>
  <c r="F1410" i="9"/>
  <c r="H1410" i="9"/>
  <c r="I1410" i="9"/>
  <c r="D1410" i="9"/>
  <c r="E1410" i="9"/>
  <c r="B1410" i="9"/>
  <c r="C1410" i="9"/>
  <c r="G1406" i="9"/>
  <c r="F1406" i="9"/>
  <c r="H1406" i="9"/>
  <c r="D1406" i="9"/>
  <c r="I1406" i="9"/>
  <c r="E1406" i="9"/>
  <c r="B1406" i="9"/>
  <c r="C1406" i="9"/>
  <c r="G1402" i="9"/>
  <c r="F1402" i="9"/>
  <c r="H1402" i="9"/>
  <c r="D1402" i="9"/>
  <c r="I1402" i="9"/>
  <c r="E1402" i="9"/>
  <c r="B1402" i="9"/>
  <c r="C1402" i="9"/>
  <c r="G1398" i="9"/>
  <c r="F1398" i="9"/>
  <c r="H1398" i="9"/>
  <c r="D1398" i="9"/>
  <c r="I1398" i="9"/>
  <c r="E1398" i="9"/>
  <c r="B1398" i="9"/>
  <c r="C1398" i="9"/>
  <c r="G1394" i="9"/>
  <c r="F1394" i="9"/>
  <c r="H1394" i="9"/>
  <c r="I1394" i="9"/>
  <c r="D1394" i="9"/>
  <c r="E1394" i="9"/>
  <c r="B1394" i="9"/>
  <c r="C1394" i="9"/>
  <c r="G1390" i="9"/>
  <c r="F1390" i="9"/>
  <c r="H1390" i="9"/>
  <c r="D1390" i="9"/>
  <c r="I1390" i="9"/>
  <c r="E1390" i="9"/>
  <c r="B1390" i="9"/>
  <c r="C1390" i="9"/>
  <c r="G1386" i="9"/>
  <c r="F1386" i="9"/>
  <c r="H1386" i="9"/>
  <c r="D1386" i="9"/>
  <c r="I1386" i="9"/>
  <c r="E1386" i="9"/>
  <c r="B1386" i="9"/>
  <c r="C1386" i="9"/>
  <c r="G1382" i="9"/>
  <c r="F1382" i="9"/>
  <c r="H1382" i="9"/>
  <c r="D1382" i="9"/>
  <c r="I1382" i="9"/>
  <c r="E1382" i="9"/>
  <c r="B1382" i="9"/>
  <c r="C1382" i="9"/>
  <c r="G1378" i="9"/>
  <c r="F1378" i="9"/>
  <c r="H1378" i="9"/>
  <c r="I1378" i="9"/>
  <c r="D1378" i="9"/>
  <c r="E1378" i="9"/>
  <c r="B1378" i="9"/>
  <c r="C1378" i="9"/>
  <c r="G1374" i="9"/>
  <c r="F1374" i="9"/>
  <c r="H1374" i="9"/>
  <c r="D1374" i="9"/>
  <c r="I1374" i="9"/>
  <c r="E1374" i="9"/>
  <c r="B1374" i="9"/>
  <c r="C1374" i="9"/>
  <c r="G1370" i="9"/>
  <c r="F1370" i="9"/>
  <c r="H1370" i="9"/>
  <c r="D1370" i="9"/>
  <c r="I1370" i="9"/>
  <c r="E1370" i="9"/>
  <c r="B1370" i="9"/>
  <c r="C1370" i="9"/>
  <c r="G1366" i="9"/>
  <c r="F1366" i="9"/>
  <c r="H1366" i="9"/>
  <c r="D1366" i="9"/>
  <c r="I1366" i="9"/>
  <c r="E1366" i="9"/>
  <c r="B1366" i="9"/>
  <c r="C1366" i="9"/>
  <c r="G1362" i="9"/>
  <c r="F1362" i="9"/>
  <c r="H1362" i="9"/>
  <c r="I1362" i="9"/>
  <c r="D1362" i="9"/>
  <c r="E1362" i="9"/>
  <c r="B1362" i="9"/>
  <c r="C1362" i="9"/>
  <c r="G1358" i="9"/>
  <c r="F1358" i="9"/>
  <c r="H1358" i="9"/>
  <c r="D1358" i="9"/>
  <c r="I1358" i="9"/>
  <c r="E1358" i="9"/>
  <c r="B1358" i="9"/>
  <c r="C1358" i="9"/>
  <c r="G1354" i="9"/>
  <c r="F1354" i="9"/>
  <c r="H1354" i="9"/>
  <c r="D1354" i="9"/>
  <c r="I1354" i="9"/>
  <c r="E1354" i="9"/>
  <c r="B1354" i="9"/>
  <c r="C1354" i="9"/>
  <c r="G1350" i="9"/>
  <c r="F1350" i="9"/>
  <c r="H1350" i="9"/>
  <c r="D1350" i="9"/>
  <c r="I1350" i="9"/>
  <c r="E1350" i="9"/>
  <c r="B1350" i="9"/>
  <c r="C1350" i="9"/>
  <c r="G1346" i="9"/>
  <c r="F1346" i="9"/>
  <c r="H1346" i="9"/>
  <c r="I1346" i="9"/>
  <c r="D1346" i="9"/>
  <c r="E1346" i="9"/>
  <c r="B1346" i="9"/>
  <c r="C1346" i="9"/>
  <c r="G1342" i="9"/>
  <c r="F1342" i="9"/>
  <c r="H1342" i="9"/>
  <c r="D1342" i="9"/>
  <c r="I1342" i="9"/>
  <c r="E1342" i="9"/>
  <c r="B1342" i="9"/>
  <c r="C1342" i="9"/>
  <c r="G1338" i="9"/>
  <c r="F1338" i="9"/>
  <c r="H1338" i="9"/>
  <c r="D1338" i="9"/>
  <c r="I1338" i="9"/>
  <c r="E1338" i="9"/>
  <c r="B1338" i="9"/>
  <c r="C1338" i="9"/>
  <c r="G1334" i="9"/>
  <c r="F1334" i="9"/>
  <c r="H1334" i="9"/>
  <c r="D1334" i="9"/>
  <c r="I1334" i="9"/>
  <c r="E1334" i="9"/>
  <c r="B1334" i="9"/>
  <c r="C1334" i="9"/>
  <c r="G1330" i="9"/>
  <c r="F1330" i="9"/>
  <c r="H1330" i="9"/>
  <c r="I1330" i="9"/>
  <c r="D1330" i="9"/>
  <c r="E1330" i="9"/>
  <c r="B1330" i="9"/>
  <c r="C1330" i="9"/>
  <c r="G1326" i="9"/>
  <c r="F1326" i="9"/>
  <c r="H1326" i="9"/>
  <c r="D1326" i="9"/>
  <c r="I1326" i="9"/>
  <c r="E1326" i="9"/>
  <c r="B1326" i="9"/>
  <c r="C1326" i="9"/>
  <c r="G1322" i="9"/>
  <c r="F1322" i="9"/>
  <c r="H1322" i="9"/>
  <c r="D1322" i="9"/>
  <c r="I1322" i="9"/>
  <c r="E1322" i="9"/>
  <c r="B1322" i="9"/>
  <c r="C1322" i="9"/>
  <c r="G1318" i="9"/>
  <c r="F1318" i="9"/>
  <c r="H1318" i="9"/>
  <c r="D1318" i="9"/>
  <c r="I1318" i="9"/>
  <c r="E1318" i="9"/>
  <c r="B1318" i="9"/>
  <c r="C1318" i="9"/>
  <c r="G1314" i="9"/>
  <c r="F1314" i="9"/>
  <c r="H1314" i="9"/>
  <c r="I1314" i="9"/>
  <c r="D1314" i="9"/>
  <c r="E1314" i="9"/>
  <c r="B1314" i="9"/>
  <c r="C1314" i="9"/>
  <c r="G1310" i="9"/>
  <c r="F1310" i="9"/>
  <c r="H1310" i="9"/>
  <c r="D1310" i="9"/>
  <c r="I1310" i="9"/>
  <c r="E1310" i="9"/>
  <c r="B1310" i="9"/>
  <c r="C1310" i="9"/>
  <c r="G1306" i="9"/>
  <c r="F1306" i="9"/>
  <c r="H1306" i="9"/>
  <c r="D1306" i="9"/>
  <c r="I1306" i="9"/>
  <c r="E1306" i="9"/>
  <c r="B1306" i="9"/>
  <c r="C1306" i="9"/>
  <c r="G1302" i="9"/>
  <c r="F1302" i="9"/>
  <c r="H1302" i="9"/>
  <c r="D1302" i="9"/>
  <c r="I1302" i="9"/>
  <c r="E1302" i="9"/>
  <c r="B1302" i="9"/>
  <c r="C1302" i="9"/>
  <c r="G1298" i="9"/>
  <c r="F1298" i="9"/>
  <c r="H1298" i="9"/>
  <c r="I1298" i="9"/>
  <c r="D1298" i="9"/>
  <c r="E1298" i="9"/>
  <c r="B1298" i="9"/>
  <c r="C1298" i="9"/>
  <c r="G1294" i="9"/>
  <c r="F1294" i="9"/>
  <c r="H1294" i="9"/>
  <c r="D1294" i="9"/>
  <c r="I1294" i="9"/>
  <c r="E1294" i="9"/>
  <c r="B1294" i="9"/>
  <c r="C1294" i="9"/>
  <c r="G1290" i="9"/>
  <c r="F1290" i="9"/>
  <c r="H1290" i="9"/>
  <c r="D1290" i="9"/>
  <c r="I1290" i="9"/>
  <c r="E1290" i="9"/>
  <c r="B1290" i="9"/>
  <c r="C1290" i="9"/>
  <c r="G1286" i="9"/>
  <c r="F1286" i="9"/>
  <c r="H1286" i="9"/>
  <c r="D1286" i="9"/>
  <c r="I1286" i="9"/>
  <c r="E1286" i="9"/>
  <c r="B1286" i="9"/>
  <c r="C1286" i="9"/>
  <c r="G1282" i="9"/>
  <c r="F1282" i="9"/>
  <c r="H1282" i="9"/>
  <c r="I1282" i="9"/>
  <c r="D1282" i="9"/>
  <c r="E1282" i="9"/>
  <c r="B1282" i="9"/>
  <c r="C1282" i="9"/>
  <c r="G1278" i="9"/>
  <c r="F1278" i="9"/>
  <c r="H1278" i="9"/>
  <c r="D1278" i="9"/>
  <c r="I1278" i="9"/>
  <c r="E1278" i="9"/>
  <c r="B1278" i="9"/>
  <c r="C1278" i="9"/>
  <c r="G1274" i="9"/>
  <c r="F1274" i="9"/>
  <c r="H1274" i="9"/>
  <c r="D1274" i="9"/>
  <c r="I1274" i="9"/>
  <c r="E1274" i="9"/>
  <c r="B1274" i="9"/>
  <c r="C1274" i="9"/>
  <c r="G1270" i="9"/>
  <c r="F1270" i="9"/>
  <c r="H1270" i="9"/>
  <c r="D1270" i="9"/>
  <c r="I1270" i="9"/>
  <c r="E1270" i="9"/>
  <c r="B1270" i="9"/>
  <c r="C1270" i="9"/>
  <c r="G1266" i="9"/>
  <c r="F1266" i="9"/>
  <c r="H1266" i="9"/>
  <c r="I1266" i="9"/>
  <c r="D1266" i="9"/>
  <c r="E1266" i="9"/>
  <c r="B1266" i="9"/>
  <c r="C1266" i="9"/>
  <c r="G1262" i="9"/>
  <c r="F1262" i="9"/>
  <c r="H1262" i="9"/>
  <c r="D1262" i="9"/>
  <c r="I1262" i="9"/>
  <c r="E1262" i="9"/>
  <c r="B1262" i="9"/>
  <c r="C1262" i="9"/>
  <c r="G1258" i="9"/>
  <c r="F1258" i="9"/>
  <c r="H1258" i="9"/>
  <c r="D1258" i="9"/>
  <c r="I1258" i="9"/>
  <c r="E1258" i="9"/>
  <c r="B1258" i="9"/>
  <c r="C1258" i="9"/>
  <c r="G1254" i="9"/>
  <c r="F1254" i="9"/>
  <c r="H1254" i="9"/>
  <c r="D1254" i="9"/>
  <c r="I1254" i="9"/>
  <c r="E1254" i="9"/>
  <c r="B1254" i="9"/>
  <c r="C1254" i="9"/>
  <c r="G1250" i="9"/>
  <c r="F1250" i="9"/>
  <c r="H1250" i="9"/>
  <c r="I1250" i="9"/>
  <c r="D1250" i="9"/>
  <c r="E1250" i="9"/>
  <c r="B1250" i="9"/>
  <c r="C1250" i="9"/>
  <c r="G1246" i="9"/>
  <c r="F1246" i="9"/>
  <c r="H1246" i="9"/>
  <c r="D1246" i="9"/>
  <c r="I1246" i="9"/>
  <c r="E1246" i="9"/>
  <c r="B1246" i="9"/>
  <c r="C1246" i="9"/>
  <c r="G1242" i="9"/>
  <c r="F1242" i="9"/>
  <c r="H1242" i="9"/>
  <c r="D1242" i="9"/>
  <c r="I1242" i="9"/>
  <c r="E1242" i="9"/>
  <c r="B1242" i="9"/>
  <c r="C1242" i="9"/>
  <c r="G1238" i="9"/>
  <c r="F1238" i="9"/>
  <c r="H1238" i="9"/>
  <c r="D1238" i="9"/>
  <c r="I1238" i="9"/>
  <c r="E1238" i="9"/>
  <c r="B1238" i="9"/>
  <c r="C1238" i="9"/>
  <c r="G1234" i="9"/>
  <c r="F1234" i="9"/>
  <c r="H1234" i="9"/>
  <c r="I1234" i="9"/>
  <c r="D1234" i="9"/>
  <c r="E1234" i="9"/>
  <c r="B1234" i="9"/>
  <c r="C1234" i="9"/>
  <c r="G1230" i="9"/>
  <c r="F1230" i="9"/>
  <c r="H1230" i="9"/>
  <c r="D1230" i="9"/>
  <c r="I1230" i="9"/>
  <c r="E1230" i="9"/>
  <c r="B1230" i="9"/>
  <c r="C1230" i="9"/>
  <c r="G1226" i="9"/>
  <c r="F1226" i="9"/>
  <c r="H1226" i="9"/>
  <c r="D1226" i="9"/>
  <c r="I1226" i="9"/>
  <c r="E1226" i="9"/>
  <c r="B1226" i="9"/>
  <c r="C1226" i="9"/>
  <c r="G1222" i="9"/>
  <c r="F1222" i="9"/>
  <c r="H1222" i="9"/>
  <c r="D1222" i="9"/>
  <c r="I1222" i="9"/>
  <c r="E1222" i="9"/>
  <c r="B1222" i="9"/>
  <c r="C1222" i="9"/>
  <c r="G1218" i="9"/>
  <c r="F1218" i="9"/>
  <c r="H1218" i="9"/>
  <c r="I1218" i="9"/>
  <c r="D1218" i="9"/>
  <c r="E1218" i="9"/>
  <c r="B1218" i="9"/>
  <c r="C1218" i="9"/>
  <c r="G1214" i="9"/>
  <c r="F1214" i="9"/>
  <c r="H1214" i="9"/>
  <c r="D1214" i="9"/>
  <c r="I1214" i="9"/>
  <c r="E1214" i="9"/>
  <c r="B1214" i="9"/>
  <c r="C1214" i="9"/>
  <c r="G1210" i="9"/>
  <c r="F1210" i="9"/>
  <c r="H1210" i="9"/>
  <c r="D1210" i="9"/>
  <c r="I1210" i="9"/>
  <c r="E1210" i="9"/>
  <c r="B1210" i="9"/>
  <c r="C1210" i="9"/>
  <c r="G1206" i="9"/>
  <c r="F1206" i="9"/>
  <c r="H1206" i="9"/>
  <c r="D1206" i="9"/>
  <c r="I1206" i="9"/>
  <c r="E1206" i="9"/>
  <c r="B1206" i="9"/>
  <c r="C1206" i="9"/>
  <c r="G1202" i="9"/>
  <c r="F1202" i="9"/>
  <c r="H1202" i="9"/>
  <c r="I1202" i="9"/>
  <c r="D1202" i="9"/>
  <c r="E1202" i="9"/>
  <c r="B1202" i="9"/>
  <c r="C1202" i="9"/>
  <c r="G1198" i="9"/>
  <c r="F1198" i="9"/>
  <c r="H1198" i="9"/>
  <c r="D1198" i="9"/>
  <c r="I1198" i="9"/>
  <c r="E1198" i="9"/>
  <c r="B1198" i="9"/>
  <c r="C1198" i="9"/>
  <c r="G1194" i="9"/>
  <c r="F1194" i="9"/>
  <c r="H1194" i="9"/>
  <c r="D1194" i="9"/>
  <c r="I1194" i="9"/>
  <c r="E1194" i="9"/>
  <c r="B1194" i="9"/>
  <c r="C1194" i="9"/>
  <c r="G1190" i="9"/>
  <c r="F1190" i="9"/>
  <c r="H1190" i="9"/>
  <c r="D1190" i="9"/>
  <c r="I1190" i="9"/>
  <c r="E1190" i="9"/>
  <c r="B1190" i="9"/>
  <c r="C1190" i="9"/>
  <c r="G1186" i="9"/>
  <c r="F1186" i="9"/>
  <c r="H1186" i="9"/>
  <c r="I1186" i="9"/>
  <c r="D1186" i="9"/>
  <c r="E1186" i="9"/>
  <c r="B1186" i="9"/>
  <c r="C1186" i="9"/>
  <c r="G1182" i="9"/>
  <c r="F1182" i="9"/>
  <c r="H1182" i="9"/>
  <c r="D1182" i="9"/>
  <c r="I1182" i="9"/>
  <c r="E1182" i="9"/>
  <c r="B1182" i="9"/>
  <c r="C1182" i="9"/>
  <c r="G1178" i="9"/>
  <c r="F1178" i="9"/>
  <c r="H1178" i="9"/>
  <c r="D1178" i="9"/>
  <c r="I1178" i="9"/>
  <c r="E1178" i="9"/>
  <c r="B1178" i="9"/>
  <c r="C1178" i="9"/>
  <c r="G1174" i="9"/>
  <c r="F1174" i="9"/>
  <c r="H1174" i="9"/>
  <c r="D1174" i="9"/>
  <c r="I1174" i="9"/>
  <c r="E1174" i="9"/>
  <c r="B1174" i="9"/>
  <c r="C1174" i="9"/>
  <c r="G1170" i="9"/>
  <c r="F1170" i="9"/>
  <c r="H1170" i="9"/>
  <c r="I1170" i="9"/>
  <c r="D1170" i="9"/>
  <c r="E1170" i="9"/>
  <c r="B1170" i="9"/>
  <c r="C1170" i="9"/>
  <c r="G1166" i="9"/>
  <c r="F1166" i="9"/>
  <c r="H1166" i="9"/>
  <c r="D1166" i="9"/>
  <c r="I1166" i="9"/>
  <c r="E1166" i="9"/>
  <c r="B1166" i="9"/>
  <c r="C1166" i="9"/>
  <c r="G1162" i="9"/>
  <c r="F1162" i="9"/>
  <c r="H1162" i="9"/>
  <c r="D1162" i="9"/>
  <c r="I1162" i="9"/>
  <c r="E1162" i="9"/>
  <c r="B1162" i="9"/>
  <c r="C1162" i="9"/>
  <c r="G1158" i="9"/>
  <c r="F1158" i="9"/>
  <c r="H1158" i="9"/>
  <c r="D1158" i="9"/>
  <c r="I1158" i="9"/>
  <c r="E1158" i="9"/>
  <c r="B1158" i="9"/>
  <c r="C1158" i="9"/>
  <c r="G1154" i="9"/>
  <c r="F1154" i="9"/>
  <c r="H1154" i="9"/>
  <c r="I1154" i="9"/>
  <c r="D1154" i="9"/>
  <c r="E1154" i="9"/>
  <c r="B1154" i="9"/>
  <c r="C1154" i="9"/>
  <c r="G1150" i="9"/>
  <c r="F1150" i="9"/>
  <c r="H1150" i="9"/>
  <c r="D1150" i="9"/>
  <c r="I1150" i="9"/>
  <c r="E1150" i="9"/>
  <c r="B1150" i="9"/>
  <c r="C1150" i="9"/>
  <c r="G1146" i="9"/>
  <c r="F1146" i="9"/>
  <c r="H1146" i="9"/>
  <c r="D1146" i="9"/>
  <c r="I1146" i="9"/>
  <c r="E1146" i="9"/>
  <c r="B1146" i="9"/>
  <c r="C1146" i="9"/>
  <c r="G1142" i="9"/>
  <c r="F1142" i="9"/>
  <c r="H1142" i="9"/>
  <c r="D1142" i="9"/>
  <c r="I1142" i="9"/>
  <c r="E1142" i="9"/>
  <c r="B1142" i="9"/>
  <c r="C1142" i="9"/>
  <c r="G1138" i="9"/>
  <c r="F1138" i="9"/>
  <c r="H1138" i="9"/>
  <c r="I1138" i="9"/>
  <c r="D1138" i="9"/>
  <c r="E1138" i="9"/>
  <c r="B1138" i="9"/>
  <c r="C1138" i="9"/>
  <c r="G1134" i="9"/>
  <c r="F1134" i="9"/>
  <c r="H1134" i="9"/>
  <c r="D1134" i="9"/>
  <c r="I1134" i="9"/>
  <c r="E1134" i="9"/>
  <c r="B1134" i="9"/>
  <c r="C1134" i="9"/>
  <c r="G1130" i="9"/>
  <c r="F1130" i="9"/>
  <c r="H1130" i="9"/>
  <c r="D1130" i="9"/>
  <c r="I1130" i="9"/>
  <c r="E1130" i="9"/>
  <c r="B1130" i="9"/>
  <c r="C1130" i="9"/>
  <c r="G1126" i="9"/>
  <c r="F1126" i="9"/>
  <c r="H1126" i="9"/>
  <c r="D1126" i="9"/>
  <c r="I1126" i="9"/>
  <c r="E1126" i="9"/>
  <c r="B1126" i="9"/>
  <c r="C1126" i="9"/>
  <c r="G1122" i="9"/>
  <c r="F1122" i="9"/>
  <c r="H1122" i="9"/>
  <c r="I1122" i="9"/>
  <c r="D1122" i="9"/>
  <c r="E1122" i="9"/>
  <c r="B1122" i="9"/>
  <c r="C1122" i="9"/>
  <c r="G1118" i="9"/>
  <c r="F1118" i="9"/>
  <c r="H1118" i="9"/>
  <c r="D1118" i="9"/>
  <c r="I1118" i="9"/>
  <c r="E1118" i="9"/>
  <c r="B1118" i="9"/>
  <c r="C1118" i="9"/>
  <c r="G1114" i="9"/>
  <c r="F1114" i="9"/>
  <c r="H1114" i="9"/>
  <c r="D1114" i="9"/>
  <c r="I1114" i="9"/>
  <c r="E1114" i="9"/>
  <c r="B1114" i="9"/>
  <c r="C1114" i="9"/>
  <c r="G1110" i="9"/>
  <c r="F1110" i="9"/>
  <c r="H1110" i="9"/>
  <c r="D1110" i="9"/>
  <c r="I1110" i="9"/>
  <c r="E1110" i="9"/>
  <c r="B1110" i="9"/>
  <c r="C1110" i="9"/>
  <c r="G1106" i="9"/>
  <c r="F1106" i="9"/>
  <c r="H1106" i="9"/>
  <c r="I1106" i="9"/>
  <c r="D1106" i="9"/>
  <c r="E1106" i="9"/>
  <c r="B1106" i="9"/>
  <c r="C1106" i="9"/>
  <c r="G1102" i="9"/>
  <c r="F1102" i="9"/>
  <c r="H1102" i="9"/>
  <c r="D1102" i="9"/>
  <c r="I1102" i="9"/>
  <c r="E1102" i="9"/>
  <c r="B1102" i="9"/>
  <c r="C1102" i="9"/>
  <c r="G1098" i="9"/>
  <c r="F1098" i="9"/>
  <c r="H1098" i="9"/>
  <c r="D1098" i="9"/>
  <c r="I1098" i="9"/>
  <c r="E1098" i="9"/>
  <c r="B1098" i="9"/>
  <c r="C1098" i="9"/>
  <c r="G1094" i="9"/>
  <c r="F1094" i="9"/>
  <c r="H1094" i="9"/>
  <c r="D1094" i="9"/>
  <c r="I1094" i="9"/>
  <c r="E1094" i="9"/>
  <c r="B1094" i="9"/>
  <c r="C1094" i="9"/>
  <c r="G1090" i="9"/>
  <c r="F1090" i="9"/>
  <c r="H1090" i="9"/>
  <c r="I1090" i="9"/>
  <c r="D1090" i="9"/>
  <c r="E1090" i="9"/>
  <c r="B1090" i="9"/>
  <c r="C1090" i="9"/>
  <c r="G1086" i="9"/>
  <c r="F1086" i="9"/>
  <c r="H1086" i="9"/>
  <c r="D1086" i="9"/>
  <c r="I1086" i="9"/>
  <c r="E1086" i="9"/>
  <c r="B1086" i="9"/>
  <c r="C1086" i="9"/>
  <c r="G1082" i="9"/>
  <c r="F1082" i="9"/>
  <c r="H1082" i="9"/>
  <c r="D1082" i="9"/>
  <c r="I1082" i="9"/>
  <c r="E1082" i="9"/>
  <c r="B1082" i="9"/>
  <c r="C1082" i="9"/>
  <c r="G1078" i="9"/>
  <c r="F1078" i="9"/>
  <c r="H1078" i="9"/>
  <c r="D1078" i="9"/>
  <c r="I1078" i="9"/>
  <c r="E1078" i="9"/>
  <c r="B1078" i="9"/>
  <c r="C1078" i="9"/>
  <c r="G1074" i="9"/>
  <c r="F1074" i="9"/>
  <c r="H1074" i="9"/>
  <c r="I1074" i="9"/>
  <c r="D1074" i="9"/>
  <c r="E1074" i="9"/>
  <c r="B1074" i="9"/>
  <c r="C1074" i="9"/>
  <c r="G1070" i="9"/>
  <c r="F1070" i="9"/>
  <c r="H1070" i="9"/>
  <c r="D1070" i="9"/>
  <c r="I1070" i="9"/>
  <c r="E1070" i="9"/>
  <c r="B1070" i="9"/>
  <c r="C1070" i="9"/>
  <c r="G1066" i="9"/>
  <c r="F1066" i="9"/>
  <c r="H1066" i="9"/>
  <c r="D1066" i="9"/>
  <c r="I1066" i="9"/>
  <c r="E1066" i="9"/>
  <c r="B1066" i="9"/>
  <c r="C1066" i="9"/>
  <c r="G1062" i="9"/>
  <c r="F1062" i="9"/>
  <c r="H1062" i="9"/>
  <c r="D1062" i="9"/>
  <c r="I1062" i="9"/>
  <c r="E1062" i="9"/>
  <c r="B1062" i="9"/>
  <c r="C1062" i="9"/>
  <c r="G1058" i="9"/>
  <c r="F1058" i="9"/>
  <c r="H1058" i="9"/>
  <c r="I1058" i="9"/>
  <c r="D1058" i="9"/>
  <c r="E1058" i="9"/>
  <c r="B1058" i="9"/>
  <c r="C1058" i="9"/>
  <c r="G1054" i="9"/>
  <c r="F1054" i="9"/>
  <c r="H1054" i="9"/>
  <c r="D1054" i="9"/>
  <c r="I1054" i="9"/>
  <c r="E1054" i="9"/>
  <c r="B1054" i="9"/>
  <c r="C1054" i="9"/>
  <c r="G1050" i="9"/>
  <c r="F1050" i="9"/>
  <c r="H1050" i="9"/>
  <c r="D1050" i="9"/>
  <c r="I1050" i="9"/>
  <c r="E1050" i="9"/>
  <c r="B1050" i="9"/>
  <c r="C1050" i="9"/>
  <c r="G1046" i="9"/>
  <c r="F1046" i="9"/>
  <c r="H1046" i="9"/>
  <c r="D1046" i="9"/>
  <c r="I1046" i="9"/>
  <c r="E1046" i="9"/>
  <c r="B1046" i="9"/>
  <c r="C1046" i="9"/>
  <c r="G1042" i="9"/>
  <c r="F1042" i="9"/>
  <c r="H1042" i="9"/>
  <c r="I1042" i="9"/>
  <c r="D1042" i="9"/>
  <c r="E1042" i="9"/>
  <c r="B1042" i="9"/>
  <c r="C1042" i="9"/>
  <c r="G1038" i="9"/>
  <c r="F1038" i="9"/>
  <c r="H1038" i="9"/>
  <c r="D1038" i="9"/>
  <c r="I1038" i="9"/>
  <c r="E1038" i="9"/>
  <c r="B1038" i="9"/>
  <c r="C1038" i="9"/>
  <c r="G1034" i="9"/>
  <c r="F1034" i="9"/>
  <c r="H1034" i="9"/>
  <c r="D1034" i="9"/>
  <c r="I1034" i="9"/>
  <c r="E1034" i="9"/>
  <c r="B1034" i="9"/>
  <c r="C1034" i="9"/>
  <c r="G1030" i="9"/>
  <c r="F1030" i="9"/>
  <c r="H1030" i="9"/>
  <c r="D1030" i="9"/>
  <c r="I1030" i="9"/>
  <c r="E1030" i="9"/>
  <c r="B1030" i="9"/>
  <c r="C1030" i="9"/>
  <c r="G1026" i="9"/>
  <c r="F1026" i="9"/>
  <c r="H1026" i="9"/>
  <c r="I1026" i="9"/>
  <c r="D1026" i="9"/>
  <c r="E1026" i="9"/>
  <c r="B1026" i="9"/>
  <c r="C1026" i="9"/>
  <c r="G1022" i="9"/>
  <c r="F1022" i="9"/>
  <c r="H1022" i="9"/>
  <c r="D1022" i="9"/>
  <c r="I1022" i="9"/>
  <c r="E1022" i="9"/>
  <c r="B1022" i="9"/>
  <c r="C1022" i="9"/>
  <c r="G1018" i="9"/>
  <c r="F1018" i="9"/>
  <c r="H1018" i="9"/>
  <c r="D1018" i="9"/>
  <c r="I1018" i="9"/>
  <c r="E1018" i="9"/>
  <c r="B1018" i="9"/>
  <c r="C1018" i="9"/>
  <c r="G1014" i="9"/>
  <c r="F1014" i="9"/>
  <c r="H1014" i="9"/>
  <c r="D1014" i="9"/>
  <c r="I1014" i="9"/>
  <c r="E1014" i="9"/>
  <c r="B1014" i="9"/>
  <c r="C1014" i="9"/>
  <c r="G1010" i="9"/>
  <c r="F1010" i="9"/>
  <c r="H1010" i="9"/>
  <c r="I1010" i="9"/>
  <c r="D1010" i="9"/>
  <c r="E1010" i="9"/>
  <c r="B1010" i="9"/>
  <c r="C1010" i="9"/>
  <c r="G1006" i="9"/>
  <c r="F1006" i="9"/>
  <c r="H1006" i="9"/>
  <c r="D1006" i="9"/>
  <c r="I1006" i="9"/>
  <c r="E1006" i="9"/>
  <c r="B1006" i="9"/>
  <c r="C1006" i="9"/>
  <c r="G1002" i="9"/>
  <c r="F1002" i="9"/>
  <c r="H1002" i="9"/>
  <c r="D1002" i="9"/>
  <c r="I1002" i="9"/>
  <c r="E1002" i="9"/>
  <c r="B1002" i="9"/>
  <c r="C1002" i="9"/>
  <c r="G998" i="9"/>
  <c r="F998" i="9"/>
  <c r="H998" i="9"/>
  <c r="D998" i="9"/>
  <c r="I998" i="9"/>
  <c r="E998" i="9"/>
  <c r="B998" i="9"/>
  <c r="C998" i="9"/>
  <c r="G994" i="9"/>
  <c r="F994" i="9"/>
  <c r="H994" i="9"/>
  <c r="I994" i="9"/>
  <c r="D994" i="9"/>
  <c r="E994" i="9"/>
  <c r="B994" i="9"/>
  <c r="C994" i="9"/>
  <c r="G990" i="9"/>
  <c r="F990" i="9"/>
  <c r="H990" i="9"/>
  <c r="D990" i="9"/>
  <c r="I990" i="9"/>
  <c r="E990" i="9"/>
  <c r="B990" i="9"/>
  <c r="C990" i="9"/>
  <c r="G986" i="9"/>
  <c r="F986" i="9"/>
  <c r="H986" i="9"/>
  <c r="D986" i="9"/>
  <c r="I986" i="9"/>
  <c r="E986" i="9"/>
  <c r="B986" i="9"/>
  <c r="C986" i="9"/>
  <c r="G982" i="9"/>
  <c r="F982" i="9"/>
  <c r="H982" i="9"/>
  <c r="D982" i="9"/>
  <c r="I982" i="9"/>
  <c r="E982" i="9"/>
  <c r="B982" i="9"/>
  <c r="C982" i="9"/>
  <c r="G978" i="9"/>
  <c r="F978" i="9"/>
  <c r="H978" i="9"/>
  <c r="I978" i="9"/>
  <c r="D978" i="9"/>
  <c r="E978" i="9"/>
  <c r="B978" i="9"/>
  <c r="C978" i="9"/>
  <c r="G974" i="9"/>
  <c r="F974" i="9"/>
  <c r="H974" i="9"/>
  <c r="D974" i="9"/>
  <c r="I974" i="9"/>
  <c r="E974" i="9"/>
  <c r="B974" i="9"/>
  <c r="C974" i="9"/>
  <c r="G970" i="9"/>
  <c r="F970" i="9"/>
  <c r="H970" i="9"/>
  <c r="D970" i="9"/>
  <c r="I970" i="9"/>
  <c r="E970" i="9"/>
  <c r="B970" i="9"/>
  <c r="C970" i="9"/>
  <c r="G966" i="9"/>
  <c r="F966" i="9"/>
  <c r="H966" i="9"/>
  <c r="D966" i="9"/>
  <c r="I966" i="9"/>
  <c r="E966" i="9"/>
  <c r="B966" i="9"/>
  <c r="C966" i="9"/>
  <c r="G962" i="9"/>
  <c r="F962" i="9"/>
  <c r="H962" i="9"/>
  <c r="I962" i="9"/>
  <c r="D962" i="9"/>
  <c r="E962" i="9"/>
  <c r="B962" i="9"/>
  <c r="C962" i="9"/>
  <c r="G958" i="9"/>
  <c r="F958" i="9"/>
  <c r="H958" i="9"/>
  <c r="D958" i="9"/>
  <c r="I958" i="9"/>
  <c r="E958" i="9"/>
  <c r="B958" i="9"/>
  <c r="C958" i="9"/>
  <c r="G954" i="9"/>
  <c r="F954" i="9"/>
  <c r="H954" i="9"/>
  <c r="D954" i="9"/>
  <c r="I954" i="9"/>
  <c r="E954" i="9"/>
  <c r="B954" i="9"/>
  <c r="C954" i="9"/>
  <c r="G950" i="9"/>
  <c r="F950" i="9"/>
  <c r="H950" i="9"/>
  <c r="D950" i="9"/>
  <c r="I950" i="9"/>
  <c r="E950" i="9"/>
  <c r="B950" i="9"/>
  <c r="C950" i="9"/>
  <c r="G946" i="9"/>
  <c r="F946" i="9"/>
  <c r="H946" i="9"/>
  <c r="I946" i="9"/>
  <c r="D946" i="9"/>
  <c r="E946" i="9"/>
  <c r="B946" i="9"/>
  <c r="C946" i="9"/>
  <c r="G942" i="9"/>
  <c r="F942" i="9"/>
  <c r="H942" i="9"/>
  <c r="D942" i="9"/>
  <c r="I942" i="9"/>
  <c r="E942" i="9"/>
  <c r="B942" i="9"/>
  <c r="C942" i="9"/>
  <c r="G938" i="9"/>
  <c r="F938" i="9"/>
  <c r="H938" i="9"/>
  <c r="D938" i="9"/>
  <c r="I938" i="9"/>
  <c r="E938" i="9"/>
  <c r="B938" i="9"/>
  <c r="C938" i="9"/>
  <c r="G934" i="9"/>
  <c r="F934" i="9"/>
  <c r="H934" i="9"/>
  <c r="D934" i="9"/>
  <c r="I934" i="9"/>
  <c r="E934" i="9"/>
  <c r="B934" i="9"/>
  <c r="C934" i="9"/>
  <c r="G930" i="9"/>
  <c r="F930" i="9"/>
  <c r="H930" i="9"/>
  <c r="I930" i="9"/>
  <c r="D930" i="9"/>
  <c r="E930" i="9"/>
  <c r="B930" i="9"/>
  <c r="C930" i="9"/>
  <c r="G926" i="9"/>
  <c r="F926" i="9"/>
  <c r="H926" i="9"/>
  <c r="D926" i="9"/>
  <c r="I926" i="9"/>
  <c r="E926" i="9"/>
  <c r="B926" i="9"/>
  <c r="C926" i="9"/>
  <c r="G922" i="9"/>
  <c r="F922" i="9"/>
  <c r="H922" i="9"/>
  <c r="D922" i="9"/>
  <c r="I922" i="9"/>
  <c r="E922" i="9"/>
  <c r="B922" i="9"/>
  <c r="C922" i="9"/>
  <c r="G918" i="9"/>
  <c r="F918" i="9"/>
  <c r="H918" i="9"/>
  <c r="D918" i="9"/>
  <c r="I918" i="9"/>
  <c r="E918" i="9"/>
  <c r="B918" i="9"/>
  <c r="C918" i="9"/>
  <c r="G914" i="9"/>
  <c r="F914" i="9"/>
  <c r="H914" i="9"/>
  <c r="I914" i="9"/>
  <c r="D914" i="9"/>
  <c r="E914" i="9"/>
  <c r="B914" i="9"/>
  <c r="C914" i="9"/>
  <c r="G910" i="9"/>
  <c r="F910" i="9"/>
  <c r="H910" i="9"/>
  <c r="D910" i="9"/>
  <c r="I910" i="9"/>
  <c r="E910" i="9"/>
  <c r="B910" i="9"/>
  <c r="C910" i="9"/>
  <c r="G906" i="9"/>
  <c r="F906" i="9"/>
  <c r="H906" i="9"/>
  <c r="D906" i="9"/>
  <c r="I906" i="9"/>
  <c r="E906" i="9"/>
  <c r="B906" i="9"/>
  <c r="C906" i="9"/>
  <c r="G902" i="9"/>
  <c r="F902" i="9"/>
  <c r="H902" i="9"/>
  <c r="D902" i="9"/>
  <c r="I902" i="9"/>
  <c r="E902" i="9"/>
  <c r="B902" i="9"/>
  <c r="C902" i="9"/>
  <c r="G898" i="9"/>
  <c r="F898" i="9"/>
  <c r="H898" i="9"/>
  <c r="I898" i="9"/>
  <c r="D898" i="9"/>
  <c r="E898" i="9"/>
  <c r="B898" i="9"/>
  <c r="C898" i="9"/>
  <c r="G894" i="9"/>
  <c r="F894" i="9"/>
  <c r="H894" i="9"/>
  <c r="D894" i="9"/>
  <c r="I894" i="9"/>
  <c r="E894" i="9"/>
  <c r="B894" i="9"/>
  <c r="C894" i="9"/>
  <c r="G890" i="9"/>
  <c r="F890" i="9"/>
  <c r="H890" i="9"/>
  <c r="D890" i="9"/>
  <c r="I890" i="9"/>
  <c r="E890" i="9"/>
  <c r="B890" i="9"/>
  <c r="C890" i="9"/>
  <c r="G886" i="9"/>
  <c r="F886" i="9"/>
  <c r="H886" i="9"/>
  <c r="D886" i="9"/>
  <c r="I886" i="9"/>
  <c r="E886" i="9"/>
  <c r="B886" i="9"/>
  <c r="C886" i="9"/>
  <c r="G882" i="9"/>
  <c r="F882" i="9"/>
  <c r="H882" i="9"/>
  <c r="I882" i="9"/>
  <c r="D882" i="9"/>
  <c r="E882" i="9"/>
  <c r="B882" i="9"/>
  <c r="C882" i="9"/>
  <c r="G878" i="9"/>
  <c r="F878" i="9"/>
  <c r="H878" i="9"/>
  <c r="D878" i="9"/>
  <c r="I878" i="9"/>
  <c r="E878" i="9"/>
  <c r="B878" i="9"/>
  <c r="C878" i="9"/>
  <c r="G874" i="9"/>
  <c r="F874" i="9"/>
  <c r="H874" i="9"/>
  <c r="D874" i="9"/>
  <c r="I874" i="9"/>
  <c r="E874" i="9"/>
  <c r="B874" i="9"/>
  <c r="C874" i="9"/>
  <c r="G870" i="9"/>
  <c r="F870" i="9"/>
  <c r="H870" i="9"/>
  <c r="D870" i="9"/>
  <c r="I870" i="9"/>
  <c r="E870" i="9"/>
  <c r="B870" i="9"/>
  <c r="C870" i="9"/>
  <c r="G866" i="9"/>
  <c r="F866" i="9"/>
  <c r="H866" i="9"/>
  <c r="I866" i="9"/>
  <c r="D866" i="9"/>
  <c r="E866" i="9"/>
  <c r="B866" i="9"/>
  <c r="C866" i="9"/>
  <c r="G862" i="9"/>
  <c r="F862" i="9"/>
  <c r="H862" i="9"/>
  <c r="D862" i="9"/>
  <c r="I862" i="9"/>
  <c r="E862" i="9"/>
  <c r="B862" i="9"/>
  <c r="C862" i="9"/>
  <c r="G858" i="9"/>
  <c r="F858" i="9"/>
  <c r="H858" i="9"/>
  <c r="D858" i="9"/>
  <c r="I858" i="9"/>
  <c r="E858" i="9"/>
  <c r="B858" i="9"/>
  <c r="C858" i="9"/>
  <c r="G854" i="9"/>
  <c r="F854" i="9"/>
  <c r="H854" i="9"/>
  <c r="D854" i="9"/>
  <c r="I854" i="9"/>
  <c r="E854" i="9"/>
  <c r="B854" i="9"/>
  <c r="C854" i="9"/>
  <c r="G850" i="9"/>
  <c r="F850" i="9"/>
  <c r="H850" i="9"/>
  <c r="I850" i="9"/>
  <c r="D850" i="9"/>
  <c r="E850" i="9"/>
  <c r="B850" i="9"/>
  <c r="C850" i="9"/>
  <c r="G846" i="9"/>
  <c r="F846" i="9"/>
  <c r="H846" i="9"/>
  <c r="D846" i="9"/>
  <c r="I846" i="9"/>
  <c r="E846" i="9"/>
  <c r="B846" i="9"/>
  <c r="C846" i="9"/>
  <c r="G842" i="9"/>
  <c r="F842" i="9"/>
  <c r="H842" i="9"/>
  <c r="D842" i="9"/>
  <c r="I842" i="9"/>
  <c r="E842" i="9"/>
  <c r="B842" i="9"/>
  <c r="C842" i="9"/>
  <c r="G838" i="9"/>
  <c r="F838" i="9"/>
  <c r="H838" i="9"/>
  <c r="D838" i="9"/>
  <c r="I838" i="9"/>
  <c r="E838" i="9"/>
  <c r="B838" i="9"/>
  <c r="C838" i="9"/>
  <c r="G834" i="9"/>
  <c r="F834" i="9"/>
  <c r="H834" i="9"/>
  <c r="I834" i="9"/>
  <c r="D834" i="9"/>
  <c r="E834" i="9"/>
  <c r="B834" i="9"/>
  <c r="C834" i="9"/>
  <c r="G830" i="9"/>
  <c r="F830" i="9"/>
  <c r="H830" i="9"/>
  <c r="D830" i="9"/>
  <c r="I830" i="9"/>
  <c r="E830" i="9"/>
  <c r="B830" i="9"/>
  <c r="C830" i="9"/>
  <c r="G826" i="9"/>
  <c r="F826" i="9"/>
  <c r="H826" i="9"/>
  <c r="D826" i="9"/>
  <c r="I826" i="9"/>
  <c r="E826" i="9"/>
  <c r="B826" i="9"/>
  <c r="C826" i="9"/>
  <c r="G822" i="9"/>
  <c r="F822" i="9"/>
  <c r="H822" i="9"/>
  <c r="D822" i="9"/>
  <c r="I822" i="9"/>
  <c r="E822" i="9"/>
  <c r="B822" i="9"/>
  <c r="C822" i="9"/>
  <c r="G818" i="9"/>
  <c r="F818" i="9"/>
  <c r="H818" i="9"/>
  <c r="I818" i="9"/>
  <c r="D818" i="9"/>
  <c r="E818" i="9"/>
  <c r="B818" i="9"/>
  <c r="C818" i="9"/>
  <c r="G814" i="9"/>
  <c r="F814" i="9"/>
  <c r="H814" i="9"/>
  <c r="D814" i="9"/>
  <c r="I814" i="9"/>
  <c r="E814" i="9"/>
  <c r="B814" i="9"/>
  <c r="C814" i="9"/>
  <c r="G810" i="9"/>
  <c r="F810" i="9"/>
  <c r="H810" i="9"/>
  <c r="D810" i="9"/>
  <c r="I810" i="9"/>
  <c r="E810" i="9"/>
  <c r="B810" i="9"/>
  <c r="C810" i="9"/>
  <c r="G806" i="9"/>
  <c r="F806" i="9"/>
  <c r="H806" i="9"/>
  <c r="D806" i="9"/>
  <c r="I806" i="9"/>
  <c r="E806" i="9"/>
  <c r="B806" i="9"/>
  <c r="C806" i="9"/>
  <c r="G802" i="9"/>
  <c r="F802" i="9"/>
  <c r="H802" i="9"/>
  <c r="I802" i="9"/>
  <c r="D802" i="9"/>
  <c r="E802" i="9"/>
  <c r="B802" i="9"/>
  <c r="C802" i="9"/>
  <c r="G798" i="9"/>
  <c r="F798" i="9"/>
  <c r="H798" i="9"/>
  <c r="D798" i="9"/>
  <c r="I798" i="9"/>
  <c r="E798" i="9"/>
  <c r="B798" i="9"/>
  <c r="C798" i="9"/>
  <c r="G794" i="9"/>
  <c r="F794" i="9"/>
  <c r="H794" i="9"/>
  <c r="D794" i="9"/>
  <c r="I794" i="9"/>
  <c r="E794" i="9"/>
  <c r="B794" i="9"/>
  <c r="C794" i="9"/>
  <c r="G790" i="9"/>
  <c r="F790" i="9"/>
  <c r="H790" i="9"/>
  <c r="D790" i="9"/>
  <c r="I790" i="9"/>
  <c r="E790" i="9"/>
  <c r="B790" i="9"/>
  <c r="C790" i="9"/>
  <c r="G786" i="9"/>
  <c r="F786" i="9"/>
  <c r="H786" i="9"/>
  <c r="I786" i="9"/>
  <c r="D786" i="9"/>
  <c r="E786" i="9"/>
  <c r="B786" i="9"/>
  <c r="C786" i="9"/>
  <c r="G782" i="9"/>
  <c r="F782" i="9"/>
  <c r="H782" i="9"/>
  <c r="D782" i="9"/>
  <c r="I782" i="9"/>
  <c r="E782" i="9"/>
  <c r="B782" i="9"/>
  <c r="C782" i="9"/>
  <c r="G778" i="9"/>
  <c r="F778" i="9"/>
  <c r="H778" i="9"/>
  <c r="D778" i="9"/>
  <c r="I778" i="9"/>
  <c r="E778" i="9"/>
  <c r="B778" i="9"/>
  <c r="C778" i="9"/>
  <c r="G774" i="9"/>
  <c r="F774" i="9"/>
  <c r="H774" i="9"/>
  <c r="D774" i="9"/>
  <c r="I774" i="9"/>
  <c r="E774" i="9"/>
  <c r="B774" i="9"/>
  <c r="C774" i="9"/>
  <c r="G770" i="9"/>
  <c r="F770" i="9"/>
  <c r="H770" i="9"/>
  <c r="I770" i="9"/>
  <c r="D770" i="9"/>
  <c r="E770" i="9"/>
  <c r="B770" i="9"/>
  <c r="C770" i="9"/>
  <c r="G766" i="9"/>
  <c r="F766" i="9"/>
  <c r="H766" i="9"/>
  <c r="D766" i="9"/>
  <c r="I766" i="9"/>
  <c r="E766" i="9"/>
  <c r="B766" i="9"/>
  <c r="C766" i="9"/>
  <c r="G762" i="9"/>
  <c r="F762" i="9"/>
  <c r="H762" i="9"/>
  <c r="D762" i="9"/>
  <c r="I762" i="9"/>
  <c r="E762" i="9"/>
  <c r="B762" i="9"/>
  <c r="C762" i="9"/>
  <c r="G758" i="9"/>
  <c r="F758" i="9"/>
  <c r="H758" i="9"/>
  <c r="D758" i="9"/>
  <c r="I758" i="9"/>
  <c r="E758" i="9"/>
  <c r="B758" i="9"/>
  <c r="C758" i="9"/>
  <c r="G754" i="9"/>
  <c r="F754" i="9"/>
  <c r="H754" i="9"/>
  <c r="I754" i="9"/>
  <c r="D754" i="9"/>
  <c r="E754" i="9"/>
  <c r="B754" i="9"/>
  <c r="C754" i="9"/>
  <c r="G750" i="9"/>
  <c r="F750" i="9"/>
  <c r="H750" i="9"/>
  <c r="D750" i="9"/>
  <c r="I750" i="9"/>
  <c r="E750" i="9"/>
  <c r="B750" i="9"/>
  <c r="C750" i="9"/>
  <c r="G746" i="9"/>
  <c r="F746" i="9"/>
  <c r="H746" i="9"/>
  <c r="D746" i="9"/>
  <c r="I746" i="9"/>
  <c r="E746" i="9"/>
  <c r="B746" i="9"/>
  <c r="C746" i="9"/>
  <c r="G742" i="9"/>
  <c r="F742" i="9"/>
  <c r="H742" i="9"/>
  <c r="D742" i="9"/>
  <c r="I742" i="9"/>
  <c r="E742" i="9"/>
  <c r="B742" i="9"/>
  <c r="C742" i="9"/>
  <c r="G738" i="9"/>
  <c r="F738" i="9"/>
  <c r="H738" i="9"/>
  <c r="I738" i="9"/>
  <c r="D738" i="9"/>
  <c r="E738" i="9"/>
  <c r="B738" i="9"/>
  <c r="C738" i="9"/>
  <c r="G734" i="9"/>
  <c r="F734" i="9"/>
  <c r="H734" i="9"/>
  <c r="D734" i="9"/>
  <c r="I734" i="9"/>
  <c r="E734" i="9"/>
  <c r="B734" i="9"/>
  <c r="C734" i="9"/>
  <c r="G730" i="9"/>
  <c r="F730" i="9"/>
  <c r="H730" i="9"/>
  <c r="D730" i="9"/>
  <c r="I730" i="9"/>
  <c r="E730" i="9"/>
  <c r="B730" i="9"/>
  <c r="C730" i="9"/>
  <c r="G726" i="9"/>
  <c r="F726" i="9"/>
  <c r="H726" i="9"/>
  <c r="D726" i="9"/>
  <c r="I726" i="9"/>
  <c r="E726" i="9"/>
  <c r="B726" i="9"/>
  <c r="C726" i="9"/>
  <c r="G722" i="9"/>
  <c r="F722" i="9"/>
  <c r="H722" i="9"/>
  <c r="I722" i="9"/>
  <c r="D722" i="9"/>
  <c r="E722" i="9"/>
  <c r="B722" i="9"/>
  <c r="C722" i="9"/>
  <c r="G718" i="9"/>
  <c r="F718" i="9"/>
  <c r="H718" i="9"/>
  <c r="D718" i="9"/>
  <c r="I718" i="9"/>
  <c r="E718" i="9"/>
  <c r="B718" i="9"/>
  <c r="C718" i="9"/>
  <c r="G714" i="9"/>
  <c r="F714" i="9"/>
  <c r="H714" i="9"/>
  <c r="D714" i="9"/>
  <c r="I714" i="9"/>
  <c r="E714" i="9"/>
  <c r="B714" i="9"/>
  <c r="C714" i="9"/>
  <c r="G710" i="9"/>
  <c r="F710" i="9"/>
  <c r="H710" i="9"/>
  <c r="D710" i="9"/>
  <c r="I710" i="9"/>
  <c r="E710" i="9"/>
  <c r="B710" i="9"/>
  <c r="C710" i="9"/>
  <c r="G706" i="9"/>
  <c r="F706" i="9"/>
  <c r="H706" i="9"/>
  <c r="I706" i="9"/>
  <c r="D706" i="9"/>
  <c r="E706" i="9"/>
  <c r="B706" i="9"/>
  <c r="C706" i="9"/>
  <c r="G702" i="9"/>
  <c r="F702" i="9"/>
  <c r="H702" i="9"/>
  <c r="D702" i="9"/>
  <c r="I702" i="9"/>
  <c r="E702" i="9"/>
  <c r="B702" i="9"/>
  <c r="C702" i="9"/>
  <c r="G698" i="9"/>
  <c r="F698" i="9"/>
  <c r="H698" i="9"/>
  <c r="D698" i="9"/>
  <c r="I698" i="9"/>
  <c r="E698" i="9"/>
  <c r="B698" i="9"/>
  <c r="C698" i="9"/>
  <c r="G694" i="9"/>
  <c r="F694" i="9"/>
  <c r="H694" i="9"/>
  <c r="D694" i="9"/>
  <c r="I694" i="9"/>
  <c r="E694" i="9"/>
  <c r="B694" i="9"/>
  <c r="C694" i="9"/>
  <c r="G690" i="9"/>
  <c r="F690" i="9"/>
  <c r="H690" i="9"/>
  <c r="I690" i="9"/>
  <c r="D690" i="9"/>
  <c r="E690" i="9"/>
  <c r="B690" i="9"/>
  <c r="C690" i="9"/>
  <c r="G686" i="9"/>
  <c r="F686" i="9"/>
  <c r="H686" i="9"/>
  <c r="D686" i="9"/>
  <c r="I686" i="9"/>
  <c r="E686" i="9"/>
  <c r="B686" i="9"/>
  <c r="C686" i="9"/>
  <c r="G682" i="9"/>
  <c r="F682" i="9"/>
  <c r="H682" i="9"/>
  <c r="D682" i="9"/>
  <c r="I682" i="9"/>
  <c r="E682" i="9"/>
  <c r="B682" i="9"/>
  <c r="C682" i="9"/>
  <c r="G678" i="9"/>
  <c r="F678" i="9"/>
  <c r="H678" i="9"/>
  <c r="D678" i="9"/>
  <c r="I678" i="9"/>
  <c r="E678" i="9"/>
  <c r="B678" i="9"/>
  <c r="C678" i="9"/>
  <c r="G674" i="9"/>
  <c r="F674" i="9"/>
  <c r="H674" i="9"/>
  <c r="I674" i="9"/>
  <c r="D674" i="9"/>
  <c r="E674" i="9"/>
  <c r="B674" i="9"/>
  <c r="C674" i="9"/>
  <c r="G670" i="9"/>
  <c r="F670" i="9"/>
  <c r="H670" i="9"/>
  <c r="D670" i="9"/>
  <c r="I670" i="9"/>
  <c r="E670" i="9"/>
  <c r="B670" i="9"/>
  <c r="C670" i="9"/>
  <c r="G666" i="9"/>
  <c r="F666" i="9"/>
  <c r="H666" i="9"/>
  <c r="D666" i="9"/>
  <c r="I666" i="9"/>
  <c r="E666" i="9"/>
  <c r="B666" i="9"/>
  <c r="C666" i="9"/>
  <c r="G662" i="9"/>
  <c r="F662" i="9"/>
  <c r="H662" i="9"/>
  <c r="D662" i="9"/>
  <c r="I662" i="9"/>
  <c r="E662" i="9"/>
  <c r="B662" i="9"/>
  <c r="C662" i="9"/>
  <c r="G658" i="9"/>
  <c r="F658" i="9"/>
  <c r="H658" i="9"/>
  <c r="I658" i="9"/>
  <c r="D658" i="9"/>
  <c r="E658" i="9"/>
  <c r="B658" i="9"/>
  <c r="C658" i="9"/>
  <c r="G654" i="9"/>
  <c r="F654" i="9"/>
  <c r="H654" i="9"/>
  <c r="D654" i="9"/>
  <c r="I654" i="9"/>
  <c r="E654" i="9"/>
  <c r="B654" i="9"/>
  <c r="C654" i="9"/>
  <c r="G650" i="9"/>
  <c r="F650" i="9"/>
  <c r="H650" i="9"/>
  <c r="D650" i="9"/>
  <c r="I650" i="9"/>
  <c r="E650" i="9"/>
  <c r="B650" i="9"/>
  <c r="C650" i="9"/>
  <c r="G646" i="9"/>
  <c r="F646" i="9"/>
  <c r="H646" i="9"/>
  <c r="D646" i="9"/>
  <c r="I646" i="9"/>
  <c r="E646" i="9"/>
  <c r="B646" i="9"/>
  <c r="C646" i="9"/>
  <c r="G642" i="9"/>
  <c r="F642" i="9"/>
  <c r="H642" i="9"/>
  <c r="I642" i="9"/>
  <c r="D642" i="9"/>
  <c r="E642" i="9"/>
  <c r="B642" i="9"/>
  <c r="C642" i="9"/>
  <c r="G638" i="9"/>
  <c r="F638" i="9"/>
  <c r="H638" i="9"/>
  <c r="D638" i="9"/>
  <c r="I638" i="9"/>
  <c r="E638" i="9"/>
  <c r="B638" i="9"/>
  <c r="C638" i="9"/>
  <c r="G634" i="9"/>
  <c r="F634" i="9"/>
  <c r="H634" i="9"/>
  <c r="D634" i="9"/>
  <c r="I634" i="9"/>
  <c r="E634" i="9"/>
  <c r="B634" i="9"/>
  <c r="C634" i="9"/>
  <c r="G630" i="9"/>
  <c r="F630" i="9"/>
  <c r="H630" i="9"/>
  <c r="D630" i="9"/>
  <c r="I630" i="9"/>
  <c r="E630" i="9"/>
  <c r="B630" i="9"/>
  <c r="C630" i="9"/>
  <c r="G626" i="9"/>
  <c r="F626" i="9"/>
  <c r="H626" i="9"/>
  <c r="I626" i="9"/>
  <c r="D626" i="9"/>
  <c r="E626" i="9"/>
  <c r="B626" i="9"/>
  <c r="C626" i="9"/>
  <c r="G622" i="9"/>
  <c r="F622" i="9"/>
  <c r="H622" i="9"/>
  <c r="D622" i="9"/>
  <c r="I622" i="9"/>
  <c r="E622" i="9"/>
  <c r="B622" i="9"/>
  <c r="C622" i="9"/>
  <c r="G618" i="9"/>
  <c r="F618" i="9"/>
  <c r="H618" i="9"/>
  <c r="D618" i="9"/>
  <c r="I618" i="9"/>
  <c r="E618" i="9"/>
  <c r="B618" i="9"/>
  <c r="C618" i="9"/>
  <c r="G614" i="9"/>
  <c r="F614" i="9"/>
  <c r="H614" i="9"/>
  <c r="D614" i="9"/>
  <c r="I614" i="9"/>
  <c r="E614" i="9"/>
  <c r="B614" i="9"/>
  <c r="C614" i="9"/>
  <c r="G610" i="9"/>
  <c r="F610" i="9"/>
  <c r="H610" i="9"/>
  <c r="I610" i="9"/>
  <c r="D610" i="9"/>
  <c r="E610" i="9"/>
  <c r="B610" i="9"/>
  <c r="C610" i="9"/>
  <c r="G606" i="9"/>
  <c r="F606" i="9"/>
  <c r="H606" i="9"/>
  <c r="D606" i="9"/>
  <c r="I606" i="9"/>
  <c r="E606" i="9"/>
  <c r="B606" i="9"/>
  <c r="C606" i="9"/>
  <c r="G602" i="9"/>
  <c r="F602" i="9"/>
  <c r="H602" i="9"/>
  <c r="D602" i="9"/>
  <c r="I602" i="9"/>
  <c r="E602" i="9"/>
  <c r="B602" i="9"/>
  <c r="C602" i="9"/>
  <c r="G598" i="9"/>
  <c r="F598" i="9"/>
  <c r="H598" i="9"/>
  <c r="D598" i="9"/>
  <c r="I598" i="9"/>
  <c r="E598" i="9"/>
  <c r="B598" i="9"/>
  <c r="C598" i="9"/>
  <c r="G594" i="9"/>
  <c r="F594" i="9"/>
  <c r="H594" i="9"/>
  <c r="I594" i="9"/>
  <c r="D594" i="9"/>
  <c r="E594" i="9"/>
  <c r="B594" i="9"/>
  <c r="C594" i="9"/>
  <c r="G590" i="9"/>
  <c r="F590" i="9"/>
  <c r="H590" i="9"/>
  <c r="D590" i="9"/>
  <c r="I590" i="9"/>
  <c r="E590" i="9"/>
  <c r="B590" i="9"/>
  <c r="C590" i="9"/>
  <c r="G586" i="9"/>
  <c r="F586" i="9"/>
  <c r="H586" i="9"/>
  <c r="D586" i="9"/>
  <c r="I586" i="9"/>
  <c r="E586" i="9"/>
  <c r="B586" i="9"/>
  <c r="C586" i="9"/>
  <c r="G582" i="9"/>
  <c r="F582" i="9"/>
  <c r="H582" i="9"/>
  <c r="D582" i="9"/>
  <c r="I582" i="9"/>
  <c r="E582" i="9"/>
  <c r="B582" i="9"/>
  <c r="C582" i="9"/>
  <c r="G578" i="9"/>
  <c r="F578" i="9"/>
  <c r="H578" i="9"/>
  <c r="I578" i="9"/>
  <c r="D578" i="9"/>
  <c r="E578" i="9"/>
  <c r="B578" i="9"/>
  <c r="C578" i="9"/>
  <c r="G574" i="9"/>
  <c r="F574" i="9"/>
  <c r="H574" i="9"/>
  <c r="D574" i="9"/>
  <c r="I574" i="9"/>
  <c r="E574" i="9"/>
  <c r="B574" i="9"/>
  <c r="C574" i="9"/>
  <c r="G570" i="9"/>
  <c r="F570" i="9"/>
  <c r="H570" i="9"/>
  <c r="D570" i="9"/>
  <c r="I570" i="9"/>
  <c r="E570" i="9"/>
  <c r="B570" i="9"/>
  <c r="C570" i="9"/>
  <c r="G566" i="9"/>
  <c r="F566" i="9"/>
  <c r="H566" i="9"/>
  <c r="D566" i="9"/>
  <c r="I566" i="9"/>
  <c r="E566" i="9"/>
  <c r="B566" i="9"/>
  <c r="C566" i="9"/>
  <c r="G562" i="9"/>
  <c r="F562" i="9"/>
  <c r="H562" i="9"/>
  <c r="I562" i="9"/>
  <c r="D562" i="9"/>
  <c r="E562" i="9"/>
  <c r="B562" i="9"/>
  <c r="C562" i="9"/>
  <c r="G558" i="9"/>
  <c r="F558" i="9"/>
  <c r="H558" i="9"/>
  <c r="D558" i="9"/>
  <c r="I558" i="9"/>
  <c r="E558" i="9"/>
  <c r="B558" i="9"/>
  <c r="C558" i="9"/>
  <c r="G554" i="9"/>
  <c r="F554" i="9"/>
  <c r="H554" i="9"/>
  <c r="D554" i="9"/>
  <c r="I554" i="9"/>
  <c r="E554" i="9"/>
  <c r="B554" i="9"/>
  <c r="C554" i="9"/>
  <c r="G550" i="9"/>
  <c r="F550" i="9"/>
  <c r="H550" i="9"/>
  <c r="D550" i="9"/>
  <c r="I550" i="9"/>
  <c r="E550" i="9"/>
  <c r="B550" i="9"/>
  <c r="C550" i="9"/>
  <c r="G546" i="9"/>
  <c r="F546" i="9"/>
  <c r="H546" i="9"/>
  <c r="I546" i="9"/>
  <c r="D546" i="9"/>
  <c r="E546" i="9"/>
  <c r="B546" i="9"/>
  <c r="C546" i="9"/>
  <c r="G542" i="9"/>
  <c r="F542" i="9"/>
  <c r="H542" i="9"/>
  <c r="D542" i="9"/>
  <c r="I542" i="9"/>
  <c r="E542" i="9"/>
  <c r="B542" i="9"/>
  <c r="C542" i="9"/>
  <c r="G538" i="9"/>
  <c r="F538" i="9"/>
  <c r="H538" i="9"/>
  <c r="D538" i="9"/>
  <c r="I538" i="9"/>
  <c r="E538" i="9"/>
  <c r="B538" i="9"/>
  <c r="C538" i="9"/>
  <c r="G534" i="9"/>
  <c r="F534" i="9"/>
  <c r="H534" i="9"/>
  <c r="D534" i="9"/>
  <c r="I534" i="9"/>
  <c r="E534" i="9"/>
  <c r="B534" i="9"/>
  <c r="C534" i="9"/>
  <c r="G530" i="9"/>
  <c r="F530" i="9"/>
  <c r="H530" i="9"/>
  <c r="I530" i="9"/>
  <c r="D530" i="9"/>
  <c r="E530" i="9"/>
  <c r="B530" i="9"/>
  <c r="C530" i="9"/>
  <c r="G526" i="9"/>
  <c r="F526" i="9"/>
  <c r="H526" i="9"/>
  <c r="D526" i="9"/>
  <c r="I526" i="9"/>
  <c r="E526" i="9"/>
  <c r="B526" i="9"/>
  <c r="C526" i="9"/>
  <c r="G522" i="9"/>
  <c r="F522" i="9"/>
  <c r="H522" i="9"/>
  <c r="D522" i="9"/>
  <c r="I522" i="9"/>
  <c r="E522" i="9"/>
  <c r="B522" i="9"/>
  <c r="C522" i="9"/>
  <c r="G518" i="9"/>
  <c r="F518" i="9"/>
  <c r="H518" i="9"/>
  <c r="D518" i="9"/>
  <c r="I518" i="9"/>
  <c r="E518" i="9"/>
  <c r="B518" i="9"/>
  <c r="C518" i="9"/>
  <c r="G514" i="9"/>
  <c r="F514" i="9"/>
  <c r="H514" i="9"/>
  <c r="I514" i="9"/>
  <c r="D514" i="9"/>
  <c r="E514" i="9"/>
  <c r="B514" i="9"/>
  <c r="C514" i="9"/>
  <c r="G510" i="9"/>
  <c r="F510" i="9"/>
  <c r="H510" i="9"/>
  <c r="D510" i="9"/>
  <c r="I510" i="9"/>
  <c r="E510" i="9"/>
  <c r="B510" i="9"/>
  <c r="C510" i="9"/>
  <c r="G506" i="9"/>
  <c r="F506" i="9"/>
  <c r="H506" i="9"/>
  <c r="D506" i="9"/>
  <c r="I506" i="9"/>
  <c r="E506" i="9"/>
  <c r="B506" i="9"/>
  <c r="C506" i="9"/>
  <c r="G502" i="9"/>
  <c r="F502" i="9"/>
  <c r="H502" i="9"/>
  <c r="D502" i="9"/>
  <c r="I502" i="9"/>
  <c r="E502" i="9"/>
  <c r="B502" i="9"/>
  <c r="C502" i="9"/>
  <c r="G498" i="9"/>
  <c r="F498" i="9"/>
  <c r="H498" i="9"/>
  <c r="I498" i="9"/>
  <c r="D498" i="9"/>
  <c r="E498" i="9"/>
  <c r="B498" i="9"/>
  <c r="C498" i="9"/>
  <c r="G494" i="9"/>
  <c r="F494" i="9"/>
  <c r="H494" i="9"/>
  <c r="D494" i="9"/>
  <c r="I494" i="9"/>
  <c r="E494" i="9"/>
  <c r="B494" i="9"/>
  <c r="C494" i="9"/>
  <c r="G490" i="9"/>
  <c r="F490" i="9"/>
  <c r="H490" i="9"/>
  <c r="D490" i="9"/>
  <c r="I490" i="9"/>
  <c r="E490" i="9"/>
  <c r="B490" i="9"/>
  <c r="C490" i="9"/>
  <c r="G486" i="9"/>
  <c r="F486" i="9"/>
  <c r="H486" i="9"/>
  <c r="D486" i="9"/>
  <c r="I486" i="9"/>
  <c r="E486" i="9"/>
  <c r="B486" i="9"/>
  <c r="C486" i="9"/>
  <c r="G482" i="9"/>
  <c r="F482" i="9"/>
  <c r="H482" i="9"/>
  <c r="I482" i="9"/>
  <c r="D482" i="9"/>
  <c r="E482" i="9"/>
  <c r="B482" i="9"/>
  <c r="C482" i="9"/>
  <c r="G478" i="9"/>
  <c r="F478" i="9"/>
  <c r="H478" i="9"/>
  <c r="D478" i="9"/>
  <c r="I478" i="9"/>
  <c r="E478" i="9"/>
  <c r="B478" i="9"/>
  <c r="C478" i="9"/>
  <c r="G474" i="9"/>
  <c r="F474" i="9"/>
  <c r="H474" i="9"/>
  <c r="D474" i="9"/>
  <c r="I474" i="9"/>
  <c r="E474" i="9"/>
  <c r="B474" i="9"/>
  <c r="C474" i="9"/>
  <c r="G470" i="9"/>
  <c r="F470" i="9"/>
  <c r="H470" i="9"/>
  <c r="D470" i="9"/>
  <c r="I470" i="9"/>
  <c r="E470" i="9"/>
  <c r="B470" i="9"/>
  <c r="C470" i="9"/>
  <c r="G466" i="9"/>
  <c r="F466" i="9"/>
  <c r="H466" i="9"/>
  <c r="I466" i="9"/>
  <c r="D466" i="9"/>
  <c r="E466" i="9"/>
  <c r="B466" i="9"/>
  <c r="C466" i="9"/>
  <c r="G462" i="9"/>
  <c r="F462" i="9"/>
  <c r="H462" i="9"/>
  <c r="D462" i="9"/>
  <c r="I462" i="9"/>
  <c r="E462" i="9"/>
  <c r="B462" i="9"/>
  <c r="C462" i="9"/>
  <c r="G458" i="9"/>
  <c r="F458" i="9"/>
  <c r="H458" i="9"/>
  <c r="D458" i="9"/>
  <c r="I458" i="9"/>
  <c r="E458" i="9"/>
  <c r="B458" i="9"/>
  <c r="C458" i="9"/>
  <c r="G454" i="9"/>
  <c r="F454" i="9"/>
  <c r="H454" i="9"/>
  <c r="D454" i="9"/>
  <c r="I454" i="9"/>
  <c r="E454" i="9"/>
  <c r="B454" i="9"/>
  <c r="C454" i="9"/>
  <c r="G450" i="9"/>
  <c r="F450" i="9"/>
  <c r="H450" i="9"/>
  <c r="I450" i="9"/>
  <c r="D450" i="9"/>
  <c r="E450" i="9"/>
  <c r="B450" i="9"/>
  <c r="C450" i="9"/>
  <c r="G446" i="9"/>
  <c r="F446" i="9"/>
  <c r="H446" i="9"/>
  <c r="D446" i="9"/>
  <c r="I446" i="9"/>
  <c r="E446" i="9"/>
  <c r="B446" i="9"/>
  <c r="C446" i="9"/>
  <c r="G442" i="9"/>
  <c r="F442" i="9"/>
  <c r="H442" i="9"/>
  <c r="D442" i="9"/>
  <c r="I442" i="9"/>
  <c r="E442" i="9"/>
  <c r="B442" i="9"/>
  <c r="C442" i="9"/>
  <c r="G438" i="9"/>
  <c r="F438" i="9"/>
  <c r="H438" i="9"/>
  <c r="D438" i="9"/>
  <c r="I438" i="9"/>
  <c r="E438" i="9"/>
  <c r="B438" i="9"/>
  <c r="C438" i="9"/>
  <c r="G434" i="9"/>
  <c r="F434" i="9"/>
  <c r="H434" i="9"/>
  <c r="I434" i="9"/>
  <c r="D434" i="9"/>
  <c r="E434" i="9"/>
  <c r="B434" i="9"/>
  <c r="C434" i="9"/>
  <c r="G430" i="9"/>
  <c r="F430" i="9"/>
  <c r="H430" i="9"/>
  <c r="D430" i="9"/>
  <c r="I430" i="9"/>
  <c r="E430" i="9"/>
  <c r="B430" i="9"/>
  <c r="C430" i="9"/>
  <c r="G426" i="9"/>
  <c r="F426" i="9"/>
  <c r="H426" i="9"/>
  <c r="D426" i="9"/>
  <c r="I426" i="9"/>
  <c r="E426" i="9"/>
  <c r="B426" i="9"/>
  <c r="C426" i="9"/>
  <c r="G422" i="9"/>
  <c r="F422" i="9"/>
  <c r="H422" i="9"/>
  <c r="D422" i="9"/>
  <c r="I422" i="9"/>
  <c r="E422" i="9"/>
  <c r="B422" i="9"/>
  <c r="C422" i="9"/>
  <c r="G418" i="9"/>
  <c r="F418" i="9"/>
  <c r="H418" i="9"/>
  <c r="I418" i="9"/>
  <c r="D418" i="9"/>
  <c r="E418" i="9"/>
  <c r="B418" i="9"/>
  <c r="C418" i="9"/>
  <c r="G414" i="9"/>
  <c r="F414" i="9"/>
  <c r="H414" i="9"/>
  <c r="D414" i="9"/>
  <c r="I414" i="9"/>
  <c r="E414" i="9"/>
  <c r="B414" i="9"/>
  <c r="C414" i="9"/>
  <c r="G410" i="9"/>
  <c r="F410" i="9"/>
  <c r="H410" i="9"/>
  <c r="D410" i="9"/>
  <c r="I410" i="9"/>
  <c r="E410" i="9"/>
  <c r="B410" i="9"/>
  <c r="C410" i="9"/>
  <c r="G406" i="9"/>
  <c r="F406" i="9"/>
  <c r="H406" i="9"/>
  <c r="D406" i="9"/>
  <c r="I406" i="9"/>
  <c r="E406" i="9"/>
  <c r="B406" i="9"/>
  <c r="C406" i="9"/>
  <c r="G402" i="9"/>
  <c r="F402" i="9"/>
  <c r="H402" i="9"/>
  <c r="I402" i="9"/>
  <c r="D402" i="9"/>
  <c r="E402" i="9"/>
  <c r="B402" i="9"/>
  <c r="C402" i="9"/>
  <c r="G398" i="9"/>
  <c r="F398" i="9"/>
  <c r="H398" i="9"/>
  <c r="D398" i="9"/>
  <c r="I398" i="9"/>
  <c r="E398" i="9"/>
  <c r="B398" i="9"/>
  <c r="C398" i="9"/>
  <c r="G394" i="9"/>
  <c r="F394" i="9"/>
  <c r="H394" i="9"/>
  <c r="D394" i="9"/>
  <c r="I394" i="9"/>
  <c r="E394" i="9"/>
  <c r="B394" i="9"/>
  <c r="C394" i="9"/>
  <c r="G390" i="9"/>
  <c r="F390" i="9"/>
  <c r="H390" i="9"/>
  <c r="D390" i="9"/>
  <c r="I390" i="9"/>
  <c r="E390" i="9"/>
  <c r="B390" i="9"/>
  <c r="C390" i="9"/>
  <c r="G386" i="9"/>
  <c r="F386" i="9"/>
  <c r="H386" i="9"/>
  <c r="I386" i="9"/>
  <c r="D386" i="9"/>
  <c r="E386" i="9"/>
  <c r="B386" i="9"/>
  <c r="C386" i="9"/>
  <c r="G382" i="9"/>
  <c r="F382" i="9"/>
  <c r="H382" i="9"/>
  <c r="D382" i="9"/>
  <c r="I382" i="9"/>
  <c r="E382" i="9"/>
  <c r="B382" i="9"/>
  <c r="C382" i="9"/>
  <c r="G378" i="9"/>
  <c r="F378" i="9"/>
  <c r="H378" i="9"/>
  <c r="D378" i="9"/>
  <c r="I378" i="9"/>
  <c r="E378" i="9"/>
  <c r="B378" i="9"/>
  <c r="C378" i="9"/>
  <c r="G374" i="9"/>
  <c r="F374" i="9"/>
  <c r="H374" i="9"/>
  <c r="D374" i="9"/>
  <c r="I374" i="9"/>
  <c r="E374" i="9"/>
  <c r="B374" i="9"/>
  <c r="C374" i="9"/>
  <c r="G370" i="9"/>
  <c r="F370" i="9"/>
  <c r="H370" i="9"/>
  <c r="I370" i="9"/>
  <c r="D370" i="9"/>
  <c r="E370" i="9"/>
  <c r="B370" i="9"/>
  <c r="C370" i="9"/>
  <c r="G366" i="9"/>
  <c r="F366" i="9"/>
  <c r="H366" i="9"/>
  <c r="D366" i="9"/>
  <c r="I366" i="9"/>
  <c r="E366" i="9"/>
  <c r="B366" i="9"/>
  <c r="C366" i="9"/>
  <c r="G362" i="9"/>
  <c r="F362" i="9"/>
  <c r="H362" i="9"/>
  <c r="D362" i="9"/>
  <c r="I362" i="9"/>
  <c r="E362" i="9"/>
  <c r="B362" i="9"/>
  <c r="C362" i="9"/>
  <c r="G358" i="9"/>
  <c r="F358" i="9"/>
  <c r="H358" i="9"/>
  <c r="D358" i="9"/>
  <c r="I358" i="9"/>
  <c r="E358" i="9"/>
  <c r="B358" i="9"/>
  <c r="C358" i="9"/>
  <c r="G354" i="9"/>
  <c r="F354" i="9"/>
  <c r="H354" i="9"/>
  <c r="I354" i="9"/>
  <c r="D354" i="9"/>
  <c r="E354" i="9"/>
  <c r="B354" i="9"/>
  <c r="C354" i="9"/>
  <c r="G350" i="9"/>
  <c r="F350" i="9"/>
  <c r="H350" i="9"/>
  <c r="D350" i="9"/>
  <c r="I350" i="9"/>
  <c r="E350" i="9"/>
  <c r="B350" i="9"/>
  <c r="C350" i="9"/>
  <c r="G346" i="9"/>
  <c r="F346" i="9"/>
  <c r="H346" i="9"/>
  <c r="D346" i="9"/>
  <c r="I346" i="9"/>
  <c r="E346" i="9"/>
  <c r="B346" i="9"/>
  <c r="C346" i="9"/>
  <c r="G342" i="9"/>
  <c r="F342" i="9"/>
  <c r="H342" i="9"/>
  <c r="D342" i="9"/>
  <c r="I342" i="9"/>
  <c r="E342" i="9"/>
  <c r="B342" i="9"/>
  <c r="C342" i="9"/>
  <c r="G338" i="9"/>
  <c r="F338" i="9"/>
  <c r="H338" i="9"/>
  <c r="I338" i="9"/>
  <c r="D338" i="9"/>
  <c r="E338" i="9"/>
  <c r="B338" i="9"/>
  <c r="C338" i="9"/>
  <c r="G334" i="9"/>
  <c r="F334" i="9"/>
  <c r="H334" i="9"/>
  <c r="D334" i="9"/>
  <c r="I334" i="9"/>
  <c r="E334" i="9"/>
  <c r="B334" i="9"/>
  <c r="C334" i="9"/>
  <c r="G330" i="9"/>
  <c r="F330" i="9"/>
  <c r="H330" i="9"/>
  <c r="D330" i="9"/>
  <c r="I330" i="9"/>
  <c r="E330" i="9"/>
  <c r="B330" i="9"/>
  <c r="C330" i="9"/>
  <c r="G326" i="9"/>
  <c r="F326" i="9"/>
  <c r="H326" i="9"/>
  <c r="D326" i="9"/>
  <c r="I326" i="9"/>
  <c r="E326" i="9"/>
  <c r="B326" i="9"/>
  <c r="C326" i="9"/>
  <c r="G322" i="9"/>
  <c r="F322" i="9"/>
  <c r="H322" i="9"/>
  <c r="I322" i="9"/>
  <c r="D322" i="9"/>
  <c r="E322" i="9"/>
  <c r="B322" i="9"/>
  <c r="C322" i="9"/>
  <c r="G318" i="9"/>
  <c r="F318" i="9"/>
  <c r="H318" i="9"/>
  <c r="D318" i="9"/>
  <c r="I318" i="9"/>
  <c r="E318" i="9"/>
  <c r="B318" i="9"/>
  <c r="C318" i="9"/>
  <c r="G314" i="9"/>
  <c r="F314" i="9"/>
  <c r="H314" i="9"/>
  <c r="D314" i="9"/>
  <c r="I314" i="9"/>
  <c r="E314" i="9"/>
  <c r="B314" i="9"/>
  <c r="C314" i="9"/>
  <c r="G310" i="9"/>
  <c r="F310" i="9"/>
  <c r="H310" i="9"/>
  <c r="D310" i="9"/>
  <c r="I310" i="9"/>
  <c r="E310" i="9"/>
  <c r="B310" i="9"/>
  <c r="C310" i="9"/>
  <c r="G306" i="9"/>
  <c r="F306" i="9"/>
  <c r="H306" i="9"/>
  <c r="I306" i="9"/>
  <c r="D306" i="9"/>
  <c r="E306" i="9"/>
  <c r="B306" i="9"/>
  <c r="C306" i="9"/>
  <c r="G302" i="9"/>
  <c r="F302" i="9"/>
  <c r="H302" i="9"/>
  <c r="D302" i="9"/>
  <c r="I302" i="9"/>
  <c r="E302" i="9"/>
  <c r="B302" i="9"/>
  <c r="C302" i="9"/>
  <c r="G298" i="9"/>
  <c r="F298" i="9"/>
  <c r="H298" i="9"/>
  <c r="D298" i="9"/>
  <c r="I298" i="9"/>
  <c r="E298" i="9"/>
  <c r="B298" i="9"/>
  <c r="C298" i="9"/>
  <c r="G294" i="9"/>
  <c r="F294" i="9"/>
  <c r="H294" i="9"/>
  <c r="D294" i="9"/>
  <c r="I294" i="9"/>
  <c r="E294" i="9"/>
  <c r="B294" i="9"/>
  <c r="C294" i="9"/>
  <c r="G290" i="9"/>
  <c r="F290" i="9"/>
  <c r="H290" i="9"/>
  <c r="I290" i="9"/>
  <c r="D290" i="9"/>
  <c r="E290" i="9"/>
  <c r="B290" i="9"/>
  <c r="C290" i="9"/>
  <c r="G286" i="9"/>
  <c r="F286" i="9"/>
  <c r="H286" i="9"/>
  <c r="D286" i="9"/>
  <c r="I286" i="9"/>
  <c r="E286" i="9"/>
  <c r="B286" i="9"/>
  <c r="C286" i="9"/>
  <c r="G282" i="9"/>
  <c r="F282" i="9"/>
  <c r="H282" i="9"/>
  <c r="D282" i="9"/>
  <c r="I282" i="9"/>
  <c r="E282" i="9"/>
  <c r="B282" i="9"/>
  <c r="C282" i="9"/>
  <c r="G278" i="9"/>
  <c r="F278" i="9"/>
  <c r="H278" i="9"/>
  <c r="D278" i="9"/>
  <c r="I278" i="9"/>
  <c r="E278" i="9"/>
  <c r="B278" i="9"/>
  <c r="C278" i="9"/>
  <c r="G274" i="9"/>
  <c r="F274" i="9"/>
  <c r="H274" i="9"/>
  <c r="I274" i="9"/>
  <c r="D274" i="9"/>
  <c r="E274" i="9"/>
  <c r="B274" i="9"/>
  <c r="C274" i="9"/>
  <c r="G270" i="9"/>
  <c r="F270" i="9"/>
  <c r="H270" i="9"/>
  <c r="D270" i="9"/>
  <c r="I270" i="9"/>
  <c r="E270" i="9"/>
  <c r="B270" i="9"/>
  <c r="C270" i="9"/>
  <c r="G266" i="9"/>
  <c r="F266" i="9"/>
  <c r="H266" i="9"/>
  <c r="D266" i="9"/>
  <c r="I266" i="9"/>
  <c r="E266" i="9"/>
  <c r="B266" i="9"/>
  <c r="C266" i="9"/>
  <c r="G262" i="9"/>
  <c r="F262" i="9"/>
  <c r="H262" i="9"/>
  <c r="D262" i="9"/>
  <c r="I262" i="9"/>
  <c r="E262" i="9"/>
  <c r="B262" i="9"/>
  <c r="C262" i="9"/>
  <c r="G258" i="9"/>
  <c r="F258" i="9"/>
  <c r="H258" i="9"/>
  <c r="I258" i="9"/>
  <c r="D258" i="9"/>
  <c r="E258" i="9"/>
  <c r="B258" i="9"/>
  <c r="C258" i="9"/>
  <c r="G254" i="9"/>
  <c r="F254" i="9"/>
  <c r="H254" i="9"/>
  <c r="D254" i="9"/>
  <c r="I254" i="9"/>
  <c r="E254" i="9"/>
  <c r="B254" i="9"/>
  <c r="C254" i="9"/>
  <c r="G250" i="9"/>
  <c r="F250" i="9"/>
  <c r="H250" i="9"/>
  <c r="D250" i="9"/>
  <c r="I250" i="9"/>
  <c r="E250" i="9"/>
  <c r="B250" i="9"/>
  <c r="C250" i="9"/>
  <c r="G246" i="9"/>
  <c r="F246" i="9"/>
  <c r="H246" i="9"/>
  <c r="D246" i="9"/>
  <c r="I246" i="9"/>
  <c r="E246" i="9"/>
  <c r="B246" i="9"/>
  <c r="C246" i="9"/>
  <c r="G242" i="9"/>
  <c r="F242" i="9"/>
  <c r="H242" i="9"/>
  <c r="I242" i="9"/>
  <c r="D242" i="9"/>
  <c r="E242" i="9"/>
  <c r="B242" i="9"/>
  <c r="C242" i="9"/>
  <c r="G238" i="9"/>
  <c r="F238" i="9"/>
  <c r="H238" i="9"/>
  <c r="D238" i="9"/>
  <c r="I238" i="9"/>
  <c r="E238" i="9"/>
  <c r="B238" i="9"/>
  <c r="C238" i="9"/>
  <c r="G234" i="9"/>
  <c r="F234" i="9"/>
  <c r="H234" i="9"/>
  <c r="D234" i="9"/>
  <c r="I234" i="9"/>
  <c r="E234" i="9"/>
  <c r="B234" i="9"/>
  <c r="C234" i="9"/>
  <c r="G230" i="9"/>
  <c r="F230" i="9"/>
  <c r="H230" i="9"/>
  <c r="D230" i="9"/>
  <c r="I230" i="9"/>
  <c r="E230" i="9"/>
  <c r="B230" i="9"/>
  <c r="C230" i="9"/>
  <c r="G226" i="9"/>
  <c r="F226" i="9"/>
  <c r="H226" i="9"/>
  <c r="I226" i="9"/>
  <c r="D226" i="9"/>
  <c r="E226" i="9"/>
  <c r="B226" i="9"/>
  <c r="C226" i="9"/>
  <c r="G222" i="9"/>
  <c r="F222" i="9"/>
  <c r="H222" i="9"/>
  <c r="D222" i="9"/>
  <c r="I222" i="9"/>
  <c r="E222" i="9"/>
  <c r="B222" i="9"/>
  <c r="C222" i="9"/>
  <c r="G218" i="9"/>
  <c r="F218" i="9"/>
  <c r="H218" i="9"/>
  <c r="D218" i="9"/>
  <c r="I218" i="9"/>
  <c r="E218" i="9"/>
  <c r="B218" i="9"/>
  <c r="C218" i="9"/>
  <c r="G214" i="9"/>
  <c r="F214" i="9"/>
  <c r="H214" i="9"/>
  <c r="D214" i="9"/>
  <c r="I214" i="9"/>
  <c r="E214" i="9"/>
  <c r="B214" i="9"/>
  <c r="C214" i="9"/>
  <c r="G210" i="9"/>
  <c r="F210" i="9"/>
  <c r="H210" i="9"/>
  <c r="I210" i="9"/>
  <c r="D210" i="9"/>
  <c r="E210" i="9"/>
  <c r="B210" i="9"/>
  <c r="C210" i="9"/>
  <c r="G206" i="9"/>
  <c r="F206" i="9"/>
  <c r="H206" i="9"/>
  <c r="D206" i="9"/>
  <c r="I206" i="9"/>
  <c r="E206" i="9"/>
  <c r="B206" i="9"/>
  <c r="C206" i="9"/>
  <c r="G202" i="9"/>
  <c r="F202" i="9"/>
  <c r="H202" i="9"/>
  <c r="D202" i="9"/>
  <c r="I202" i="9"/>
  <c r="E202" i="9"/>
  <c r="B202" i="9"/>
  <c r="C202" i="9"/>
  <c r="G198" i="9"/>
  <c r="F198" i="9"/>
  <c r="H198" i="9"/>
  <c r="D198" i="9"/>
  <c r="I198" i="9"/>
  <c r="E198" i="9"/>
  <c r="B198" i="9"/>
  <c r="C198" i="9"/>
  <c r="G194" i="9"/>
  <c r="F194" i="9"/>
  <c r="H194" i="9"/>
  <c r="I194" i="9"/>
  <c r="D194" i="9"/>
  <c r="E194" i="9"/>
  <c r="B194" i="9"/>
  <c r="C194" i="9"/>
  <c r="G190" i="9"/>
  <c r="F190" i="9"/>
  <c r="H190" i="9"/>
  <c r="D190" i="9"/>
  <c r="I190" i="9"/>
  <c r="E190" i="9"/>
  <c r="B190" i="9"/>
  <c r="C190" i="9"/>
  <c r="G186" i="9"/>
  <c r="F186" i="9"/>
  <c r="H186" i="9"/>
  <c r="D186" i="9"/>
  <c r="I186" i="9"/>
  <c r="E186" i="9"/>
  <c r="B186" i="9"/>
  <c r="C186" i="9"/>
  <c r="G182" i="9"/>
  <c r="F182" i="9"/>
  <c r="H182" i="9"/>
  <c r="D182" i="9"/>
  <c r="I182" i="9"/>
  <c r="E182" i="9"/>
  <c r="B182" i="9"/>
  <c r="C182" i="9"/>
  <c r="G178" i="9"/>
  <c r="F178" i="9"/>
  <c r="H178" i="9"/>
  <c r="I178" i="9"/>
  <c r="D178" i="9"/>
  <c r="E178" i="9"/>
  <c r="B178" i="9"/>
  <c r="C178" i="9"/>
  <c r="G174" i="9"/>
  <c r="F174" i="9"/>
  <c r="H174" i="9"/>
  <c r="D174" i="9"/>
  <c r="I174" i="9"/>
  <c r="E174" i="9"/>
  <c r="B174" i="9"/>
  <c r="C174" i="9"/>
  <c r="G170" i="9"/>
  <c r="F170" i="9"/>
  <c r="H170" i="9"/>
  <c r="D170" i="9"/>
  <c r="I170" i="9"/>
  <c r="E170" i="9"/>
  <c r="B170" i="9"/>
  <c r="C170" i="9"/>
  <c r="G166" i="9"/>
  <c r="F166" i="9"/>
  <c r="H166" i="9"/>
  <c r="D166" i="9"/>
  <c r="I166" i="9"/>
  <c r="E166" i="9"/>
  <c r="B166" i="9"/>
  <c r="C166" i="9"/>
  <c r="G162" i="9"/>
  <c r="F162" i="9"/>
  <c r="H162" i="9"/>
  <c r="I162" i="9"/>
  <c r="D162" i="9"/>
  <c r="E162" i="9"/>
  <c r="B162" i="9"/>
  <c r="C162" i="9"/>
  <c r="G158" i="9"/>
  <c r="F158" i="9"/>
  <c r="H158" i="9"/>
  <c r="D158" i="9"/>
  <c r="I158" i="9"/>
  <c r="E158" i="9"/>
  <c r="B158" i="9"/>
  <c r="C158" i="9"/>
  <c r="G154" i="9"/>
  <c r="F154" i="9"/>
  <c r="H154" i="9"/>
  <c r="D154" i="9"/>
  <c r="I154" i="9"/>
  <c r="E154" i="9"/>
  <c r="B154" i="9"/>
  <c r="C154" i="9"/>
  <c r="G150" i="9"/>
  <c r="F150" i="9"/>
  <c r="H150" i="9"/>
  <c r="D150" i="9"/>
  <c r="I150" i="9"/>
  <c r="E150" i="9"/>
  <c r="B150" i="9"/>
  <c r="C150" i="9"/>
  <c r="G146" i="9"/>
  <c r="F146" i="9"/>
  <c r="H146" i="9"/>
  <c r="I146" i="9"/>
  <c r="D146" i="9"/>
  <c r="E146" i="9"/>
  <c r="B146" i="9"/>
  <c r="C146" i="9"/>
  <c r="G142" i="9"/>
  <c r="F142" i="9"/>
  <c r="H142" i="9"/>
  <c r="D142" i="9"/>
  <c r="I142" i="9"/>
  <c r="E142" i="9"/>
  <c r="B142" i="9"/>
  <c r="C142" i="9"/>
  <c r="G138" i="9"/>
  <c r="F138" i="9"/>
  <c r="H138" i="9"/>
  <c r="D138" i="9"/>
  <c r="I138" i="9"/>
  <c r="E138" i="9"/>
  <c r="B138" i="9"/>
  <c r="C138" i="9"/>
  <c r="G134" i="9"/>
  <c r="F134" i="9"/>
  <c r="H134" i="9"/>
  <c r="D134" i="9"/>
  <c r="I134" i="9"/>
  <c r="E134" i="9"/>
  <c r="B134" i="9"/>
  <c r="C134" i="9"/>
  <c r="G130" i="9"/>
  <c r="F130" i="9"/>
  <c r="H130" i="9"/>
  <c r="I130" i="9"/>
  <c r="D130" i="9"/>
  <c r="E130" i="9"/>
  <c r="B130" i="9"/>
  <c r="C130" i="9"/>
  <c r="G126" i="9"/>
  <c r="F126" i="9"/>
  <c r="H126" i="9"/>
  <c r="D126" i="9"/>
  <c r="I126" i="9"/>
  <c r="E126" i="9"/>
  <c r="B126" i="9"/>
  <c r="C126" i="9"/>
  <c r="G122" i="9"/>
  <c r="F122" i="9"/>
  <c r="H122" i="9"/>
  <c r="D122" i="9"/>
  <c r="I122" i="9"/>
  <c r="E122" i="9"/>
  <c r="B122" i="9"/>
  <c r="C122" i="9"/>
  <c r="G118" i="9"/>
  <c r="F118" i="9"/>
  <c r="H118" i="9"/>
  <c r="D118" i="9"/>
  <c r="I118" i="9"/>
  <c r="E118" i="9"/>
  <c r="B118" i="9"/>
  <c r="C118" i="9"/>
  <c r="G114" i="9"/>
  <c r="F114" i="9"/>
  <c r="H114" i="9"/>
  <c r="I114" i="9"/>
  <c r="D114" i="9"/>
  <c r="E114" i="9"/>
  <c r="B114" i="9"/>
  <c r="C114" i="9"/>
  <c r="G110" i="9"/>
  <c r="F110" i="9"/>
  <c r="H110" i="9"/>
  <c r="D110" i="9"/>
  <c r="I110" i="9"/>
  <c r="E110" i="9"/>
  <c r="B110" i="9"/>
  <c r="C110" i="9"/>
  <c r="G106" i="9"/>
  <c r="F106" i="9"/>
  <c r="H106" i="9"/>
  <c r="D106" i="9"/>
  <c r="I106" i="9"/>
  <c r="E106" i="9"/>
  <c r="B106" i="9"/>
  <c r="C106" i="9"/>
  <c r="G102" i="9"/>
  <c r="F102" i="9"/>
  <c r="H102" i="9"/>
  <c r="D102" i="9"/>
  <c r="I102" i="9"/>
  <c r="E102" i="9"/>
  <c r="B102" i="9"/>
  <c r="C102" i="9"/>
  <c r="G98" i="9"/>
  <c r="F98" i="9"/>
  <c r="H98" i="9"/>
  <c r="I98" i="9"/>
  <c r="D98" i="9"/>
  <c r="E98" i="9"/>
  <c r="B98" i="9"/>
  <c r="C98" i="9"/>
  <c r="G94" i="9"/>
  <c r="F94" i="9"/>
  <c r="H94" i="9"/>
  <c r="D94" i="9"/>
  <c r="I94" i="9"/>
  <c r="E94" i="9"/>
  <c r="B94" i="9"/>
  <c r="C94" i="9"/>
  <c r="G90" i="9"/>
  <c r="F90" i="9"/>
  <c r="H90" i="9"/>
  <c r="D90" i="9"/>
  <c r="I90" i="9"/>
  <c r="E90" i="9"/>
  <c r="B90" i="9"/>
  <c r="C90" i="9"/>
  <c r="G86" i="9"/>
  <c r="F86" i="9"/>
  <c r="H86" i="9"/>
  <c r="D86" i="9"/>
  <c r="I86" i="9"/>
  <c r="E86" i="9"/>
  <c r="B86" i="9"/>
  <c r="C86" i="9"/>
  <c r="G82" i="9"/>
  <c r="F82" i="9"/>
  <c r="H82" i="9"/>
  <c r="I82" i="9"/>
  <c r="D82" i="9"/>
  <c r="E82" i="9"/>
  <c r="B82" i="9"/>
  <c r="C82" i="9"/>
  <c r="G78" i="9"/>
  <c r="F78" i="9"/>
  <c r="H78" i="9"/>
  <c r="D78" i="9"/>
  <c r="I78" i="9"/>
  <c r="E78" i="9"/>
  <c r="B78" i="9"/>
  <c r="C78" i="9"/>
  <c r="G74" i="9"/>
  <c r="F74" i="9"/>
  <c r="H74" i="9"/>
  <c r="D74" i="9"/>
  <c r="I74" i="9"/>
  <c r="E74" i="9"/>
  <c r="B74" i="9"/>
  <c r="C74" i="9"/>
  <c r="G70" i="9"/>
  <c r="F70" i="9"/>
  <c r="H70" i="9"/>
  <c r="D70" i="9"/>
  <c r="I70" i="9"/>
  <c r="E70" i="9"/>
  <c r="B70" i="9"/>
  <c r="C70" i="9"/>
  <c r="G66" i="9"/>
  <c r="F66" i="9"/>
  <c r="H66" i="9"/>
  <c r="I66" i="9"/>
  <c r="D66" i="9"/>
  <c r="E66" i="9"/>
  <c r="B66" i="9"/>
  <c r="C66" i="9"/>
  <c r="G62" i="9"/>
  <c r="F62" i="9"/>
  <c r="H62" i="9"/>
  <c r="D62" i="9"/>
  <c r="I62" i="9"/>
  <c r="E62" i="9"/>
  <c r="B62" i="9"/>
  <c r="C62" i="9"/>
  <c r="G58" i="9"/>
  <c r="F58" i="9"/>
  <c r="H58" i="9"/>
  <c r="D58" i="9"/>
  <c r="I58" i="9"/>
  <c r="E58" i="9"/>
  <c r="B58" i="9"/>
  <c r="C58" i="9"/>
  <c r="G54" i="9"/>
  <c r="F54" i="9"/>
  <c r="H54" i="9"/>
  <c r="D54" i="9"/>
  <c r="I54" i="9"/>
  <c r="E54" i="9"/>
  <c r="B54" i="9"/>
  <c r="C54" i="9"/>
  <c r="G50" i="9"/>
  <c r="F50" i="9"/>
  <c r="H50" i="9"/>
  <c r="I50" i="9"/>
  <c r="D50" i="9"/>
  <c r="E50" i="9"/>
  <c r="B50" i="9"/>
  <c r="C50" i="9"/>
  <c r="G46" i="9"/>
  <c r="F46" i="9"/>
  <c r="H46" i="9"/>
  <c r="D46" i="9"/>
  <c r="I46" i="9"/>
  <c r="E46" i="9"/>
  <c r="B46" i="9"/>
  <c r="C46" i="9"/>
  <c r="G42" i="9"/>
  <c r="F42" i="9"/>
  <c r="H42" i="9"/>
  <c r="D42" i="9"/>
  <c r="I42" i="9"/>
  <c r="E42" i="9"/>
  <c r="B42" i="9"/>
  <c r="C42" i="9"/>
  <c r="G38" i="9"/>
  <c r="F38" i="9"/>
  <c r="H38" i="9"/>
  <c r="D38" i="9"/>
  <c r="I38" i="9"/>
  <c r="E38" i="9"/>
  <c r="B38" i="9"/>
  <c r="C38" i="9"/>
  <c r="B34" i="9"/>
  <c r="G34" i="9"/>
  <c r="F34" i="9"/>
  <c r="H34" i="9"/>
  <c r="I34" i="9"/>
  <c r="D34" i="9"/>
  <c r="E34" i="9"/>
  <c r="C34" i="9"/>
  <c r="B30" i="9"/>
  <c r="G30" i="9"/>
  <c r="F30" i="9"/>
  <c r="H30" i="9"/>
  <c r="D30" i="9"/>
  <c r="I30" i="9"/>
  <c r="E30" i="9"/>
  <c r="C30" i="9"/>
  <c r="B26" i="9"/>
  <c r="G26" i="9"/>
  <c r="F26" i="9"/>
  <c r="H26" i="9"/>
  <c r="D26" i="9"/>
  <c r="I26" i="9"/>
  <c r="E26" i="9"/>
  <c r="C26" i="9"/>
  <c r="B22" i="9"/>
  <c r="G22" i="9"/>
  <c r="F22" i="9"/>
  <c r="H22" i="9"/>
  <c r="D22" i="9"/>
  <c r="I22" i="9"/>
  <c r="E22" i="9"/>
  <c r="C22" i="9"/>
  <c r="B18" i="9"/>
  <c r="G18" i="9"/>
  <c r="F18" i="9"/>
  <c r="H18" i="9"/>
  <c r="I18" i="9"/>
  <c r="E18" i="9"/>
  <c r="C18" i="9"/>
  <c r="B14" i="9"/>
  <c r="G14" i="9"/>
  <c r="F14" i="9"/>
  <c r="H14" i="9"/>
  <c r="I14" i="9"/>
  <c r="E14" i="9"/>
  <c r="D14" i="9"/>
  <c r="C14" i="9"/>
  <c r="B10" i="9"/>
  <c r="G10" i="9"/>
  <c r="F10" i="9"/>
  <c r="H10" i="9"/>
  <c r="I10" i="9"/>
  <c r="E10" i="9"/>
  <c r="D10" i="9"/>
  <c r="B6" i="9"/>
  <c r="G6" i="9"/>
  <c r="H6" i="9"/>
  <c r="I6" i="9"/>
  <c r="E6" i="9"/>
  <c r="F6" i="9"/>
  <c r="D6" i="9"/>
  <c r="C6" i="9"/>
  <c r="T2500" i="9"/>
  <c r="V2500" i="9" s="1"/>
  <c r="U2500" i="9"/>
  <c r="O2500" i="9"/>
  <c r="P2500" i="9" s="1"/>
  <c r="K2500" i="9"/>
  <c r="L2500" i="9"/>
  <c r="N2500" i="9"/>
  <c r="M2500" i="9"/>
  <c r="T2496" i="9"/>
  <c r="V2496" i="9" s="1"/>
  <c r="U2496" i="9"/>
  <c r="O2496" i="9"/>
  <c r="P2496" i="9" s="1"/>
  <c r="N2496" i="9"/>
  <c r="M2496" i="9"/>
  <c r="K2496" i="9"/>
  <c r="L2496" i="9"/>
  <c r="U2492" i="9"/>
  <c r="O2492" i="9"/>
  <c r="P2492" i="9" s="1"/>
  <c r="T2492" i="9"/>
  <c r="V2492" i="9" s="1"/>
  <c r="N2492" i="9"/>
  <c r="M2492" i="9"/>
  <c r="K2492" i="9"/>
  <c r="L2492" i="9"/>
  <c r="T2488" i="9"/>
  <c r="V2488" i="9" s="1"/>
  <c r="U2488" i="9"/>
  <c r="O2488" i="9"/>
  <c r="P2488" i="9" s="1"/>
  <c r="N2488" i="9"/>
  <c r="M2488" i="9"/>
  <c r="K2488" i="9"/>
  <c r="L2488" i="9"/>
  <c r="T2484" i="9"/>
  <c r="V2484" i="9" s="1"/>
  <c r="U2484" i="9"/>
  <c r="O2484" i="9"/>
  <c r="P2484" i="9" s="1"/>
  <c r="K2484" i="9"/>
  <c r="L2484" i="9"/>
  <c r="N2484" i="9"/>
  <c r="M2484" i="9"/>
  <c r="T2480" i="9"/>
  <c r="V2480" i="9" s="1"/>
  <c r="U2480" i="9"/>
  <c r="N2480" i="9"/>
  <c r="M2480" i="9"/>
  <c r="K2480" i="9"/>
  <c r="L2480" i="9"/>
  <c r="O2480" i="9"/>
  <c r="P2480" i="9" s="1"/>
  <c r="U2476" i="9"/>
  <c r="T2476" i="9"/>
  <c r="V2476" i="9" s="1"/>
  <c r="O2476" i="9"/>
  <c r="P2476" i="9" s="1"/>
  <c r="N2476" i="9"/>
  <c r="M2476" i="9"/>
  <c r="K2476" i="9"/>
  <c r="L2476" i="9"/>
  <c r="T2472" i="9"/>
  <c r="V2472" i="9" s="1"/>
  <c r="U2472" i="9"/>
  <c r="O2472" i="9"/>
  <c r="P2472" i="9" s="1"/>
  <c r="N2472" i="9"/>
  <c r="M2472" i="9"/>
  <c r="K2472" i="9"/>
  <c r="L2472" i="9"/>
  <c r="T2468" i="9"/>
  <c r="V2468" i="9" s="1"/>
  <c r="U2468" i="9"/>
  <c r="O2468" i="9"/>
  <c r="P2468" i="9" s="1"/>
  <c r="K2468" i="9"/>
  <c r="N2468" i="9"/>
  <c r="M2468" i="9"/>
  <c r="L2468" i="9"/>
  <c r="T2464" i="9"/>
  <c r="V2464" i="9" s="1"/>
  <c r="U2464" i="9"/>
  <c r="O2464" i="9"/>
  <c r="P2464" i="9" s="1"/>
  <c r="N2464" i="9"/>
  <c r="M2464" i="9"/>
  <c r="K2464" i="9"/>
  <c r="L2464" i="9"/>
  <c r="U2460" i="9"/>
  <c r="T2460" i="9"/>
  <c r="V2460" i="9" s="1"/>
  <c r="O2460" i="9"/>
  <c r="P2460" i="9" s="1"/>
  <c r="N2460" i="9"/>
  <c r="M2460" i="9"/>
  <c r="K2460" i="9"/>
  <c r="L2460" i="9"/>
  <c r="T2456" i="9"/>
  <c r="V2456" i="9" s="1"/>
  <c r="U2456" i="9"/>
  <c r="O2456" i="9"/>
  <c r="P2456" i="9" s="1"/>
  <c r="N2456" i="9"/>
  <c r="M2456" i="9"/>
  <c r="K2456" i="9"/>
  <c r="L2456" i="9"/>
  <c r="T2452" i="9"/>
  <c r="V2452" i="9" s="1"/>
  <c r="U2452" i="9"/>
  <c r="O2452" i="9"/>
  <c r="P2452" i="9" s="1"/>
  <c r="K2452" i="9"/>
  <c r="N2452" i="9"/>
  <c r="M2452" i="9"/>
  <c r="L2452" i="9"/>
  <c r="T2448" i="9"/>
  <c r="V2448" i="9" s="1"/>
  <c r="U2448" i="9"/>
  <c r="O2448" i="9"/>
  <c r="P2448" i="9" s="1"/>
  <c r="N2448" i="9"/>
  <c r="M2448" i="9"/>
  <c r="K2448" i="9"/>
  <c r="L2448" i="9"/>
  <c r="U2444" i="9"/>
  <c r="T2444" i="9"/>
  <c r="V2444" i="9" s="1"/>
  <c r="O2444" i="9"/>
  <c r="P2444" i="9" s="1"/>
  <c r="N2444" i="9"/>
  <c r="M2444" i="9"/>
  <c r="K2444" i="9"/>
  <c r="L2444" i="9"/>
  <c r="T2440" i="9"/>
  <c r="V2440" i="9" s="1"/>
  <c r="U2440" i="9"/>
  <c r="O2440" i="9"/>
  <c r="P2440" i="9" s="1"/>
  <c r="N2440" i="9"/>
  <c r="M2440" i="9"/>
  <c r="K2440" i="9"/>
  <c r="L2440" i="9"/>
  <c r="T2436" i="9"/>
  <c r="V2436" i="9" s="1"/>
  <c r="U2436" i="9"/>
  <c r="O2436" i="9"/>
  <c r="P2436" i="9" s="1"/>
  <c r="K2436" i="9"/>
  <c r="L2436" i="9"/>
  <c r="M2436" i="9"/>
  <c r="N2436" i="9"/>
  <c r="T2432" i="9"/>
  <c r="V2432" i="9" s="1"/>
  <c r="U2432" i="9"/>
  <c r="O2432" i="9"/>
  <c r="P2432" i="9" s="1"/>
  <c r="N2432" i="9"/>
  <c r="M2432" i="9"/>
  <c r="K2432" i="9"/>
  <c r="L2432" i="9"/>
  <c r="U2428" i="9"/>
  <c r="O2428" i="9"/>
  <c r="P2428" i="9" s="1"/>
  <c r="T2428" i="9"/>
  <c r="V2428" i="9" s="1"/>
  <c r="N2428" i="9"/>
  <c r="M2428" i="9"/>
  <c r="K2428" i="9"/>
  <c r="L2428" i="9"/>
  <c r="T2424" i="9"/>
  <c r="V2424" i="9" s="1"/>
  <c r="U2424" i="9"/>
  <c r="O2424" i="9"/>
  <c r="P2424" i="9" s="1"/>
  <c r="N2424" i="9"/>
  <c r="M2424" i="9"/>
  <c r="K2424" i="9"/>
  <c r="L2424" i="9"/>
  <c r="T2420" i="9"/>
  <c r="V2420" i="9" s="1"/>
  <c r="U2420" i="9"/>
  <c r="O2420" i="9"/>
  <c r="P2420" i="9" s="1"/>
  <c r="K2420" i="9"/>
  <c r="L2420" i="9"/>
  <c r="N2420" i="9"/>
  <c r="M2420" i="9"/>
  <c r="T2416" i="9"/>
  <c r="V2416" i="9" s="1"/>
  <c r="U2416" i="9"/>
  <c r="O2416" i="9"/>
  <c r="P2416" i="9" s="1"/>
  <c r="N2416" i="9"/>
  <c r="M2416" i="9"/>
  <c r="K2416" i="9"/>
  <c r="L2416" i="9"/>
  <c r="U2412" i="9"/>
  <c r="T2412" i="9"/>
  <c r="V2412" i="9" s="1"/>
  <c r="O2412" i="9"/>
  <c r="P2412" i="9" s="1"/>
  <c r="N2412" i="9"/>
  <c r="M2412" i="9"/>
  <c r="K2412" i="9"/>
  <c r="L2412" i="9"/>
  <c r="T2408" i="9"/>
  <c r="V2408" i="9" s="1"/>
  <c r="U2408" i="9"/>
  <c r="O2408" i="9"/>
  <c r="P2408" i="9" s="1"/>
  <c r="N2408" i="9"/>
  <c r="M2408" i="9"/>
  <c r="K2408" i="9"/>
  <c r="L2408" i="9"/>
  <c r="T2404" i="9"/>
  <c r="V2404" i="9" s="1"/>
  <c r="U2404" i="9"/>
  <c r="O2404" i="9"/>
  <c r="P2404" i="9" s="1"/>
  <c r="K2404" i="9"/>
  <c r="N2404" i="9"/>
  <c r="M2404" i="9"/>
  <c r="L2404" i="9"/>
  <c r="T2400" i="9"/>
  <c r="V2400" i="9" s="1"/>
  <c r="U2400" i="9"/>
  <c r="O2400" i="9"/>
  <c r="P2400" i="9" s="1"/>
  <c r="N2400" i="9"/>
  <c r="M2400" i="9"/>
  <c r="K2400" i="9"/>
  <c r="L2400" i="9"/>
  <c r="U2396" i="9"/>
  <c r="T2396" i="9"/>
  <c r="V2396" i="9" s="1"/>
  <c r="O2396" i="9"/>
  <c r="P2396" i="9" s="1"/>
  <c r="N2396" i="9"/>
  <c r="M2396" i="9"/>
  <c r="K2396" i="9"/>
  <c r="L2396" i="9"/>
  <c r="T2392" i="9"/>
  <c r="V2392" i="9" s="1"/>
  <c r="U2392" i="9"/>
  <c r="O2392" i="9"/>
  <c r="P2392" i="9" s="1"/>
  <c r="N2392" i="9"/>
  <c r="M2392" i="9"/>
  <c r="K2392" i="9"/>
  <c r="L2392" i="9"/>
  <c r="T2388" i="9"/>
  <c r="V2388" i="9" s="1"/>
  <c r="U2388" i="9"/>
  <c r="O2388" i="9"/>
  <c r="P2388" i="9" s="1"/>
  <c r="K2388" i="9"/>
  <c r="N2388" i="9"/>
  <c r="M2388" i="9"/>
  <c r="L2388" i="9"/>
  <c r="T2384" i="9"/>
  <c r="V2384" i="9" s="1"/>
  <c r="U2384" i="9"/>
  <c r="O2384" i="9"/>
  <c r="P2384" i="9" s="1"/>
  <c r="N2384" i="9"/>
  <c r="M2384" i="9"/>
  <c r="K2384" i="9"/>
  <c r="L2384" i="9"/>
  <c r="U2380" i="9"/>
  <c r="T2380" i="9"/>
  <c r="V2380" i="9" s="1"/>
  <c r="O2380" i="9"/>
  <c r="P2380" i="9" s="1"/>
  <c r="N2380" i="9"/>
  <c r="M2380" i="9"/>
  <c r="K2380" i="9"/>
  <c r="L2380" i="9"/>
  <c r="T2376" i="9"/>
  <c r="V2376" i="9" s="1"/>
  <c r="U2376" i="9"/>
  <c r="O2376" i="9"/>
  <c r="P2376" i="9" s="1"/>
  <c r="N2376" i="9"/>
  <c r="M2376" i="9"/>
  <c r="K2376" i="9"/>
  <c r="L2376" i="9"/>
  <c r="T2372" i="9"/>
  <c r="V2372" i="9" s="1"/>
  <c r="U2372" i="9"/>
  <c r="O2372" i="9"/>
  <c r="P2372" i="9" s="1"/>
  <c r="K2372" i="9"/>
  <c r="L2372" i="9"/>
  <c r="M2372" i="9"/>
  <c r="N2372" i="9"/>
  <c r="T2368" i="9"/>
  <c r="V2368" i="9" s="1"/>
  <c r="U2368" i="9"/>
  <c r="O2368" i="9"/>
  <c r="P2368" i="9" s="1"/>
  <c r="N2368" i="9"/>
  <c r="M2368" i="9"/>
  <c r="K2368" i="9"/>
  <c r="L2368" i="9"/>
  <c r="U2364" i="9"/>
  <c r="O2364" i="9"/>
  <c r="P2364" i="9" s="1"/>
  <c r="T2364" i="9"/>
  <c r="V2364" i="9" s="1"/>
  <c r="N2364" i="9"/>
  <c r="M2364" i="9"/>
  <c r="K2364" i="9"/>
  <c r="L2364" i="9"/>
  <c r="T2360" i="9"/>
  <c r="V2360" i="9" s="1"/>
  <c r="U2360" i="9"/>
  <c r="O2360" i="9"/>
  <c r="P2360" i="9" s="1"/>
  <c r="N2360" i="9"/>
  <c r="M2360" i="9"/>
  <c r="K2360" i="9"/>
  <c r="L2360" i="9"/>
  <c r="T2356" i="9"/>
  <c r="V2356" i="9" s="1"/>
  <c r="U2356" i="9"/>
  <c r="O2356" i="9"/>
  <c r="P2356" i="9" s="1"/>
  <c r="K2356" i="9"/>
  <c r="L2356" i="9"/>
  <c r="N2356" i="9"/>
  <c r="M2356" i="9"/>
  <c r="T2352" i="9"/>
  <c r="V2352" i="9" s="1"/>
  <c r="U2352" i="9"/>
  <c r="N2352" i="9"/>
  <c r="M2352" i="9"/>
  <c r="K2352" i="9"/>
  <c r="L2352" i="9"/>
  <c r="O2352" i="9"/>
  <c r="P2352" i="9" s="1"/>
  <c r="U2348" i="9"/>
  <c r="T2348" i="9"/>
  <c r="V2348" i="9" s="1"/>
  <c r="O2348" i="9"/>
  <c r="P2348" i="9" s="1"/>
  <c r="N2348" i="9"/>
  <c r="M2348" i="9"/>
  <c r="K2348" i="9"/>
  <c r="L2348" i="9"/>
  <c r="T2344" i="9"/>
  <c r="V2344" i="9" s="1"/>
  <c r="U2344" i="9"/>
  <c r="O2344" i="9"/>
  <c r="P2344" i="9" s="1"/>
  <c r="N2344" i="9"/>
  <c r="M2344" i="9"/>
  <c r="K2344" i="9"/>
  <c r="L2344" i="9"/>
  <c r="T2340" i="9"/>
  <c r="V2340" i="9" s="1"/>
  <c r="U2340" i="9"/>
  <c r="O2340" i="9"/>
  <c r="P2340" i="9" s="1"/>
  <c r="K2340" i="9"/>
  <c r="N2340" i="9"/>
  <c r="M2340" i="9"/>
  <c r="L2340" i="9"/>
  <c r="T2336" i="9"/>
  <c r="V2336" i="9" s="1"/>
  <c r="U2336" i="9"/>
  <c r="O2336" i="9"/>
  <c r="P2336" i="9" s="1"/>
  <c r="N2336" i="9"/>
  <c r="M2336" i="9"/>
  <c r="K2336" i="9"/>
  <c r="L2336" i="9"/>
  <c r="U2332" i="9"/>
  <c r="T2332" i="9"/>
  <c r="V2332" i="9" s="1"/>
  <c r="O2332" i="9"/>
  <c r="P2332" i="9" s="1"/>
  <c r="N2332" i="9"/>
  <c r="M2332" i="9"/>
  <c r="K2332" i="9"/>
  <c r="L2332" i="9"/>
  <c r="T2328" i="9"/>
  <c r="V2328" i="9" s="1"/>
  <c r="U2328" i="9"/>
  <c r="O2328" i="9"/>
  <c r="P2328" i="9" s="1"/>
  <c r="N2328" i="9"/>
  <c r="M2328" i="9"/>
  <c r="K2328" i="9"/>
  <c r="L2328" i="9"/>
  <c r="T2324" i="9"/>
  <c r="V2324" i="9" s="1"/>
  <c r="U2324" i="9"/>
  <c r="O2324" i="9"/>
  <c r="P2324" i="9" s="1"/>
  <c r="K2324" i="9"/>
  <c r="N2324" i="9"/>
  <c r="M2324" i="9"/>
  <c r="L2324" i="9"/>
  <c r="T2320" i="9"/>
  <c r="V2320" i="9" s="1"/>
  <c r="U2320" i="9"/>
  <c r="O2320" i="9"/>
  <c r="P2320" i="9" s="1"/>
  <c r="N2320" i="9"/>
  <c r="M2320" i="9"/>
  <c r="K2320" i="9"/>
  <c r="L2320" i="9"/>
  <c r="U2316" i="9"/>
  <c r="T2316" i="9"/>
  <c r="V2316" i="9" s="1"/>
  <c r="O2316" i="9"/>
  <c r="P2316" i="9" s="1"/>
  <c r="N2316" i="9"/>
  <c r="M2316" i="9"/>
  <c r="K2316" i="9"/>
  <c r="L2316" i="9"/>
  <c r="T2312" i="9"/>
  <c r="V2312" i="9" s="1"/>
  <c r="U2312" i="9"/>
  <c r="O2312" i="9"/>
  <c r="P2312" i="9" s="1"/>
  <c r="N2312" i="9"/>
  <c r="M2312" i="9"/>
  <c r="K2312" i="9"/>
  <c r="L2312" i="9"/>
  <c r="T2308" i="9"/>
  <c r="V2308" i="9" s="1"/>
  <c r="U2308" i="9"/>
  <c r="O2308" i="9"/>
  <c r="P2308" i="9" s="1"/>
  <c r="K2308" i="9"/>
  <c r="L2308" i="9"/>
  <c r="N2308" i="9"/>
  <c r="M2308" i="9"/>
  <c r="T2304" i="9"/>
  <c r="V2304" i="9" s="1"/>
  <c r="U2304" i="9"/>
  <c r="O2304" i="9"/>
  <c r="P2304" i="9" s="1"/>
  <c r="N2304" i="9"/>
  <c r="M2304" i="9"/>
  <c r="K2304" i="9"/>
  <c r="L2304" i="9"/>
  <c r="U2300" i="9"/>
  <c r="O2300" i="9"/>
  <c r="P2300" i="9" s="1"/>
  <c r="T2300" i="9"/>
  <c r="V2300" i="9" s="1"/>
  <c r="N2300" i="9"/>
  <c r="M2300" i="9"/>
  <c r="K2300" i="9"/>
  <c r="L2300" i="9"/>
  <c r="T2296" i="9"/>
  <c r="V2296" i="9" s="1"/>
  <c r="U2296" i="9"/>
  <c r="O2296" i="9"/>
  <c r="P2296" i="9" s="1"/>
  <c r="N2296" i="9"/>
  <c r="M2296" i="9"/>
  <c r="K2296" i="9"/>
  <c r="L2296" i="9"/>
  <c r="T2292" i="9"/>
  <c r="V2292" i="9" s="1"/>
  <c r="U2292" i="9"/>
  <c r="O2292" i="9"/>
  <c r="P2292" i="9" s="1"/>
  <c r="K2292" i="9"/>
  <c r="L2292" i="9"/>
  <c r="N2292" i="9"/>
  <c r="M2292" i="9"/>
  <c r="T2288" i="9"/>
  <c r="V2288" i="9" s="1"/>
  <c r="U2288" i="9"/>
  <c r="O2288" i="9"/>
  <c r="P2288" i="9" s="1"/>
  <c r="N2288" i="9"/>
  <c r="M2288" i="9"/>
  <c r="K2288" i="9"/>
  <c r="L2288" i="9"/>
  <c r="U2284" i="9"/>
  <c r="T2284" i="9"/>
  <c r="V2284" i="9" s="1"/>
  <c r="O2284" i="9"/>
  <c r="P2284" i="9" s="1"/>
  <c r="N2284" i="9"/>
  <c r="M2284" i="9"/>
  <c r="K2284" i="9"/>
  <c r="L2284" i="9"/>
  <c r="T2280" i="9"/>
  <c r="V2280" i="9" s="1"/>
  <c r="U2280" i="9"/>
  <c r="O2280" i="9"/>
  <c r="P2280" i="9" s="1"/>
  <c r="N2280" i="9"/>
  <c r="M2280" i="9"/>
  <c r="K2280" i="9"/>
  <c r="L2280" i="9"/>
  <c r="T2276" i="9"/>
  <c r="V2276" i="9" s="1"/>
  <c r="U2276" i="9"/>
  <c r="O2276" i="9"/>
  <c r="P2276" i="9" s="1"/>
  <c r="K2276" i="9"/>
  <c r="N2276" i="9"/>
  <c r="M2276" i="9"/>
  <c r="L2276" i="9"/>
  <c r="T2272" i="9"/>
  <c r="V2272" i="9" s="1"/>
  <c r="U2272" i="9"/>
  <c r="O2272" i="9"/>
  <c r="P2272" i="9" s="1"/>
  <c r="N2272" i="9"/>
  <c r="M2272" i="9"/>
  <c r="K2272" i="9"/>
  <c r="L2272" i="9"/>
  <c r="U2268" i="9"/>
  <c r="T2268" i="9"/>
  <c r="V2268" i="9" s="1"/>
  <c r="O2268" i="9"/>
  <c r="P2268" i="9" s="1"/>
  <c r="N2268" i="9"/>
  <c r="M2268" i="9"/>
  <c r="K2268" i="9"/>
  <c r="L2268" i="9"/>
  <c r="T2264" i="9"/>
  <c r="V2264" i="9" s="1"/>
  <c r="U2264" i="9"/>
  <c r="O2264" i="9"/>
  <c r="P2264" i="9" s="1"/>
  <c r="N2264" i="9"/>
  <c r="M2264" i="9"/>
  <c r="K2264" i="9"/>
  <c r="L2264" i="9"/>
  <c r="T2260" i="9"/>
  <c r="V2260" i="9" s="1"/>
  <c r="U2260" i="9"/>
  <c r="O2260" i="9"/>
  <c r="P2260" i="9" s="1"/>
  <c r="K2260" i="9"/>
  <c r="N2260" i="9"/>
  <c r="M2260" i="9"/>
  <c r="L2260" i="9"/>
  <c r="T2256" i="9"/>
  <c r="V2256" i="9" s="1"/>
  <c r="U2256" i="9"/>
  <c r="O2256" i="9"/>
  <c r="P2256" i="9" s="1"/>
  <c r="N2256" i="9"/>
  <c r="M2256" i="9"/>
  <c r="K2256" i="9"/>
  <c r="L2256" i="9"/>
  <c r="U2252" i="9"/>
  <c r="T2252" i="9"/>
  <c r="V2252" i="9" s="1"/>
  <c r="O2252" i="9"/>
  <c r="P2252" i="9" s="1"/>
  <c r="N2252" i="9"/>
  <c r="M2252" i="9"/>
  <c r="K2252" i="9"/>
  <c r="L2252" i="9"/>
  <c r="T2248" i="9"/>
  <c r="V2248" i="9" s="1"/>
  <c r="U2248" i="9"/>
  <c r="O2248" i="9"/>
  <c r="P2248" i="9" s="1"/>
  <c r="N2248" i="9"/>
  <c r="M2248" i="9"/>
  <c r="K2248" i="9"/>
  <c r="L2248" i="9"/>
  <c r="T2244" i="9"/>
  <c r="V2244" i="9" s="1"/>
  <c r="U2244" i="9"/>
  <c r="O2244" i="9"/>
  <c r="P2244" i="9" s="1"/>
  <c r="K2244" i="9"/>
  <c r="L2244" i="9"/>
  <c r="N2244" i="9"/>
  <c r="M2244" i="9"/>
  <c r="T2240" i="9"/>
  <c r="V2240" i="9" s="1"/>
  <c r="U2240" i="9"/>
  <c r="O2240" i="9"/>
  <c r="P2240" i="9" s="1"/>
  <c r="N2240" i="9"/>
  <c r="M2240" i="9"/>
  <c r="K2240" i="9"/>
  <c r="L2240" i="9"/>
  <c r="U2236" i="9"/>
  <c r="O2236" i="9"/>
  <c r="P2236" i="9" s="1"/>
  <c r="T2236" i="9"/>
  <c r="V2236" i="9" s="1"/>
  <c r="N2236" i="9"/>
  <c r="M2236" i="9"/>
  <c r="K2236" i="9"/>
  <c r="L2236" i="9"/>
  <c r="T2232" i="9"/>
  <c r="V2232" i="9" s="1"/>
  <c r="U2232" i="9"/>
  <c r="O2232" i="9"/>
  <c r="P2232" i="9" s="1"/>
  <c r="N2232" i="9"/>
  <c r="M2232" i="9"/>
  <c r="K2232" i="9"/>
  <c r="L2232" i="9"/>
  <c r="T2228" i="9"/>
  <c r="V2228" i="9" s="1"/>
  <c r="U2228" i="9"/>
  <c r="O2228" i="9"/>
  <c r="P2228" i="9" s="1"/>
  <c r="K2228" i="9"/>
  <c r="L2228" i="9"/>
  <c r="N2228" i="9"/>
  <c r="M2228" i="9"/>
  <c r="T2224" i="9"/>
  <c r="V2224" i="9" s="1"/>
  <c r="U2224" i="9"/>
  <c r="N2224" i="9"/>
  <c r="M2224" i="9"/>
  <c r="K2224" i="9"/>
  <c r="L2224" i="9"/>
  <c r="O2224" i="9"/>
  <c r="P2224" i="9" s="1"/>
  <c r="U2220" i="9"/>
  <c r="T2220" i="9"/>
  <c r="V2220" i="9" s="1"/>
  <c r="O2220" i="9"/>
  <c r="P2220" i="9" s="1"/>
  <c r="N2220" i="9"/>
  <c r="M2220" i="9"/>
  <c r="K2220" i="9"/>
  <c r="L2220" i="9"/>
  <c r="T2216" i="9"/>
  <c r="V2216" i="9" s="1"/>
  <c r="U2216" i="9"/>
  <c r="O2216" i="9"/>
  <c r="P2216" i="9" s="1"/>
  <c r="N2216" i="9"/>
  <c r="M2216" i="9"/>
  <c r="K2216" i="9"/>
  <c r="L2216" i="9"/>
  <c r="T2212" i="9"/>
  <c r="V2212" i="9" s="1"/>
  <c r="U2212" i="9"/>
  <c r="O2212" i="9"/>
  <c r="P2212" i="9" s="1"/>
  <c r="K2212" i="9"/>
  <c r="N2212" i="9"/>
  <c r="M2212" i="9"/>
  <c r="L2212" i="9"/>
  <c r="T2208" i="9"/>
  <c r="V2208" i="9" s="1"/>
  <c r="U2208" i="9"/>
  <c r="O2208" i="9"/>
  <c r="P2208" i="9" s="1"/>
  <c r="N2208" i="9"/>
  <c r="M2208" i="9"/>
  <c r="K2208" i="9"/>
  <c r="L2208" i="9"/>
  <c r="U2204" i="9"/>
  <c r="T2204" i="9"/>
  <c r="V2204" i="9" s="1"/>
  <c r="O2204" i="9"/>
  <c r="P2204" i="9" s="1"/>
  <c r="N2204" i="9"/>
  <c r="M2204" i="9"/>
  <c r="K2204" i="9"/>
  <c r="L2204" i="9"/>
  <c r="T2200" i="9"/>
  <c r="V2200" i="9" s="1"/>
  <c r="U2200" i="9"/>
  <c r="O2200" i="9"/>
  <c r="P2200" i="9" s="1"/>
  <c r="N2200" i="9"/>
  <c r="M2200" i="9"/>
  <c r="K2200" i="9"/>
  <c r="L2200" i="9"/>
  <c r="T2196" i="9"/>
  <c r="V2196" i="9" s="1"/>
  <c r="U2196" i="9"/>
  <c r="O2196" i="9"/>
  <c r="P2196" i="9" s="1"/>
  <c r="K2196" i="9"/>
  <c r="N2196" i="9"/>
  <c r="M2196" i="9"/>
  <c r="L2196" i="9"/>
  <c r="T2192" i="9"/>
  <c r="V2192" i="9" s="1"/>
  <c r="U2192" i="9"/>
  <c r="O2192" i="9"/>
  <c r="P2192" i="9" s="1"/>
  <c r="N2192" i="9"/>
  <c r="M2192" i="9"/>
  <c r="K2192" i="9"/>
  <c r="L2192" i="9"/>
  <c r="U2188" i="9"/>
  <c r="T2188" i="9"/>
  <c r="V2188" i="9" s="1"/>
  <c r="O2188" i="9"/>
  <c r="P2188" i="9" s="1"/>
  <c r="N2188" i="9"/>
  <c r="M2188" i="9"/>
  <c r="K2188" i="9"/>
  <c r="L2188" i="9"/>
  <c r="T2184" i="9"/>
  <c r="V2184" i="9" s="1"/>
  <c r="U2184" i="9"/>
  <c r="O2184" i="9"/>
  <c r="P2184" i="9" s="1"/>
  <c r="N2184" i="9"/>
  <c r="M2184" i="9"/>
  <c r="K2184" i="9"/>
  <c r="L2184" i="9"/>
  <c r="T2180" i="9"/>
  <c r="V2180" i="9" s="1"/>
  <c r="U2180" i="9"/>
  <c r="O2180" i="9"/>
  <c r="P2180" i="9" s="1"/>
  <c r="K2180" i="9"/>
  <c r="L2180" i="9"/>
  <c r="M2180" i="9"/>
  <c r="N2180" i="9"/>
  <c r="T2176" i="9"/>
  <c r="V2176" i="9" s="1"/>
  <c r="U2176" i="9"/>
  <c r="O2176" i="9"/>
  <c r="P2176" i="9" s="1"/>
  <c r="N2176" i="9"/>
  <c r="M2176" i="9"/>
  <c r="K2176" i="9"/>
  <c r="L2176" i="9"/>
  <c r="U2172" i="9"/>
  <c r="O2172" i="9"/>
  <c r="P2172" i="9" s="1"/>
  <c r="T2172" i="9"/>
  <c r="V2172" i="9" s="1"/>
  <c r="N2172" i="9"/>
  <c r="M2172" i="9"/>
  <c r="K2172" i="9"/>
  <c r="L2172" i="9"/>
  <c r="T2168" i="9"/>
  <c r="V2168" i="9" s="1"/>
  <c r="U2168" i="9"/>
  <c r="O2168" i="9"/>
  <c r="P2168" i="9" s="1"/>
  <c r="N2168" i="9"/>
  <c r="M2168" i="9"/>
  <c r="K2168" i="9"/>
  <c r="L2168" i="9"/>
  <c r="T2164" i="9"/>
  <c r="V2164" i="9" s="1"/>
  <c r="U2164" i="9"/>
  <c r="O2164" i="9"/>
  <c r="P2164" i="9" s="1"/>
  <c r="K2164" i="9"/>
  <c r="L2164" i="9"/>
  <c r="N2164" i="9"/>
  <c r="M2164" i="9"/>
  <c r="T2160" i="9"/>
  <c r="V2160" i="9" s="1"/>
  <c r="U2160" i="9"/>
  <c r="O2160" i="9"/>
  <c r="P2160" i="9" s="1"/>
  <c r="N2160" i="9"/>
  <c r="M2160" i="9"/>
  <c r="K2160" i="9"/>
  <c r="L2160" i="9"/>
  <c r="U2156" i="9"/>
  <c r="T2156" i="9"/>
  <c r="V2156" i="9" s="1"/>
  <c r="O2156" i="9"/>
  <c r="P2156" i="9" s="1"/>
  <c r="N2156" i="9"/>
  <c r="M2156" i="9"/>
  <c r="K2156" i="9"/>
  <c r="L2156" i="9"/>
  <c r="T2152" i="9"/>
  <c r="V2152" i="9" s="1"/>
  <c r="U2152" i="9"/>
  <c r="O2152" i="9"/>
  <c r="P2152" i="9" s="1"/>
  <c r="N2152" i="9"/>
  <c r="M2152" i="9"/>
  <c r="K2152" i="9"/>
  <c r="L2152" i="9"/>
  <c r="T2148" i="9"/>
  <c r="V2148" i="9" s="1"/>
  <c r="U2148" i="9"/>
  <c r="O2148" i="9"/>
  <c r="P2148" i="9" s="1"/>
  <c r="K2148" i="9"/>
  <c r="N2148" i="9"/>
  <c r="M2148" i="9"/>
  <c r="L2148" i="9"/>
  <c r="T2144" i="9"/>
  <c r="V2144" i="9" s="1"/>
  <c r="U2144" i="9"/>
  <c r="O2144" i="9"/>
  <c r="P2144" i="9" s="1"/>
  <c r="N2144" i="9"/>
  <c r="M2144" i="9"/>
  <c r="K2144" i="9"/>
  <c r="L2144" i="9"/>
  <c r="U2140" i="9"/>
  <c r="T2140" i="9"/>
  <c r="V2140" i="9" s="1"/>
  <c r="O2140" i="9"/>
  <c r="P2140" i="9" s="1"/>
  <c r="N2140" i="9"/>
  <c r="M2140" i="9"/>
  <c r="K2140" i="9"/>
  <c r="L2140" i="9"/>
  <c r="T2136" i="9"/>
  <c r="V2136" i="9" s="1"/>
  <c r="U2136" i="9"/>
  <c r="O2136" i="9"/>
  <c r="P2136" i="9" s="1"/>
  <c r="N2136" i="9"/>
  <c r="M2136" i="9"/>
  <c r="K2136" i="9"/>
  <c r="L2136" i="9"/>
  <c r="T2132" i="9"/>
  <c r="V2132" i="9" s="1"/>
  <c r="U2132" i="9"/>
  <c r="O2132" i="9"/>
  <c r="P2132" i="9" s="1"/>
  <c r="K2132" i="9"/>
  <c r="N2132" i="9"/>
  <c r="M2132" i="9"/>
  <c r="L2132" i="9"/>
  <c r="T2128" i="9"/>
  <c r="V2128" i="9" s="1"/>
  <c r="U2128" i="9"/>
  <c r="O2128" i="9"/>
  <c r="P2128" i="9" s="1"/>
  <c r="N2128" i="9"/>
  <c r="M2128" i="9"/>
  <c r="K2128" i="9"/>
  <c r="L2128" i="9"/>
  <c r="U2124" i="9"/>
  <c r="T2124" i="9"/>
  <c r="V2124" i="9" s="1"/>
  <c r="O2124" i="9"/>
  <c r="P2124" i="9" s="1"/>
  <c r="N2124" i="9"/>
  <c r="M2124" i="9"/>
  <c r="K2124" i="9"/>
  <c r="L2124" i="9"/>
  <c r="T2120" i="9"/>
  <c r="V2120" i="9" s="1"/>
  <c r="U2120" i="9"/>
  <c r="O2120" i="9"/>
  <c r="P2120" i="9" s="1"/>
  <c r="N2120" i="9"/>
  <c r="M2120" i="9"/>
  <c r="K2120" i="9"/>
  <c r="L2120" i="9"/>
  <c r="T2116" i="9"/>
  <c r="V2116" i="9" s="1"/>
  <c r="U2116" i="9"/>
  <c r="O2116" i="9"/>
  <c r="P2116" i="9" s="1"/>
  <c r="K2116" i="9"/>
  <c r="L2116" i="9"/>
  <c r="M2116" i="9"/>
  <c r="N2116" i="9"/>
  <c r="T2112" i="9"/>
  <c r="V2112" i="9" s="1"/>
  <c r="U2112" i="9"/>
  <c r="O2112" i="9"/>
  <c r="P2112" i="9" s="1"/>
  <c r="N2112" i="9"/>
  <c r="M2112" i="9"/>
  <c r="K2112" i="9"/>
  <c r="L2112" i="9"/>
  <c r="U2108" i="9"/>
  <c r="O2108" i="9"/>
  <c r="P2108" i="9" s="1"/>
  <c r="T2108" i="9"/>
  <c r="V2108" i="9" s="1"/>
  <c r="N2108" i="9"/>
  <c r="M2108" i="9"/>
  <c r="K2108" i="9"/>
  <c r="L2108" i="9"/>
  <c r="T2104" i="9"/>
  <c r="V2104" i="9" s="1"/>
  <c r="U2104" i="9"/>
  <c r="O2104" i="9"/>
  <c r="P2104" i="9" s="1"/>
  <c r="N2104" i="9"/>
  <c r="M2104" i="9"/>
  <c r="K2104" i="9"/>
  <c r="L2104" i="9"/>
  <c r="T2100" i="9"/>
  <c r="V2100" i="9" s="1"/>
  <c r="U2100" i="9"/>
  <c r="O2100" i="9"/>
  <c r="P2100" i="9" s="1"/>
  <c r="K2100" i="9"/>
  <c r="L2100" i="9"/>
  <c r="N2100" i="9"/>
  <c r="M2100" i="9"/>
  <c r="T2096" i="9"/>
  <c r="V2096" i="9" s="1"/>
  <c r="U2096" i="9"/>
  <c r="N2096" i="9"/>
  <c r="M2096" i="9"/>
  <c r="K2096" i="9"/>
  <c r="O2096" i="9"/>
  <c r="P2096" i="9" s="1"/>
  <c r="L2096" i="9"/>
  <c r="U2092" i="9"/>
  <c r="T2092" i="9"/>
  <c r="V2092" i="9" s="1"/>
  <c r="O2092" i="9"/>
  <c r="P2092" i="9" s="1"/>
  <c r="N2092" i="9"/>
  <c r="M2092" i="9"/>
  <c r="K2092" i="9"/>
  <c r="L2092" i="9"/>
  <c r="T2088" i="9"/>
  <c r="V2088" i="9" s="1"/>
  <c r="U2088" i="9"/>
  <c r="O2088" i="9"/>
  <c r="P2088" i="9" s="1"/>
  <c r="N2088" i="9"/>
  <c r="M2088" i="9"/>
  <c r="K2088" i="9"/>
  <c r="L2088" i="9"/>
  <c r="T2084" i="9"/>
  <c r="V2084" i="9" s="1"/>
  <c r="U2084" i="9"/>
  <c r="O2084" i="9"/>
  <c r="P2084" i="9" s="1"/>
  <c r="K2084" i="9"/>
  <c r="N2084" i="9"/>
  <c r="M2084" i="9"/>
  <c r="L2084" i="9"/>
  <c r="T2080" i="9"/>
  <c r="V2080" i="9" s="1"/>
  <c r="U2080" i="9"/>
  <c r="O2080" i="9"/>
  <c r="P2080" i="9" s="1"/>
  <c r="N2080" i="9"/>
  <c r="M2080" i="9"/>
  <c r="K2080" i="9"/>
  <c r="L2080" i="9"/>
  <c r="U2076" i="9"/>
  <c r="T2076" i="9"/>
  <c r="V2076" i="9" s="1"/>
  <c r="O2076" i="9"/>
  <c r="P2076" i="9" s="1"/>
  <c r="N2076" i="9"/>
  <c r="M2076" i="9"/>
  <c r="K2076" i="9"/>
  <c r="L2076" i="9"/>
  <c r="T2072" i="9"/>
  <c r="V2072" i="9" s="1"/>
  <c r="U2072" i="9"/>
  <c r="O2072" i="9"/>
  <c r="P2072" i="9" s="1"/>
  <c r="N2072" i="9"/>
  <c r="M2072" i="9"/>
  <c r="K2072" i="9"/>
  <c r="L2072" i="9"/>
  <c r="T2068" i="9"/>
  <c r="V2068" i="9" s="1"/>
  <c r="U2068" i="9"/>
  <c r="O2068" i="9"/>
  <c r="P2068" i="9" s="1"/>
  <c r="K2068" i="9"/>
  <c r="N2068" i="9"/>
  <c r="M2068" i="9"/>
  <c r="L2068" i="9"/>
  <c r="T2064" i="9"/>
  <c r="V2064" i="9" s="1"/>
  <c r="U2064" i="9"/>
  <c r="O2064" i="9"/>
  <c r="P2064" i="9" s="1"/>
  <c r="N2064" i="9"/>
  <c r="M2064" i="9"/>
  <c r="K2064" i="9"/>
  <c r="L2064" i="9"/>
  <c r="U2060" i="9"/>
  <c r="T2060" i="9"/>
  <c r="V2060" i="9" s="1"/>
  <c r="O2060" i="9"/>
  <c r="P2060" i="9" s="1"/>
  <c r="N2060" i="9"/>
  <c r="M2060" i="9"/>
  <c r="K2060" i="9"/>
  <c r="L2060" i="9"/>
  <c r="T2056" i="9"/>
  <c r="V2056" i="9" s="1"/>
  <c r="U2056" i="9"/>
  <c r="O2056" i="9"/>
  <c r="P2056" i="9" s="1"/>
  <c r="N2056" i="9"/>
  <c r="M2056" i="9"/>
  <c r="K2056" i="9"/>
  <c r="L2056" i="9"/>
  <c r="T2052" i="9"/>
  <c r="V2052" i="9" s="1"/>
  <c r="U2052" i="9"/>
  <c r="O2052" i="9"/>
  <c r="P2052" i="9" s="1"/>
  <c r="K2052" i="9"/>
  <c r="L2052" i="9"/>
  <c r="N2052" i="9"/>
  <c r="M2052" i="9"/>
  <c r="T2048" i="9"/>
  <c r="V2048" i="9" s="1"/>
  <c r="U2048" i="9"/>
  <c r="O2048" i="9"/>
  <c r="P2048" i="9" s="1"/>
  <c r="N2048" i="9"/>
  <c r="M2048" i="9"/>
  <c r="K2048" i="9"/>
  <c r="L2048" i="9"/>
  <c r="U2044" i="9"/>
  <c r="O2044" i="9"/>
  <c r="P2044" i="9" s="1"/>
  <c r="T2044" i="9"/>
  <c r="V2044" i="9" s="1"/>
  <c r="N2044" i="9"/>
  <c r="M2044" i="9"/>
  <c r="K2044" i="9"/>
  <c r="L2044" i="9"/>
  <c r="T2040" i="9"/>
  <c r="V2040" i="9" s="1"/>
  <c r="U2040" i="9"/>
  <c r="O2040" i="9"/>
  <c r="P2040" i="9" s="1"/>
  <c r="N2040" i="9"/>
  <c r="M2040" i="9"/>
  <c r="K2040" i="9"/>
  <c r="L2040" i="9"/>
  <c r="T2036" i="9"/>
  <c r="V2036" i="9" s="1"/>
  <c r="U2036" i="9"/>
  <c r="O2036" i="9"/>
  <c r="P2036" i="9" s="1"/>
  <c r="K2036" i="9"/>
  <c r="L2036" i="9"/>
  <c r="N2036" i="9"/>
  <c r="M2036" i="9"/>
  <c r="T2032" i="9"/>
  <c r="V2032" i="9" s="1"/>
  <c r="U2032" i="9"/>
  <c r="O2032" i="9"/>
  <c r="P2032" i="9" s="1"/>
  <c r="N2032" i="9"/>
  <c r="M2032" i="9"/>
  <c r="K2032" i="9"/>
  <c r="L2032" i="9"/>
  <c r="U2028" i="9"/>
  <c r="T2028" i="9"/>
  <c r="V2028" i="9" s="1"/>
  <c r="O2028" i="9"/>
  <c r="P2028" i="9" s="1"/>
  <c r="N2028" i="9"/>
  <c r="M2028" i="9"/>
  <c r="K2028" i="9"/>
  <c r="L2028" i="9"/>
  <c r="T2024" i="9"/>
  <c r="V2024" i="9" s="1"/>
  <c r="U2024" i="9"/>
  <c r="O2024" i="9"/>
  <c r="P2024" i="9" s="1"/>
  <c r="N2024" i="9"/>
  <c r="M2024" i="9"/>
  <c r="K2024" i="9"/>
  <c r="L2024" i="9"/>
  <c r="T2020" i="9"/>
  <c r="V2020" i="9" s="1"/>
  <c r="U2020" i="9"/>
  <c r="O2020" i="9"/>
  <c r="P2020" i="9" s="1"/>
  <c r="K2020" i="9"/>
  <c r="N2020" i="9"/>
  <c r="M2020" i="9"/>
  <c r="L2020" i="9"/>
  <c r="T2016" i="9"/>
  <c r="V2016" i="9" s="1"/>
  <c r="U2016" i="9"/>
  <c r="O2016" i="9"/>
  <c r="P2016" i="9" s="1"/>
  <c r="N2016" i="9"/>
  <c r="M2016" i="9"/>
  <c r="K2016" i="9"/>
  <c r="L2016" i="9"/>
  <c r="U2012" i="9"/>
  <c r="T2012" i="9"/>
  <c r="V2012" i="9" s="1"/>
  <c r="O2012" i="9"/>
  <c r="P2012" i="9" s="1"/>
  <c r="N2012" i="9"/>
  <c r="M2012" i="9"/>
  <c r="K2012" i="9"/>
  <c r="L2012" i="9"/>
  <c r="T2008" i="9"/>
  <c r="V2008" i="9" s="1"/>
  <c r="U2008" i="9"/>
  <c r="O2008" i="9"/>
  <c r="P2008" i="9" s="1"/>
  <c r="N2008" i="9"/>
  <c r="M2008" i="9"/>
  <c r="K2008" i="9"/>
  <c r="L2008" i="9"/>
  <c r="T2004" i="9"/>
  <c r="V2004" i="9" s="1"/>
  <c r="U2004" i="9"/>
  <c r="O2004" i="9"/>
  <c r="P2004" i="9" s="1"/>
  <c r="K2004" i="9"/>
  <c r="N2004" i="9"/>
  <c r="M2004" i="9"/>
  <c r="L2004" i="9"/>
  <c r="T2000" i="9"/>
  <c r="V2000" i="9" s="1"/>
  <c r="U2000" i="9"/>
  <c r="O2000" i="9"/>
  <c r="P2000" i="9" s="1"/>
  <c r="N2000" i="9"/>
  <c r="M2000" i="9"/>
  <c r="K2000" i="9"/>
  <c r="L2000" i="9"/>
  <c r="U1996" i="9"/>
  <c r="T1996" i="9"/>
  <c r="V1996" i="9" s="1"/>
  <c r="O1996" i="9"/>
  <c r="P1996" i="9" s="1"/>
  <c r="N1996" i="9"/>
  <c r="M1996" i="9"/>
  <c r="K1996" i="9"/>
  <c r="L1996" i="9"/>
  <c r="T1992" i="9"/>
  <c r="V1992" i="9" s="1"/>
  <c r="U1992" i="9"/>
  <c r="O1992" i="9"/>
  <c r="P1992" i="9" s="1"/>
  <c r="N1992" i="9"/>
  <c r="M1992" i="9"/>
  <c r="K1992" i="9"/>
  <c r="L1992" i="9"/>
  <c r="T1988" i="9"/>
  <c r="V1988" i="9" s="1"/>
  <c r="U1988" i="9"/>
  <c r="O1988" i="9"/>
  <c r="P1988" i="9" s="1"/>
  <c r="K1988" i="9"/>
  <c r="L1988" i="9"/>
  <c r="N1988" i="9"/>
  <c r="M1988" i="9"/>
  <c r="T1984" i="9"/>
  <c r="V1984" i="9" s="1"/>
  <c r="U1984" i="9"/>
  <c r="O1984" i="9"/>
  <c r="P1984" i="9" s="1"/>
  <c r="N1984" i="9"/>
  <c r="M1984" i="9"/>
  <c r="K1984" i="9"/>
  <c r="L1984" i="9"/>
  <c r="U1980" i="9"/>
  <c r="O1980" i="9"/>
  <c r="P1980" i="9" s="1"/>
  <c r="T1980" i="9"/>
  <c r="V1980" i="9" s="1"/>
  <c r="N1980" i="9"/>
  <c r="M1980" i="9"/>
  <c r="K1980" i="9"/>
  <c r="L1980" i="9"/>
  <c r="T1976" i="9"/>
  <c r="V1976" i="9" s="1"/>
  <c r="U1976" i="9"/>
  <c r="O1976" i="9"/>
  <c r="P1976" i="9" s="1"/>
  <c r="N1976" i="9"/>
  <c r="M1976" i="9"/>
  <c r="K1976" i="9"/>
  <c r="L1976" i="9"/>
  <c r="T1972" i="9"/>
  <c r="V1972" i="9" s="1"/>
  <c r="U1972" i="9"/>
  <c r="O1972" i="9"/>
  <c r="P1972" i="9" s="1"/>
  <c r="K1972" i="9"/>
  <c r="L1972" i="9"/>
  <c r="N1972" i="9"/>
  <c r="M1972" i="9"/>
  <c r="T1968" i="9"/>
  <c r="V1968" i="9" s="1"/>
  <c r="U1968" i="9"/>
  <c r="N1968" i="9"/>
  <c r="M1968" i="9"/>
  <c r="K1968" i="9"/>
  <c r="L1968" i="9"/>
  <c r="O1968" i="9"/>
  <c r="P1968" i="9" s="1"/>
  <c r="U1964" i="9"/>
  <c r="T1964" i="9"/>
  <c r="V1964" i="9" s="1"/>
  <c r="O1964" i="9"/>
  <c r="P1964" i="9" s="1"/>
  <c r="N1964" i="9"/>
  <c r="M1964" i="9"/>
  <c r="K1964" i="9"/>
  <c r="L1964" i="9"/>
  <c r="T1960" i="9"/>
  <c r="V1960" i="9" s="1"/>
  <c r="U1960" i="9"/>
  <c r="O1960" i="9"/>
  <c r="P1960" i="9" s="1"/>
  <c r="N1960" i="9"/>
  <c r="M1960" i="9"/>
  <c r="K1960" i="9"/>
  <c r="L1960" i="9"/>
  <c r="T1956" i="9"/>
  <c r="V1956" i="9" s="1"/>
  <c r="U1956" i="9"/>
  <c r="O1956" i="9"/>
  <c r="P1956" i="9" s="1"/>
  <c r="K1956" i="9"/>
  <c r="N1956" i="9"/>
  <c r="M1956" i="9"/>
  <c r="L1956" i="9"/>
  <c r="T1952" i="9"/>
  <c r="V1952" i="9" s="1"/>
  <c r="U1952" i="9"/>
  <c r="O1952" i="9"/>
  <c r="P1952" i="9" s="1"/>
  <c r="N1952" i="9"/>
  <c r="M1952" i="9"/>
  <c r="K1952" i="9"/>
  <c r="L1952" i="9"/>
  <c r="U1948" i="9"/>
  <c r="T1948" i="9"/>
  <c r="V1948" i="9" s="1"/>
  <c r="O1948" i="9"/>
  <c r="P1948" i="9" s="1"/>
  <c r="N1948" i="9"/>
  <c r="M1948" i="9"/>
  <c r="K1948" i="9"/>
  <c r="L1948" i="9"/>
  <c r="T1944" i="9"/>
  <c r="V1944" i="9" s="1"/>
  <c r="U1944" i="9"/>
  <c r="O1944" i="9"/>
  <c r="P1944" i="9" s="1"/>
  <c r="N1944" i="9"/>
  <c r="M1944" i="9"/>
  <c r="K1944" i="9"/>
  <c r="L1944" i="9"/>
  <c r="T1940" i="9"/>
  <c r="V1940" i="9" s="1"/>
  <c r="U1940" i="9"/>
  <c r="O1940" i="9"/>
  <c r="P1940" i="9" s="1"/>
  <c r="K1940" i="9"/>
  <c r="N1940" i="9"/>
  <c r="M1940" i="9"/>
  <c r="L1940" i="9"/>
  <c r="T1936" i="9"/>
  <c r="V1936" i="9" s="1"/>
  <c r="U1936" i="9"/>
  <c r="O1936" i="9"/>
  <c r="P1936" i="9" s="1"/>
  <c r="N1936" i="9"/>
  <c r="M1936" i="9"/>
  <c r="K1936" i="9"/>
  <c r="L1936" i="9"/>
  <c r="U1932" i="9"/>
  <c r="T1932" i="9"/>
  <c r="V1932" i="9" s="1"/>
  <c r="O1932" i="9"/>
  <c r="P1932" i="9" s="1"/>
  <c r="N1932" i="9"/>
  <c r="M1932" i="9"/>
  <c r="K1932" i="9"/>
  <c r="L1932" i="9"/>
  <c r="T1928" i="9"/>
  <c r="V1928" i="9" s="1"/>
  <c r="U1928" i="9"/>
  <c r="O1928" i="9"/>
  <c r="P1928" i="9" s="1"/>
  <c r="N1928" i="9"/>
  <c r="M1928" i="9"/>
  <c r="K1928" i="9"/>
  <c r="L1928" i="9"/>
  <c r="T1924" i="9"/>
  <c r="V1924" i="9" s="1"/>
  <c r="U1924" i="9"/>
  <c r="O1924" i="9"/>
  <c r="P1924" i="9" s="1"/>
  <c r="K1924" i="9"/>
  <c r="L1924" i="9"/>
  <c r="M1924" i="9"/>
  <c r="N1924" i="9"/>
  <c r="T1920" i="9"/>
  <c r="V1920" i="9" s="1"/>
  <c r="U1920" i="9"/>
  <c r="O1920" i="9"/>
  <c r="P1920" i="9" s="1"/>
  <c r="N1920" i="9"/>
  <c r="M1920" i="9"/>
  <c r="K1920" i="9"/>
  <c r="L1920" i="9"/>
  <c r="U1916" i="9"/>
  <c r="O1916" i="9"/>
  <c r="P1916" i="9" s="1"/>
  <c r="T1916" i="9"/>
  <c r="V1916" i="9" s="1"/>
  <c r="N1916" i="9"/>
  <c r="M1916" i="9"/>
  <c r="K1916" i="9"/>
  <c r="L1916" i="9"/>
  <c r="T1912" i="9"/>
  <c r="V1912" i="9" s="1"/>
  <c r="U1912" i="9"/>
  <c r="O1912" i="9"/>
  <c r="P1912" i="9" s="1"/>
  <c r="N1912" i="9"/>
  <c r="M1912" i="9"/>
  <c r="K1912" i="9"/>
  <c r="L1912" i="9"/>
  <c r="T1908" i="9"/>
  <c r="V1908" i="9" s="1"/>
  <c r="U1908" i="9"/>
  <c r="O1908" i="9"/>
  <c r="P1908" i="9" s="1"/>
  <c r="K1908" i="9"/>
  <c r="L1908" i="9"/>
  <c r="N1908" i="9"/>
  <c r="M1908" i="9"/>
  <c r="T1904" i="9"/>
  <c r="V1904" i="9" s="1"/>
  <c r="U1904" i="9"/>
  <c r="O1904" i="9"/>
  <c r="P1904" i="9" s="1"/>
  <c r="N1904" i="9"/>
  <c r="M1904" i="9"/>
  <c r="K1904" i="9"/>
  <c r="L1904" i="9"/>
  <c r="U1900" i="9"/>
  <c r="T1900" i="9"/>
  <c r="V1900" i="9" s="1"/>
  <c r="O1900" i="9"/>
  <c r="P1900" i="9" s="1"/>
  <c r="N1900" i="9"/>
  <c r="M1900" i="9"/>
  <c r="K1900" i="9"/>
  <c r="L1900" i="9"/>
  <c r="T1896" i="9"/>
  <c r="V1896" i="9" s="1"/>
  <c r="U1896" i="9"/>
  <c r="O1896" i="9"/>
  <c r="P1896" i="9" s="1"/>
  <c r="N1896" i="9"/>
  <c r="M1896" i="9"/>
  <c r="K1896" i="9"/>
  <c r="L1896" i="9"/>
  <c r="T1892" i="9"/>
  <c r="V1892" i="9" s="1"/>
  <c r="U1892" i="9"/>
  <c r="O1892" i="9"/>
  <c r="P1892" i="9" s="1"/>
  <c r="K1892" i="9"/>
  <c r="N1892" i="9"/>
  <c r="M1892" i="9"/>
  <c r="L1892" i="9"/>
  <c r="T1888" i="9"/>
  <c r="V1888" i="9" s="1"/>
  <c r="U1888" i="9"/>
  <c r="O1888" i="9"/>
  <c r="P1888" i="9" s="1"/>
  <c r="N1888" i="9"/>
  <c r="M1888" i="9"/>
  <c r="K1888" i="9"/>
  <c r="L1888" i="9"/>
  <c r="U1884" i="9"/>
  <c r="T1884" i="9"/>
  <c r="V1884" i="9" s="1"/>
  <c r="O1884" i="9"/>
  <c r="P1884" i="9" s="1"/>
  <c r="N1884" i="9"/>
  <c r="M1884" i="9"/>
  <c r="K1884" i="9"/>
  <c r="L1884" i="9"/>
  <c r="T1880" i="9"/>
  <c r="V1880" i="9" s="1"/>
  <c r="U1880" i="9"/>
  <c r="O1880" i="9"/>
  <c r="P1880" i="9" s="1"/>
  <c r="N1880" i="9"/>
  <c r="M1880" i="9"/>
  <c r="K1880" i="9"/>
  <c r="L1880" i="9"/>
  <c r="T1876" i="9"/>
  <c r="V1876" i="9" s="1"/>
  <c r="U1876" i="9"/>
  <c r="O1876" i="9"/>
  <c r="P1876" i="9" s="1"/>
  <c r="K1876" i="9"/>
  <c r="N1876" i="9"/>
  <c r="M1876" i="9"/>
  <c r="L1876" i="9"/>
  <c r="T1872" i="9"/>
  <c r="V1872" i="9" s="1"/>
  <c r="U1872" i="9"/>
  <c r="O1872" i="9"/>
  <c r="P1872" i="9" s="1"/>
  <c r="N1872" i="9"/>
  <c r="M1872" i="9"/>
  <c r="K1872" i="9"/>
  <c r="L1872" i="9"/>
  <c r="U1868" i="9"/>
  <c r="T1868" i="9"/>
  <c r="V1868" i="9" s="1"/>
  <c r="O1868" i="9"/>
  <c r="P1868" i="9" s="1"/>
  <c r="N1868" i="9"/>
  <c r="M1868" i="9"/>
  <c r="K1868" i="9"/>
  <c r="L1868" i="9"/>
  <c r="T1864" i="9"/>
  <c r="V1864" i="9" s="1"/>
  <c r="U1864" i="9"/>
  <c r="O1864" i="9"/>
  <c r="P1864" i="9" s="1"/>
  <c r="N1864" i="9"/>
  <c r="M1864" i="9"/>
  <c r="K1864" i="9"/>
  <c r="L1864" i="9"/>
  <c r="T1860" i="9"/>
  <c r="V1860" i="9" s="1"/>
  <c r="U1860" i="9"/>
  <c r="O1860" i="9"/>
  <c r="P1860" i="9" s="1"/>
  <c r="K1860" i="9"/>
  <c r="L1860" i="9"/>
  <c r="M1860" i="9"/>
  <c r="N1860" i="9"/>
  <c r="T1856" i="9"/>
  <c r="V1856" i="9" s="1"/>
  <c r="U1856" i="9"/>
  <c r="O1856" i="9"/>
  <c r="P1856" i="9" s="1"/>
  <c r="N1856" i="9"/>
  <c r="M1856" i="9"/>
  <c r="K1856" i="9"/>
  <c r="L1856" i="9"/>
  <c r="U1852" i="9"/>
  <c r="O1852" i="9"/>
  <c r="P1852" i="9" s="1"/>
  <c r="T1852" i="9"/>
  <c r="V1852" i="9" s="1"/>
  <c r="N1852" i="9"/>
  <c r="M1852" i="9"/>
  <c r="K1852" i="9"/>
  <c r="L1852" i="9"/>
  <c r="T1848" i="9"/>
  <c r="V1848" i="9" s="1"/>
  <c r="U1848" i="9"/>
  <c r="O1848" i="9"/>
  <c r="P1848" i="9" s="1"/>
  <c r="N1848" i="9"/>
  <c r="M1848" i="9"/>
  <c r="K1848" i="9"/>
  <c r="L1848" i="9"/>
  <c r="T1844" i="9"/>
  <c r="V1844" i="9" s="1"/>
  <c r="U1844" i="9"/>
  <c r="O1844" i="9"/>
  <c r="P1844" i="9" s="1"/>
  <c r="K1844" i="9"/>
  <c r="L1844" i="9"/>
  <c r="N1844" i="9"/>
  <c r="M1844" i="9"/>
  <c r="T1840" i="9"/>
  <c r="V1840" i="9" s="1"/>
  <c r="U1840" i="9"/>
  <c r="N1840" i="9"/>
  <c r="M1840" i="9"/>
  <c r="K1840" i="9"/>
  <c r="L1840" i="9"/>
  <c r="O1840" i="9"/>
  <c r="P1840" i="9" s="1"/>
  <c r="U1836" i="9"/>
  <c r="T1836" i="9"/>
  <c r="V1836" i="9" s="1"/>
  <c r="O1836" i="9"/>
  <c r="P1836" i="9" s="1"/>
  <c r="N1836" i="9"/>
  <c r="M1836" i="9"/>
  <c r="K1836" i="9"/>
  <c r="L1836" i="9"/>
  <c r="T1832" i="9"/>
  <c r="V1832" i="9" s="1"/>
  <c r="U1832" i="9"/>
  <c r="O1832" i="9"/>
  <c r="P1832" i="9" s="1"/>
  <c r="N1832" i="9"/>
  <c r="M1832" i="9"/>
  <c r="K1832" i="9"/>
  <c r="L1832" i="9"/>
  <c r="T1828" i="9"/>
  <c r="V1828" i="9" s="1"/>
  <c r="U1828" i="9"/>
  <c r="O1828" i="9"/>
  <c r="P1828" i="9" s="1"/>
  <c r="K1828" i="9"/>
  <c r="N1828" i="9"/>
  <c r="M1828" i="9"/>
  <c r="L1828" i="9"/>
  <c r="T1824" i="9"/>
  <c r="V1824" i="9" s="1"/>
  <c r="U1824" i="9"/>
  <c r="O1824" i="9"/>
  <c r="P1824" i="9" s="1"/>
  <c r="N1824" i="9"/>
  <c r="M1824" i="9"/>
  <c r="K1824" i="9"/>
  <c r="L1824" i="9"/>
  <c r="U1820" i="9"/>
  <c r="T1820" i="9"/>
  <c r="V1820" i="9" s="1"/>
  <c r="O1820" i="9"/>
  <c r="P1820" i="9" s="1"/>
  <c r="N1820" i="9"/>
  <c r="M1820" i="9"/>
  <c r="K1820" i="9"/>
  <c r="L1820" i="9"/>
  <c r="T1816" i="9"/>
  <c r="V1816" i="9" s="1"/>
  <c r="U1816" i="9"/>
  <c r="O1816" i="9"/>
  <c r="P1816" i="9" s="1"/>
  <c r="N1816" i="9"/>
  <c r="M1816" i="9"/>
  <c r="K1816" i="9"/>
  <c r="L1816" i="9"/>
  <c r="T1812" i="9"/>
  <c r="V1812" i="9" s="1"/>
  <c r="U1812" i="9"/>
  <c r="O1812" i="9"/>
  <c r="P1812" i="9" s="1"/>
  <c r="K1812" i="9"/>
  <c r="N1812" i="9"/>
  <c r="M1812" i="9"/>
  <c r="L1812" i="9"/>
  <c r="T1808" i="9"/>
  <c r="V1808" i="9" s="1"/>
  <c r="U1808" i="9"/>
  <c r="O1808" i="9"/>
  <c r="P1808" i="9" s="1"/>
  <c r="N1808" i="9"/>
  <c r="M1808" i="9"/>
  <c r="K1808" i="9"/>
  <c r="L1808" i="9"/>
  <c r="U1804" i="9"/>
  <c r="T1804" i="9"/>
  <c r="V1804" i="9" s="1"/>
  <c r="O1804" i="9"/>
  <c r="P1804" i="9" s="1"/>
  <c r="N1804" i="9"/>
  <c r="M1804" i="9"/>
  <c r="K1804" i="9"/>
  <c r="L1804" i="9"/>
  <c r="T1800" i="9"/>
  <c r="V1800" i="9" s="1"/>
  <c r="U1800" i="9"/>
  <c r="O1800" i="9"/>
  <c r="P1800" i="9" s="1"/>
  <c r="N1800" i="9"/>
  <c r="M1800" i="9"/>
  <c r="K1800" i="9"/>
  <c r="L1800" i="9"/>
  <c r="T1796" i="9"/>
  <c r="V1796" i="9" s="1"/>
  <c r="U1796" i="9"/>
  <c r="O1796" i="9"/>
  <c r="P1796" i="9" s="1"/>
  <c r="K1796" i="9"/>
  <c r="L1796" i="9"/>
  <c r="N1796" i="9"/>
  <c r="M1796" i="9"/>
  <c r="T1792" i="9"/>
  <c r="V1792" i="9" s="1"/>
  <c r="U1792" i="9"/>
  <c r="O1792" i="9"/>
  <c r="P1792" i="9" s="1"/>
  <c r="N1792" i="9"/>
  <c r="M1792" i="9"/>
  <c r="K1792" i="9"/>
  <c r="L1792" i="9"/>
  <c r="U1788" i="9"/>
  <c r="O1788" i="9"/>
  <c r="P1788" i="9" s="1"/>
  <c r="T1788" i="9"/>
  <c r="V1788" i="9" s="1"/>
  <c r="N1788" i="9"/>
  <c r="M1788" i="9"/>
  <c r="K1788" i="9"/>
  <c r="L1788" i="9"/>
  <c r="T1784" i="9"/>
  <c r="V1784" i="9" s="1"/>
  <c r="U1784" i="9"/>
  <c r="O1784" i="9"/>
  <c r="P1784" i="9" s="1"/>
  <c r="N1784" i="9"/>
  <c r="M1784" i="9"/>
  <c r="K1784" i="9"/>
  <c r="L1784" i="9"/>
  <c r="T1780" i="9"/>
  <c r="V1780" i="9" s="1"/>
  <c r="U1780" i="9"/>
  <c r="O1780" i="9"/>
  <c r="P1780" i="9" s="1"/>
  <c r="K1780" i="9"/>
  <c r="L1780" i="9"/>
  <c r="N1780" i="9"/>
  <c r="M1780" i="9"/>
  <c r="T1776" i="9"/>
  <c r="V1776" i="9" s="1"/>
  <c r="U1776" i="9"/>
  <c r="O1776" i="9"/>
  <c r="P1776" i="9" s="1"/>
  <c r="N1776" i="9"/>
  <c r="M1776" i="9"/>
  <c r="K1776" i="9"/>
  <c r="L1776" i="9"/>
  <c r="U1772" i="9"/>
  <c r="T1772" i="9"/>
  <c r="V1772" i="9" s="1"/>
  <c r="O1772" i="9"/>
  <c r="P1772" i="9" s="1"/>
  <c r="N1772" i="9"/>
  <c r="M1772" i="9"/>
  <c r="K1772" i="9"/>
  <c r="L1772" i="9"/>
  <c r="T1768" i="9"/>
  <c r="V1768" i="9" s="1"/>
  <c r="U1768" i="9"/>
  <c r="O1768" i="9"/>
  <c r="P1768" i="9" s="1"/>
  <c r="N1768" i="9"/>
  <c r="M1768" i="9"/>
  <c r="K1768" i="9"/>
  <c r="L1768" i="9"/>
  <c r="T1764" i="9"/>
  <c r="V1764" i="9" s="1"/>
  <c r="U1764" i="9"/>
  <c r="O1764" i="9"/>
  <c r="P1764" i="9" s="1"/>
  <c r="K1764" i="9"/>
  <c r="N1764" i="9"/>
  <c r="M1764" i="9"/>
  <c r="L1764" i="9"/>
  <c r="T1760" i="9"/>
  <c r="V1760" i="9" s="1"/>
  <c r="U1760" i="9"/>
  <c r="O1760" i="9"/>
  <c r="P1760" i="9" s="1"/>
  <c r="N1760" i="9"/>
  <c r="M1760" i="9"/>
  <c r="K1760" i="9"/>
  <c r="L1760" i="9"/>
  <c r="U1756" i="9"/>
  <c r="T1756" i="9"/>
  <c r="V1756" i="9" s="1"/>
  <c r="O1756" i="9"/>
  <c r="P1756" i="9" s="1"/>
  <c r="N1756" i="9"/>
  <c r="M1756" i="9"/>
  <c r="K1756" i="9"/>
  <c r="L1756" i="9"/>
  <c r="T1752" i="9"/>
  <c r="V1752" i="9" s="1"/>
  <c r="U1752" i="9"/>
  <c r="O1752" i="9"/>
  <c r="P1752" i="9" s="1"/>
  <c r="N1752" i="9"/>
  <c r="M1752" i="9"/>
  <c r="K1752" i="9"/>
  <c r="L1752" i="9"/>
  <c r="T1748" i="9"/>
  <c r="V1748" i="9" s="1"/>
  <c r="U1748" i="9"/>
  <c r="O1748" i="9"/>
  <c r="P1748" i="9" s="1"/>
  <c r="K1748" i="9"/>
  <c r="N1748" i="9"/>
  <c r="M1748" i="9"/>
  <c r="L1748" i="9"/>
  <c r="T1744" i="9"/>
  <c r="V1744" i="9" s="1"/>
  <c r="U1744" i="9"/>
  <c r="O1744" i="9"/>
  <c r="P1744" i="9" s="1"/>
  <c r="N1744" i="9"/>
  <c r="M1744" i="9"/>
  <c r="K1744" i="9"/>
  <c r="L1744" i="9"/>
  <c r="U1740" i="9"/>
  <c r="T1740" i="9"/>
  <c r="V1740" i="9" s="1"/>
  <c r="O1740" i="9"/>
  <c r="P1740" i="9" s="1"/>
  <c r="N1740" i="9"/>
  <c r="M1740" i="9"/>
  <c r="K1740" i="9"/>
  <c r="L1740" i="9"/>
  <c r="T1736" i="9"/>
  <c r="V1736" i="9" s="1"/>
  <c r="U1736" i="9"/>
  <c r="O1736" i="9"/>
  <c r="P1736" i="9" s="1"/>
  <c r="N1736" i="9"/>
  <c r="M1736" i="9"/>
  <c r="K1736" i="9"/>
  <c r="L1736" i="9"/>
  <c r="T1732" i="9"/>
  <c r="V1732" i="9" s="1"/>
  <c r="U1732" i="9"/>
  <c r="O1732" i="9"/>
  <c r="P1732" i="9" s="1"/>
  <c r="K1732" i="9"/>
  <c r="L1732" i="9"/>
  <c r="N1732" i="9"/>
  <c r="M1732" i="9"/>
  <c r="T1728" i="9"/>
  <c r="V1728" i="9" s="1"/>
  <c r="U1728" i="9"/>
  <c r="O1728" i="9"/>
  <c r="P1728" i="9" s="1"/>
  <c r="N1728" i="9"/>
  <c r="M1728" i="9"/>
  <c r="K1728" i="9"/>
  <c r="L1728" i="9"/>
  <c r="U1724" i="9"/>
  <c r="O1724" i="9"/>
  <c r="P1724" i="9" s="1"/>
  <c r="T1724" i="9"/>
  <c r="V1724" i="9" s="1"/>
  <c r="N1724" i="9"/>
  <c r="M1724" i="9"/>
  <c r="K1724" i="9"/>
  <c r="L1724" i="9"/>
  <c r="T1720" i="9"/>
  <c r="V1720" i="9" s="1"/>
  <c r="U1720" i="9"/>
  <c r="O1720" i="9"/>
  <c r="P1720" i="9" s="1"/>
  <c r="N1720" i="9"/>
  <c r="M1720" i="9"/>
  <c r="K1720" i="9"/>
  <c r="L1720" i="9"/>
  <c r="T1716" i="9"/>
  <c r="V1716" i="9" s="1"/>
  <c r="U1716" i="9"/>
  <c r="O1716" i="9"/>
  <c r="P1716" i="9" s="1"/>
  <c r="K1716" i="9"/>
  <c r="L1716" i="9"/>
  <c r="N1716" i="9"/>
  <c r="M1716" i="9"/>
  <c r="T1712" i="9"/>
  <c r="V1712" i="9" s="1"/>
  <c r="U1712" i="9"/>
  <c r="N1712" i="9"/>
  <c r="M1712" i="9"/>
  <c r="K1712" i="9"/>
  <c r="L1712" i="9"/>
  <c r="O1712" i="9"/>
  <c r="P1712" i="9" s="1"/>
  <c r="U1708" i="9"/>
  <c r="T1708" i="9"/>
  <c r="V1708" i="9" s="1"/>
  <c r="O1708" i="9"/>
  <c r="P1708" i="9" s="1"/>
  <c r="N1708" i="9"/>
  <c r="M1708" i="9"/>
  <c r="K1708" i="9"/>
  <c r="L1708" i="9"/>
  <c r="T1704" i="9"/>
  <c r="V1704" i="9" s="1"/>
  <c r="U1704" i="9"/>
  <c r="O1704" i="9"/>
  <c r="P1704" i="9" s="1"/>
  <c r="N1704" i="9"/>
  <c r="M1704" i="9"/>
  <c r="K1704" i="9"/>
  <c r="L1704" i="9"/>
  <c r="T1700" i="9"/>
  <c r="V1700" i="9" s="1"/>
  <c r="U1700" i="9"/>
  <c r="O1700" i="9"/>
  <c r="P1700" i="9" s="1"/>
  <c r="K1700" i="9"/>
  <c r="N1700" i="9"/>
  <c r="M1700" i="9"/>
  <c r="L1700" i="9"/>
  <c r="T1696" i="9"/>
  <c r="V1696" i="9" s="1"/>
  <c r="U1696" i="9"/>
  <c r="O1696" i="9"/>
  <c r="P1696" i="9" s="1"/>
  <c r="N1696" i="9"/>
  <c r="M1696" i="9"/>
  <c r="K1696" i="9"/>
  <c r="L1696" i="9"/>
  <c r="U1692" i="9"/>
  <c r="T1692" i="9"/>
  <c r="V1692" i="9" s="1"/>
  <c r="O1692" i="9"/>
  <c r="P1692" i="9" s="1"/>
  <c r="N1692" i="9"/>
  <c r="M1692" i="9"/>
  <c r="K1692" i="9"/>
  <c r="L1692" i="9"/>
  <c r="T1688" i="9"/>
  <c r="V1688" i="9" s="1"/>
  <c r="U1688" i="9"/>
  <c r="O1688" i="9"/>
  <c r="P1688" i="9" s="1"/>
  <c r="N1688" i="9"/>
  <c r="M1688" i="9"/>
  <c r="K1688" i="9"/>
  <c r="L1688" i="9"/>
  <c r="T1684" i="9"/>
  <c r="V1684" i="9" s="1"/>
  <c r="U1684" i="9"/>
  <c r="O1684" i="9"/>
  <c r="P1684" i="9" s="1"/>
  <c r="K1684" i="9"/>
  <c r="N1684" i="9"/>
  <c r="M1684" i="9"/>
  <c r="L1684" i="9"/>
  <c r="T1680" i="9"/>
  <c r="V1680" i="9" s="1"/>
  <c r="U1680" i="9"/>
  <c r="O1680" i="9"/>
  <c r="P1680" i="9" s="1"/>
  <c r="N1680" i="9"/>
  <c r="M1680" i="9"/>
  <c r="K1680" i="9"/>
  <c r="L1680" i="9"/>
  <c r="U1676" i="9"/>
  <c r="T1676" i="9"/>
  <c r="V1676" i="9" s="1"/>
  <c r="O1676" i="9"/>
  <c r="P1676" i="9" s="1"/>
  <c r="N1676" i="9"/>
  <c r="M1676" i="9"/>
  <c r="K1676" i="9"/>
  <c r="L1676" i="9"/>
  <c r="T1672" i="9"/>
  <c r="V1672" i="9" s="1"/>
  <c r="U1672" i="9"/>
  <c r="O1672" i="9"/>
  <c r="P1672" i="9" s="1"/>
  <c r="N1672" i="9"/>
  <c r="M1672" i="9"/>
  <c r="K1672" i="9"/>
  <c r="L1672" i="9"/>
  <c r="T1668" i="9"/>
  <c r="V1668" i="9" s="1"/>
  <c r="U1668" i="9"/>
  <c r="O1668" i="9"/>
  <c r="P1668" i="9" s="1"/>
  <c r="K1668" i="9"/>
  <c r="L1668" i="9"/>
  <c r="M1668" i="9"/>
  <c r="N1668" i="9"/>
  <c r="T1664" i="9"/>
  <c r="V1664" i="9" s="1"/>
  <c r="U1664" i="9"/>
  <c r="O1664" i="9"/>
  <c r="P1664" i="9" s="1"/>
  <c r="N1664" i="9"/>
  <c r="M1664" i="9"/>
  <c r="K1664" i="9"/>
  <c r="L1664" i="9"/>
  <c r="U1660" i="9"/>
  <c r="O1660" i="9"/>
  <c r="P1660" i="9" s="1"/>
  <c r="T1660" i="9"/>
  <c r="V1660" i="9" s="1"/>
  <c r="N1660" i="9"/>
  <c r="M1660" i="9"/>
  <c r="K1660" i="9"/>
  <c r="L1660" i="9"/>
  <c r="T1656" i="9"/>
  <c r="V1656" i="9" s="1"/>
  <c r="U1656" i="9"/>
  <c r="O1656" i="9"/>
  <c r="P1656" i="9" s="1"/>
  <c r="N1656" i="9"/>
  <c r="M1656" i="9"/>
  <c r="K1656" i="9"/>
  <c r="L1656" i="9"/>
  <c r="T1652" i="9"/>
  <c r="V1652" i="9" s="1"/>
  <c r="U1652" i="9"/>
  <c r="O1652" i="9"/>
  <c r="P1652" i="9" s="1"/>
  <c r="K1652" i="9"/>
  <c r="L1652" i="9"/>
  <c r="N1652" i="9"/>
  <c r="M1652" i="9"/>
  <c r="T1648" i="9"/>
  <c r="V1648" i="9" s="1"/>
  <c r="U1648" i="9"/>
  <c r="O1648" i="9"/>
  <c r="P1648" i="9" s="1"/>
  <c r="N1648" i="9"/>
  <c r="M1648" i="9"/>
  <c r="K1648" i="9"/>
  <c r="L1648" i="9"/>
  <c r="U1644" i="9"/>
  <c r="T1644" i="9"/>
  <c r="V1644" i="9" s="1"/>
  <c r="O1644" i="9"/>
  <c r="P1644" i="9" s="1"/>
  <c r="N1644" i="9"/>
  <c r="M1644" i="9"/>
  <c r="K1644" i="9"/>
  <c r="L1644" i="9"/>
  <c r="T1640" i="9"/>
  <c r="V1640" i="9" s="1"/>
  <c r="U1640" i="9"/>
  <c r="O1640" i="9"/>
  <c r="P1640" i="9" s="1"/>
  <c r="N1640" i="9"/>
  <c r="M1640" i="9"/>
  <c r="K1640" i="9"/>
  <c r="L1640" i="9"/>
  <c r="T1636" i="9"/>
  <c r="V1636" i="9" s="1"/>
  <c r="U1636" i="9"/>
  <c r="O1636" i="9"/>
  <c r="P1636" i="9" s="1"/>
  <c r="N1636" i="9"/>
  <c r="K1636" i="9"/>
  <c r="M1636" i="9"/>
  <c r="L1636" i="9"/>
  <c r="T1632" i="9"/>
  <c r="V1632" i="9" s="1"/>
  <c r="U1632" i="9"/>
  <c r="O1632" i="9"/>
  <c r="P1632" i="9" s="1"/>
  <c r="N1632" i="9"/>
  <c r="M1632" i="9"/>
  <c r="K1632" i="9"/>
  <c r="L1632" i="9"/>
  <c r="U1628" i="9"/>
  <c r="T1628" i="9"/>
  <c r="V1628" i="9" s="1"/>
  <c r="O1628" i="9"/>
  <c r="P1628" i="9" s="1"/>
  <c r="N1628" i="9"/>
  <c r="M1628" i="9"/>
  <c r="K1628" i="9"/>
  <c r="L1628" i="9"/>
  <c r="T1624" i="9"/>
  <c r="V1624" i="9" s="1"/>
  <c r="U1624" i="9"/>
  <c r="O1624" i="9"/>
  <c r="P1624" i="9" s="1"/>
  <c r="M1624" i="9"/>
  <c r="N1624" i="9"/>
  <c r="K1624" i="9"/>
  <c r="L1624" i="9"/>
  <c r="T1620" i="9"/>
  <c r="V1620" i="9" s="1"/>
  <c r="U1620" i="9"/>
  <c r="O1620" i="9"/>
  <c r="P1620" i="9" s="1"/>
  <c r="N1620" i="9"/>
  <c r="K1620" i="9"/>
  <c r="M1620" i="9"/>
  <c r="L1620" i="9"/>
  <c r="T1616" i="9"/>
  <c r="V1616" i="9" s="1"/>
  <c r="U1616" i="9"/>
  <c r="N1616" i="9"/>
  <c r="O1616" i="9"/>
  <c r="P1616" i="9" s="1"/>
  <c r="M1616" i="9"/>
  <c r="K1616" i="9"/>
  <c r="L1616" i="9"/>
  <c r="U1612" i="9"/>
  <c r="T1612" i="9"/>
  <c r="V1612" i="9" s="1"/>
  <c r="O1612" i="9"/>
  <c r="P1612" i="9" s="1"/>
  <c r="N1612" i="9"/>
  <c r="M1612" i="9"/>
  <c r="K1612" i="9"/>
  <c r="L1612" i="9"/>
  <c r="T1608" i="9"/>
  <c r="V1608" i="9" s="1"/>
  <c r="U1608" i="9"/>
  <c r="O1608" i="9"/>
  <c r="P1608" i="9" s="1"/>
  <c r="M1608" i="9"/>
  <c r="N1608" i="9"/>
  <c r="K1608" i="9"/>
  <c r="L1608" i="9"/>
  <c r="T1604" i="9"/>
  <c r="V1604" i="9" s="1"/>
  <c r="U1604" i="9"/>
  <c r="O1604" i="9"/>
  <c r="P1604" i="9" s="1"/>
  <c r="N1604" i="9"/>
  <c r="K1604" i="9"/>
  <c r="L1604" i="9"/>
  <c r="M1604" i="9"/>
  <c r="T1600" i="9"/>
  <c r="V1600" i="9" s="1"/>
  <c r="U1600" i="9"/>
  <c r="O1600" i="9"/>
  <c r="P1600" i="9" s="1"/>
  <c r="N1600" i="9"/>
  <c r="M1600" i="9"/>
  <c r="K1600" i="9"/>
  <c r="L1600" i="9"/>
  <c r="U1596" i="9"/>
  <c r="O1596" i="9"/>
  <c r="P1596" i="9" s="1"/>
  <c r="T1596" i="9"/>
  <c r="V1596" i="9" s="1"/>
  <c r="N1596" i="9"/>
  <c r="M1596" i="9"/>
  <c r="K1596" i="9"/>
  <c r="L1596" i="9"/>
  <c r="T1592" i="9"/>
  <c r="V1592" i="9" s="1"/>
  <c r="U1592" i="9"/>
  <c r="O1592" i="9"/>
  <c r="P1592" i="9" s="1"/>
  <c r="M1592" i="9"/>
  <c r="K1592" i="9"/>
  <c r="L1592" i="9"/>
  <c r="N1592" i="9"/>
  <c r="T1588" i="9"/>
  <c r="V1588" i="9" s="1"/>
  <c r="U1588" i="9"/>
  <c r="O1588" i="9"/>
  <c r="P1588" i="9" s="1"/>
  <c r="N1588" i="9"/>
  <c r="K1588" i="9"/>
  <c r="L1588" i="9"/>
  <c r="M1588" i="9"/>
  <c r="T1584" i="9"/>
  <c r="V1584" i="9" s="1"/>
  <c r="U1584" i="9"/>
  <c r="N1584" i="9"/>
  <c r="M1584" i="9"/>
  <c r="K1584" i="9"/>
  <c r="O1584" i="9"/>
  <c r="P1584" i="9" s="1"/>
  <c r="L1584" i="9"/>
  <c r="U1580" i="9"/>
  <c r="T1580" i="9"/>
  <c r="V1580" i="9" s="1"/>
  <c r="O1580" i="9"/>
  <c r="P1580" i="9" s="1"/>
  <c r="N1580" i="9"/>
  <c r="M1580" i="9"/>
  <c r="K1580" i="9"/>
  <c r="L1580" i="9"/>
  <c r="T1576" i="9"/>
  <c r="V1576" i="9" s="1"/>
  <c r="U1576" i="9"/>
  <c r="O1576" i="9"/>
  <c r="P1576" i="9" s="1"/>
  <c r="N1576" i="9"/>
  <c r="M1576" i="9"/>
  <c r="K1576" i="9"/>
  <c r="L1576" i="9"/>
  <c r="T1572" i="9"/>
  <c r="V1572" i="9" s="1"/>
  <c r="U1572" i="9"/>
  <c r="O1572" i="9"/>
  <c r="P1572" i="9" s="1"/>
  <c r="N1572" i="9"/>
  <c r="K1572" i="9"/>
  <c r="M1572" i="9"/>
  <c r="L1572" i="9"/>
  <c r="T1568" i="9"/>
  <c r="V1568" i="9" s="1"/>
  <c r="U1568" i="9"/>
  <c r="O1568" i="9"/>
  <c r="P1568" i="9" s="1"/>
  <c r="N1568" i="9"/>
  <c r="M1568" i="9"/>
  <c r="K1568" i="9"/>
  <c r="L1568" i="9"/>
  <c r="U1564" i="9"/>
  <c r="T1564" i="9"/>
  <c r="V1564" i="9" s="1"/>
  <c r="O1564" i="9"/>
  <c r="P1564" i="9" s="1"/>
  <c r="N1564" i="9"/>
  <c r="M1564" i="9"/>
  <c r="K1564" i="9"/>
  <c r="L1564" i="9"/>
  <c r="T1560" i="9"/>
  <c r="V1560" i="9" s="1"/>
  <c r="U1560" i="9"/>
  <c r="O1560" i="9"/>
  <c r="P1560" i="9" s="1"/>
  <c r="M1560" i="9"/>
  <c r="N1560" i="9"/>
  <c r="K1560" i="9"/>
  <c r="L1560" i="9"/>
  <c r="T1556" i="9"/>
  <c r="V1556" i="9" s="1"/>
  <c r="U1556" i="9"/>
  <c r="O1556" i="9"/>
  <c r="P1556" i="9" s="1"/>
  <c r="N1556" i="9"/>
  <c r="K1556" i="9"/>
  <c r="M1556" i="9"/>
  <c r="L1556" i="9"/>
  <c r="T1552" i="9"/>
  <c r="V1552" i="9" s="1"/>
  <c r="U1552" i="9"/>
  <c r="N1552" i="9"/>
  <c r="O1552" i="9"/>
  <c r="P1552" i="9" s="1"/>
  <c r="M1552" i="9"/>
  <c r="K1552" i="9"/>
  <c r="L1552" i="9"/>
  <c r="U1548" i="9"/>
  <c r="T1548" i="9"/>
  <c r="V1548" i="9" s="1"/>
  <c r="O1548" i="9"/>
  <c r="P1548" i="9" s="1"/>
  <c r="N1548" i="9"/>
  <c r="M1548" i="9"/>
  <c r="K1548" i="9"/>
  <c r="L1548" i="9"/>
  <c r="T1544" i="9"/>
  <c r="V1544" i="9" s="1"/>
  <c r="U1544" i="9"/>
  <c r="O1544" i="9"/>
  <c r="P1544" i="9" s="1"/>
  <c r="M1544" i="9"/>
  <c r="N1544" i="9"/>
  <c r="K1544" i="9"/>
  <c r="L1544" i="9"/>
  <c r="T1540" i="9"/>
  <c r="V1540" i="9" s="1"/>
  <c r="U1540" i="9"/>
  <c r="O1540" i="9"/>
  <c r="P1540" i="9" s="1"/>
  <c r="N1540" i="9"/>
  <c r="K1540" i="9"/>
  <c r="L1540" i="9"/>
  <c r="M1540" i="9"/>
  <c r="T1536" i="9"/>
  <c r="V1536" i="9" s="1"/>
  <c r="U1536" i="9"/>
  <c r="O1536" i="9"/>
  <c r="P1536" i="9" s="1"/>
  <c r="N1536" i="9"/>
  <c r="M1536" i="9"/>
  <c r="K1536" i="9"/>
  <c r="L1536" i="9"/>
  <c r="U1532" i="9"/>
  <c r="O1532" i="9"/>
  <c r="P1532" i="9" s="1"/>
  <c r="T1532" i="9"/>
  <c r="V1532" i="9" s="1"/>
  <c r="N1532" i="9"/>
  <c r="M1532" i="9"/>
  <c r="K1532" i="9"/>
  <c r="L1532" i="9"/>
  <c r="T1528" i="9"/>
  <c r="V1528" i="9" s="1"/>
  <c r="U1528" i="9"/>
  <c r="O1528" i="9"/>
  <c r="P1528" i="9" s="1"/>
  <c r="M1528" i="9"/>
  <c r="K1528" i="9"/>
  <c r="N1528" i="9"/>
  <c r="L1528" i="9"/>
  <c r="T1524" i="9"/>
  <c r="V1524" i="9" s="1"/>
  <c r="U1524" i="9"/>
  <c r="O1524" i="9"/>
  <c r="P1524" i="9" s="1"/>
  <c r="N1524" i="9"/>
  <c r="K1524" i="9"/>
  <c r="L1524" i="9"/>
  <c r="M1524" i="9"/>
  <c r="T1520" i="9"/>
  <c r="V1520" i="9" s="1"/>
  <c r="U1520" i="9"/>
  <c r="N1520" i="9"/>
  <c r="O1520" i="9"/>
  <c r="P1520" i="9" s="1"/>
  <c r="M1520" i="9"/>
  <c r="K1520" i="9"/>
  <c r="L1520" i="9"/>
  <c r="U1516" i="9"/>
  <c r="T1516" i="9"/>
  <c r="V1516" i="9" s="1"/>
  <c r="O1516" i="9"/>
  <c r="P1516" i="9" s="1"/>
  <c r="N1516" i="9"/>
  <c r="M1516" i="9"/>
  <c r="K1516" i="9"/>
  <c r="L1516" i="9"/>
  <c r="T1512" i="9"/>
  <c r="V1512" i="9" s="1"/>
  <c r="U1512" i="9"/>
  <c r="O1512" i="9"/>
  <c r="P1512" i="9" s="1"/>
  <c r="N1512" i="9"/>
  <c r="M1512" i="9"/>
  <c r="K1512" i="9"/>
  <c r="L1512" i="9"/>
  <c r="T1508" i="9"/>
  <c r="V1508" i="9" s="1"/>
  <c r="U1508" i="9"/>
  <c r="O1508" i="9"/>
  <c r="P1508" i="9" s="1"/>
  <c r="N1508" i="9"/>
  <c r="K1508" i="9"/>
  <c r="M1508" i="9"/>
  <c r="L1508" i="9"/>
  <c r="T1504" i="9"/>
  <c r="V1504" i="9" s="1"/>
  <c r="U1504" i="9"/>
  <c r="O1504" i="9"/>
  <c r="P1504" i="9" s="1"/>
  <c r="N1504" i="9"/>
  <c r="M1504" i="9"/>
  <c r="K1504" i="9"/>
  <c r="L1504" i="9"/>
  <c r="U1500" i="9"/>
  <c r="T1500" i="9"/>
  <c r="V1500" i="9" s="1"/>
  <c r="O1500" i="9"/>
  <c r="P1500" i="9" s="1"/>
  <c r="N1500" i="9"/>
  <c r="M1500" i="9"/>
  <c r="K1500" i="9"/>
  <c r="L1500" i="9"/>
  <c r="T1496" i="9"/>
  <c r="V1496" i="9" s="1"/>
  <c r="U1496" i="9"/>
  <c r="O1496" i="9"/>
  <c r="P1496" i="9" s="1"/>
  <c r="M1496" i="9"/>
  <c r="N1496" i="9"/>
  <c r="K1496" i="9"/>
  <c r="L1496" i="9"/>
  <c r="T1492" i="9"/>
  <c r="V1492" i="9" s="1"/>
  <c r="U1492" i="9"/>
  <c r="O1492" i="9"/>
  <c r="P1492" i="9" s="1"/>
  <c r="N1492" i="9"/>
  <c r="K1492" i="9"/>
  <c r="M1492" i="9"/>
  <c r="L1492" i="9"/>
  <c r="T1488" i="9"/>
  <c r="V1488" i="9" s="1"/>
  <c r="U1488" i="9"/>
  <c r="N1488" i="9"/>
  <c r="O1488" i="9"/>
  <c r="P1488" i="9" s="1"/>
  <c r="M1488" i="9"/>
  <c r="K1488" i="9"/>
  <c r="L1488" i="9"/>
  <c r="U1484" i="9"/>
  <c r="T1484" i="9"/>
  <c r="V1484" i="9" s="1"/>
  <c r="O1484" i="9"/>
  <c r="P1484" i="9" s="1"/>
  <c r="N1484" i="9"/>
  <c r="M1484" i="9"/>
  <c r="K1484" i="9"/>
  <c r="L1484" i="9"/>
  <c r="T1480" i="9"/>
  <c r="V1480" i="9" s="1"/>
  <c r="U1480" i="9"/>
  <c r="O1480" i="9"/>
  <c r="P1480" i="9" s="1"/>
  <c r="M1480" i="9"/>
  <c r="N1480" i="9"/>
  <c r="K1480" i="9"/>
  <c r="L1480" i="9"/>
  <c r="T1476" i="9"/>
  <c r="V1476" i="9" s="1"/>
  <c r="U1476" i="9"/>
  <c r="O1476" i="9"/>
  <c r="P1476" i="9" s="1"/>
  <c r="N1476" i="9"/>
  <c r="K1476" i="9"/>
  <c r="L1476" i="9"/>
  <c r="M1476" i="9"/>
  <c r="T1472" i="9"/>
  <c r="V1472" i="9" s="1"/>
  <c r="U1472" i="9"/>
  <c r="O1472" i="9"/>
  <c r="P1472" i="9" s="1"/>
  <c r="N1472" i="9"/>
  <c r="M1472" i="9"/>
  <c r="K1472" i="9"/>
  <c r="L1472" i="9"/>
  <c r="U1468" i="9"/>
  <c r="O1468" i="9"/>
  <c r="P1468" i="9" s="1"/>
  <c r="T1468" i="9"/>
  <c r="V1468" i="9" s="1"/>
  <c r="N1468" i="9"/>
  <c r="M1468" i="9"/>
  <c r="K1468" i="9"/>
  <c r="L1468" i="9"/>
  <c r="T1464" i="9"/>
  <c r="V1464" i="9" s="1"/>
  <c r="U1464" i="9"/>
  <c r="O1464" i="9"/>
  <c r="P1464" i="9" s="1"/>
  <c r="M1464" i="9"/>
  <c r="K1464" i="9"/>
  <c r="N1464" i="9"/>
  <c r="L1464" i="9"/>
  <c r="T1460" i="9"/>
  <c r="V1460" i="9" s="1"/>
  <c r="U1460" i="9"/>
  <c r="O1460" i="9"/>
  <c r="P1460" i="9" s="1"/>
  <c r="N1460" i="9"/>
  <c r="K1460" i="9"/>
  <c r="L1460" i="9"/>
  <c r="M1460" i="9"/>
  <c r="T1456" i="9"/>
  <c r="V1456" i="9" s="1"/>
  <c r="U1456" i="9"/>
  <c r="N1456" i="9"/>
  <c r="M1456" i="9"/>
  <c r="K1456" i="9"/>
  <c r="L1456" i="9"/>
  <c r="O1456" i="9"/>
  <c r="P1456" i="9" s="1"/>
  <c r="U1452" i="9"/>
  <c r="T1452" i="9"/>
  <c r="V1452" i="9" s="1"/>
  <c r="O1452" i="9"/>
  <c r="P1452" i="9" s="1"/>
  <c r="N1452" i="9"/>
  <c r="M1452" i="9"/>
  <c r="K1452" i="9"/>
  <c r="L1452" i="9"/>
  <c r="T1448" i="9"/>
  <c r="V1448" i="9" s="1"/>
  <c r="U1448" i="9"/>
  <c r="O1448" i="9"/>
  <c r="P1448" i="9" s="1"/>
  <c r="N1448" i="9"/>
  <c r="M1448" i="9"/>
  <c r="K1448" i="9"/>
  <c r="L1448" i="9"/>
  <c r="T1444" i="9"/>
  <c r="V1444" i="9" s="1"/>
  <c r="U1444" i="9"/>
  <c r="O1444" i="9"/>
  <c r="P1444" i="9" s="1"/>
  <c r="N1444" i="9"/>
  <c r="K1444" i="9"/>
  <c r="M1444" i="9"/>
  <c r="L1444" i="9"/>
  <c r="T1440" i="9"/>
  <c r="V1440" i="9" s="1"/>
  <c r="U1440" i="9"/>
  <c r="O1440" i="9"/>
  <c r="P1440" i="9" s="1"/>
  <c r="N1440" i="9"/>
  <c r="M1440" i="9"/>
  <c r="K1440" i="9"/>
  <c r="L1440" i="9"/>
  <c r="U1436" i="9"/>
  <c r="T1436" i="9"/>
  <c r="V1436" i="9" s="1"/>
  <c r="O1436" i="9"/>
  <c r="P1436" i="9" s="1"/>
  <c r="N1436" i="9"/>
  <c r="M1436" i="9"/>
  <c r="K1436" i="9"/>
  <c r="L1436" i="9"/>
  <c r="T1432" i="9"/>
  <c r="V1432" i="9" s="1"/>
  <c r="U1432" i="9"/>
  <c r="O1432" i="9"/>
  <c r="P1432" i="9" s="1"/>
  <c r="M1432" i="9"/>
  <c r="N1432" i="9"/>
  <c r="K1432" i="9"/>
  <c r="L1432" i="9"/>
  <c r="T1428" i="9"/>
  <c r="V1428" i="9" s="1"/>
  <c r="U1428" i="9"/>
  <c r="O1428" i="9"/>
  <c r="P1428" i="9" s="1"/>
  <c r="N1428" i="9"/>
  <c r="K1428" i="9"/>
  <c r="M1428" i="9"/>
  <c r="L1428" i="9"/>
  <c r="T1424" i="9"/>
  <c r="V1424" i="9" s="1"/>
  <c r="U1424" i="9"/>
  <c r="N1424" i="9"/>
  <c r="O1424" i="9"/>
  <c r="P1424" i="9" s="1"/>
  <c r="M1424" i="9"/>
  <c r="K1424" i="9"/>
  <c r="L1424" i="9"/>
  <c r="U1420" i="9"/>
  <c r="T1420" i="9"/>
  <c r="V1420" i="9" s="1"/>
  <c r="O1420" i="9"/>
  <c r="P1420" i="9" s="1"/>
  <c r="N1420" i="9"/>
  <c r="M1420" i="9"/>
  <c r="K1420" i="9"/>
  <c r="L1420" i="9"/>
  <c r="T1416" i="9"/>
  <c r="V1416" i="9" s="1"/>
  <c r="U1416" i="9"/>
  <c r="O1416" i="9"/>
  <c r="P1416" i="9" s="1"/>
  <c r="M1416" i="9"/>
  <c r="N1416" i="9"/>
  <c r="K1416" i="9"/>
  <c r="L1416" i="9"/>
  <c r="T1412" i="9"/>
  <c r="V1412" i="9" s="1"/>
  <c r="U1412" i="9"/>
  <c r="O1412" i="9"/>
  <c r="P1412" i="9" s="1"/>
  <c r="N1412" i="9"/>
  <c r="K1412" i="9"/>
  <c r="L1412" i="9"/>
  <c r="M1412" i="9"/>
  <c r="T1408" i="9"/>
  <c r="V1408" i="9" s="1"/>
  <c r="U1408" i="9"/>
  <c r="O1408" i="9"/>
  <c r="P1408" i="9" s="1"/>
  <c r="N1408" i="9"/>
  <c r="M1408" i="9"/>
  <c r="K1408" i="9"/>
  <c r="L1408" i="9"/>
  <c r="U1404" i="9"/>
  <c r="O1404" i="9"/>
  <c r="P1404" i="9" s="1"/>
  <c r="T1404" i="9"/>
  <c r="V1404" i="9" s="1"/>
  <c r="N1404" i="9"/>
  <c r="M1404" i="9"/>
  <c r="K1404" i="9"/>
  <c r="L1404" i="9"/>
  <c r="T1400" i="9"/>
  <c r="V1400" i="9" s="1"/>
  <c r="U1400" i="9"/>
  <c r="O1400" i="9"/>
  <c r="P1400" i="9" s="1"/>
  <c r="M1400" i="9"/>
  <c r="K1400" i="9"/>
  <c r="N1400" i="9"/>
  <c r="L1400" i="9"/>
  <c r="T1396" i="9"/>
  <c r="V1396" i="9" s="1"/>
  <c r="U1396" i="9"/>
  <c r="O1396" i="9"/>
  <c r="P1396" i="9" s="1"/>
  <c r="N1396" i="9"/>
  <c r="K1396" i="9"/>
  <c r="L1396" i="9"/>
  <c r="M1396" i="9"/>
  <c r="T1392" i="9"/>
  <c r="V1392" i="9" s="1"/>
  <c r="U1392" i="9"/>
  <c r="N1392" i="9"/>
  <c r="O1392" i="9"/>
  <c r="P1392" i="9" s="1"/>
  <c r="M1392" i="9"/>
  <c r="K1392" i="9"/>
  <c r="L1392" i="9"/>
  <c r="U1388" i="9"/>
  <c r="T1388" i="9"/>
  <c r="V1388" i="9" s="1"/>
  <c r="O1388" i="9"/>
  <c r="P1388" i="9" s="1"/>
  <c r="N1388" i="9"/>
  <c r="M1388" i="9"/>
  <c r="K1388" i="9"/>
  <c r="L1388" i="9"/>
  <c r="T1384" i="9"/>
  <c r="V1384" i="9" s="1"/>
  <c r="U1384" i="9"/>
  <c r="O1384" i="9"/>
  <c r="P1384" i="9" s="1"/>
  <c r="N1384" i="9"/>
  <c r="M1384" i="9"/>
  <c r="K1384" i="9"/>
  <c r="L1384" i="9"/>
  <c r="T1380" i="9"/>
  <c r="V1380" i="9" s="1"/>
  <c r="U1380" i="9"/>
  <c r="O1380" i="9"/>
  <c r="P1380" i="9" s="1"/>
  <c r="N1380" i="9"/>
  <c r="K1380" i="9"/>
  <c r="M1380" i="9"/>
  <c r="L1380" i="9"/>
  <c r="T1376" i="9"/>
  <c r="V1376" i="9" s="1"/>
  <c r="U1376" i="9"/>
  <c r="O1376" i="9"/>
  <c r="P1376" i="9" s="1"/>
  <c r="N1376" i="9"/>
  <c r="M1376" i="9"/>
  <c r="K1376" i="9"/>
  <c r="L1376" i="9"/>
  <c r="U1372" i="9"/>
  <c r="T1372" i="9"/>
  <c r="V1372" i="9" s="1"/>
  <c r="O1372" i="9"/>
  <c r="P1372" i="9" s="1"/>
  <c r="N1372" i="9"/>
  <c r="M1372" i="9"/>
  <c r="K1372" i="9"/>
  <c r="L1372" i="9"/>
  <c r="T1368" i="9"/>
  <c r="V1368" i="9" s="1"/>
  <c r="U1368" i="9"/>
  <c r="O1368" i="9"/>
  <c r="P1368" i="9" s="1"/>
  <c r="M1368" i="9"/>
  <c r="N1368" i="9"/>
  <c r="K1368" i="9"/>
  <c r="L1368" i="9"/>
  <c r="T1364" i="9"/>
  <c r="V1364" i="9" s="1"/>
  <c r="U1364" i="9"/>
  <c r="O1364" i="9"/>
  <c r="P1364" i="9" s="1"/>
  <c r="N1364" i="9"/>
  <c r="K1364" i="9"/>
  <c r="M1364" i="9"/>
  <c r="L1364" i="9"/>
  <c r="T1360" i="9"/>
  <c r="V1360" i="9" s="1"/>
  <c r="U1360" i="9"/>
  <c r="N1360" i="9"/>
  <c r="O1360" i="9"/>
  <c r="P1360" i="9" s="1"/>
  <c r="M1360" i="9"/>
  <c r="K1360" i="9"/>
  <c r="L1360" i="9"/>
  <c r="U1356" i="9"/>
  <c r="T1356" i="9"/>
  <c r="V1356" i="9" s="1"/>
  <c r="O1356" i="9"/>
  <c r="P1356" i="9" s="1"/>
  <c r="N1356" i="9"/>
  <c r="M1356" i="9"/>
  <c r="K1356" i="9"/>
  <c r="L1356" i="9"/>
  <c r="T1352" i="9"/>
  <c r="V1352" i="9" s="1"/>
  <c r="U1352" i="9"/>
  <c r="O1352" i="9"/>
  <c r="P1352" i="9" s="1"/>
  <c r="M1352" i="9"/>
  <c r="N1352" i="9"/>
  <c r="K1352" i="9"/>
  <c r="L1352" i="9"/>
  <c r="T1348" i="9"/>
  <c r="V1348" i="9" s="1"/>
  <c r="U1348" i="9"/>
  <c r="O1348" i="9"/>
  <c r="P1348" i="9" s="1"/>
  <c r="N1348" i="9"/>
  <c r="K1348" i="9"/>
  <c r="L1348" i="9"/>
  <c r="M1348" i="9"/>
  <c r="T1344" i="9"/>
  <c r="V1344" i="9" s="1"/>
  <c r="U1344" i="9"/>
  <c r="O1344" i="9"/>
  <c r="P1344" i="9" s="1"/>
  <c r="N1344" i="9"/>
  <c r="M1344" i="9"/>
  <c r="K1344" i="9"/>
  <c r="L1344" i="9"/>
  <c r="U1340" i="9"/>
  <c r="O1340" i="9"/>
  <c r="P1340" i="9" s="1"/>
  <c r="T1340" i="9"/>
  <c r="V1340" i="9" s="1"/>
  <c r="N1340" i="9"/>
  <c r="M1340" i="9"/>
  <c r="K1340" i="9"/>
  <c r="L1340" i="9"/>
  <c r="T1336" i="9"/>
  <c r="V1336" i="9" s="1"/>
  <c r="U1336" i="9"/>
  <c r="O1336" i="9"/>
  <c r="P1336" i="9" s="1"/>
  <c r="M1336" i="9"/>
  <c r="K1336" i="9"/>
  <c r="L1336" i="9"/>
  <c r="N1336" i="9"/>
  <c r="T1332" i="9"/>
  <c r="V1332" i="9" s="1"/>
  <c r="U1332" i="9"/>
  <c r="O1332" i="9"/>
  <c r="P1332" i="9" s="1"/>
  <c r="N1332" i="9"/>
  <c r="K1332" i="9"/>
  <c r="L1332" i="9"/>
  <c r="M1332" i="9"/>
  <c r="T1328" i="9"/>
  <c r="V1328" i="9" s="1"/>
  <c r="U1328" i="9"/>
  <c r="N1328" i="9"/>
  <c r="M1328" i="9"/>
  <c r="K1328" i="9"/>
  <c r="L1328" i="9"/>
  <c r="O1328" i="9"/>
  <c r="P1328" i="9" s="1"/>
  <c r="U1324" i="9"/>
  <c r="T1324" i="9"/>
  <c r="V1324" i="9" s="1"/>
  <c r="O1324" i="9"/>
  <c r="P1324" i="9" s="1"/>
  <c r="N1324" i="9"/>
  <c r="M1324" i="9"/>
  <c r="K1324" i="9"/>
  <c r="L1324" i="9"/>
  <c r="T1320" i="9"/>
  <c r="V1320" i="9" s="1"/>
  <c r="U1320" i="9"/>
  <c r="O1320" i="9"/>
  <c r="P1320" i="9" s="1"/>
  <c r="N1320" i="9"/>
  <c r="M1320" i="9"/>
  <c r="K1320" i="9"/>
  <c r="L1320" i="9"/>
  <c r="T1316" i="9"/>
  <c r="V1316" i="9" s="1"/>
  <c r="U1316" i="9"/>
  <c r="O1316" i="9"/>
  <c r="P1316" i="9" s="1"/>
  <c r="N1316" i="9"/>
  <c r="K1316" i="9"/>
  <c r="M1316" i="9"/>
  <c r="L1316" i="9"/>
  <c r="T1312" i="9"/>
  <c r="V1312" i="9" s="1"/>
  <c r="U1312" i="9"/>
  <c r="O1312" i="9"/>
  <c r="P1312" i="9" s="1"/>
  <c r="N1312" i="9"/>
  <c r="M1312" i="9"/>
  <c r="K1312" i="9"/>
  <c r="L1312" i="9"/>
  <c r="U1308" i="9"/>
  <c r="T1308" i="9"/>
  <c r="V1308" i="9" s="1"/>
  <c r="O1308" i="9"/>
  <c r="P1308" i="9" s="1"/>
  <c r="N1308" i="9"/>
  <c r="M1308" i="9"/>
  <c r="K1308" i="9"/>
  <c r="L1308" i="9"/>
  <c r="T1304" i="9"/>
  <c r="V1304" i="9" s="1"/>
  <c r="U1304" i="9"/>
  <c r="O1304" i="9"/>
  <c r="P1304" i="9" s="1"/>
  <c r="M1304" i="9"/>
  <c r="N1304" i="9"/>
  <c r="K1304" i="9"/>
  <c r="L1304" i="9"/>
  <c r="T1300" i="9"/>
  <c r="V1300" i="9" s="1"/>
  <c r="U1300" i="9"/>
  <c r="O1300" i="9"/>
  <c r="P1300" i="9" s="1"/>
  <c r="N1300" i="9"/>
  <c r="K1300" i="9"/>
  <c r="M1300" i="9"/>
  <c r="L1300" i="9"/>
  <c r="T1296" i="9"/>
  <c r="V1296" i="9" s="1"/>
  <c r="U1296" i="9"/>
  <c r="N1296" i="9"/>
  <c r="O1296" i="9"/>
  <c r="P1296" i="9" s="1"/>
  <c r="M1296" i="9"/>
  <c r="K1296" i="9"/>
  <c r="L1296" i="9"/>
  <c r="U1292" i="9"/>
  <c r="T1292" i="9"/>
  <c r="V1292" i="9" s="1"/>
  <c r="O1292" i="9"/>
  <c r="P1292" i="9" s="1"/>
  <c r="N1292" i="9"/>
  <c r="M1292" i="9"/>
  <c r="K1292" i="9"/>
  <c r="L1292" i="9"/>
  <c r="T1288" i="9"/>
  <c r="V1288" i="9" s="1"/>
  <c r="U1288" i="9"/>
  <c r="O1288" i="9"/>
  <c r="P1288" i="9" s="1"/>
  <c r="M1288" i="9"/>
  <c r="N1288" i="9"/>
  <c r="K1288" i="9"/>
  <c r="L1288" i="9"/>
  <c r="T1284" i="9"/>
  <c r="V1284" i="9" s="1"/>
  <c r="U1284" i="9"/>
  <c r="O1284" i="9"/>
  <c r="P1284" i="9" s="1"/>
  <c r="N1284" i="9"/>
  <c r="K1284" i="9"/>
  <c r="L1284" i="9"/>
  <c r="M1284" i="9"/>
  <c r="T1280" i="9"/>
  <c r="V1280" i="9" s="1"/>
  <c r="U1280" i="9"/>
  <c r="O1280" i="9"/>
  <c r="P1280" i="9" s="1"/>
  <c r="N1280" i="9"/>
  <c r="M1280" i="9"/>
  <c r="K1280" i="9"/>
  <c r="L1280" i="9"/>
  <c r="U1276" i="9"/>
  <c r="O1276" i="9"/>
  <c r="P1276" i="9" s="1"/>
  <c r="T1276" i="9"/>
  <c r="V1276" i="9" s="1"/>
  <c r="N1276" i="9"/>
  <c r="M1276" i="9"/>
  <c r="K1276" i="9"/>
  <c r="L1276" i="9"/>
  <c r="T1272" i="9"/>
  <c r="V1272" i="9" s="1"/>
  <c r="U1272" i="9"/>
  <c r="O1272" i="9"/>
  <c r="P1272" i="9" s="1"/>
  <c r="M1272" i="9"/>
  <c r="K1272" i="9"/>
  <c r="N1272" i="9"/>
  <c r="L1272" i="9"/>
  <c r="T1268" i="9"/>
  <c r="V1268" i="9" s="1"/>
  <c r="U1268" i="9"/>
  <c r="O1268" i="9"/>
  <c r="P1268" i="9" s="1"/>
  <c r="N1268" i="9"/>
  <c r="K1268" i="9"/>
  <c r="L1268" i="9"/>
  <c r="M1268" i="9"/>
  <c r="T1264" i="9"/>
  <c r="V1264" i="9" s="1"/>
  <c r="U1264" i="9"/>
  <c r="N1264" i="9"/>
  <c r="O1264" i="9"/>
  <c r="P1264" i="9" s="1"/>
  <c r="M1264" i="9"/>
  <c r="K1264" i="9"/>
  <c r="L1264" i="9"/>
  <c r="U1260" i="9"/>
  <c r="T1260" i="9"/>
  <c r="V1260" i="9" s="1"/>
  <c r="O1260" i="9"/>
  <c r="P1260" i="9" s="1"/>
  <c r="N1260" i="9"/>
  <c r="M1260" i="9"/>
  <c r="K1260" i="9"/>
  <c r="L1260" i="9"/>
  <c r="T1256" i="9"/>
  <c r="V1256" i="9" s="1"/>
  <c r="U1256" i="9"/>
  <c r="O1256" i="9"/>
  <c r="P1256" i="9" s="1"/>
  <c r="N1256" i="9"/>
  <c r="M1256" i="9"/>
  <c r="K1256" i="9"/>
  <c r="L1256" i="9"/>
  <c r="T1252" i="9"/>
  <c r="V1252" i="9" s="1"/>
  <c r="U1252" i="9"/>
  <c r="O1252" i="9"/>
  <c r="P1252" i="9" s="1"/>
  <c r="N1252" i="9"/>
  <c r="K1252" i="9"/>
  <c r="M1252" i="9"/>
  <c r="L1252" i="9"/>
  <c r="T1248" i="9"/>
  <c r="V1248" i="9" s="1"/>
  <c r="U1248" i="9"/>
  <c r="O1248" i="9"/>
  <c r="P1248" i="9" s="1"/>
  <c r="N1248" i="9"/>
  <c r="M1248" i="9"/>
  <c r="L1248" i="9"/>
  <c r="K1248" i="9"/>
  <c r="U1244" i="9"/>
  <c r="T1244" i="9"/>
  <c r="V1244" i="9" s="1"/>
  <c r="O1244" i="9"/>
  <c r="P1244" i="9" s="1"/>
  <c r="N1244" i="9"/>
  <c r="M1244" i="9"/>
  <c r="K1244" i="9"/>
  <c r="L1244" i="9"/>
  <c r="T1240" i="9"/>
  <c r="V1240" i="9" s="1"/>
  <c r="U1240" i="9"/>
  <c r="O1240" i="9"/>
  <c r="P1240" i="9" s="1"/>
  <c r="M1240" i="9"/>
  <c r="N1240" i="9"/>
  <c r="K1240" i="9"/>
  <c r="L1240" i="9"/>
  <c r="U1236" i="9"/>
  <c r="T1236" i="9"/>
  <c r="V1236" i="9" s="1"/>
  <c r="O1236" i="9"/>
  <c r="P1236" i="9" s="1"/>
  <c r="N1236" i="9"/>
  <c r="M1236" i="9"/>
  <c r="K1236" i="9"/>
  <c r="L1236" i="9"/>
  <c r="U1232" i="9"/>
  <c r="T1232" i="9"/>
  <c r="V1232" i="9" s="1"/>
  <c r="N1232" i="9"/>
  <c r="O1232" i="9"/>
  <c r="P1232" i="9" s="1"/>
  <c r="M1232" i="9"/>
  <c r="L1232" i="9"/>
  <c r="K1232" i="9"/>
  <c r="U1228" i="9"/>
  <c r="T1228" i="9"/>
  <c r="V1228" i="9" s="1"/>
  <c r="O1228" i="9"/>
  <c r="P1228" i="9" s="1"/>
  <c r="N1228" i="9"/>
  <c r="M1228" i="9"/>
  <c r="K1228" i="9"/>
  <c r="L1228" i="9"/>
  <c r="U1224" i="9"/>
  <c r="T1224" i="9"/>
  <c r="V1224" i="9" s="1"/>
  <c r="O1224" i="9"/>
  <c r="P1224" i="9" s="1"/>
  <c r="M1224" i="9"/>
  <c r="N1224" i="9"/>
  <c r="K1224" i="9"/>
  <c r="L1224" i="9"/>
  <c r="U1220" i="9"/>
  <c r="T1220" i="9"/>
  <c r="V1220" i="9" s="1"/>
  <c r="O1220" i="9"/>
  <c r="P1220" i="9" s="1"/>
  <c r="N1220" i="9"/>
  <c r="K1220" i="9"/>
  <c r="L1220" i="9"/>
  <c r="M1220" i="9"/>
  <c r="U1216" i="9"/>
  <c r="T1216" i="9"/>
  <c r="V1216" i="9" s="1"/>
  <c r="O1216" i="9"/>
  <c r="P1216" i="9" s="1"/>
  <c r="N1216" i="9"/>
  <c r="M1216" i="9"/>
  <c r="L1216" i="9"/>
  <c r="K1216" i="9"/>
  <c r="U1212" i="9"/>
  <c r="T1212" i="9"/>
  <c r="V1212" i="9" s="1"/>
  <c r="O1212" i="9"/>
  <c r="P1212" i="9" s="1"/>
  <c r="N1212" i="9"/>
  <c r="M1212" i="9"/>
  <c r="K1212" i="9"/>
  <c r="L1212" i="9"/>
  <c r="U1208" i="9"/>
  <c r="T1208" i="9"/>
  <c r="V1208" i="9" s="1"/>
  <c r="O1208" i="9"/>
  <c r="P1208" i="9" s="1"/>
  <c r="M1208" i="9"/>
  <c r="K1208" i="9"/>
  <c r="N1208" i="9"/>
  <c r="L1208" i="9"/>
  <c r="U1204" i="9"/>
  <c r="T1204" i="9"/>
  <c r="V1204" i="9" s="1"/>
  <c r="O1204" i="9"/>
  <c r="P1204" i="9" s="1"/>
  <c r="N1204" i="9"/>
  <c r="K1204" i="9"/>
  <c r="L1204" i="9"/>
  <c r="M1204" i="9"/>
  <c r="U1200" i="9"/>
  <c r="T1200" i="9"/>
  <c r="V1200" i="9" s="1"/>
  <c r="N1200" i="9"/>
  <c r="M1200" i="9"/>
  <c r="L1200" i="9"/>
  <c r="K1200" i="9"/>
  <c r="O1200" i="9"/>
  <c r="P1200" i="9" s="1"/>
  <c r="U1196" i="9"/>
  <c r="T1196" i="9"/>
  <c r="V1196" i="9" s="1"/>
  <c r="O1196" i="9"/>
  <c r="P1196" i="9" s="1"/>
  <c r="N1196" i="9"/>
  <c r="M1196" i="9"/>
  <c r="K1196" i="9"/>
  <c r="L1196" i="9"/>
  <c r="U1192" i="9"/>
  <c r="T1192" i="9"/>
  <c r="V1192" i="9" s="1"/>
  <c r="O1192" i="9"/>
  <c r="P1192" i="9" s="1"/>
  <c r="N1192" i="9"/>
  <c r="M1192" i="9"/>
  <c r="K1192" i="9"/>
  <c r="L1192" i="9"/>
  <c r="U1188" i="9"/>
  <c r="T1188" i="9"/>
  <c r="V1188" i="9" s="1"/>
  <c r="O1188" i="9"/>
  <c r="P1188" i="9" s="1"/>
  <c r="N1188" i="9"/>
  <c r="K1188" i="9"/>
  <c r="M1188" i="9"/>
  <c r="L1188" i="9"/>
  <c r="U1184" i="9"/>
  <c r="T1184" i="9"/>
  <c r="V1184" i="9" s="1"/>
  <c r="O1184" i="9"/>
  <c r="P1184" i="9" s="1"/>
  <c r="N1184" i="9"/>
  <c r="M1184" i="9"/>
  <c r="L1184" i="9"/>
  <c r="K1184" i="9"/>
  <c r="U1180" i="9"/>
  <c r="T1180" i="9"/>
  <c r="V1180" i="9" s="1"/>
  <c r="O1180" i="9"/>
  <c r="P1180" i="9" s="1"/>
  <c r="N1180" i="9"/>
  <c r="M1180" i="9"/>
  <c r="K1180" i="9"/>
  <c r="L1180" i="9"/>
  <c r="U1176" i="9"/>
  <c r="T1176" i="9"/>
  <c r="V1176" i="9" s="1"/>
  <c r="O1176" i="9"/>
  <c r="P1176" i="9" s="1"/>
  <c r="M1176" i="9"/>
  <c r="N1176" i="9"/>
  <c r="K1176" i="9"/>
  <c r="L1176" i="9"/>
  <c r="U1172" i="9"/>
  <c r="T1172" i="9"/>
  <c r="V1172" i="9" s="1"/>
  <c r="O1172" i="9"/>
  <c r="P1172" i="9" s="1"/>
  <c r="N1172" i="9"/>
  <c r="M1172" i="9"/>
  <c r="K1172" i="9"/>
  <c r="L1172" i="9"/>
  <c r="U1168" i="9"/>
  <c r="T1168" i="9"/>
  <c r="V1168" i="9" s="1"/>
  <c r="N1168" i="9"/>
  <c r="O1168" i="9"/>
  <c r="P1168" i="9" s="1"/>
  <c r="M1168" i="9"/>
  <c r="L1168" i="9"/>
  <c r="K1168" i="9"/>
  <c r="U1164" i="9"/>
  <c r="T1164" i="9"/>
  <c r="V1164" i="9" s="1"/>
  <c r="O1164" i="9"/>
  <c r="P1164" i="9" s="1"/>
  <c r="N1164" i="9"/>
  <c r="M1164" i="9"/>
  <c r="K1164" i="9"/>
  <c r="L1164" i="9"/>
  <c r="U1160" i="9"/>
  <c r="T1160" i="9"/>
  <c r="V1160" i="9" s="1"/>
  <c r="O1160" i="9"/>
  <c r="P1160" i="9" s="1"/>
  <c r="M1160" i="9"/>
  <c r="N1160" i="9"/>
  <c r="K1160" i="9"/>
  <c r="L1160" i="9"/>
  <c r="U1156" i="9"/>
  <c r="T1156" i="9"/>
  <c r="V1156" i="9" s="1"/>
  <c r="O1156" i="9"/>
  <c r="P1156" i="9" s="1"/>
  <c r="N1156" i="9"/>
  <c r="K1156" i="9"/>
  <c r="L1156" i="9"/>
  <c r="M1156" i="9"/>
  <c r="U1152" i="9"/>
  <c r="T1152" i="9"/>
  <c r="V1152" i="9" s="1"/>
  <c r="O1152" i="9"/>
  <c r="P1152" i="9" s="1"/>
  <c r="N1152" i="9"/>
  <c r="M1152" i="9"/>
  <c r="L1152" i="9"/>
  <c r="K1152" i="9"/>
  <c r="U1148" i="9"/>
  <c r="T1148" i="9"/>
  <c r="V1148" i="9" s="1"/>
  <c r="O1148" i="9"/>
  <c r="P1148" i="9" s="1"/>
  <c r="N1148" i="9"/>
  <c r="M1148" i="9"/>
  <c r="K1148" i="9"/>
  <c r="L1148" i="9"/>
  <c r="U1144" i="9"/>
  <c r="T1144" i="9"/>
  <c r="V1144" i="9" s="1"/>
  <c r="O1144" i="9"/>
  <c r="P1144" i="9" s="1"/>
  <c r="M1144" i="9"/>
  <c r="K1144" i="9"/>
  <c r="N1144" i="9"/>
  <c r="L1144" i="9"/>
  <c r="U1140" i="9"/>
  <c r="T1140" i="9"/>
  <c r="V1140" i="9" s="1"/>
  <c r="O1140" i="9"/>
  <c r="P1140" i="9" s="1"/>
  <c r="N1140" i="9"/>
  <c r="K1140" i="9"/>
  <c r="L1140" i="9"/>
  <c r="M1140" i="9"/>
  <c r="U1136" i="9"/>
  <c r="T1136" i="9"/>
  <c r="V1136" i="9" s="1"/>
  <c r="N1136" i="9"/>
  <c r="O1136" i="9"/>
  <c r="P1136" i="9" s="1"/>
  <c r="M1136" i="9"/>
  <c r="L1136" i="9"/>
  <c r="K1136" i="9"/>
  <c r="U1132" i="9"/>
  <c r="T1132" i="9"/>
  <c r="V1132" i="9" s="1"/>
  <c r="O1132" i="9"/>
  <c r="P1132" i="9" s="1"/>
  <c r="N1132" i="9"/>
  <c r="M1132" i="9"/>
  <c r="K1132" i="9"/>
  <c r="L1132" i="9"/>
  <c r="U1128" i="9"/>
  <c r="T1128" i="9"/>
  <c r="V1128" i="9" s="1"/>
  <c r="O1128" i="9"/>
  <c r="P1128" i="9" s="1"/>
  <c r="N1128" i="9"/>
  <c r="M1128" i="9"/>
  <c r="K1128" i="9"/>
  <c r="L1128" i="9"/>
  <c r="U1124" i="9"/>
  <c r="T1124" i="9"/>
  <c r="V1124" i="9" s="1"/>
  <c r="O1124" i="9"/>
  <c r="P1124" i="9" s="1"/>
  <c r="N1124" i="9"/>
  <c r="K1124" i="9"/>
  <c r="M1124" i="9"/>
  <c r="L1124" i="9"/>
  <c r="U1120" i="9"/>
  <c r="T1120" i="9"/>
  <c r="V1120" i="9" s="1"/>
  <c r="O1120" i="9"/>
  <c r="P1120" i="9" s="1"/>
  <c r="N1120" i="9"/>
  <c r="M1120" i="9"/>
  <c r="L1120" i="9"/>
  <c r="K1120" i="9"/>
  <c r="U1116" i="9"/>
  <c r="T1116" i="9"/>
  <c r="V1116" i="9" s="1"/>
  <c r="O1116" i="9"/>
  <c r="P1116" i="9" s="1"/>
  <c r="N1116" i="9"/>
  <c r="M1116" i="9"/>
  <c r="K1116" i="9"/>
  <c r="L1116" i="9"/>
  <c r="U1112" i="9"/>
  <c r="T1112" i="9"/>
  <c r="V1112" i="9" s="1"/>
  <c r="O1112" i="9"/>
  <c r="P1112" i="9" s="1"/>
  <c r="M1112" i="9"/>
  <c r="N1112" i="9"/>
  <c r="K1112" i="9"/>
  <c r="L1112" i="9"/>
  <c r="U1108" i="9"/>
  <c r="T1108" i="9"/>
  <c r="V1108" i="9" s="1"/>
  <c r="O1108" i="9"/>
  <c r="P1108" i="9" s="1"/>
  <c r="N1108" i="9"/>
  <c r="M1108" i="9"/>
  <c r="K1108" i="9"/>
  <c r="L1108" i="9"/>
  <c r="U1104" i="9"/>
  <c r="T1104" i="9"/>
  <c r="V1104" i="9" s="1"/>
  <c r="N1104" i="9"/>
  <c r="O1104" i="9"/>
  <c r="P1104" i="9" s="1"/>
  <c r="M1104" i="9"/>
  <c r="L1104" i="9"/>
  <c r="K1104" i="9"/>
  <c r="U1100" i="9"/>
  <c r="T1100" i="9"/>
  <c r="V1100" i="9" s="1"/>
  <c r="O1100" i="9"/>
  <c r="P1100" i="9" s="1"/>
  <c r="N1100" i="9"/>
  <c r="M1100" i="9"/>
  <c r="K1100" i="9"/>
  <c r="L1100" i="9"/>
  <c r="U1096" i="9"/>
  <c r="T1096" i="9"/>
  <c r="V1096" i="9" s="1"/>
  <c r="O1096" i="9"/>
  <c r="P1096" i="9" s="1"/>
  <c r="M1096" i="9"/>
  <c r="N1096" i="9"/>
  <c r="K1096" i="9"/>
  <c r="L1096" i="9"/>
  <c r="U1092" i="9"/>
  <c r="T1092" i="9"/>
  <c r="V1092" i="9" s="1"/>
  <c r="O1092" i="9"/>
  <c r="P1092" i="9" s="1"/>
  <c r="N1092" i="9"/>
  <c r="L1092" i="9"/>
  <c r="K1092" i="9"/>
  <c r="M1092" i="9"/>
  <c r="U1088" i="9"/>
  <c r="T1088" i="9"/>
  <c r="V1088" i="9" s="1"/>
  <c r="O1088" i="9"/>
  <c r="P1088" i="9" s="1"/>
  <c r="N1088" i="9"/>
  <c r="M1088" i="9"/>
  <c r="L1088" i="9"/>
  <c r="K1088" i="9"/>
  <c r="U1084" i="9"/>
  <c r="T1084" i="9"/>
  <c r="V1084" i="9" s="1"/>
  <c r="O1084" i="9"/>
  <c r="P1084" i="9" s="1"/>
  <c r="N1084" i="9"/>
  <c r="M1084" i="9"/>
  <c r="K1084" i="9"/>
  <c r="L1084" i="9"/>
  <c r="U1080" i="9"/>
  <c r="T1080" i="9"/>
  <c r="V1080" i="9" s="1"/>
  <c r="O1080" i="9"/>
  <c r="P1080" i="9" s="1"/>
  <c r="M1080" i="9"/>
  <c r="L1080" i="9"/>
  <c r="K1080" i="9"/>
  <c r="N1080" i="9"/>
  <c r="U1076" i="9"/>
  <c r="T1076" i="9"/>
  <c r="V1076" i="9" s="1"/>
  <c r="O1076" i="9"/>
  <c r="P1076" i="9" s="1"/>
  <c r="N1076" i="9"/>
  <c r="L1076" i="9"/>
  <c r="K1076" i="9"/>
  <c r="M1076" i="9"/>
  <c r="U1072" i="9"/>
  <c r="T1072" i="9"/>
  <c r="V1072" i="9" s="1"/>
  <c r="N1072" i="9"/>
  <c r="M1072" i="9"/>
  <c r="O1072" i="9"/>
  <c r="P1072" i="9" s="1"/>
  <c r="L1072" i="9"/>
  <c r="K1072" i="9"/>
  <c r="U1068" i="9"/>
  <c r="T1068" i="9"/>
  <c r="V1068" i="9" s="1"/>
  <c r="O1068" i="9"/>
  <c r="P1068" i="9" s="1"/>
  <c r="N1068" i="9"/>
  <c r="M1068" i="9"/>
  <c r="K1068" i="9"/>
  <c r="L1068" i="9"/>
  <c r="U1064" i="9"/>
  <c r="T1064" i="9"/>
  <c r="V1064" i="9" s="1"/>
  <c r="O1064" i="9"/>
  <c r="P1064" i="9" s="1"/>
  <c r="N1064" i="9"/>
  <c r="M1064" i="9"/>
  <c r="L1064" i="9"/>
  <c r="K1064" i="9"/>
  <c r="U1060" i="9"/>
  <c r="T1060" i="9"/>
  <c r="V1060" i="9" s="1"/>
  <c r="O1060" i="9"/>
  <c r="P1060" i="9" s="1"/>
  <c r="N1060" i="9"/>
  <c r="M1060" i="9"/>
  <c r="L1060" i="9"/>
  <c r="K1060" i="9"/>
  <c r="U1056" i="9"/>
  <c r="T1056" i="9"/>
  <c r="V1056" i="9" s="1"/>
  <c r="O1056" i="9"/>
  <c r="P1056" i="9" s="1"/>
  <c r="N1056" i="9"/>
  <c r="M1056" i="9"/>
  <c r="L1056" i="9"/>
  <c r="K1056" i="9"/>
  <c r="U1052" i="9"/>
  <c r="T1052" i="9"/>
  <c r="V1052" i="9" s="1"/>
  <c r="O1052" i="9"/>
  <c r="P1052" i="9" s="1"/>
  <c r="N1052" i="9"/>
  <c r="M1052" i="9"/>
  <c r="K1052" i="9"/>
  <c r="L1052" i="9"/>
  <c r="U1048" i="9"/>
  <c r="T1048" i="9"/>
  <c r="V1048" i="9" s="1"/>
  <c r="O1048" i="9"/>
  <c r="P1048" i="9" s="1"/>
  <c r="M1048" i="9"/>
  <c r="N1048" i="9"/>
  <c r="L1048" i="9"/>
  <c r="K1048" i="9"/>
  <c r="U1044" i="9"/>
  <c r="T1044" i="9"/>
  <c r="V1044" i="9" s="1"/>
  <c r="O1044" i="9"/>
  <c r="P1044" i="9" s="1"/>
  <c r="N1044" i="9"/>
  <c r="M1044" i="9"/>
  <c r="L1044" i="9"/>
  <c r="K1044" i="9"/>
  <c r="U1040" i="9"/>
  <c r="T1040" i="9"/>
  <c r="V1040" i="9" s="1"/>
  <c r="N1040" i="9"/>
  <c r="O1040" i="9"/>
  <c r="P1040" i="9" s="1"/>
  <c r="M1040" i="9"/>
  <c r="L1040" i="9"/>
  <c r="K1040" i="9"/>
  <c r="U1036" i="9"/>
  <c r="T1036" i="9"/>
  <c r="V1036" i="9" s="1"/>
  <c r="O1036" i="9"/>
  <c r="P1036" i="9" s="1"/>
  <c r="N1036" i="9"/>
  <c r="M1036" i="9"/>
  <c r="K1036" i="9"/>
  <c r="L1036" i="9"/>
  <c r="U1032" i="9"/>
  <c r="T1032" i="9"/>
  <c r="V1032" i="9" s="1"/>
  <c r="O1032" i="9"/>
  <c r="P1032" i="9" s="1"/>
  <c r="M1032" i="9"/>
  <c r="N1032" i="9"/>
  <c r="L1032" i="9"/>
  <c r="K1032" i="9"/>
  <c r="U1028" i="9"/>
  <c r="T1028" i="9"/>
  <c r="V1028" i="9" s="1"/>
  <c r="O1028" i="9"/>
  <c r="P1028" i="9" s="1"/>
  <c r="N1028" i="9"/>
  <c r="L1028" i="9"/>
  <c r="K1028" i="9"/>
  <c r="M1028" i="9"/>
  <c r="U1024" i="9"/>
  <c r="T1024" i="9"/>
  <c r="V1024" i="9" s="1"/>
  <c r="O1024" i="9"/>
  <c r="P1024" i="9" s="1"/>
  <c r="N1024" i="9"/>
  <c r="M1024" i="9"/>
  <c r="L1024" i="9"/>
  <c r="K1024" i="9"/>
  <c r="U1020" i="9"/>
  <c r="T1020" i="9"/>
  <c r="V1020" i="9" s="1"/>
  <c r="O1020" i="9"/>
  <c r="P1020" i="9" s="1"/>
  <c r="N1020" i="9"/>
  <c r="M1020" i="9"/>
  <c r="K1020" i="9"/>
  <c r="L1020" i="9"/>
  <c r="U1016" i="9"/>
  <c r="T1016" i="9"/>
  <c r="V1016" i="9" s="1"/>
  <c r="O1016" i="9"/>
  <c r="P1016" i="9" s="1"/>
  <c r="M1016" i="9"/>
  <c r="N1016" i="9"/>
  <c r="L1016" i="9"/>
  <c r="K1016" i="9"/>
  <c r="U1012" i="9"/>
  <c r="T1012" i="9"/>
  <c r="V1012" i="9" s="1"/>
  <c r="O1012" i="9"/>
  <c r="P1012" i="9" s="1"/>
  <c r="N1012" i="9"/>
  <c r="L1012" i="9"/>
  <c r="K1012" i="9"/>
  <c r="M1012" i="9"/>
  <c r="U1008" i="9"/>
  <c r="T1008" i="9"/>
  <c r="V1008" i="9" s="1"/>
  <c r="N1008" i="9"/>
  <c r="O1008" i="9"/>
  <c r="P1008" i="9" s="1"/>
  <c r="M1008" i="9"/>
  <c r="L1008" i="9"/>
  <c r="K1008" i="9"/>
  <c r="U1004" i="9"/>
  <c r="T1004" i="9"/>
  <c r="V1004" i="9" s="1"/>
  <c r="O1004" i="9"/>
  <c r="P1004" i="9" s="1"/>
  <c r="N1004" i="9"/>
  <c r="M1004" i="9"/>
  <c r="K1004" i="9"/>
  <c r="L1004" i="9"/>
  <c r="U1000" i="9"/>
  <c r="T1000" i="9"/>
  <c r="V1000" i="9" s="1"/>
  <c r="O1000" i="9"/>
  <c r="P1000" i="9" s="1"/>
  <c r="N1000" i="9"/>
  <c r="M1000" i="9"/>
  <c r="L1000" i="9"/>
  <c r="K1000" i="9"/>
  <c r="U996" i="9"/>
  <c r="T996" i="9"/>
  <c r="V996" i="9" s="1"/>
  <c r="O996" i="9"/>
  <c r="P996" i="9" s="1"/>
  <c r="N996" i="9"/>
  <c r="M996" i="9"/>
  <c r="L996" i="9"/>
  <c r="K996" i="9"/>
  <c r="U992" i="9"/>
  <c r="T992" i="9"/>
  <c r="V992" i="9" s="1"/>
  <c r="O992" i="9"/>
  <c r="P992" i="9" s="1"/>
  <c r="N992" i="9"/>
  <c r="M992" i="9"/>
  <c r="L992" i="9"/>
  <c r="K992" i="9"/>
  <c r="U988" i="9"/>
  <c r="T988" i="9"/>
  <c r="V988" i="9" s="1"/>
  <c r="O988" i="9"/>
  <c r="P988" i="9" s="1"/>
  <c r="N988" i="9"/>
  <c r="M988" i="9"/>
  <c r="K988" i="9"/>
  <c r="L988" i="9"/>
  <c r="U984" i="9"/>
  <c r="T984" i="9"/>
  <c r="V984" i="9" s="1"/>
  <c r="O984" i="9"/>
  <c r="P984" i="9" s="1"/>
  <c r="M984" i="9"/>
  <c r="N984" i="9"/>
  <c r="L984" i="9"/>
  <c r="K984" i="9"/>
  <c r="U980" i="9"/>
  <c r="T980" i="9"/>
  <c r="V980" i="9" s="1"/>
  <c r="O980" i="9"/>
  <c r="P980" i="9" s="1"/>
  <c r="N980" i="9"/>
  <c r="M980" i="9"/>
  <c r="L980" i="9"/>
  <c r="K980" i="9"/>
  <c r="U976" i="9"/>
  <c r="T976" i="9"/>
  <c r="V976" i="9" s="1"/>
  <c r="N976" i="9"/>
  <c r="O976" i="9"/>
  <c r="P976" i="9" s="1"/>
  <c r="M976" i="9"/>
  <c r="L976" i="9"/>
  <c r="K976" i="9"/>
  <c r="U972" i="9"/>
  <c r="T972" i="9"/>
  <c r="V972" i="9" s="1"/>
  <c r="O972" i="9"/>
  <c r="P972" i="9" s="1"/>
  <c r="N972" i="9"/>
  <c r="M972" i="9"/>
  <c r="K972" i="9"/>
  <c r="L972" i="9"/>
  <c r="U968" i="9"/>
  <c r="T968" i="9"/>
  <c r="V968" i="9" s="1"/>
  <c r="O968" i="9"/>
  <c r="P968" i="9" s="1"/>
  <c r="M968" i="9"/>
  <c r="N968" i="9"/>
  <c r="L968" i="9"/>
  <c r="K968" i="9"/>
  <c r="U964" i="9"/>
  <c r="T964" i="9"/>
  <c r="V964" i="9" s="1"/>
  <c r="N964" i="9"/>
  <c r="O964" i="9"/>
  <c r="P964" i="9" s="1"/>
  <c r="L964" i="9"/>
  <c r="K964" i="9"/>
  <c r="M964" i="9"/>
  <c r="U960" i="9"/>
  <c r="T960" i="9"/>
  <c r="V960" i="9" s="1"/>
  <c r="N960" i="9"/>
  <c r="O960" i="9"/>
  <c r="P960" i="9" s="1"/>
  <c r="M960" i="9"/>
  <c r="L960" i="9"/>
  <c r="K960" i="9"/>
  <c r="U956" i="9"/>
  <c r="T956" i="9"/>
  <c r="V956" i="9" s="1"/>
  <c r="N956" i="9"/>
  <c r="O956" i="9"/>
  <c r="P956" i="9" s="1"/>
  <c r="M956" i="9"/>
  <c r="K956" i="9"/>
  <c r="L956" i="9"/>
  <c r="U952" i="9"/>
  <c r="T952" i="9"/>
  <c r="V952" i="9" s="1"/>
  <c r="N952" i="9"/>
  <c r="O952" i="9"/>
  <c r="P952" i="9" s="1"/>
  <c r="M952" i="9"/>
  <c r="L952" i="9"/>
  <c r="K952" i="9"/>
  <c r="U948" i="9"/>
  <c r="T948" i="9"/>
  <c r="V948" i="9" s="1"/>
  <c r="N948" i="9"/>
  <c r="O948" i="9"/>
  <c r="P948" i="9" s="1"/>
  <c r="L948" i="9"/>
  <c r="K948" i="9"/>
  <c r="M948" i="9"/>
  <c r="U944" i="9"/>
  <c r="T944" i="9"/>
  <c r="V944" i="9" s="1"/>
  <c r="N944" i="9"/>
  <c r="M944" i="9"/>
  <c r="L944" i="9"/>
  <c r="O944" i="9"/>
  <c r="P944" i="9" s="1"/>
  <c r="K944" i="9"/>
  <c r="U940" i="9"/>
  <c r="T940" i="9"/>
  <c r="V940" i="9" s="1"/>
  <c r="N940" i="9"/>
  <c r="O940" i="9"/>
  <c r="P940" i="9" s="1"/>
  <c r="M940" i="9"/>
  <c r="K940" i="9"/>
  <c r="L940" i="9"/>
  <c r="U936" i="9"/>
  <c r="T936" i="9"/>
  <c r="V936" i="9" s="1"/>
  <c r="N936" i="9"/>
  <c r="O936" i="9"/>
  <c r="P936" i="9" s="1"/>
  <c r="M936" i="9"/>
  <c r="L936" i="9"/>
  <c r="K936" i="9"/>
  <c r="U932" i="9"/>
  <c r="T932" i="9"/>
  <c r="V932" i="9" s="1"/>
  <c r="N932" i="9"/>
  <c r="O932" i="9"/>
  <c r="P932" i="9" s="1"/>
  <c r="M932" i="9"/>
  <c r="L932" i="9"/>
  <c r="K932" i="9"/>
  <c r="U928" i="9"/>
  <c r="T928" i="9"/>
  <c r="V928" i="9" s="1"/>
  <c r="N928" i="9"/>
  <c r="O928" i="9"/>
  <c r="P928" i="9" s="1"/>
  <c r="M928" i="9"/>
  <c r="L928" i="9"/>
  <c r="K928" i="9"/>
  <c r="U924" i="9"/>
  <c r="T924" i="9"/>
  <c r="V924" i="9" s="1"/>
  <c r="N924" i="9"/>
  <c r="O924" i="9"/>
  <c r="P924" i="9" s="1"/>
  <c r="M924" i="9"/>
  <c r="K924" i="9"/>
  <c r="L924" i="9"/>
  <c r="U920" i="9"/>
  <c r="T920" i="9"/>
  <c r="V920" i="9" s="1"/>
  <c r="N920" i="9"/>
  <c r="O920" i="9"/>
  <c r="P920" i="9" s="1"/>
  <c r="M920" i="9"/>
  <c r="L920" i="9"/>
  <c r="K920" i="9"/>
  <c r="U916" i="9"/>
  <c r="T916" i="9"/>
  <c r="V916" i="9" s="1"/>
  <c r="N916" i="9"/>
  <c r="O916" i="9"/>
  <c r="P916" i="9" s="1"/>
  <c r="M916" i="9"/>
  <c r="L916" i="9"/>
  <c r="K916" i="9"/>
  <c r="U912" i="9"/>
  <c r="T912" i="9"/>
  <c r="V912" i="9" s="1"/>
  <c r="N912" i="9"/>
  <c r="O912" i="9"/>
  <c r="P912" i="9" s="1"/>
  <c r="M912" i="9"/>
  <c r="L912" i="9"/>
  <c r="K912" i="9"/>
  <c r="U908" i="9"/>
  <c r="T908" i="9"/>
  <c r="V908" i="9" s="1"/>
  <c r="N908" i="9"/>
  <c r="O908" i="9"/>
  <c r="P908" i="9" s="1"/>
  <c r="M908" i="9"/>
  <c r="K908" i="9"/>
  <c r="L908" i="9"/>
  <c r="U904" i="9"/>
  <c r="T904" i="9"/>
  <c r="V904" i="9" s="1"/>
  <c r="N904" i="9"/>
  <c r="O904" i="9"/>
  <c r="P904" i="9" s="1"/>
  <c r="M904" i="9"/>
  <c r="L904" i="9"/>
  <c r="K904" i="9"/>
  <c r="U900" i="9"/>
  <c r="T900" i="9"/>
  <c r="V900" i="9" s="1"/>
  <c r="N900" i="9"/>
  <c r="O900" i="9"/>
  <c r="P900" i="9" s="1"/>
  <c r="L900" i="9"/>
  <c r="K900" i="9"/>
  <c r="M900" i="9"/>
  <c r="U896" i="9"/>
  <c r="T896" i="9"/>
  <c r="V896" i="9" s="1"/>
  <c r="N896" i="9"/>
  <c r="O896" i="9"/>
  <c r="P896" i="9" s="1"/>
  <c r="M896" i="9"/>
  <c r="L896" i="9"/>
  <c r="K896" i="9"/>
  <c r="U892" i="9"/>
  <c r="T892" i="9"/>
  <c r="V892" i="9" s="1"/>
  <c r="N892" i="9"/>
  <c r="O892" i="9"/>
  <c r="P892" i="9" s="1"/>
  <c r="M892" i="9"/>
  <c r="K892" i="9"/>
  <c r="L892" i="9"/>
  <c r="U888" i="9"/>
  <c r="T888" i="9"/>
  <c r="V888" i="9" s="1"/>
  <c r="N888" i="9"/>
  <c r="O888" i="9"/>
  <c r="P888" i="9" s="1"/>
  <c r="M888" i="9"/>
  <c r="L888" i="9"/>
  <c r="K888" i="9"/>
  <c r="U884" i="9"/>
  <c r="T884" i="9"/>
  <c r="V884" i="9" s="1"/>
  <c r="N884" i="9"/>
  <c r="O884" i="9"/>
  <c r="P884" i="9" s="1"/>
  <c r="L884" i="9"/>
  <c r="K884" i="9"/>
  <c r="M884" i="9"/>
  <c r="U880" i="9"/>
  <c r="T880" i="9"/>
  <c r="V880" i="9" s="1"/>
  <c r="N880" i="9"/>
  <c r="O880" i="9"/>
  <c r="P880" i="9" s="1"/>
  <c r="M880" i="9"/>
  <c r="L880" i="9"/>
  <c r="K880" i="9"/>
  <c r="U876" i="9"/>
  <c r="T876" i="9"/>
  <c r="V876" i="9" s="1"/>
  <c r="N876" i="9"/>
  <c r="O876" i="9"/>
  <c r="P876" i="9" s="1"/>
  <c r="M876" i="9"/>
  <c r="K876" i="9"/>
  <c r="L876" i="9"/>
  <c r="U872" i="9"/>
  <c r="T872" i="9"/>
  <c r="V872" i="9" s="1"/>
  <c r="N872" i="9"/>
  <c r="O872" i="9"/>
  <c r="P872" i="9" s="1"/>
  <c r="M872" i="9"/>
  <c r="L872" i="9"/>
  <c r="K872" i="9"/>
  <c r="U868" i="9"/>
  <c r="T868" i="9"/>
  <c r="V868" i="9" s="1"/>
  <c r="N868" i="9"/>
  <c r="O868" i="9"/>
  <c r="P868" i="9" s="1"/>
  <c r="M868" i="9"/>
  <c r="L868" i="9"/>
  <c r="K868" i="9"/>
  <c r="U864" i="9"/>
  <c r="T864" i="9"/>
  <c r="V864" i="9" s="1"/>
  <c r="N864" i="9"/>
  <c r="O864" i="9"/>
  <c r="P864" i="9" s="1"/>
  <c r="M864" i="9"/>
  <c r="L864" i="9"/>
  <c r="K864" i="9"/>
  <c r="U860" i="9"/>
  <c r="T860" i="9"/>
  <c r="V860" i="9" s="1"/>
  <c r="N860" i="9"/>
  <c r="O860" i="9"/>
  <c r="P860" i="9" s="1"/>
  <c r="M860" i="9"/>
  <c r="K860" i="9"/>
  <c r="L860" i="9"/>
  <c r="U856" i="9"/>
  <c r="T856" i="9"/>
  <c r="V856" i="9" s="1"/>
  <c r="N856" i="9"/>
  <c r="O856" i="9"/>
  <c r="P856" i="9" s="1"/>
  <c r="M856" i="9"/>
  <c r="L856" i="9"/>
  <c r="K856" i="9"/>
  <c r="U852" i="9"/>
  <c r="T852" i="9"/>
  <c r="V852" i="9" s="1"/>
  <c r="N852" i="9"/>
  <c r="O852" i="9"/>
  <c r="P852" i="9" s="1"/>
  <c r="M852" i="9"/>
  <c r="L852" i="9"/>
  <c r="K852" i="9"/>
  <c r="U848" i="9"/>
  <c r="T848" i="9"/>
  <c r="V848" i="9" s="1"/>
  <c r="N848" i="9"/>
  <c r="O848" i="9"/>
  <c r="P848" i="9" s="1"/>
  <c r="M848" i="9"/>
  <c r="L848" i="9"/>
  <c r="K848" i="9"/>
  <c r="U844" i="9"/>
  <c r="T844" i="9"/>
  <c r="V844" i="9" s="1"/>
  <c r="N844" i="9"/>
  <c r="O844" i="9"/>
  <c r="P844" i="9" s="1"/>
  <c r="M844" i="9"/>
  <c r="K844" i="9"/>
  <c r="L844" i="9"/>
  <c r="U840" i="9"/>
  <c r="T840" i="9"/>
  <c r="V840" i="9" s="1"/>
  <c r="N840" i="9"/>
  <c r="O840" i="9"/>
  <c r="P840" i="9" s="1"/>
  <c r="M840" i="9"/>
  <c r="L840" i="9"/>
  <c r="K840" i="9"/>
  <c r="U836" i="9"/>
  <c r="T836" i="9"/>
  <c r="V836" i="9" s="1"/>
  <c r="N836" i="9"/>
  <c r="O836" i="9"/>
  <c r="P836" i="9" s="1"/>
  <c r="L836" i="9"/>
  <c r="K836" i="9"/>
  <c r="M836" i="9"/>
  <c r="U832" i="9"/>
  <c r="T832" i="9"/>
  <c r="V832" i="9" s="1"/>
  <c r="N832" i="9"/>
  <c r="O832" i="9"/>
  <c r="P832" i="9" s="1"/>
  <c r="M832" i="9"/>
  <c r="L832" i="9"/>
  <c r="K832" i="9"/>
  <c r="U828" i="9"/>
  <c r="T828" i="9"/>
  <c r="V828" i="9" s="1"/>
  <c r="N828" i="9"/>
  <c r="O828" i="9"/>
  <c r="P828" i="9" s="1"/>
  <c r="M828" i="9"/>
  <c r="K828" i="9"/>
  <c r="L828" i="9"/>
  <c r="U824" i="9"/>
  <c r="T824" i="9"/>
  <c r="V824" i="9" s="1"/>
  <c r="N824" i="9"/>
  <c r="O824" i="9"/>
  <c r="P824" i="9" s="1"/>
  <c r="M824" i="9"/>
  <c r="L824" i="9"/>
  <c r="K824" i="9"/>
  <c r="U820" i="9"/>
  <c r="T820" i="9"/>
  <c r="V820" i="9" s="1"/>
  <c r="N820" i="9"/>
  <c r="O820" i="9"/>
  <c r="P820" i="9" s="1"/>
  <c r="L820" i="9"/>
  <c r="K820" i="9"/>
  <c r="M820" i="9"/>
  <c r="U816" i="9"/>
  <c r="T816" i="9"/>
  <c r="V816" i="9" s="1"/>
  <c r="N816" i="9"/>
  <c r="M816" i="9"/>
  <c r="L816" i="9"/>
  <c r="O816" i="9"/>
  <c r="P816" i="9" s="1"/>
  <c r="K816" i="9"/>
  <c r="U812" i="9"/>
  <c r="T812" i="9"/>
  <c r="V812" i="9" s="1"/>
  <c r="N812" i="9"/>
  <c r="O812" i="9"/>
  <c r="P812" i="9" s="1"/>
  <c r="M812" i="9"/>
  <c r="K812" i="9"/>
  <c r="L812" i="9"/>
  <c r="U808" i="9"/>
  <c r="T808" i="9"/>
  <c r="V808" i="9" s="1"/>
  <c r="N808" i="9"/>
  <c r="O808" i="9"/>
  <c r="P808" i="9" s="1"/>
  <c r="M808" i="9"/>
  <c r="L808" i="9"/>
  <c r="K808" i="9"/>
  <c r="U804" i="9"/>
  <c r="T804" i="9"/>
  <c r="V804" i="9" s="1"/>
  <c r="N804" i="9"/>
  <c r="O804" i="9"/>
  <c r="P804" i="9" s="1"/>
  <c r="M804" i="9"/>
  <c r="L804" i="9"/>
  <c r="K804" i="9"/>
  <c r="U800" i="9"/>
  <c r="T800" i="9"/>
  <c r="V800" i="9" s="1"/>
  <c r="N800" i="9"/>
  <c r="O800" i="9"/>
  <c r="P800" i="9" s="1"/>
  <c r="M800" i="9"/>
  <c r="L800" i="9"/>
  <c r="K800" i="9"/>
  <c r="U796" i="9"/>
  <c r="T796" i="9"/>
  <c r="V796" i="9" s="1"/>
  <c r="N796" i="9"/>
  <c r="O796" i="9"/>
  <c r="P796" i="9" s="1"/>
  <c r="M796" i="9"/>
  <c r="K796" i="9"/>
  <c r="L796" i="9"/>
  <c r="U792" i="9"/>
  <c r="T792" i="9"/>
  <c r="V792" i="9" s="1"/>
  <c r="N792" i="9"/>
  <c r="O792" i="9"/>
  <c r="P792" i="9" s="1"/>
  <c r="M792" i="9"/>
  <c r="L792" i="9"/>
  <c r="K792" i="9"/>
  <c r="U788" i="9"/>
  <c r="T788" i="9"/>
  <c r="V788" i="9" s="1"/>
  <c r="N788" i="9"/>
  <c r="O788" i="9"/>
  <c r="P788" i="9" s="1"/>
  <c r="M788" i="9"/>
  <c r="L788" i="9"/>
  <c r="K788" i="9"/>
  <c r="U784" i="9"/>
  <c r="T784" i="9"/>
  <c r="V784" i="9" s="1"/>
  <c r="N784" i="9"/>
  <c r="L784" i="9"/>
  <c r="O784" i="9"/>
  <c r="P784" i="9" s="1"/>
  <c r="M784" i="9"/>
  <c r="K784" i="9"/>
  <c r="U780" i="9"/>
  <c r="T780" i="9"/>
  <c r="V780" i="9" s="1"/>
  <c r="N780" i="9"/>
  <c r="O780" i="9"/>
  <c r="P780" i="9" s="1"/>
  <c r="M780" i="9"/>
  <c r="L780" i="9"/>
  <c r="K780" i="9"/>
  <c r="U776" i="9"/>
  <c r="T776" i="9"/>
  <c r="V776" i="9" s="1"/>
  <c r="N776" i="9"/>
  <c r="O776" i="9"/>
  <c r="P776" i="9" s="1"/>
  <c r="M776" i="9"/>
  <c r="L776" i="9"/>
  <c r="K776" i="9"/>
  <c r="U772" i="9"/>
  <c r="T772" i="9"/>
  <c r="V772" i="9" s="1"/>
  <c r="N772" i="9"/>
  <c r="O772" i="9"/>
  <c r="P772" i="9" s="1"/>
  <c r="K772" i="9"/>
  <c r="M772" i="9"/>
  <c r="L772" i="9"/>
  <c r="U768" i="9"/>
  <c r="T768" i="9"/>
  <c r="V768" i="9" s="1"/>
  <c r="N768" i="9"/>
  <c r="O768" i="9"/>
  <c r="P768" i="9" s="1"/>
  <c r="L768" i="9"/>
  <c r="M768" i="9"/>
  <c r="K768" i="9"/>
  <c r="U764" i="9"/>
  <c r="T764" i="9"/>
  <c r="V764" i="9" s="1"/>
  <c r="N764" i="9"/>
  <c r="O764" i="9"/>
  <c r="P764" i="9" s="1"/>
  <c r="M764" i="9"/>
  <c r="K764" i="9"/>
  <c r="L764" i="9"/>
  <c r="U760" i="9"/>
  <c r="T760" i="9"/>
  <c r="V760" i="9" s="1"/>
  <c r="N760" i="9"/>
  <c r="O760" i="9"/>
  <c r="P760" i="9" s="1"/>
  <c r="M760" i="9"/>
  <c r="L760" i="9"/>
  <c r="K760" i="9"/>
  <c r="U756" i="9"/>
  <c r="T756" i="9"/>
  <c r="V756" i="9" s="1"/>
  <c r="N756" i="9"/>
  <c r="O756" i="9"/>
  <c r="P756" i="9" s="1"/>
  <c r="L756" i="9"/>
  <c r="K756" i="9"/>
  <c r="M756" i="9"/>
  <c r="U752" i="9"/>
  <c r="T752" i="9"/>
  <c r="V752" i="9" s="1"/>
  <c r="N752" i="9"/>
  <c r="O752" i="9"/>
  <c r="P752" i="9" s="1"/>
  <c r="L752" i="9"/>
  <c r="M752" i="9"/>
  <c r="K752" i="9"/>
  <c r="U748" i="9"/>
  <c r="T748" i="9"/>
  <c r="V748" i="9" s="1"/>
  <c r="N748" i="9"/>
  <c r="O748" i="9"/>
  <c r="P748" i="9" s="1"/>
  <c r="L748" i="9"/>
  <c r="M748" i="9"/>
  <c r="K748" i="9"/>
  <c r="U744" i="9"/>
  <c r="T744" i="9"/>
  <c r="V744" i="9" s="1"/>
  <c r="N744" i="9"/>
  <c r="O744" i="9"/>
  <c r="P744" i="9" s="1"/>
  <c r="M744" i="9"/>
  <c r="L744" i="9"/>
  <c r="K744" i="9"/>
  <c r="U740" i="9"/>
  <c r="T740" i="9"/>
  <c r="V740" i="9" s="1"/>
  <c r="N740" i="9"/>
  <c r="O740" i="9"/>
  <c r="P740" i="9" s="1"/>
  <c r="L740" i="9"/>
  <c r="M740" i="9"/>
  <c r="K740" i="9"/>
  <c r="U736" i="9"/>
  <c r="T736" i="9"/>
  <c r="V736" i="9" s="1"/>
  <c r="N736" i="9"/>
  <c r="O736" i="9"/>
  <c r="P736" i="9" s="1"/>
  <c r="L736" i="9"/>
  <c r="M736" i="9"/>
  <c r="K736" i="9"/>
  <c r="T732" i="9"/>
  <c r="V732" i="9" s="1"/>
  <c r="N732" i="9"/>
  <c r="U732" i="9"/>
  <c r="O732" i="9"/>
  <c r="P732" i="9" s="1"/>
  <c r="L732" i="9"/>
  <c r="M732" i="9"/>
  <c r="K732" i="9"/>
  <c r="U728" i="9"/>
  <c r="T728" i="9"/>
  <c r="V728" i="9" s="1"/>
  <c r="N728" i="9"/>
  <c r="O728" i="9"/>
  <c r="P728" i="9" s="1"/>
  <c r="M728" i="9"/>
  <c r="K728" i="9"/>
  <c r="L728" i="9"/>
  <c r="U724" i="9"/>
  <c r="T724" i="9"/>
  <c r="V724" i="9" s="1"/>
  <c r="N724" i="9"/>
  <c r="O724" i="9"/>
  <c r="P724" i="9" s="1"/>
  <c r="L724" i="9"/>
  <c r="M724" i="9"/>
  <c r="K724" i="9"/>
  <c r="U720" i="9"/>
  <c r="T720" i="9"/>
  <c r="V720" i="9" s="1"/>
  <c r="N720" i="9"/>
  <c r="O720" i="9"/>
  <c r="P720" i="9" s="1"/>
  <c r="L720" i="9"/>
  <c r="M720" i="9"/>
  <c r="K720" i="9"/>
  <c r="T716" i="9"/>
  <c r="V716" i="9" s="1"/>
  <c r="U716" i="9"/>
  <c r="N716" i="9"/>
  <c r="O716" i="9"/>
  <c r="P716" i="9" s="1"/>
  <c r="L716" i="9"/>
  <c r="M716" i="9"/>
  <c r="K716" i="9"/>
  <c r="U712" i="9"/>
  <c r="T712" i="9"/>
  <c r="V712" i="9" s="1"/>
  <c r="N712" i="9"/>
  <c r="O712" i="9"/>
  <c r="P712" i="9" s="1"/>
  <c r="M712" i="9"/>
  <c r="L712" i="9"/>
  <c r="K712" i="9"/>
  <c r="U708" i="9"/>
  <c r="T708" i="9"/>
  <c r="V708" i="9" s="1"/>
  <c r="N708" i="9"/>
  <c r="O708" i="9"/>
  <c r="P708" i="9" s="1"/>
  <c r="L708" i="9"/>
  <c r="K708" i="9"/>
  <c r="M708" i="9"/>
  <c r="U704" i="9"/>
  <c r="T704" i="9"/>
  <c r="V704" i="9" s="1"/>
  <c r="N704" i="9"/>
  <c r="O704" i="9"/>
  <c r="P704" i="9" s="1"/>
  <c r="L704" i="9"/>
  <c r="M704" i="9"/>
  <c r="K704" i="9"/>
  <c r="T700" i="9"/>
  <c r="V700" i="9" s="1"/>
  <c r="N700" i="9"/>
  <c r="O700" i="9"/>
  <c r="P700" i="9" s="1"/>
  <c r="U700" i="9"/>
  <c r="L700" i="9"/>
  <c r="M700" i="9"/>
  <c r="K700" i="9"/>
  <c r="U696" i="9"/>
  <c r="T696" i="9"/>
  <c r="V696" i="9" s="1"/>
  <c r="N696" i="9"/>
  <c r="O696" i="9"/>
  <c r="P696" i="9" s="1"/>
  <c r="M696" i="9"/>
  <c r="L696" i="9"/>
  <c r="K696" i="9"/>
  <c r="U692" i="9"/>
  <c r="T692" i="9"/>
  <c r="V692" i="9" s="1"/>
  <c r="N692" i="9"/>
  <c r="O692" i="9"/>
  <c r="P692" i="9" s="1"/>
  <c r="L692" i="9"/>
  <c r="K692" i="9"/>
  <c r="M692" i="9"/>
  <c r="U688" i="9"/>
  <c r="T688" i="9"/>
  <c r="V688" i="9" s="1"/>
  <c r="N688" i="9"/>
  <c r="L688" i="9"/>
  <c r="M688" i="9"/>
  <c r="O688" i="9"/>
  <c r="P688" i="9" s="1"/>
  <c r="K688" i="9"/>
  <c r="T684" i="9"/>
  <c r="V684" i="9" s="1"/>
  <c r="U684" i="9"/>
  <c r="N684" i="9"/>
  <c r="O684" i="9"/>
  <c r="P684" i="9" s="1"/>
  <c r="L684" i="9"/>
  <c r="M684" i="9"/>
  <c r="K684" i="9"/>
  <c r="U680" i="9"/>
  <c r="T680" i="9"/>
  <c r="V680" i="9" s="1"/>
  <c r="N680" i="9"/>
  <c r="O680" i="9"/>
  <c r="P680" i="9" s="1"/>
  <c r="M680" i="9"/>
  <c r="L680" i="9"/>
  <c r="K680" i="9"/>
  <c r="U676" i="9"/>
  <c r="T676" i="9"/>
  <c r="V676" i="9" s="1"/>
  <c r="N676" i="9"/>
  <c r="O676" i="9"/>
  <c r="P676" i="9" s="1"/>
  <c r="L676" i="9"/>
  <c r="M676" i="9"/>
  <c r="K676" i="9"/>
  <c r="U672" i="9"/>
  <c r="T672" i="9"/>
  <c r="V672" i="9" s="1"/>
  <c r="N672" i="9"/>
  <c r="O672" i="9"/>
  <c r="P672" i="9" s="1"/>
  <c r="L672" i="9"/>
  <c r="M672" i="9"/>
  <c r="K672" i="9"/>
  <c r="T668" i="9"/>
  <c r="V668" i="9" s="1"/>
  <c r="N668" i="9"/>
  <c r="U668" i="9"/>
  <c r="O668" i="9"/>
  <c r="P668" i="9" s="1"/>
  <c r="L668" i="9"/>
  <c r="M668" i="9"/>
  <c r="K668" i="9"/>
  <c r="U664" i="9"/>
  <c r="T664" i="9"/>
  <c r="V664" i="9" s="1"/>
  <c r="N664" i="9"/>
  <c r="O664" i="9"/>
  <c r="P664" i="9" s="1"/>
  <c r="M664" i="9"/>
  <c r="L664" i="9"/>
  <c r="K664" i="9"/>
  <c r="U660" i="9"/>
  <c r="T660" i="9"/>
  <c r="V660" i="9" s="1"/>
  <c r="O660" i="9"/>
  <c r="P660" i="9" s="1"/>
  <c r="N660" i="9"/>
  <c r="L660" i="9"/>
  <c r="M660" i="9"/>
  <c r="K660" i="9"/>
  <c r="U656" i="9"/>
  <c r="T656" i="9"/>
  <c r="V656" i="9" s="1"/>
  <c r="N656" i="9"/>
  <c r="L656" i="9"/>
  <c r="O656" i="9"/>
  <c r="P656" i="9" s="1"/>
  <c r="M656" i="9"/>
  <c r="K656" i="9"/>
  <c r="T652" i="9"/>
  <c r="V652" i="9" s="1"/>
  <c r="U652" i="9"/>
  <c r="O652" i="9"/>
  <c r="P652" i="9" s="1"/>
  <c r="N652" i="9"/>
  <c r="L652" i="9"/>
  <c r="M652" i="9"/>
  <c r="K652" i="9"/>
  <c r="U648" i="9"/>
  <c r="T648" i="9"/>
  <c r="V648" i="9" s="1"/>
  <c r="N648" i="9"/>
  <c r="O648" i="9"/>
  <c r="P648" i="9" s="1"/>
  <c r="M648" i="9"/>
  <c r="L648" i="9"/>
  <c r="K648" i="9"/>
  <c r="U644" i="9"/>
  <c r="T644" i="9"/>
  <c r="V644" i="9" s="1"/>
  <c r="O644" i="9"/>
  <c r="P644" i="9" s="1"/>
  <c r="N644" i="9"/>
  <c r="L644" i="9"/>
  <c r="K644" i="9"/>
  <c r="M644" i="9"/>
  <c r="U640" i="9"/>
  <c r="T640" i="9"/>
  <c r="V640" i="9" s="1"/>
  <c r="N640" i="9"/>
  <c r="O640" i="9"/>
  <c r="P640" i="9" s="1"/>
  <c r="L640" i="9"/>
  <c r="M640" i="9"/>
  <c r="K640" i="9"/>
  <c r="T636" i="9"/>
  <c r="V636" i="9" s="1"/>
  <c r="O636" i="9"/>
  <c r="P636" i="9" s="1"/>
  <c r="U636" i="9"/>
  <c r="N636" i="9"/>
  <c r="L636" i="9"/>
  <c r="M636" i="9"/>
  <c r="K636" i="9"/>
  <c r="U632" i="9"/>
  <c r="T632" i="9"/>
  <c r="V632" i="9" s="1"/>
  <c r="N632" i="9"/>
  <c r="O632" i="9"/>
  <c r="P632" i="9" s="1"/>
  <c r="M632" i="9"/>
  <c r="L632" i="9"/>
  <c r="K632" i="9"/>
  <c r="U628" i="9"/>
  <c r="T628" i="9"/>
  <c r="V628" i="9" s="1"/>
  <c r="O628" i="9"/>
  <c r="P628" i="9" s="1"/>
  <c r="L628" i="9"/>
  <c r="N628" i="9"/>
  <c r="K628" i="9"/>
  <c r="M628" i="9"/>
  <c r="U624" i="9"/>
  <c r="T624" i="9"/>
  <c r="V624" i="9" s="1"/>
  <c r="N624" i="9"/>
  <c r="O624" i="9"/>
  <c r="P624" i="9" s="1"/>
  <c r="L624" i="9"/>
  <c r="M624" i="9"/>
  <c r="K624" i="9"/>
  <c r="T620" i="9"/>
  <c r="V620" i="9" s="1"/>
  <c r="U620" i="9"/>
  <c r="O620" i="9"/>
  <c r="P620" i="9" s="1"/>
  <c r="N620" i="9"/>
  <c r="L620" i="9"/>
  <c r="M620" i="9"/>
  <c r="K620" i="9"/>
  <c r="U616" i="9"/>
  <c r="T616" i="9"/>
  <c r="V616" i="9" s="1"/>
  <c r="N616" i="9"/>
  <c r="O616" i="9"/>
  <c r="P616" i="9" s="1"/>
  <c r="M616" i="9"/>
  <c r="L616" i="9"/>
  <c r="K616" i="9"/>
  <c r="U612" i="9"/>
  <c r="T612" i="9"/>
  <c r="V612" i="9" s="1"/>
  <c r="O612" i="9"/>
  <c r="P612" i="9" s="1"/>
  <c r="N612" i="9"/>
  <c r="L612" i="9"/>
  <c r="M612" i="9"/>
  <c r="K612" i="9"/>
  <c r="U608" i="9"/>
  <c r="T608" i="9"/>
  <c r="V608" i="9" s="1"/>
  <c r="N608" i="9"/>
  <c r="O608" i="9"/>
  <c r="P608" i="9" s="1"/>
  <c r="L608" i="9"/>
  <c r="M608" i="9"/>
  <c r="K608" i="9"/>
  <c r="T604" i="9"/>
  <c r="V604" i="9" s="1"/>
  <c r="U604" i="9"/>
  <c r="O604" i="9"/>
  <c r="P604" i="9" s="1"/>
  <c r="N604" i="9"/>
  <c r="L604" i="9"/>
  <c r="M604" i="9"/>
  <c r="K604" i="9"/>
  <c r="U600" i="9"/>
  <c r="T600" i="9"/>
  <c r="V600" i="9" s="1"/>
  <c r="N600" i="9"/>
  <c r="O600" i="9"/>
  <c r="P600" i="9" s="1"/>
  <c r="M600" i="9"/>
  <c r="K600" i="9"/>
  <c r="L600" i="9"/>
  <c r="U596" i="9"/>
  <c r="T596" i="9"/>
  <c r="V596" i="9" s="1"/>
  <c r="O596" i="9"/>
  <c r="P596" i="9" s="1"/>
  <c r="N596" i="9"/>
  <c r="L596" i="9"/>
  <c r="M596" i="9"/>
  <c r="K596" i="9"/>
  <c r="U592" i="9"/>
  <c r="T592" i="9"/>
  <c r="V592" i="9" s="1"/>
  <c r="N592" i="9"/>
  <c r="O592" i="9"/>
  <c r="P592" i="9" s="1"/>
  <c r="L592" i="9"/>
  <c r="M592" i="9"/>
  <c r="K592" i="9"/>
  <c r="T588" i="9"/>
  <c r="V588" i="9" s="1"/>
  <c r="U588" i="9"/>
  <c r="O588" i="9"/>
  <c r="P588" i="9" s="1"/>
  <c r="N588" i="9"/>
  <c r="L588" i="9"/>
  <c r="M588" i="9"/>
  <c r="K588" i="9"/>
  <c r="U584" i="9"/>
  <c r="T584" i="9"/>
  <c r="V584" i="9" s="1"/>
  <c r="N584" i="9"/>
  <c r="O584" i="9"/>
  <c r="P584" i="9" s="1"/>
  <c r="M584" i="9"/>
  <c r="L584" i="9"/>
  <c r="K584" i="9"/>
  <c r="U580" i="9"/>
  <c r="T580" i="9"/>
  <c r="V580" i="9" s="1"/>
  <c r="O580" i="9"/>
  <c r="P580" i="9" s="1"/>
  <c r="N580" i="9"/>
  <c r="L580" i="9"/>
  <c r="K580" i="9"/>
  <c r="M580" i="9"/>
  <c r="U576" i="9"/>
  <c r="T576" i="9"/>
  <c r="V576" i="9" s="1"/>
  <c r="N576" i="9"/>
  <c r="O576" i="9"/>
  <c r="P576" i="9" s="1"/>
  <c r="L576" i="9"/>
  <c r="M576" i="9"/>
  <c r="K576" i="9"/>
  <c r="T572" i="9"/>
  <c r="V572" i="9" s="1"/>
  <c r="O572" i="9"/>
  <c r="P572" i="9" s="1"/>
  <c r="N572" i="9"/>
  <c r="L572" i="9"/>
  <c r="U572" i="9"/>
  <c r="M572" i="9"/>
  <c r="K572" i="9"/>
  <c r="U568" i="9"/>
  <c r="T568" i="9"/>
  <c r="V568" i="9" s="1"/>
  <c r="N568" i="9"/>
  <c r="O568" i="9"/>
  <c r="P568" i="9" s="1"/>
  <c r="M568" i="9"/>
  <c r="L568" i="9"/>
  <c r="K568" i="9"/>
  <c r="U564" i="9"/>
  <c r="T564" i="9"/>
  <c r="V564" i="9" s="1"/>
  <c r="O564" i="9"/>
  <c r="P564" i="9" s="1"/>
  <c r="N564" i="9"/>
  <c r="L564" i="9"/>
  <c r="K564" i="9"/>
  <c r="M564" i="9"/>
  <c r="U560" i="9"/>
  <c r="T560" i="9"/>
  <c r="V560" i="9" s="1"/>
  <c r="N560" i="9"/>
  <c r="L560" i="9"/>
  <c r="M560" i="9"/>
  <c r="O560" i="9"/>
  <c r="P560" i="9" s="1"/>
  <c r="K560" i="9"/>
  <c r="T556" i="9"/>
  <c r="V556" i="9" s="1"/>
  <c r="U556" i="9"/>
  <c r="O556" i="9"/>
  <c r="P556" i="9" s="1"/>
  <c r="N556" i="9"/>
  <c r="L556" i="9"/>
  <c r="M556" i="9"/>
  <c r="K556" i="9"/>
  <c r="U552" i="9"/>
  <c r="T552" i="9"/>
  <c r="V552" i="9" s="1"/>
  <c r="N552" i="9"/>
  <c r="O552" i="9"/>
  <c r="P552" i="9" s="1"/>
  <c r="M552" i="9"/>
  <c r="L552" i="9"/>
  <c r="K552" i="9"/>
  <c r="U548" i="9"/>
  <c r="T548" i="9"/>
  <c r="V548" i="9" s="1"/>
  <c r="O548" i="9"/>
  <c r="P548" i="9" s="1"/>
  <c r="N548" i="9"/>
  <c r="L548" i="9"/>
  <c r="M548" i="9"/>
  <c r="K548" i="9"/>
  <c r="U544" i="9"/>
  <c r="T544" i="9"/>
  <c r="V544" i="9" s="1"/>
  <c r="N544" i="9"/>
  <c r="O544" i="9"/>
  <c r="P544" i="9" s="1"/>
  <c r="L544" i="9"/>
  <c r="M544" i="9"/>
  <c r="K544" i="9"/>
  <c r="T540" i="9"/>
  <c r="V540" i="9" s="1"/>
  <c r="U540" i="9"/>
  <c r="O540" i="9"/>
  <c r="P540" i="9" s="1"/>
  <c r="N540" i="9"/>
  <c r="L540" i="9"/>
  <c r="M540" i="9"/>
  <c r="K540" i="9"/>
  <c r="U536" i="9"/>
  <c r="T536" i="9"/>
  <c r="V536" i="9" s="1"/>
  <c r="N536" i="9"/>
  <c r="O536" i="9"/>
  <c r="P536" i="9" s="1"/>
  <c r="M536" i="9"/>
  <c r="K536" i="9"/>
  <c r="L536" i="9"/>
  <c r="U532" i="9"/>
  <c r="T532" i="9"/>
  <c r="V532" i="9" s="1"/>
  <c r="O532" i="9"/>
  <c r="P532" i="9" s="1"/>
  <c r="N532" i="9"/>
  <c r="L532" i="9"/>
  <c r="M532" i="9"/>
  <c r="K532" i="9"/>
  <c r="U528" i="9"/>
  <c r="T528" i="9"/>
  <c r="V528" i="9" s="1"/>
  <c r="N528" i="9"/>
  <c r="L528" i="9"/>
  <c r="O528" i="9"/>
  <c r="P528" i="9" s="1"/>
  <c r="M528" i="9"/>
  <c r="K528" i="9"/>
  <c r="T524" i="9"/>
  <c r="V524" i="9" s="1"/>
  <c r="U524" i="9"/>
  <c r="O524" i="9"/>
  <c r="P524" i="9" s="1"/>
  <c r="N524" i="9"/>
  <c r="L524" i="9"/>
  <c r="M524" i="9"/>
  <c r="K524" i="9"/>
  <c r="U520" i="9"/>
  <c r="T520" i="9"/>
  <c r="V520" i="9" s="1"/>
  <c r="N520" i="9"/>
  <c r="O520" i="9"/>
  <c r="P520" i="9" s="1"/>
  <c r="M520" i="9"/>
  <c r="L520" i="9"/>
  <c r="K520" i="9"/>
  <c r="U516" i="9"/>
  <c r="T516" i="9"/>
  <c r="V516" i="9" s="1"/>
  <c r="O516" i="9"/>
  <c r="P516" i="9" s="1"/>
  <c r="N516" i="9"/>
  <c r="L516" i="9"/>
  <c r="K516" i="9"/>
  <c r="M516" i="9"/>
  <c r="U512" i="9"/>
  <c r="T512" i="9"/>
  <c r="V512" i="9" s="1"/>
  <c r="N512" i="9"/>
  <c r="O512" i="9"/>
  <c r="P512" i="9" s="1"/>
  <c r="L512" i="9"/>
  <c r="M512" i="9"/>
  <c r="K512" i="9"/>
  <c r="T508" i="9"/>
  <c r="V508" i="9" s="1"/>
  <c r="O508" i="9"/>
  <c r="P508" i="9" s="1"/>
  <c r="N508" i="9"/>
  <c r="U508" i="9"/>
  <c r="L508" i="9"/>
  <c r="M508" i="9"/>
  <c r="K508" i="9"/>
  <c r="U504" i="9"/>
  <c r="T504" i="9"/>
  <c r="V504" i="9" s="1"/>
  <c r="N504" i="9"/>
  <c r="O504" i="9"/>
  <c r="P504" i="9" s="1"/>
  <c r="M504" i="9"/>
  <c r="L504" i="9"/>
  <c r="K504" i="9"/>
  <c r="U500" i="9"/>
  <c r="T500" i="9"/>
  <c r="V500" i="9" s="1"/>
  <c r="O500" i="9"/>
  <c r="P500" i="9" s="1"/>
  <c r="L500" i="9"/>
  <c r="K500" i="9"/>
  <c r="M500" i="9"/>
  <c r="N500" i="9"/>
  <c r="U496" i="9"/>
  <c r="T496" i="9"/>
  <c r="V496" i="9" s="1"/>
  <c r="N496" i="9"/>
  <c r="O496" i="9"/>
  <c r="P496" i="9" s="1"/>
  <c r="L496" i="9"/>
  <c r="M496" i="9"/>
  <c r="K496" i="9"/>
  <c r="T492" i="9"/>
  <c r="V492" i="9" s="1"/>
  <c r="U492" i="9"/>
  <c r="O492" i="9"/>
  <c r="P492" i="9" s="1"/>
  <c r="N492" i="9"/>
  <c r="L492" i="9"/>
  <c r="M492" i="9"/>
  <c r="K492" i="9"/>
  <c r="U488" i="9"/>
  <c r="T488" i="9"/>
  <c r="V488" i="9" s="1"/>
  <c r="N488" i="9"/>
  <c r="O488" i="9"/>
  <c r="P488" i="9" s="1"/>
  <c r="M488" i="9"/>
  <c r="L488" i="9"/>
  <c r="K488" i="9"/>
  <c r="U484" i="9"/>
  <c r="T484" i="9"/>
  <c r="V484" i="9" s="1"/>
  <c r="O484" i="9"/>
  <c r="P484" i="9" s="1"/>
  <c r="N484" i="9"/>
  <c r="L484" i="9"/>
  <c r="M484" i="9"/>
  <c r="K484" i="9"/>
  <c r="U480" i="9"/>
  <c r="T480" i="9"/>
  <c r="V480" i="9" s="1"/>
  <c r="N480" i="9"/>
  <c r="O480" i="9"/>
  <c r="P480" i="9" s="1"/>
  <c r="L480" i="9"/>
  <c r="M480" i="9"/>
  <c r="K480" i="9"/>
  <c r="T476" i="9"/>
  <c r="V476" i="9" s="1"/>
  <c r="U476" i="9"/>
  <c r="O476" i="9"/>
  <c r="P476" i="9" s="1"/>
  <c r="N476" i="9"/>
  <c r="L476" i="9"/>
  <c r="M476" i="9"/>
  <c r="K476" i="9"/>
  <c r="U472" i="9"/>
  <c r="T472" i="9"/>
  <c r="V472" i="9" s="1"/>
  <c r="N472" i="9"/>
  <c r="O472" i="9"/>
  <c r="P472" i="9" s="1"/>
  <c r="M472" i="9"/>
  <c r="K472" i="9"/>
  <c r="L472" i="9"/>
  <c r="U468" i="9"/>
  <c r="T468" i="9"/>
  <c r="V468" i="9" s="1"/>
  <c r="O468" i="9"/>
  <c r="P468" i="9" s="1"/>
  <c r="N468" i="9"/>
  <c r="L468" i="9"/>
  <c r="M468" i="9"/>
  <c r="K468" i="9"/>
  <c r="U464" i="9"/>
  <c r="T464" i="9"/>
  <c r="V464" i="9" s="1"/>
  <c r="N464" i="9"/>
  <c r="O464" i="9"/>
  <c r="P464" i="9" s="1"/>
  <c r="L464" i="9"/>
  <c r="M464" i="9"/>
  <c r="K464" i="9"/>
  <c r="T460" i="9"/>
  <c r="V460" i="9" s="1"/>
  <c r="U460" i="9"/>
  <c r="O460" i="9"/>
  <c r="P460" i="9" s="1"/>
  <c r="N460" i="9"/>
  <c r="L460" i="9"/>
  <c r="M460" i="9"/>
  <c r="K460" i="9"/>
  <c r="U456" i="9"/>
  <c r="T456" i="9"/>
  <c r="V456" i="9" s="1"/>
  <c r="N456" i="9"/>
  <c r="O456" i="9"/>
  <c r="P456" i="9" s="1"/>
  <c r="M456" i="9"/>
  <c r="L456" i="9"/>
  <c r="K456" i="9"/>
  <c r="U452" i="9"/>
  <c r="T452" i="9"/>
  <c r="V452" i="9" s="1"/>
  <c r="O452" i="9"/>
  <c r="P452" i="9" s="1"/>
  <c r="N452" i="9"/>
  <c r="L452" i="9"/>
  <c r="K452" i="9"/>
  <c r="M452" i="9"/>
  <c r="U448" i="9"/>
  <c r="T448" i="9"/>
  <c r="V448" i="9" s="1"/>
  <c r="N448" i="9"/>
  <c r="O448" i="9"/>
  <c r="P448" i="9" s="1"/>
  <c r="L448" i="9"/>
  <c r="M448" i="9"/>
  <c r="K448" i="9"/>
  <c r="T444" i="9"/>
  <c r="V444" i="9" s="1"/>
  <c r="O444" i="9"/>
  <c r="P444" i="9" s="1"/>
  <c r="N444" i="9"/>
  <c r="U444" i="9"/>
  <c r="L444" i="9"/>
  <c r="M444" i="9"/>
  <c r="K444" i="9"/>
  <c r="U440" i="9"/>
  <c r="T440" i="9"/>
  <c r="V440" i="9" s="1"/>
  <c r="N440" i="9"/>
  <c r="O440" i="9"/>
  <c r="P440" i="9" s="1"/>
  <c r="M440" i="9"/>
  <c r="L440" i="9"/>
  <c r="K440" i="9"/>
  <c r="U436" i="9"/>
  <c r="T436" i="9"/>
  <c r="V436" i="9" s="1"/>
  <c r="O436" i="9"/>
  <c r="P436" i="9" s="1"/>
  <c r="N436" i="9"/>
  <c r="L436" i="9"/>
  <c r="K436" i="9"/>
  <c r="M436" i="9"/>
  <c r="U432" i="9"/>
  <c r="T432" i="9"/>
  <c r="V432" i="9" s="1"/>
  <c r="N432" i="9"/>
  <c r="L432" i="9"/>
  <c r="M432" i="9"/>
  <c r="K432" i="9"/>
  <c r="O432" i="9"/>
  <c r="P432" i="9" s="1"/>
  <c r="T428" i="9"/>
  <c r="V428" i="9" s="1"/>
  <c r="U428" i="9"/>
  <c r="O428" i="9"/>
  <c r="P428" i="9" s="1"/>
  <c r="N428" i="9"/>
  <c r="L428" i="9"/>
  <c r="M428" i="9"/>
  <c r="K428" i="9"/>
  <c r="U424" i="9"/>
  <c r="T424" i="9"/>
  <c r="V424" i="9" s="1"/>
  <c r="N424" i="9"/>
  <c r="O424" i="9"/>
  <c r="P424" i="9" s="1"/>
  <c r="M424" i="9"/>
  <c r="L424" i="9"/>
  <c r="K424" i="9"/>
  <c r="U420" i="9"/>
  <c r="T420" i="9"/>
  <c r="V420" i="9" s="1"/>
  <c r="O420" i="9"/>
  <c r="P420" i="9" s="1"/>
  <c r="N420" i="9"/>
  <c r="L420" i="9"/>
  <c r="M420" i="9"/>
  <c r="K420" i="9"/>
  <c r="U416" i="9"/>
  <c r="T416" i="9"/>
  <c r="V416" i="9" s="1"/>
  <c r="N416" i="9"/>
  <c r="O416" i="9"/>
  <c r="P416" i="9" s="1"/>
  <c r="L416" i="9"/>
  <c r="M416" i="9"/>
  <c r="K416" i="9"/>
  <c r="T412" i="9"/>
  <c r="V412" i="9" s="1"/>
  <c r="U412" i="9"/>
  <c r="O412" i="9"/>
  <c r="P412" i="9" s="1"/>
  <c r="N412" i="9"/>
  <c r="L412" i="9"/>
  <c r="M412" i="9"/>
  <c r="K412" i="9"/>
  <c r="U408" i="9"/>
  <c r="T408" i="9"/>
  <c r="V408" i="9" s="1"/>
  <c r="N408" i="9"/>
  <c r="O408" i="9"/>
  <c r="P408" i="9" s="1"/>
  <c r="M408" i="9"/>
  <c r="L408" i="9"/>
  <c r="K408" i="9"/>
  <c r="U404" i="9"/>
  <c r="T404" i="9"/>
  <c r="V404" i="9" s="1"/>
  <c r="O404" i="9"/>
  <c r="P404" i="9" s="1"/>
  <c r="N404" i="9"/>
  <c r="L404" i="9"/>
  <c r="M404" i="9"/>
  <c r="K404" i="9"/>
  <c r="U400" i="9"/>
  <c r="T400" i="9"/>
  <c r="V400" i="9" s="1"/>
  <c r="N400" i="9"/>
  <c r="L400" i="9"/>
  <c r="O400" i="9"/>
  <c r="P400" i="9" s="1"/>
  <c r="M400" i="9"/>
  <c r="K400" i="9"/>
  <c r="T396" i="9"/>
  <c r="V396" i="9" s="1"/>
  <c r="U396" i="9"/>
  <c r="O396" i="9"/>
  <c r="P396" i="9" s="1"/>
  <c r="N396" i="9"/>
  <c r="L396" i="9"/>
  <c r="M396" i="9"/>
  <c r="K396" i="9"/>
  <c r="U392" i="9"/>
  <c r="T392" i="9"/>
  <c r="V392" i="9" s="1"/>
  <c r="N392" i="9"/>
  <c r="O392" i="9"/>
  <c r="P392" i="9" s="1"/>
  <c r="M392" i="9"/>
  <c r="L392" i="9"/>
  <c r="K392" i="9"/>
  <c r="U388" i="9"/>
  <c r="T388" i="9"/>
  <c r="V388" i="9" s="1"/>
  <c r="O388" i="9"/>
  <c r="P388" i="9" s="1"/>
  <c r="N388" i="9"/>
  <c r="L388" i="9"/>
  <c r="K388" i="9"/>
  <c r="M388" i="9"/>
  <c r="U384" i="9"/>
  <c r="T384" i="9"/>
  <c r="V384" i="9" s="1"/>
  <c r="N384" i="9"/>
  <c r="O384" i="9"/>
  <c r="P384" i="9" s="1"/>
  <c r="L384" i="9"/>
  <c r="M384" i="9"/>
  <c r="K384" i="9"/>
  <c r="T380" i="9"/>
  <c r="V380" i="9" s="1"/>
  <c r="O380" i="9"/>
  <c r="P380" i="9" s="1"/>
  <c r="U380" i="9"/>
  <c r="N380" i="9"/>
  <c r="L380" i="9"/>
  <c r="M380" i="9"/>
  <c r="K380" i="9"/>
  <c r="U376" i="9"/>
  <c r="T376" i="9"/>
  <c r="V376" i="9" s="1"/>
  <c r="N376" i="9"/>
  <c r="O376" i="9"/>
  <c r="P376" i="9" s="1"/>
  <c r="M376" i="9"/>
  <c r="L376" i="9"/>
  <c r="K376" i="9"/>
  <c r="U372" i="9"/>
  <c r="T372" i="9"/>
  <c r="V372" i="9" s="1"/>
  <c r="O372" i="9"/>
  <c r="P372" i="9" s="1"/>
  <c r="L372" i="9"/>
  <c r="K372" i="9"/>
  <c r="N372" i="9"/>
  <c r="M372" i="9"/>
  <c r="U368" i="9"/>
  <c r="T368" i="9"/>
  <c r="V368" i="9" s="1"/>
  <c r="N368" i="9"/>
  <c r="O368" i="9"/>
  <c r="P368" i="9" s="1"/>
  <c r="L368" i="9"/>
  <c r="M368" i="9"/>
  <c r="K368" i="9"/>
  <c r="T364" i="9"/>
  <c r="V364" i="9" s="1"/>
  <c r="U364" i="9"/>
  <c r="O364" i="9"/>
  <c r="P364" i="9" s="1"/>
  <c r="N364" i="9"/>
  <c r="L364" i="9"/>
  <c r="M364" i="9"/>
  <c r="K364" i="9"/>
  <c r="U360" i="9"/>
  <c r="T360" i="9"/>
  <c r="V360" i="9" s="1"/>
  <c r="N360" i="9"/>
  <c r="O360" i="9"/>
  <c r="P360" i="9" s="1"/>
  <c r="M360" i="9"/>
  <c r="L360" i="9"/>
  <c r="K360" i="9"/>
  <c r="U356" i="9"/>
  <c r="T356" i="9"/>
  <c r="V356" i="9" s="1"/>
  <c r="O356" i="9"/>
  <c r="P356" i="9" s="1"/>
  <c r="N356" i="9"/>
  <c r="L356" i="9"/>
  <c r="M356" i="9"/>
  <c r="K356" i="9"/>
  <c r="U352" i="9"/>
  <c r="T352" i="9"/>
  <c r="V352" i="9" s="1"/>
  <c r="N352" i="9"/>
  <c r="O352" i="9"/>
  <c r="P352" i="9" s="1"/>
  <c r="L352" i="9"/>
  <c r="M352" i="9"/>
  <c r="K352" i="9"/>
  <c r="T348" i="9"/>
  <c r="V348" i="9" s="1"/>
  <c r="U348" i="9"/>
  <c r="O348" i="9"/>
  <c r="P348" i="9" s="1"/>
  <c r="N348" i="9"/>
  <c r="L348" i="9"/>
  <c r="M348" i="9"/>
  <c r="K348" i="9"/>
  <c r="U344" i="9"/>
  <c r="T344" i="9"/>
  <c r="V344" i="9" s="1"/>
  <c r="N344" i="9"/>
  <c r="O344" i="9"/>
  <c r="P344" i="9" s="1"/>
  <c r="M344" i="9"/>
  <c r="K344" i="9"/>
  <c r="L344" i="9"/>
  <c r="U340" i="9"/>
  <c r="T340" i="9"/>
  <c r="V340" i="9" s="1"/>
  <c r="O340" i="9"/>
  <c r="P340" i="9" s="1"/>
  <c r="N340" i="9"/>
  <c r="L340" i="9"/>
  <c r="M340" i="9"/>
  <c r="K340" i="9"/>
  <c r="U336" i="9"/>
  <c r="T336" i="9"/>
  <c r="V336" i="9" s="1"/>
  <c r="N336" i="9"/>
  <c r="O336" i="9"/>
  <c r="P336" i="9" s="1"/>
  <c r="L336" i="9"/>
  <c r="M336" i="9"/>
  <c r="K336" i="9"/>
  <c r="T332" i="9"/>
  <c r="V332" i="9" s="1"/>
  <c r="U332" i="9"/>
  <c r="O332" i="9"/>
  <c r="P332" i="9" s="1"/>
  <c r="N332" i="9"/>
  <c r="L332" i="9"/>
  <c r="M332" i="9"/>
  <c r="K332" i="9"/>
  <c r="U328" i="9"/>
  <c r="T328" i="9"/>
  <c r="V328" i="9" s="1"/>
  <c r="N328" i="9"/>
  <c r="O328" i="9"/>
  <c r="P328" i="9" s="1"/>
  <c r="M328" i="9"/>
  <c r="L328" i="9"/>
  <c r="K328" i="9"/>
  <c r="U324" i="9"/>
  <c r="T324" i="9"/>
  <c r="V324" i="9" s="1"/>
  <c r="O324" i="9"/>
  <c r="P324" i="9" s="1"/>
  <c r="N324" i="9"/>
  <c r="L324" i="9"/>
  <c r="K324" i="9"/>
  <c r="M324" i="9"/>
  <c r="U320" i="9"/>
  <c r="T320" i="9"/>
  <c r="V320" i="9" s="1"/>
  <c r="N320" i="9"/>
  <c r="O320" i="9"/>
  <c r="P320" i="9" s="1"/>
  <c r="L320" i="9"/>
  <c r="M320" i="9"/>
  <c r="K320" i="9"/>
  <c r="T316" i="9"/>
  <c r="V316" i="9" s="1"/>
  <c r="O316" i="9"/>
  <c r="P316" i="9" s="1"/>
  <c r="N316" i="9"/>
  <c r="U316" i="9"/>
  <c r="L316" i="9"/>
  <c r="M316" i="9"/>
  <c r="K316" i="9"/>
  <c r="U312" i="9"/>
  <c r="T312" i="9"/>
  <c r="V312" i="9" s="1"/>
  <c r="N312" i="9"/>
  <c r="O312" i="9"/>
  <c r="P312" i="9" s="1"/>
  <c r="M312" i="9"/>
  <c r="L312" i="9"/>
  <c r="K312" i="9"/>
  <c r="U308" i="9"/>
  <c r="T308" i="9"/>
  <c r="V308" i="9" s="1"/>
  <c r="O308" i="9"/>
  <c r="P308" i="9" s="1"/>
  <c r="N308" i="9"/>
  <c r="L308" i="9"/>
  <c r="K308" i="9"/>
  <c r="M308" i="9"/>
  <c r="U304" i="9"/>
  <c r="T304" i="9"/>
  <c r="V304" i="9" s="1"/>
  <c r="N304" i="9"/>
  <c r="L304" i="9"/>
  <c r="M304" i="9"/>
  <c r="O304" i="9"/>
  <c r="P304" i="9" s="1"/>
  <c r="K304" i="9"/>
  <c r="T300" i="9"/>
  <c r="V300" i="9" s="1"/>
  <c r="U300" i="9"/>
  <c r="O300" i="9"/>
  <c r="P300" i="9" s="1"/>
  <c r="N300" i="9"/>
  <c r="L300" i="9"/>
  <c r="M300" i="9"/>
  <c r="K300" i="9"/>
  <c r="U296" i="9"/>
  <c r="T296" i="9"/>
  <c r="V296" i="9" s="1"/>
  <c r="N296" i="9"/>
  <c r="O296" i="9"/>
  <c r="P296" i="9" s="1"/>
  <c r="M296" i="9"/>
  <c r="L296" i="9"/>
  <c r="K296" i="9"/>
  <c r="U292" i="9"/>
  <c r="T292" i="9"/>
  <c r="V292" i="9" s="1"/>
  <c r="O292" i="9"/>
  <c r="P292" i="9" s="1"/>
  <c r="N292" i="9"/>
  <c r="L292" i="9"/>
  <c r="M292" i="9"/>
  <c r="K292" i="9"/>
  <c r="U288" i="9"/>
  <c r="T288" i="9"/>
  <c r="V288" i="9" s="1"/>
  <c r="N288" i="9"/>
  <c r="O288" i="9"/>
  <c r="P288" i="9" s="1"/>
  <c r="L288" i="9"/>
  <c r="M288" i="9"/>
  <c r="K288" i="9"/>
  <c r="T284" i="9"/>
  <c r="V284" i="9" s="1"/>
  <c r="U284" i="9"/>
  <c r="O284" i="9"/>
  <c r="P284" i="9" s="1"/>
  <c r="N284" i="9"/>
  <c r="L284" i="9"/>
  <c r="M284" i="9"/>
  <c r="K284" i="9"/>
  <c r="U280" i="9"/>
  <c r="T280" i="9"/>
  <c r="V280" i="9" s="1"/>
  <c r="N280" i="9"/>
  <c r="O280" i="9"/>
  <c r="P280" i="9" s="1"/>
  <c r="M280" i="9"/>
  <c r="K280" i="9"/>
  <c r="L280" i="9"/>
  <c r="T276" i="9"/>
  <c r="V276" i="9" s="1"/>
  <c r="U276" i="9"/>
  <c r="O276" i="9"/>
  <c r="P276" i="9" s="1"/>
  <c r="N276" i="9"/>
  <c r="L276" i="9"/>
  <c r="M276" i="9"/>
  <c r="K276" i="9"/>
  <c r="U272" i="9"/>
  <c r="T272" i="9"/>
  <c r="V272" i="9" s="1"/>
  <c r="N272" i="9"/>
  <c r="L272" i="9"/>
  <c r="O272" i="9"/>
  <c r="P272" i="9" s="1"/>
  <c r="M272" i="9"/>
  <c r="K272" i="9"/>
  <c r="T268" i="9"/>
  <c r="V268" i="9" s="1"/>
  <c r="U268" i="9"/>
  <c r="O268" i="9"/>
  <c r="P268" i="9" s="1"/>
  <c r="N268" i="9"/>
  <c r="L268" i="9"/>
  <c r="M268" i="9"/>
  <c r="K268" i="9"/>
  <c r="U264" i="9"/>
  <c r="T264" i="9"/>
  <c r="V264" i="9" s="1"/>
  <c r="N264" i="9"/>
  <c r="O264" i="9"/>
  <c r="P264" i="9" s="1"/>
  <c r="M264" i="9"/>
  <c r="L264" i="9"/>
  <c r="K264" i="9"/>
  <c r="T260" i="9"/>
  <c r="V260" i="9" s="1"/>
  <c r="U260" i="9"/>
  <c r="O260" i="9"/>
  <c r="P260" i="9" s="1"/>
  <c r="N260" i="9"/>
  <c r="L260" i="9"/>
  <c r="K260" i="9"/>
  <c r="M260" i="9"/>
  <c r="U256" i="9"/>
  <c r="T256" i="9"/>
  <c r="V256" i="9" s="1"/>
  <c r="N256" i="9"/>
  <c r="O256" i="9"/>
  <c r="P256" i="9" s="1"/>
  <c r="L256" i="9"/>
  <c r="M256" i="9"/>
  <c r="K256" i="9"/>
  <c r="T252" i="9"/>
  <c r="V252" i="9" s="1"/>
  <c r="O252" i="9"/>
  <c r="P252" i="9" s="1"/>
  <c r="N252" i="9"/>
  <c r="U252" i="9"/>
  <c r="L252" i="9"/>
  <c r="M252" i="9"/>
  <c r="K252" i="9"/>
  <c r="U248" i="9"/>
  <c r="T248" i="9"/>
  <c r="V248" i="9" s="1"/>
  <c r="N248" i="9"/>
  <c r="O248" i="9"/>
  <c r="P248" i="9" s="1"/>
  <c r="M248" i="9"/>
  <c r="L248" i="9"/>
  <c r="K248" i="9"/>
  <c r="T244" i="9"/>
  <c r="V244" i="9" s="1"/>
  <c r="U244" i="9"/>
  <c r="O244" i="9"/>
  <c r="P244" i="9" s="1"/>
  <c r="L244" i="9"/>
  <c r="N244" i="9"/>
  <c r="K244" i="9"/>
  <c r="M244" i="9"/>
  <c r="U240" i="9"/>
  <c r="T240" i="9"/>
  <c r="V240" i="9" s="1"/>
  <c r="N240" i="9"/>
  <c r="O240" i="9"/>
  <c r="P240" i="9" s="1"/>
  <c r="L240" i="9"/>
  <c r="M240" i="9"/>
  <c r="K240" i="9"/>
  <c r="T236" i="9"/>
  <c r="V236" i="9" s="1"/>
  <c r="U236" i="9"/>
  <c r="O236" i="9"/>
  <c r="P236" i="9" s="1"/>
  <c r="N236" i="9"/>
  <c r="L236" i="9"/>
  <c r="M236" i="9"/>
  <c r="K236" i="9"/>
  <c r="U232" i="9"/>
  <c r="T232" i="9"/>
  <c r="V232" i="9" s="1"/>
  <c r="N232" i="9"/>
  <c r="O232" i="9"/>
  <c r="P232" i="9" s="1"/>
  <c r="M232" i="9"/>
  <c r="L232" i="9"/>
  <c r="K232" i="9"/>
  <c r="T228" i="9"/>
  <c r="V228" i="9" s="1"/>
  <c r="U228" i="9"/>
  <c r="O228" i="9"/>
  <c r="P228" i="9" s="1"/>
  <c r="N228" i="9"/>
  <c r="L228" i="9"/>
  <c r="M228" i="9"/>
  <c r="K228" i="9"/>
  <c r="U224" i="9"/>
  <c r="T224" i="9"/>
  <c r="V224" i="9" s="1"/>
  <c r="N224" i="9"/>
  <c r="O224" i="9"/>
  <c r="P224" i="9" s="1"/>
  <c r="L224" i="9"/>
  <c r="M224" i="9"/>
  <c r="K224" i="9"/>
  <c r="T220" i="9"/>
  <c r="V220" i="9" s="1"/>
  <c r="U220" i="9"/>
  <c r="O220" i="9"/>
  <c r="P220" i="9" s="1"/>
  <c r="N220" i="9"/>
  <c r="L220" i="9"/>
  <c r="M220" i="9"/>
  <c r="K220" i="9"/>
  <c r="U216" i="9"/>
  <c r="T216" i="9"/>
  <c r="V216" i="9" s="1"/>
  <c r="N216" i="9"/>
  <c r="O216" i="9"/>
  <c r="P216" i="9" s="1"/>
  <c r="M216" i="9"/>
  <c r="K216" i="9"/>
  <c r="L216" i="9"/>
  <c r="T212" i="9"/>
  <c r="V212" i="9" s="1"/>
  <c r="U212" i="9"/>
  <c r="O212" i="9"/>
  <c r="P212" i="9" s="1"/>
  <c r="N212" i="9"/>
  <c r="L212" i="9"/>
  <c r="M212" i="9"/>
  <c r="K212" i="9"/>
  <c r="U208" i="9"/>
  <c r="T208" i="9"/>
  <c r="V208" i="9" s="1"/>
  <c r="N208" i="9"/>
  <c r="O208" i="9"/>
  <c r="P208" i="9" s="1"/>
  <c r="L208" i="9"/>
  <c r="M208" i="9"/>
  <c r="K208" i="9"/>
  <c r="T204" i="9"/>
  <c r="V204" i="9" s="1"/>
  <c r="U204" i="9"/>
  <c r="O204" i="9"/>
  <c r="P204" i="9" s="1"/>
  <c r="N204" i="9"/>
  <c r="L204" i="9"/>
  <c r="M204" i="9"/>
  <c r="K204" i="9"/>
  <c r="U200" i="9"/>
  <c r="T200" i="9"/>
  <c r="V200" i="9" s="1"/>
  <c r="N200" i="9"/>
  <c r="O200" i="9"/>
  <c r="P200" i="9" s="1"/>
  <c r="M200" i="9"/>
  <c r="L200" i="9"/>
  <c r="K200" i="9"/>
  <c r="T196" i="9"/>
  <c r="V196" i="9" s="1"/>
  <c r="U196" i="9"/>
  <c r="O196" i="9"/>
  <c r="P196" i="9" s="1"/>
  <c r="N196" i="9"/>
  <c r="L196" i="9"/>
  <c r="K196" i="9"/>
  <c r="M196" i="9"/>
  <c r="U192" i="9"/>
  <c r="T192" i="9"/>
  <c r="V192" i="9" s="1"/>
  <c r="N192" i="9"/>
  <c r="O192" i="9"/>
  <c r="P192" i="9" s="1"/>
  <c r="L192" i="9"/>
  <c r="M192" i="9"/>
  <c r="K192" i="9"/>
  <c r="T188" i="9"/>
  <c r="V188" i="9" s="1"/>
  <c r="O188" i="9"/>
  <c r="P188" i="9" s="1"/>
  <c r="N188" i="9"/>
  <c r="U188" i="9"/>
  <c r="L188" i="9"/>
  <c r="M188" i="9"/>
  <c r="K188" i="9"/>
  <c r="U184" i="9"/>
  <c r="T184" i="9"/>
  <c r="V184" i="9" s="1"/>
  <c r="N184" i="9"/>
  <c r="O184" i="9"/>
  <c r="P184" i="9" s="1"/>
  <c r="M184" i="9"/>
  <c r="L184" i="9"/>
  <c r="K184" i="9"/>
  <c r="T180" i="9"/>
  <c r="V180" i="9" s="1"/>
  <c r="U180" i="9"/>
  <c r="O180" i="9"/>
  <c r="P180" i="9" s="1"/>
  <c r="N180" i="9"/>
  <c r="L180" i="9"/>
  <c r="K180" i="9"/>
  <c r="M180" i="9"/>
  <c r="U176" i="9"/>
  <c r="T176" i="9"/>
  <c r="V176" i="9" s="1"/>
  <c r="N176" i="9"/>
  <c r="L176" i="9"/>
  <c r="M176" i="9"/>
  <c r="O176" i="9"/>
  <c r="P176" i="9" s="1"/>
  <c r="K176" i="9"/>
  <c r="T172" i="9"/>
  <c r="V172" i="9" s="1"/>
  <c r="U172" i="9"/>
  <c r="O172" i="9"/>
  <c r="P172" i="9" s="1"/>
  <c r="N172" i="9"/>
  <c r="L172" i="9"/>
  <c r="M172" i="9"/>
  <c r="K172" i="9"/>
  <c r="U168" i="9"/>
  <c r="T168" i="9"/>
  <c r="V168" i="9" s="1"/>
  <c r="N168" i="9"/>
  <c r="O168" i="9"/>
  <c r="P168" i="9" s="1"/>
  <c r="M168" i="9"/>
  <c r="L168" i="9"/>
  <c r="K168" i="9"/>
  <c r="T164" i="9"/>
  <c r="V164" i="9" s="1"/>
  <c r="U164" i="9"/>
  <c r="O164" i="9"/>
  <c r="P164" i="9" s="1"/>
  <c r="N164" i="9"/>
  <c r="L164" i="9"/>
  <c r="M164" i="9"/>
  <c r="K164" i="9"/>
  <c r="U160" i="9"/>
  <c r="T160" i="9"/>
  <c r="V160" i="9" s="1"/>
  <c r="N160" i="9"/>
  <c r="O160" i="9"/>
  <c r="P160" i="9" s="1"/>
  <c r="L160" i="9"/>
  <c r="M160" i="9"/>
  <c r="K160" i="9"/>
  <c r="T156" i="9"/>
  <c r="V156" i="9" s="1"/>
  <c r="U156" i="9"/>
  <c r="O156" i="9"/>
  <c r="P156" i="9" s="1"/>
  <c r="N156" i="9"/>
  <c r="L156" i="9"/>
  <c r="M156" i="9"/>
  <c r="K156" i="9"/>
  <c r="U152" i="9"/>
  <c r="T152" i="9"/>
  <c r="V152" i="9" s="1"/>
  <c r="N152" i="9"/>
  <c r="O152" i="9"/>
  <c r="P152" i="9" s="1"/>
  <c r="M152" i="9"/>
  <c r="L152" i="9"/>
  <c r="K152" i="9"/>
  <c r="T148" i="9"/>
  <c r="V148" i="9" s="1"/>
  <c r="U148" i="9"/>
  <c r="O148" i="9"/>
  <c r="P148" i="9" s="1"/>
  <c r="N148" i="9"/>
  <c r="L148" i="9"/>
  <c r="M148" i="9"/>
  <c r="K148" i="9"/>
  <c r="U144" i="9"/>
  <c r="T144" i="9"/>
  <c r="V144" i="9" s="1"/>
  <c r="N144" i="9"/>
  <c r="L144" i="9"/>
  <c r="O144" i="9"/>
  <c r="P144" i="9" s="1"/>
  <c r="M144" i="9"/>
  <c r="K144" i="9"/>
  <c r="T140" i="9"/>
  <c r="V140" i="9" s="1"/>
  <c r="U140" i="9"/>
  <c r="O140" i="9"/>
  <c r="P140" i="9" s="1"/>
  <c r="N140" i="9"/>
  <c r="L140" i="9"/>
  <c r="M140" i="9"/>
  <c r="K140" i="9"/>
  <c r="U136" i="9"/>
  <c r="T136" i="9"/>
  <c r="V136" i="9" s="1"/>
  <c r="N136" i="9"/>
  <c r="O136" i="9"/>
  <c r="P136" i="9" s="1"/>
  <c r="M136" i="9"/>
  <c r="L136" i="9"/>
  <c r="K136" i="9"/>
  <c r="T132" i="9"/>
  <c r="V132" i="9" s="1"/>
  <c r="U132" i="9"/>
  <c r="O132" i="9"/>
  <c r="P132" i="9" s="1"/>
  <c r="N132" i="9"/>
  <c r="L132" i="9"/>
  <c r="K132" i="9"/>
  <c r="M132" i="9"/>
  <c r="U128" i="9"/>
  <c r="T128" i="9"/>
  <c r="V128" i="9" s="1"/>
  <c r="N128" i="9"/>
  <c r="O128" i="9"/>
  <c r="P128" i="9" s="1"/>
  <c r="L128" i="9"/>
  <c r="M128" i="9"/>
  <c r="K128" i="9"/>
  <c r="T124" i="9"/>
  <c r="V124" i="9" s="1"/>
  <c r="O124" i="9"/>
  <c r="P124" i="9" s="1"/>
  <c r="U124" i="9"/>
  <c r="N124" i="9"/>
  <c r="L124" i="9"/>
  <c r="M124" i="9"/>
  <c r="K124" i="9"/>
  <c r="U120" i="9"/>
  <c r="T120" i="9"/>
  <c r="V120" i="9" s="1"/>
  <c r="N120" i="9"/>
  <c r="O120" i="9"/>
  <c r="P120" i="9" s="1"/>
  <c r="M120" i="9"/>
  <c r="L120" i="9"/>
  <c r="K120" i="9"/>
  <c r="T116" i="9"/>
  <c r="V116" i="9" s="1"/>
  <c r="U116" i="9"/>
  <c r="O116" i="9"/>
  <c r="P116" i="9" s="1"/>
  <c r="L116" i="9"/>
  <c r="N116" i="9"/>
  <c r="K116" i="9"/>
  <c r="M116" i="9"/>
  <c r="U112" i="9"/>
  <c r="T112" i="9"/>
  <c r="V112" i="9" s="1"/>
  <c r="N112" i="9"/>
  <c r="O112" i="9"/>
  <c r="P112" i="9" s="1"/>
  <c r="L112" i="9"/>
  <c r="M112" i="9"/>
  <c r="K112" i="9"/>
  <c r="T108" i="9"/>
  <c r="V108" i="9" s="1"/>
  <c r="U108" i="9"/>
  <c r="O108" i="9"/>
  <c r="P108" i="9" s="1"/>
  <c r="N108" i="9"/>
  <c r="L108" i="9"/>
  <c r="M108" i="9"/>
  <c r="K108" i="9"/>
  <c r="U104" i="9"/>
  <c r="T104" i="9"/>
  <c r="V104" i="9" s="1"/>
  <c r="N104" i="9"/>
  <c r="O104" i="9"/>
  <c r="P104" i="9" s="1"/>
  <c r="M104" i="9"/>
  <c r="L104" i="9"/>
  <c r="K104" i="9"/>
  <c r="T100" i="9"/>
  <c r="V100" i="9" s="1"/>
  <c r="U100" i="9"/>
  <c r="O100" i="9"/>
  <c r="P100" i="9" s="1"/>
  <c r="N100" i="9"/>
  <c r="L100" i="9"/>
  <c r="M100" i="9"/>
  <c r="K100" i="9"/>
  <c r="U96" i="9"/>
  <c r="T96" i="9"/>
  <c r="V96" i="9" s="1"/>
  <c r="N96" i="9"/>
  <c r="O96" i="9"/>
  <c r="P96" i="9" s="1"/>
  <c r="L96" i="9"/>
  <c r="M96" i="9"/>
  <c r="K96" i="9"/>
  <c r="T92" i="9"/>
  <c r="V92" i="9" s="1"/>
  <c r="U92" i="9"/>
  <c r="O92" i="9"/>
  <c r="P92" i="9" s="1"/>
  <c r="N92" i="9"/>
  <c r="L92" i="9"/>
  <c r="M92" i="9"/>
  <c r="K92" i="9"/>
  <c r="U88" i="9"/>
  <c r="T88" i="9"/>
  <c r="V88" i="9" s="1"/>
  <c r="N88" i="9"/>
  <c r="O88" i="9"/>
  <c r="P88" i="9" s="1"/>
  <c r="M88" i="9"/>
  <c r="K88" i="9"/>
  <c r="L88" i="9"/>
  <c r="T84" i="9"/>
  <c r="V84" i="9" s="1"/>
  <c r="U84" i="9"/>
  <c r="O84" i="9"/>
  <c r="P84" i="9" s="1"/>
  <c r="N84" i="9"/>
  <c r="L84" i="9"/>
  <c r="M84" i="9"/>
  <c r="K84" i="9"/>
  <c r="U80" i="9"/>
  <c r="T80" i="9"/>
  <c r="V80" i="9" s="1"/>
  <c r="N80" i="9"/>
  <c r="O80" i="9"/>
  <c r="P80" i="9" s="1"/>
  <c r="L80" i="9"/>
  <c r="M80" i="9"/>
  <c r="K80" i="9"/>
  <c r="T76" i="9"/>
  <c r="V76" i="9" s="1"/>
  <c r="U76" i="9"/>
  <c r="O76" i="9"/>
  <c r="P76" i="9" s="1"/>
  <c r="N76" i="9"/>
  <c r="L76" i="9"/>
  <c r="M76" i="9"/>
  <c r="K76" i="9"/>
  <c r="U72" i="9"/>
  <c r="T72" i="9"/>
  <c r="V72" i="9" s="1"/>
  <c r="N72" i="9"/>
  <c r="O72" i="9"/>
  <c r="P72" i="9" s="1"/>
  <c r="M72" i="9"/>
  <c r="L72" i="9"/>
  <c r="K72" i="9"/>
  <c r="T68" i="9"/>
  <c r="V68" i="9" s="1"/>
  <c r="U68" i="9"/>
  <c r="O68" i="9"/>
  <c r="P68" i="9" s="1"/>
  <c r="N68" i="9"/>
  <c r="L68" i="9"/>
  <c r="K68" i="9"/>
  <c r="M68" i="9"/>
  <c r="U64" i="9"/>
  <c r="T64" i="9"/>
  <c r="V64" i="9" s="1"/>
  <c r="N64" i="9"/>
  <c r="O64" i="9"/>
  <c r="P64" i="9" s="1"/>
  <c r="L64" i="9"/>
  <c r="M64" i="9"/>
  <c r="K64" i="9"/>
  <c r="T60" i="9"/>
  <c r="V60" i="9" s="1"/>
  <c r="O60" i="9"/>
  <c r="P60" i="9" s="1"/>
  <c r="N60" i="9"/>
  <c r="L60" i="9"/>
  <c r="M60" i="9"/>
  <c r="U60" i="9"/>
  <c r="K60" i="9"/>
  <c r="U56" i="9"/>
  <c r="T56" i="9"/>
  <c r="V56" i="9" s="1"/>
  <c r="N56" i="9"/>
  <c r="O56" i="9"/>
  <c r="P56" i="9" s="1"/>
  <c r="M56" i="9"/>
  <c r="L56" i="9"/>
  <c r="K56" i="9"/>
  <c r="T52" i="9"/>
  <c r="V52" i="9" s="1"/>
  <c r="U52" i="9"/>
  <c r="O52" i="9"/>
  <c r="P52" i="9" s="1"/>
  <c r="N52" i="9"/>
  <c r="L52" i="9"/>
  <c r="K52" i="9"/>
  <c r="M52" i="9"/>
  <c r="U48" i="9"/>
  <c r="T48" i="9"/>
  <c r="V48" i="9" s="1"/>
  <c r="N48" i="9"/>
  <c r="L48" i="9"/>
  <c r="M48" i="9"/>
  <c r="O48" i="9"/>
  <c r="P48" i="9" s="1"/>
  <c r="K48" i="9"/>
  <c r="T44" i="9"/>
  <c r="V44" i="9" s="1"/>
  <c r="U44" i="9"/>
  <c r="O44" i="9"/>
  <c r="P44" i="9" s="1"/>
  <c r="N44" i="9"/>
  <c r="L44" i="9"/>
  <c r="M44" i="9"/>
  <c r="K44" i="9"/>
  <c r="U40" i="9"/>
  <c r="T40" i="9"/>
  <c r="V40" i="9" s="1"/>
  <c r="N40" i="9"/>
  <c r="O40" i="9"/>
  <c r="P40" i="9" s="1"/>
  <c r="M40" i="9"/>
  <c r="L40" i="9"/>
  <c r="K40" i="9"/>
  <c r="T36" i="9"/>
  <c r="V36" i="9" s="1"/>
  <c r="U36" i="9"/>
  <c r="O36" i="9"/>
  <c r="P36" i="9" s="1"/>
  <c r="N36" i="9"/>
  <c r="L36" i="9"/>
  <c r="M36" i="9"/>
  <c r="K36" i="9"/>
  <c r="U32" i="9"/>
  <c r="T32" i="9"/>
  <c r="V32" i="9" s="1"/>
  <c r="N32" i="9"/>
  <c r="O32" i="9"/>
  <c r="P32" i="9" s="1"/>
  <c r="L32" i="9"/>
  <c r="M32" i="9"/>
  <c r="K32" i="9"/>
  <c r="T28" i="9"/>
  <c r="V28" i="9" s="1"/>
  <c r="U28" i="9"/>
  <c r="O28" i="9"/>
  <c r="P28" i="9" s="1"/>
  <c r="N28" i="9"/>
  <c r="L28" i="9"/>
  <c r="M28" i="9"/>
  <c r="K28" i="9"/>
  <c r="U24" i="9"/>
  <c r="T24" i="9"/>
  <c r="V24" i="9" s="1"/>
  <c r="N24" i="9"/>
  <c r="O24" i="9"/>
  <c r="P24" i="9" s="1"/>
  <c r="M24" i="9"/>
  <c r="L24" i="9"/>
  <c r="K24" i="9"/>
  <c r="T20" i="9"/>
  <c r="V20" i="9" s="1"/>
  <c r="U20" i="9"/>
  <c r="O20" i="9"/>
  <c r="P20" i="9" s="1"/>
  <c r="N20" i="9"/>
  <c r="M20" i="9"/>
  <c r="L20" i="9"/>
  <c r="K20" i="9"/>
  <c r="U16" i="9"/>
  <c r="T16" i="9"/>
  <c r="V16" i="9" s="1"/>
  <c r="N16" i="9"/>
  <c r="M16" i="9"/>
  <c r="O16" i="9"/>
  <c r="P16" i="9" s="1"/>
  <c r="L16" i="9"/>
  <c r="K16" i="9"/>
  <c r="T12" i="9"/>
  <c r="V12" i="9" s="1"/>
  <c r="U12" i="9"/>
  <c r="N12" i="9"/>
  <c r="O12" i="9"/>
  <c r="P12" i="9" s="1"/>
  <c r="M12" i="9"/>
  <c r="L12" i="9"/>
  <c r="K12" i="9"/>
  <c r="U8" i="9"/>
  <c r="T8" i="9"/>
  <c r="V8" i="9" s="1"/>
  <c r="N8" i="9"/>
  <c r="O8" i="9"/>
  <c r="P8" i="9" s="1"/>
  <c r="M8" i="9"/>
  <c r="L8" i="9"/>
  <c r="K8" i="9"/>
  <c r="U2503" i="9"/>
  <c r="T2503" i="9"/>
  <c r="V2503" i="9" s="1"/>
  <c r="O2503" i="9"/>
  <c r="P2503" i="9" s="1"/>
  <c r="N2503" i="9"/>
  <c r="M2503" i="9"/>
  <c r="L2503" i="9"/>
  <c r="K2503" i="9"/>
  <c r="AA297" i="9" l="1"/>
  <c r="Y297" i="9"/>
  <c r="W297" i="9"/>
  <c r="AA329" i="9"/>
  <c r="Y329" i="9"/>
  <c r="W329" i="9"/>
  <c r="AA361" i="9"/>
  <c r="Y361" i="9"/>
  <c r="W361" i="9"/>
  <c r="AA393" i="9"/>
  <c r="Y393" i="9"/>
  <c r="W393" i="9"/>
  <c r="AA425" i="9"/>
  <c r="Y425" i="9"/>
  <c r="W425" i="9"/>
  <c r="AA457" i="9"/>
  <c r="Y457" i="9"/>
  <c r="W457" i="9"/>
  <c r="AA489" i="9"/>
  <c r="Y489" i="9"/>
  <c r="W489" i="9"/>
  <c r="AA521" i="9"/>
  <c r="Y521" i="9"/>
  <c r="W521" i="9"/>
  <c r="AA553" i="9"/>
  <c r="Y553" i="9"/>
  <c r="W553" i="9"/>
  <c r="AA585" i="9"/>
  <c r="Y585" i="9"/>
  <c r="W585" i="9"/>
  <c r="AA617" i="9"/>
  <c r="Y617" i="9"/>
  <c r="W617" i="9"/>
  <c r="AA649" i="9"/>
  <c r="Y649" i="9"/>
  <c r="W649" i="9"/>
  <c r="AA681" i="9"/>
  <c r="Y681" i="9"/>
  <c r="W681" i="9"/>
  <c r="AA713" i="9"/>
  <c r="Y713" i="9"/>
  <c r="W713" i="9"/>
  <c r="AA1245" i="9"/>
  <c r="Y1245" i="9"/>
  <c r="W1245" i="9"/>
  <c r="AA1261" i="9"/>
  <c r="Y1261" i="9"/>
  <c r="W1261" i="9"/>
  <c r="AA1277" i="9"/>
  <c r="Y1277" i="9"/>
  <c r="W1277" i="9"/>
  <c r="AA1293" i="9"/>
  <c r="Y1293" i="9"/>
  <c r="W1293" i="9"/>
  <c r="AA1309" i="9"/>
  <c r="Y1309" i="9"/>
  <c r="W1309" i="9"/>
  <c r="AA1325" i="9"/>
  <c r="Y1325" i="9"/>
  <c r="W1325" i="9"/>
  <c r="AA1341" i="9"/>
  <c r="Y1341" i="9"/>
  <c r="W1341" i="9"/>
  <c r="AA1357" i="9"/>
  <c r="Y1357" i="9"/>
  <c r="W1357" i="9"/>
  <c r="AA1373" i="9"/>
  <c r="Y1373" i="9"/>
  <c r="W1373" i="9"/>
  <c r="AA1389" i="9"/>
  <c r="Y1389" i="9"/>
  <c r="W1389" i="9"/>
  <c r="AA1405" i="9"/>
  <c r="Y1405" i="9"/>
  <c r="W1405" i="9"/>
  <c r="AA1421" i="9"/>
  <c r="Y1421" i="9"/>
  <c r="W1421" i="9"/>
  <c r="AA1437" i="9"/>
  <c r="Y1437" i="9"/>
  <c r="W1437" i="9"/>
  <c r="AA1453" i="9"/>
  <c r="Y1453" i="9"/>
  <c r="W1453" i="9"/>
  <c r="AA1469" i="9"/>
  <c r="Y1469" i="9"/>
  <c r="W1469" i="9"/>
  <c r="AA1485" i="9"/>
  <c r="Y1485" i="9"/>
  <c r="W1485" i="9"/>
  <c r="AA1501" i="9"/>
  <c r="Y1501" i="9"/>
  <c r="W1501" i="9"/>
  <c r="AA1517" i="9"/>
  <c r="Y1517" i="9"/>
  <c r="W1517" i="9"/>
  <c r="AA1533" i="9"/>
  <c r="Y1533" i="9"/>
  <c r="W1533" i="9"/>
  <c r="AA1549" i="9"/>
  <c r="Y1549" i="9"/>
  <c r="W1549" i="9"/>
  <c r="AA1565" i="9"/>
  <c r="Y1565" i="9"/>
  <c r="W1565" i="9"/>
  <c r="AA1581" i="9"/>
  <c r="Y1581" i="9"/>
  <c r="W1581" i="9"/>
  <c r="AA1597" i="9"/>
  <c r="Y1597" i="9"/>
  <c r="W1597" i="9"/>
  <c r="AA1613" i="9"/>
  <c r="Y1613" i="9"/>
  <c r="W1613" i="9"/>
  <c r="AA1629" i="9"/>
  <c r="Y1629" i="9"/>
  <c r="W1629" i="9"/>
  <c r="AA1645" i="9"/>
  <c r="Y1645" i="9"/>
  <c r="W1645" i="9"/>
  <c r="AA1661" i="9"/>
  <c r="Y1661" i="9"/>
  <c r="W1661" i="9"/>
  <c r="AA1677" i="9"/>
  <c r="Y1677" i="9"/>
  <c r="W1677" i="9"/>
  <c r="AA1693" i="9"/>
  <c r="Y1693" i="9"/>
  <c r="W1693" i="9"/>
  <c r="AA1709" i="9"/>
  <c r="Y1709" i="9"/>
  <c r="W1709" i="9"/>
  <c r="AA1725" i="9"/>
  <c r="Y1725" i="9"/>
  <c r="W1725" i="9"/>
  <c r="AA1741" i="9"/>
  <c r="Y1741" i="9"/>
  <c r="W1741" i="9"/>
  <c r="AA1757" i="9"/>
  <c r="Y1757" i="9"/>
  <c r="W1757" i="9"/>
  <c r="AA1773" i="9"/>
  <c r="Y1773" i="9"/>
  <c r="W1773" i="9"/>
  <c r="AA1789" i="9"/>
  <c r="Y1789" i="9"/>
  <c r="W1789" i="9"/>
  <c r="AA1805" i="9"/>
  <c r="Y1805" i="9"/>
  <c r="W1805" i="9"/>
  <c r="AA1821" i="9"/>
  <c r="Y1821" i="9"/>
  <c r="W1821" i="9"/>
  <c r="AA1837" i="9"/>
  <c r="Y1837" i="9"/>
  <c r="W1837" i="9"/>
  <c r="AA1853" i="9"/>
  <c r="Y1853" i="9"/>
  <c r="W1853" i="9"/>
  <c r="AA1869" i="9"/>
  <c r="Y1869" i="9"/>
  <c r="W1869" i="9"/>
  <c r="AA1885" i="9"/>
  <c r="Y1885" i="9"/>
  <c r="W1885" i="9"/>
  <c r="AA1901" i="9"/>
  <c r="Y1901" i="9"/>
  <c r="W1901" i="9"/>
  <c r="AA1917" i="9"/>
  <c r="Y1917" i="9"/>
  <c r="W1917" i="9"/>
  <c r="AA1933" i="9"/>
  <c r="Y1933" i="9"/>
  <c r="W1933" i="9"/>
  <c r="AA1949" i="9"/>
  <c r="Y1949" i="9"/>
  <c r="W1949" i="9"/>
  <c r="AA1965" i="9"/>
  <c r="Y1965" i="9"/>
  <c r="W1965" i="9"/>
  <c r="AA1981" i="9"/>
  <c r="Y1981" i="9"/>
  <c r="W1981" i="9"/>
  <c r="AA1997" i="9"/>
  <c r="Y1997" i="9"/>
  <c r="W1997" i="9"/>
  <c r="AA2013" i="9"/>
  <c r="Y2013" i="9"/>
  <c r="W2013" i="9"/>
  <c r="AA2029" i="9"/>
  <c r="Y2029" i="9"/>
  <c r="W2029" i="9"/>
  <c r="AA2045" i="9"/>
  <c r="Y2045" i="9"/>
  <c r="W2045" i="9"/>
  <c r="AA2061" i="9"/>
  <c r="Y2061" i="9"/>
  <c r="W2061" i="9"/>
  <c r="AA2077" i="9"/>
  <c r="Y2077" i="9"/>
  <c r="W2077" i="9"/>
  <c r="AA2093" i="9"/>
  <c r="Y2093" i="9"/>
  <c r="W2093" i="9"/>
  <c r="AA2109" i="9"/>
  <c r="Y2109" i="9"/>
  <c r="W2109" i="9"/>
  <c r="AA2125" i="9"/>
  <c r="Y2125" i="9"/>
  <c r="W2125" i="9"/>
  <c r="AA2141" i="9"/>
  <c r="Y2141" i="9"/>
  <c r="W2141" i="9"/>
  <c r="AA2157" i="9"/>
  <c r="Y2157" i="9"/>
  <c r="W2157" i="9"/>
  <c r="AA2173" i="9"/>
  <c r="Y2173" i="9"/>
  <c r="W2173" i="9"/>
  <c r="AA2189" i="9"/>
  <c r="Y2189" i="9"/>
  <c r="W2189" i="9"/>
  <c r="AA2205" i="9"/>
  <c r="Y2205" i="9"/>
  <c r="W2205" i="9"/>
  <c r="AA2221" i="9"/>
  <c r="Y2221" i="9"/>
  <c r="W2221" i="9"/>
  <c r="AA2237" i="9"/>
  <c r="Y2237" i="9"/>
  <c r="W2237" i="9"/>
  <c r="AA2253" i="9"/>
  <c r="Y2253" i="9"/>
  <c r="W2253" i="9"/>
  <c r="AA2269" i="9"/>
  <c r="Y2269" i="9"/>
  <c r="W2269" i="9"/>
  <c r="AA2285" i="9"/>
  <c r="Y2285" i="9"/>
  <c r="W2285" i="9"/>
  <c r="AA2301" i="9"/>
  <c r="Y2301" i="9"/>
  <c r="W2301" i="9"/>
  <c r="AA2317" i="9"/>
  <c r="Y2317" i="9"/>
  <c r="W2317" i="9"/>
  <c r="AA2333" i="9"/>
  <c r="Y2333" i="9"/>
  <c r="W2333" i="9"/>
  <c r="AA2349" i="9"/>
  <c r="Y2349" i="9"/>
  <c r="W2349" i="9"/>
  <c r="AA2365" i="9"/>
  <c r="Y2365" i="9"/>
  <c r="W2365" i="9"/>
  <c r="AA2381" i="9"/>
  <c r="Y2381" i="9"/>
  <c r="W2381" i="9"/>
  <c r="AA2397" i="9"/>
  <c r="Y2397" i="9"/>
  <c r="W2397" i="9"/>
  <c r="AA2413" i="9"/>
  <c r="Y2413" i="9"/>
  <c r="W2413" i="9"/>
  <c r="AA2429" i="9"/>
  <c r="Y2429" i="9"/>
  <c r="W2429" i="9"/>
  <c r="AA2445" i="9"/>
  <c r="Y2445" i="9"/>
  <c r="W2445" i="9"/>
  <c r="AA2461" i="9"/>
  <c r="Y2461" i="9"/>
  <c r="W2461" i="9"/>
  <c r="AA2477" i="9"/>
  <c r="Y2477" i="9"/>
  <c r="W2477" i="9"/>
  <c r="AA2493" i="9"/>
  <c r="Y2493" i="9"/>
  <c r="W2493" i="9"/>
  <c r="AA11" i="9"/>
  <c r="Y11" i="9"/>
  <c r="W11" i="9"/>
  <c r="AA31" i="9"/>
  <c r="Y31" i="9"/>
  <c r="W31" i="9"/>
  <c r="AA43" i="9"/>
  <c r="Y43" i="9"/>
  <c r="W43" i="9"/>
  <c r="AA63" i="9"/>
  <c r="Y63" i="9"/>
  <c r="W63" i="9"/>
  <c r="AA75" i="9"/>
  <c r="Y75" i="9"/>
  <c r="W75" i="9"/>
  <c r="AA87" i="9"/>
  <c r="Y87" i="9"/>
  <c r="W87" i="9"/>
  <c r="AA151" i="9"/>
  <c r="Y151" i="9"/>
  <c r="W151" i="9"/>
  <c r="AA195" i="9"/>
  <c r="Y195" i="9"/>
  <c r="W195" i="9"/>
  <c r="AA227" i="9"/>
  <c r="Y227" i="9"/>
  <c r="W227" i="9"/>
  <c r="AA259" i="9"/>
  <c r="Y259" i="9"/>
  <c r="W259" i="9"/>
  <c r="AA307" i="9"/>
  <c r="Y307" i="9"/>
  <c r="W307" i="9"/>
  <c r="AA339" i="9"/>
  <c r="Y339" i="9"/>
  <c r="W339" i="9"/>
  <c r="AA375" i="9"/>
  <c r="Y375" i="9"/>
  <c r="W375" i="9"/>
  <c r="AA411" i="9"/>
  <c r="Y411" i="9"/>
  <c r="W411" i="9"/>
  <c r="AA427" i="9"/>
  <c r="Y427" i="9"/>
  <c r="W427" i="9"/>
  <c r="AA443" i="9"/>
  <c r="Y443" i="9"/>
  <c r="W443" i="9"/>
  <c r="AA475" i="9"/>
  <c r="Y475" i="9"/>
  <c r="W475" i="9"/>
  <c r="AA491" i="9"/>
  <c r="Y491" i="9"/>
  <c r="W491" i="9"/>
  <c r="AA507" i="9"/>
  <c r="Y507" i="9"/>
  <c r="W507" i="9"/>
  <c r="AA523" i="9"/>
  <c r="Y523" i="9"/>
  <c r="W523" i="9"/>
  <c r="AA539" i="9"/>
  <c r="Y539" i="9"/>
  <c r="W539" i="9"/>
  <c r="AA555" i="9"/>
  <c r="Y555" i="9"/>
  <c r="W555" i="9"/>
  <c r="AA571" i="9"/>
  <c r="Y571" i="9"/>
  <c r="W571" i="9"/>
  <c r="AA611" i="9"/>
  <c r="Y611" i="9"/>
  <c r="W611" i="9"/>
  <c r="AA643" i="9"/>
  <c r="Y643" i="9"/>
  <c r="W643" i="9"/>
  <c r="AA675" i="9"/>
  <c r="Y675" i="9"/>
  <c r="W675" i="9"/>
  <c r="AA707" i="9"/>
  <c r="Y707" i="9"/>
  <c r="W707" i="9"/>
  <c r="AA715" i="9"/>
  <c r="Y715" i="9"/>
  <c r="W715" i="9"/>
  <c r="AA739" i="9"/>
  <c r="Y739" i="9"/>
  <c r="W739" i="9"/>
  <c r="AA743" i="9"/>
  <c r="Y743" i="9"/>
  <c r="W743" i="9"/>
  <c r="AA775" i="9"/>
  <c r="Y775" i="9"/>
  <c r="W775" i="9"/>
  <c r="AA803" i="9"/>
  <c r="Y803" i="9"/>
  <c r="W803" i="9"/>
  <c r="AA835" i="9"/>
  <c r="Y835" i="9"/>
  <c r="W835" i="9"/>
  <c r="AA843" i="9"/>
  <c r="Y843" i="9"/>
  <c r="W843" i="9"/>
  <c r="AA879" i="9"/>
  <c r="Y879" i="9"/>
  <c r="W879" i="9"/>
  <c r="AA911" i="9"/>
  <c r="Y911" i="9"/>
  <c r="W911" i="9"/>
  <c r="AA943" i="9"/>
  <c r="Y943" i="9"/>
  <c r="W943" i="9"/>
  <c r="AA975" i="9"/>
  <c r="Y975" i="9"/>
  <c r="W975" i="9"/>
  <c r="AA1011" i="9"/>
  <c r="Y1011" i="9"/>
  <c r="W1011" i="9"/>
  <c r="AA1043" i="9"/>
  <c r="Y1043" i="9"/>
  <c r="W1043" i="9"/>
  <c r="AA1075" i="9"/>
  <c r="Y1075" i="9"/>
  <c r="W1075" i="9"/>
  <c r="AA1107" i="9"/>
  <c r="Y1107" i="9"/>
  <c r="W1107" i="9"/>
  <c r="AA1139" i="9"/>
  <c r="Y1139" i="9"/>
  <c r="W1139" i="9"/>
  <c r="AA1171" i="9"/>
  <c r="Y1171" i="9"/>
  <c r="W1171" i="9"/>
  <c r="AA1203" i="9"/>
  <c r="Y1203" i="9"/>
  <c r="W1203" i="9"/>
  <c r="AA1235" i="9"/>
  <c r="Y1235" i="9"/>
  <c r="W1235" i="9"/>
  <c r="AA1251" i="9"/>
  <c r="Y1251" i="9"/>
  <c r="W1251" i="9"/>
  <c r="AA1283" i="9"/>
  <c r="Y1283" i="9"/>
  <c r="W1283" i="9"/>
  <c r="AA1315" i="9"/>
  <c r="Y1315" i="9"/>
  <c r="W1315" i="9"/>
  <c r="AA1347" i="9"/>
  <c r="Y1347" i="9"/>
  <c r="W1347" i="9"/>
  <c r="AA1699" i="9"/>
  <c r="Y1699" i="9"/>
  <c r="W1699" i="9"/>
  <c r="AA1731" i="9"/>
  <c r="Y1731" i="9"/>
  <c r="W1731" i="9"/>
  <c r="AA1763" i="9"/>
  <c r="Y1763" i="9"/>
  <c r="W1763" i="9"/>
  <c r="AA1795" i="9"/>
  <c r="Y1795" i="9"/>
  <c r="W1795" i="9"/>
  <c r="AA1827" i="9"/>
  <c r="Y1827" i="9"/>
  <c r="W1827" i="9"/>
  <c r="AA1859" i="9"/>
  <c r="Y1859" i="9"/>
  <c r="W1859" i="9"/>
  <c r="AA1879" i="9"/>
  <c r="Y1879" i="9"/>
  <c r="W1879" i="9"/>
  <c r="AA1911" i="9"/>
  <c r="Y1911" i="9"/>
  <c r="W1911" i="9"/>
  <c r="AA1943" i="9"/>
  <c r="Y1943" i="9"/>
  <c r="W1943" i="9"/>
  <c r="AA1975" i="9"/>
  <c r="Y1975" i="9"/>
  <c r="W1975" i="9"/>
  <c r="AA2007" i="9"/>
  <c r="Y2007" i="9"/>
  <c r="W2007" i="9"/>
  <c r="AA2039" i="9"/>
  <c r="Y2039" i="9"/>
  <c r="W2039" i="9"/>
  <c r="AA2047" i="9"/>
  <c r="Y2047" i="9"/>
  <c r="W2047" i="9"/>
  <c r="AA2071" i="9"/>
  <c r="Y2071" i="9"/>
  <c r="W2071" i="9"/>
  <c r="AA2103" i="9"/>
  <c r="Y2103" i="9"/>
  <c r="W2103" i="9"/>
  <c r="AA2135" i="9"/>
  <c r="Y2135" i="9"/>
  <c r="W2135" i="9"/>
  <c r="AA2167" i="9"/>
  <c r="Y2167" i="9"/>
  <c r="W2167" i="9"/>
  <c r="AA2199" i="9"/>
  <c r="Y2199" i="9"/>
  <c r="W2199" i="9"/>
  <c r="AA2203" i="9"/>
  <c r="W2203" i="9"/>
  <c r="Y2203" i="9"/>
  <c r="AA2231" i="9"/>
  <c r="Y2231" i="9"/>
  <c r="W2231" i="9"/>
  <c r="AA2263" i="9"/>
  <c r="Y2263" i="9"/>
  <c r="W2263" i="9"/>
  <c r="AA2295" i="9"/>
  <c r="Y2295" i="9"/>
  <c r="W2295" i="9"/>
  <c r="AA2303" i="9"/>
  <c r="Y2303" i="9"/>
  <c r="W2303" i="9"/>
  <c r="AA2327" i="9"/>
  <c r="Y2327" i="9"/>
  <c r="W2327" i="9"/>
  <c r="AA2359" i="9"/>
  <c r="Y2359" i="9"/>
  <c r="W2359" i="9"/>
  <c r="AA2391" i="9"/>
  <c r="Y2391" i="9"/>
  <c r="W2391" i="9"/>
  <c r="AA2423" i="9"/>
  <c r="Y2423" i="9"/>
  <c r="W2423" i="9"/>
  <c r="AA2455" i="9"/>
  <c r="Y2455" i="9"/>
  <c r="W2455" i="9"/>
  <c r="AA2487" i="9"/>
  <c r="Y2487" i="9"/>
  <c r="W2487" i="9"/>
  <c r="AA22" i="9"/>
  <c r="Y22" i="9"/>
  <c r="W22" i="9"/>
  <c r="AA38" i="9"/>
  <c r="Y38" i="9"/>
  <c r="W38" i="9"/>
  <c r="AA54" i="9"/>
  <c r="Y54" i="9"/>
  <c r="W54" i="9"/>
  <c r="AA70" i="9"/>
  <c r="Y70" i="9"/>
  <c r="W70" i="9"/>
  <c r="AA86" i="9"/>
  <c r="Y86" i="9"/>
  <c r="W86" i="9"/>
  <c r="AA102" i="9"/>
  <c r="Y102" i="9"/>
  <c r="W102" i="9"/>
  <c r="AA118" i="9"/>
  <c r="Y118" i="9"/>
  <c r="W118" i="9"/>
  <c r="AA134" i="9"/>
  <c r="Y134" i="9"/>
  <c r="W134" i="9"/>
  <c r="AA150" i="9"/>
  <c r="Y150" i="9"/>
  <c r="W150" i="9"/>
  <c r="AA166" i="9"/>
  <c r="Y166" i="9"/>
  <c r="W166" i="9"/>
  <c r="AA182" i="9"/>
  <c r="Y182" i="9"/>
  <c r="W182" i="9"/>
  <c r="AA198" i="9"/>
  <c r="Y198" i="9"/>
  <c r="W198" i="9"/>
  <c r="AA214" i="9"/>
  <c r="Y214" i="9"/>
  <c r="W214" i="9"/>
  <c r="AA230" i="9"/>
  <c r="Y230" i="9"/>
  <c r="W230" i="9"/>
  <c r="AA246" i="9"/>
  <c r="Y246" i="9"/>
  <c r="W246" i="9"/>
  <c r="AA262" i="9"/>
  <c r="Y262" i="9"/>
  <c r="W262" i="9"/>
  <c r="AA278" i="9"/>
  <c r="Y278" i="9"/>
  <c r="W278" i="9"/>
  <c r="AA294" i="9"/>
  <c r="Y294" i="9"/>
  <c r="W294" i="9"/>
  <c r="AA310" i="9"/>
  <c r="Y310" i="9"/>
  <c r="W310" i="9"/>
  <c r="AA326" i="9"/>
  <c r="Y326" i="9"/>
  <c r="W326" i="9"/>
  <c r="AA342" i="9"/>
  <c r="Y342" i="9"/>
  <c r="W342" i="9"/>
  <c r="AA358" i="9"/>
  <c r="Y358" i="9"/>
  <c r="W358" i="9"/>
  <c r="AA374" i="9"/>
  <c r="Y374" i="9"/>
  <c r="W374" i="9"/>
  <c r="AA390" i="9"/>
  <c r="Y390" i="9"/>
  <c r="W390" i="9"/>
  <c r="AA406" i="9"/>
  <c r="Y406" i="9"/>
  <c r="W406" i="9"/>
  <c r="AA422" i="9"/>
  <c r="Y422" i="9"/>
  <c r="W422" i="9"/>
  <c r="AA438" i="9"/>
  <c r="Y438" i="9"/>
  <c r="W438" i="9"/>
  <c r="AA454" i="9"/>
  <c r="Y454" i="9"/>
  <c r="W454" i="9"/>
  <c r="AA470" i="9"/>
  <c r="Y470" i="9"/>
  <c r="W470" i="9"/>
  <c r="AA486" i="9"/>
  <c r="Y486" i="9"/>
  <c r="W486" i="9"/>
  <c r="AA502" i="9"/>
  <c r="Y502" i="9"/>
  <c r="W502" i="9"/>
  <c r="AA518" i="9"/>
  <c r="Y518" i="9"/>
  <c r="W518" i="9"/>
  <c r="AA534" i="9"/>
  <c r="Y534" i="9"/>
  <c r="W534" i="9"/>
  <c r="AA550" i="9"/>
  <c r="Y550" i="9"/>
  <c r="W550" i="9"/>
  <c r="AA566" i="9"/>
  <c r="Y566" i="9"/>
  <c r="W566" i="9"/>
  <c r="AA582" i="9"/>
  <c r="Y582" i="9"/>
  <c r="W582" i="9"/>
  <c r="AA598" i="9"/>
  <c r="Y598" i="9"/>
  <c r="W598" i="9"/>
  <c r="AA614" i="9"/>
  <c r="Y614" i="9"/>
  <c r="W614" i="9"/>
  <c r="AA630" i="9"/>
  <c r="Y630" i="9"/>
  <c r="W630" i="9"/>
  <c r="AA646" i="9"/>
  <c r="Y646" i="9"/>
  <c r="W646" i="9"/>
  <c r="AA662" i="9"/>
  <c r="Y662" i="9"/>
  <c r="W662" i="9"/>
  <c r="AA682" i="9"/>
  <c r="Y682" i="9"/>
  <c r="W682" i="9"/>
  <c r="AA698" i="9"/>
  <c r="Y698" i="9"/>
  <c r="W698" i="9"/>
  <c r="AA714" i="9"/>
  <c r="Y714" i="9"/>
  <c r="W714" i="9"/>
  <c r="AA730" i="9"/>
  <c r="Y730" i="9"/>
  <c r="W730" i="9"/>
  <c r="AA1250" i="9"/>
  <c r="Y1250" i="9"/>
  <c r="W1250" i="9"/>
  <c r="AA1266" i="9"/>
  <c r="Y1266" i="9"/>
  <c r="W1266" i="9"/>
  <c r="AA1282" i="9"/>
  <c r="Y1282" i="9"/>
  <c r="W1282" i="9"/>
  <c r="AA1298" i="9"/>
  <c r="Y1298" i="9"/>
  <c r="W1298" i="9"/>
  <c r="AA1314" i="9"/>
  <c r="Y1314" i="9"/>
  <c r="W1314" i="9"/>
  <c r="AA1330" i="9"/>
  <c r="Y1330" i="9"/>
  <c r="W1330" i="9"/>
  <c r="AA1346" i="9"/>
  <c r="Y1346" i="9"/>
  <c r="W1346" i="9"/>
  <c r="AA1362" i="9"/>
  <c r="Y1362" i="9"/>
  <c r="W1362" i="9"/>
  <c r="AA1378" i="9"/>
  <c r="Y1378" i="9"/>
  <c r="W1378" i="9"/>
  <c r="AA1394" i="9"/>
  <c r="Y1394" i="9"/>
  <c r="W1394" i="9"/>
  <c r="AA1410" i="9"/>
  <c r="Y1410" i="9"/>
  <c r="W1410" i="9"/>
  <c r="AA1426" i="9"/>
  <c r="Y1426" i="9"/>
  <c r="W1426" i="9"/>
  <c r="AA1442" i="9"/>
  <c r="Y1442" i="9"/>
  <c r="W1442" i="9"/>
  <c r="AA1458" i="9"/>
  <c r="Y1458" i="9"/>
  <c r="W1458" i="9"/>
  <c r="AA1474" i="9"/>
  <c r="Y1474" i="9"/>
  <c r="W1474" i="9"/>
  <c r="AA1490" i="9"/>
  <c r="Y1490" i="9"/>
  <c r="W1490" i="9"/>
  <c r="AA1506" i="9"/>
  <c r="Y1506" i="9"/>
  <c r="W1506" i="9"/>
  <c r="AA1522" i="9"/>
  <c r="Y1522" i="9"/>
  <c r="W1522" i="9"/>
  <c r="AA1538" i="9"/>
  <c r="Y1538" i="9"/>
  <c r="W1538" i="9"/>
  <c r="AA1554" i="9"/>
  <c r="Y1554" i="9"/>
  <c r="W1554" i="9"/>
  <c r="AA1570" i="9"/>
  <c r="Y1570" i="9"/>
  <c r="W1570" i="9"/>
  <c r="AA1586" i="9"/>
  <c r="Y1586" i="9"/>
  <c r="W1586" i="9"/>
  <c r="AA1602" i="9"/>
  <c r="Y1602" i="9"/>
  <c r="W1602" i="9"/>
  <c r="AA1618" i="9"/>
  <c r="Y1618" i="9"/>
  <c r="W1618" i="9"/>
  <c r="AA1634" i="9"/>
  <c r="Y1634" i="9"/>
  <c r="W1634" i="9"/>
  <c r="AA1650" i="9"/>
  <c r="Y1650" i="9"/>
  <c r="W1650" i="9"/>
  <c r="AA1666" i="9"/>
  <c r="Y1666" i="9"/>
  <c r="W1666" i="9"/>
  <c r="AA1682" i="9"/>
  <c r="Y1682" i="9"/>
  <c r="W1682" i="9"/>
  <c r="AA1698" i="9"/>
  <c r="Y1698" i="9"/>
  <c r="W1698" i="9"/>
  <c r="AA1714" i="9"/>
  <c r="Y1714" i="9"/>
  <c r="W1714" i="9"/>
  <c r="AA1730" i="9"/>
  <c r="Y1730" i="9"/>
  <c r="W1730" i="9"/>
  <c r="AA1746" i="9"/>
  <c r="Y1746" i="9"/>
  <c r="W1746" i="9"/>
  <c r="AA1762" i="9"/>
  <c r="Y1762" i="9"/>
  <c r="W1762" i="9"/>
  <c r="AA1778" i="9"/>
  <c r="Y1778" i="9"/>
  <c r="W1778" i="9"/>
  <c r="AA1794" i="9"/>
  <c r="Y1794" i="9"/>
  <c r="W1794" i="9"/>
  <c r="AA1810" i="9"/>
  <c r="Y1810" i="9"/>
  <c r="W1810" i="9"/>
  <c r="AA1826" i="9"/>
  <c r="Y1826" i="9"/>
  <c r="W1826" i="9"/>
  <c r="AA1842" i="9"/>
  <c r="Y1842" i="9"/>
  <c r="W1842" i="9"/>
  <c r="AA1858" i="9"/>
  <c r="Y1858" i="9"/>
  <c r="W1858" i="9"/>
  <c r="AA1874" i="9"/>
  <c r="Y1874" i="9"/>
  <c r="W1874" i="9"/>
  <c r="AA1890" i="9"/>
  <c r="Y1890" i="9"/>
  <c r="W1890" i="9"/>
  <c r="AA1906" i="9"/>
  <c r="Y1906" i="9"/>
  <c r="W1906" i="9"/>
  <c r="AA1922" i="9"/>
  <c r="Y1922" i="9"/>
  <c r="W1922" i="9"/>
  <c r="AA1938" i="9"/>
  <c r="Y1938" i="9"/>
  <c r="W1938" i="9"/>
  <c r="AA1954" i="9"/>
  <c r="Y1954" i="9"/>
  <c r="W1954" i="9"/>
  <c r="AA1970" i="9"/>
  <c r="Y1970" i="9"/>
  <c r="W1970" i="9"/>
  <c r="AA1986" i="9"/>
  <c r="Y1986" i="9"/>
  <c r="W1986" i="9"/>
  <c r="AA2002" i="9"/>
  <c r="Y2002" i="9"/>
  <c r="W2002" i="9"/>
  <c r="AA2018" i="9"/>
  <c r="Y2018" i="9"/>
  <c r="W2018" i="9"/>
  <c r="AA2034" i="9"/>
  <c r="Y2034" i="9"/>
  <c r="W2034" i="9"/>
  <c r="AA2050" i="9"/>
  <c r="Y2050" i="9"/>
  <c r="W2050" i="9"/>
  <c r="AA2066" i="9"/>
  <c r="Y2066" i="9"/>
  <c r="W2066" i="9"/>
  <c r="AA2082" i="9"/>
  <c r="Y2082" i="9"/>
  <c r="W2082" i="9"/>
  <c r="AA2098" i="9"/>
  <c r="Y2098" i="9"/>
  <c r="W2098" i="9"/>
  <c r="AA2114" i="9"/>
  <c r="Y2114" i="9"/>
  <c r="W2114" i="9"/>
  <c r="AA2130" i="9"/>
  <c r="Y2130" i="9"/>
  <c r="W2130" i="9"/>
  <c r="AA2146" i="9"/>
  <c r="Y2146" i="9"/>
  <c r="W2146" i="9"/>
  <c r="AA2162" i="9"/>
  <c r="Y2162" i="9"/>
  <c r="W2162" i="9"/>
  <c r="AA2178" i="9"/>
  <c r="Y2178" i="9"/>
  <c r="W2178" i="9"/>
  <c r="AA2194" i="9"/>
  <c r="Y2194" i="9"/>
  <c r="W2194" i="9"/>
  <c r="AA2210" i="9"/>
  <c r="Y2210" i="9"/>
  <c r="W2210" i="9"/>
  <c r="AA2226" i="9"/>
  <c r="Y2226" i="9"/>
  <c r="W2226" i="9"/>
  <c r="AA2242" i="9"/>
  <c r="Y2242" i="9"/>
  <c r="W2242" i="9"/>
  <c r="AA2258" i="9"/>
  <c r="Y2258" i="9"/>
  <c r="W2258" i="9"/>
  <c r="AA2274" i="9"/>
  <c r="Y2274" i="9"/>
  <c r="W2274" i="9"/>
  <c r="AA2290" i="9"/>
  <c r="Y2290" i="9"/>
  <c r="W2290" i="9"/>
  <c r="AA2306" i="9"/>
  <c r="Y2306" i="9"/>
  <c r="W2306" i="9"/>
  <c r="AA2322" i="9"/>
  <c r="Y2322" i="9"/>
  <c r="W2322" i="9"/>
  <c r="AA2338" i="9"/>
  <c r="Y2338" i="9"/>
  <c r="W2338" i="9"/>
  <c r="AA2354" i="9"/>
  <c r="Y2354" i="9"/>
  <c r="W2354" i="9"/>
  <c r="AA2370" i="9"/>
  <c r="Y2370" i="9"/>
  <c r="W2370" i="9"/>
  <c r="AA2386" i="9"/>
  <c r="Y2386" i="9"/>
  <c r="W2386" i="9"/>
  <c r="AA2402" i="9"/>
  <c r="Y2402" i="9"/>
  <c r="W2402" i="9"/>
  <c r="AA2418" i="9"/>
  <c r="Y2418" i="9"/>
  <c r="W2418" i="9"/>
  <c r="AA2434" i="9"/>
  <c r="Y2434" i="9"/>
  <c r="W2434" i="9"/>
  <c r="AA2450" i="9"/>
  <c r="Y2450" i="9"/>
  <c r="W2450" i="9"/>
  <c r="AA2466" i="9"/>
  <c r="Y2466" i="9"/>
  <c r="W2466" i="9"/>
  <c r="AA2482" i="9"/>
  <c r="Y2482" i="9"/>
  <c r="W2482" i="9"/>
  <c r="AA2498" i="9"/>
  <c r="Y2498" i="9"/>
  <c r="W2498" i="9"/>
  <c r="AA19" i="9"/>
  <c r="Y19" i="9"/>
  <c r="W19" i="9"/>
  <c r="AA39" i="9"/>
  <c r="Y39" i="9"/>
  <c r="W39" i="9"/>
  <c r="AA51" i="9"/>
  <c r="Y51" i="9"/>
  <c r="W51" i="9"/>
  <c r="AA71" i="9"/>
  <c r="Y71" i="9"/>
  <c r="W71" i="9"/>
  <c r="AA91" i="9"/>
  <c r="Y91" i="9"/>
  <c r="W91" i="9"/>
  <c r="AA123" i="9"/>
  <c r="Y123" i="9"/>
  <c r="W123" i="9"/>
  <c r="AA155" i="9"/>
  <c r="Y155" i="9"/>
  <c r="W155" i="9"/>
  <c r="AA207" i="9"/>
  <c r="Y207" i="9"/>
  <c r="W207" i="9"/>
  <c r="AA271" i="9"/>
  <c r="Y271" i="9"/>
  <c r="W271" i="9"/>
  <c r="AA303" i="9"/>
  <c r="Y303" i="9"/>
  <c r="W303" i="9"/>
  <c r="AA335" i="9"/>
  <c r="Y335" i="9"/>
  <c r="W335" i="9"/>
  <c r="AA423" i="9"/>
  <c r="Y423" i="9"/>
  <c r="W423" i="9"/>
  <c r="AA455" i="9"/>
  <c r="Y455" i="9"/>
  <c r="W455" i="9"/>
  <c r="AA487" i="9"/>
  <c r="Y487" i="9"/>
  <c r="W487" i="9"/>
  <c r="AA519" i="9"/>
  <c r="Y519" i="9"/>
  <c r="W519" i="9"/>
  <c r="AA551" i="9"/>
  <c r="Y551" i="9"/>
  <c r="W551" i="9"/>
  <c r="AA579" i="9"/>
  <c r="Y579" i="9"/>
  <c r="W579" i="9"/>
  <c r="AA587" i="9"/>
  <c r="Y587" i="9"/>
  <c r="W587" i="9"/>
  <c r="AA607" i="9"/>
  <c r="Y607" i="9"/>
  <c r="W607" i="9"/>
  <c r="AA639" i="9"/>
  <c r="Y639" i="9"/>
  <c r="W639" i="9"/>
  <c r="AA679" i="9"/>
  <c r="Y679" i="9"/>
  <c r="W679" i="9"/>
  <c r="AA711" i="9"/>
  <c r="Y711" i="9"/>
  <c r="W711" i="9"/>
  <c r="AA771" i="9"/>
  <c r="Y771" i="9"/>
  <c r="W771" i="9"/>
  <c r="AA807" i="9"/>
  <c r="Y807" i="9"/>
  <c r="W807" i="9"/>
  <c r="AA839" i="9"/>
  <c r="Y839" i="9"/>
  <c r="W839" i="9"/>
  <c r="AA859" i="9"/>
  <c r="Y859" i="9"/>
  <c r="W859" i="9"/>
  <c r="AA891" i="9"/>
  <c r="Y891" i="9"/>
  <c r="W891" i="9"/>
  <c r="AA923" i="9"/>
  <c r="Y923" i="9"/>
  <c r="W923" i="9"/>
  <c r="AA955" i="9"/>
  <c r="Y955" i="9"/>
  <c r="W955" i="9"/>
  <c r="AA991" i="9"/>
  <c r="Y991" i="9"/>
  <c r="W991" i="9"/>
  <c r="AA1023" i="9"/>
  <c r="Y1023" i="9"/>
  <c r="W1023" i="9"/>
  <c r="AA1055" i="9"/>
  <c r="Y1055" i="9"/>
  <c r="W1055" i="9"/>
  <c r="AA1087" i="9"/>
  <c r="Y1087" i="9"/>
  <c r="W1087" i="9"/>
  <c r="AA1119" i="9"/>
  <c r="Y1119" i="9"/>
  <c r="W1119" i="9"/>
  <c r="AA1151" i="9"/>
  <c r="Y1151" i="9"/>
  <c r="W1151" i="9"/>
  <c r="AA1183" i="9"/>
  <c r="Y1183" i="9"/>
  <c r="W1183" i="9"/>
  <c r="AA1215" i="9"/>
  <c r="Y1215" i="9"/>
  <c r="W1215" i="9"/>
  <c r="AA1247" i="9"/>
  <c r="Y1247" i="9"/>
  <c r="W1247" i="9"/>
  <c r="AA1255" i="9"/>
  <c r="Y1255" i="9"/>
  <c r="W1255" i="9"/>
  <c r="AA1287" i="9"/>
  <c r="Y1287" i="9"/>
  <c r="W1287" i="9"/>
  <c r="AA1311" i="9"/>
  <c r="Y1311" i="9"/>
  <c r="W1311" i="9"/>
  <c r="AA1319" i="9"/>
  <c r="Y1319" i="9"/>
  <c r="W1319" i="9"/>
  <c r="AA1343" i="9"/>
  <c r="W1343" i="9"/>
  <c r="Y1343" i="9"/>
  <c r="AA1351" i="9"/>
  <c r="Y1351" i="9"/>
  <c r="W1351" i="9"/>
  <c r="AA1387" i="9"/>
  <c r="W1387" i="9"/>
  <c r="Y1387" i="9"/>
  <c r="AA1419" i="9"/>
  <c r="W1419" i="9"/>
  <c r="Y1419" i="9"/>
  <c r="AA1451" i="9"/>
  <c r="W1451" i="9"/>
  <c r="Y1451" i="9"/>
  <c r="AA1483" i="9"/>
  <c r="W1483" i="9"/>
  <c r="Y1483" i="9"/>
  <c r="AA1515" i="9"/>
  <c r="W1515" i="9"/>
  <c r="Y1515" i="9"/>
  <c r="AA1547" i="9"/>
  <c r="W1547" i="9"/>
  <c r="Y1547" i="9"/>
  <c r="AA1579" i="9"/>
  <c r="W1579" i="9"/>
  <c r="Y1579" i="9"/>
  <c r="AA1611" i="9"/>
  <c r="W1611" i="9"/>
  <c r="Y1611" i="9"/>
  <c r="AA1643" i="9"/>
  <c r="W1643" i="9"/>
  <c r="Y1643" i="9"/>
  <c r="AA1675" i="9"/>
  <c r="W1675" i="9"/>
  <c r="Y1675" i="9"/>
  <c r="AA1703" i="9"/>
  <c r="Y1703" i="9"/>
  <c r="W1703" i="9"/>
  <c r="AA1727" i="9"/>
  <c r="Y1727" i="9"/>
  <c r="W1727" i="9"/>
  <c r="AA1735" i="9"/>
  <c r="Y1735" i="9"/>
  <c r="W1735" i="9"/>
  <c r="AA1759" i="9"/>
  <c r="Y1759" i="9"/>
  <c r="W1759" i="9"/>
  <c r="AA1767" i="9"/>
  <c r="Y1767" i="9"/>
  <c r="W1767" i="9"/>
  <c r="AA1799" i="9"/>
  <c r="Y1799" i="9"/>
  <c r="W1799" i="9"/>
  <c r="AA1823" i="9"/>
  <c r="Y1823" i="9"/>
  <c r="W1823" i="9"/>
  <c r="AA1831" i="9"/>
  <c r="Y1831" i="9"/>
  <c r="W1831" i="9"/>
  <c r="AA1855" i="9"/>
  <c r="Y1855" i="9"/>
  <c r="W1855" i="9"/>
  <c r="AA1863" i="9"/>
  <c r="Y1863" i="9"/>
  <c r="W1863" i="9"/>
  <c r="AA1875" i="9"/>
  <c r="Y1875" i="9"/>
  <c r="W1875" i="9"/>
  <c r="AA1907" i="9"/>
  <c r="Y1907" i="9"/>
  <c r="W1907" i="9"/>
  <c r="AA1939" i="9"/>
  <c r="Y1939" i="9"/>
  <c r="W1939" i="9"/>
  <c r="AA1971" i="9"/>
  <c r="Y1971" i="9"/>
  <c r="W1971" i="9"/>
  <c r="AA2003" i="9"/>
  <c r="Y2003" i="9"/>
  <c r="W2003" i="9"/>
  <c r="AA2035" i="9"/>
  <c r="Y2035" i="9"/>
  <c r="W2035" i="9"/>
  <c r="AA2067" i="9"/>
  <c r="Y2067" i="9"/>
  <c r="W2067" i="9"/>
  <c r="AA2099" i="9"/>
  <c r="Y2099" i="9"/>
  <c r="W2099" i="9"/>
  <c r="AA2131" i="9"/>
  <c r="Y2131" i="9"/>
  <c r="W2131" i="9"/>
  <c r="AA2163" i="9"/>
  <c r="Y2163" i="9"/>
  <c r="W2163" i="9"/>
  <c r="AA2195" i="9"/>
  <c r="Y2195" i="9"/>
  <c r="W2195" i="9"/>
  <c r="AA2223" i="9"/>
  <c r="Y2223" i="9"/>
  <c r="W2223" i="9"/>
  <c r="AA2227" i="9"/>
  <c r="Y2227" i="9"/>
  <c r="W2227" i="9"/>
  <c r="AA2259" i="9"/>
  <c r="Y2259" i="9"/>
  <c r="W2259" i="9"/>
  <c r="AA2291" i="9"/>
  <c r="Y2291" i="9"/>
  <c r="W2291" i="9"/>
  <c r="AA2323" i="9"/>
  <c r="Y2323" i="9"/>
  <c r="W2323" i="9"/>
  <c r="AA2355" i="9"/>
  <c r="Y2355" i="9"/>
  <c r="W2355" i="9"/>
  <c r="AA2387" i="9"/>
  <c r="Y2387" i="9"/>
  <c r="W2387" i="9"/>
  <c r="AA2419" i="9"/>
  <c r="Y2419" i="9"/>
  <c r="W2419" i="9"/>
  <c r="AA2451" i="9"/>
  <c r="Y2451" i="9"/>
  <c r="W2451" i="9"/>
  <c r="AA2483" i="9"/>
  <c r="Y2483" i="9"/>
  <c r="W2483" i="9"/>
  <c r="AA8" i="9"/>
  <c r="Y8" i="9"/>
  <c r="W8" i="9"/>
  <c r="AA28" i="9"/>
  <c r="Y28" i="9"/>
  <c r="W28" i="9"/>
  <c r="AA44" i="9"/>
  <c r="Y44" i="9"/>
  <c r="W44" i="9"/>
  <c r="AA88" i="9"/>
  <c r="Y88" i="9"/>
  <c r="W88" i="9"/>
  <c r="AA92" i="9"/>
  <c r="Y92" i="9"/>
  <c r="W92" i="9"/>
  <c r="AA104" i="9"/>
  <c r="Y104" i="9"/>
  <c r="W104" i="9"/>
  <c r="AA124" i="9"/>
  <c r="Y124" i="9"/>
  <c r="W124" i="9"/>
  <c r="AA152" i="9"/>
  <c r="Y152" i="9"/>
  <c r="W152" i="9"/>
  <c r="AA156" i="9"/>
  <c r="Y156" i="9"/>
  <c r="W156" i="9"/>
  <c r="AA172" i="9"/>
  <c r="Y172" i="9"/>
  <c r="W172" i="9"/>
  <c r="AA200" i="9"/>
  <c r="Y200" i="9"/>
  <c r="W200" i="9"/>
  <c r="AA204" i="9"/>
  <c r="Y204" i="9"/>
  <c r="W204" i="9"/>
  <c r="AA220" i="9"/>
  <c r="Y220" i="9"/>
  <c r="W220" i="9"/>
  <c r="AA264" i="9"/>
  <c r="Y264" i="9"/>
  <c r="W264" i="9"/>
  <c r="AA268" i="9"/>
  <c r="Y268" i="9"/>
  <c r="W268" i="9"/>
  <c r="AA296" i="9"/>
  <c r="Y296" i="9"/>
  <c r="W296" i="9"/>
  <c r="AA344" i="9"/>
  <c r="Y344" i="9"/>
  <c r="W344" i="9"/>
  <c r="AA364" i="9"/>
  <c r="Y364" i="9"/>
  <c r="W364" i="9"/>
  <c r="AA392" i="9"/>
  <c r="Y392" i="9"/>
  <c r="W392" i="9"/>
  <c r="AA412" i="9"/>
  <c r="Y412" i="9"/>
  <c r="W412" i="9"/>
  <c r="AA428" i="9"/>
  <c r="Y428" i="9"/>
  <c r="W428" i="9"/>
  <c r="AA444" i="9"/>
  <c r="Y444" i="9"/>
  <c r="W444" i="9"/>
  <c r="AA456" i="9"/>
  <c r="Y456" i="9"/>
  <c r="W456" i="9"/>
  <c r="AA476" i="9"/>
  <c r="Y476" i="9"/>
  <c r="W476" i="9"/>
  <c r="AA492" i="9"/>
  <c r="Y492" i="9"/>
  <c r="W492" i="9"/>
  <c r="AA572" i="9"/>
  <c r="Y572" i="9"/>
  <c r="W572" i="9"/>
  <c r="AA588" i="9"/>
  <c r="Y588" i="9"/>
  <c r="W588" i="9"/>
  <c r="AA632" i="9"/>
  <c r="Y632" i="9"/>
  <c r="W632" i="9"/>
  <c r="AA652" i="9"/>
  <c r="Y652" i="9"/>
  <c r="W652" i="9"/>
  <c r="AA664" i="9"/>
  <c r="Y664" i="9"/>
  <c r="W664" i="9"/>
  <c r="AA684" i="9"/>
  <c r="Y684" i="9"/>
  <c r="W684" i="9"/>
  <c r="AA712" i="9"/>
  <c r="Y712" i="9"/>
  <c r="W712" i="9"/>
  <c r="AA728" i="9"/>
  <c r="Y728" i="9"/>
  <c r="W728" i="9"/>
  <c r="AA732" i="9"/>
  <c r="Y732" i="9"/>
  <c r="W732" i="9"/>
  <c r="AA760" i="9"/>
  <c r="Y760" i="9"/>
  <c r="W760" i="9"/>
  <c r="AA792" i="9"/>
  <c r="Y792" i="9"/>
  <c r="W792" i="9"/>
  <c r="AA840" i="9"/>
  <c r="Y840" i="9"/>
  <c r="W840" i="9"/>
  <c r="AA872" i="9"/>
  <c r="Y872" i="9"/>
  <c r="W872" i="9"/>
  <c r="AA904" i="9"/>
  <c r="Y904" i="9"/>
  <c r="W904" i="9"/>
  <c r="AA936" i="9"/>
  <c r="Y936" i="9"/>
  <c r="W936" i="9"/>
  <c r="AA968" i="9"/>
  <c r="Y968" i="9"/>
  <c r="W968" i="9"/>
  <c r="AA1096" i="9"/>
  <c r="Y1096" i="9"/>
  <c r="W1096" i="9"/>
  <c r="AA1128" i="9"/>
  <c r="Y1128" i="9"/>
  <c r="W1128" i="9"/>
  <c r="AA1144" i="9"/>
  <c r="Y1144" i="9"/>
  <c r="W1144" i="9"/>
  <c r="AA1160" i="9"/>
  <c r="Y1160" i="9"/>
  <c r="W1160" i="9"/>
  <c r="AA1192" i="9"/>
  <c r="Y1192" i="9"/>
  <c r="W1192" i="9"/>
  <c r="D18" i="9"/>
  <c r="AA292" i="9"/>
  <c r="Y292" i="9"/>
  <c r="W292" i="9"/>
  <c r="AA308" i="9"/>
  <c r="Y308" i="9"/>
  <c r="W308" i="9"/>
  <c r="AA324" i="9"/>
  <c r="Y324" i="9"/>
  <c r="W324" i="9"/>
  <c r="AA340" i="9"/>
  <c r="Y340" i="9"/>
  <c r="W340" i="9"/>
  <c r="AA356" i="9"/>
  <c r="Y356" i="9"/>
  <c r="W356" i="9"/>
  <c r="AA372" i="9"/>
  <c r="Y372" i="9"/>
  <c r="W372" i="9"/>
  <c r="AA388" i="9"/>
  <c r="Y388" i="9"/>
  <c r="W388" i="9"/>
  <c r="AA404" i="9"/>
  <c r="Y404" i="9"/>
  <c r="W404" i="9"/>
  <c r="AA420" i="9"/>
  <c r="Y420" i="9"/>
  <c r="W420" i="9"/>
  <c r="AA436" i="9"/>
  <c r="Y436" i="9"/>
  <c r="W436" i="9"/>
  <c r="AA452" i="9"/>
  <c r="Y452" i="9"/>
  <c r="W452" i="9"/>
  <c r="AA468" i="9"/>
  <c r="Y468" i="9"/>
  <c r="W468" i="9"/>
  <c r="AA484" i="9"/>
  <c r="Y484" i="9"/>
  <c r="W484" i="9"/>
  <c r="AA500" i="9"/>
  <c r="Y500" i="9"/>
  <c r="W500" i="9"/>
  <c r="AA516" i="9"/>
  <c r="Y516" i="9"/>
  <c r="W516" i="9"/>
  <c r="AA532" i="9"/>
  <c r="Y532" i="9"/>
  <c r="W532" i="9"/>
  <c r="AA548" i="9"/>
  <c r="Y548" i="9"/>
  <c r="W548" i="9"/>
  <c r="AA564" i="9"/>
  <c r="Y564" i="9"/>
  <c r="W564" i="9"/>
  <c r="AA580" i="9"/>
  <c r="Y580" i="9"/>
  <c r="W580" i="9"/>
  <c r="AA596" i="9"/>
  <c r="Y596" i="9"/>
  <c r="W596" i="9"/>
  <c r="AA612" i="9"/>
  <c r="Y612" i="9"/>
  <c r="W612" i="9"/>
  <c r="AA628" i="9"/>
  <c r="Y628" i="9"/>
  <c r="W628" i="9"/>
  <c r="AA644" i="9"/>
  <c r="Y644" i="9"/>
  <c r="W644" i="9"/>
  <c r="AA660" i="9"/>
  <c r="Y660" i="9"/>
  <c r="W660" i="9"/>
  <c r="AA676" i="9"/>
  <c r="Y676" i="9"/>
  <c r="W676" i="9"/>
  <c r="AA692" i="9"/>
  <c r="Y692" i="9"/>
  <c r="W692" i="9"/>
  <c r="AA708" i="9"/>
  <c r="Y708" i="9"/>
  <c r="W708" i="9"/>
  <c r="AA724" i="9"/>
  <c r="Y724" i="9"/>
  <c r="W724" i="9"/>
  <c r="AA740" i="9"/>
  <c r="Y740" i="9"/>
  <c r="W740" i="9"/>
  <c r="AA756" i="9"/>
  <c r="Y756" i="9"/>
  <c r="W756" i="9"/>
  <c r="AA772" i="9"/>
  <c r="Y772" i="9"/>
  <c r="W772" i="9"/>
  <c r="AA788" i="9"/>
  <c r="Y788" i="9"/>
  <c r="W788" i="9"/>
  <c r="AA804" i="9"/>
  <c r="Y804" i="9"/>
  <c r="W804" i="9"/>
  <c r="AA820" i="9"/>
  <c r="Y820" i="9"/>
  <c r="W820" i="9"/>
  <c r="AA836" i="9"/>
  <c r="Y836" i="9"/>
  <c r="W836" i="9"/>
  <c r="AA852" i="9"/>
  <c r="Y852" i="9"/>
  <c r="W852" i="9"/>
  <c r="AA868" i="9"/>
  <c r="Y868" i="9"/>
  <c r="W868" i="9"/>
  <c r="AA884" i="9"/>
  <c r="Y884" i="9"/>
  <c r="W884" i="9"/>
  <c r="AA900" i="9"/>
  <c r="Y900" i="9"/>
  <c r="W900" i="9"/>
  <c r="AA916" i="9"/>
  <c r="Y916" i="9"/>
  <c r="W916" i="9"/>
  <c r="AA932" i="9"/>
  <c r="Y932" i="9"/>
  <c r="W932" i="9"/>
  <c r="AA948" i="9"/>
  <c r="Y948" i="9"/>
  <c r="W948" i="9"/>
  <c r="AA964" i="9"/>
  <c r="Y964" i="9"/>
  <c r="W964" i="9"/>
  <c r="AA980" i="9"/>
  <c r="Y980" i="9"/>
  <c r="W980" i="9"/>
  <c r="AA996" i="9"/>
  <c r="Y996" i="9"/>
  <c r="W996" i="9"/>
  <c r="AA1012" i="9"/>
  <c r="Y1012" i="9"/>
  <c r="W1012" i="9"/>
  <c r="AA1028" i="9"/>
  <c r="Y1028" i="9"/>
  <c r="W1028" i="9"/>
  <c r="AA1044" i="9"/>
  <c r="Y1044" i="9"/>
  <c r="W1044" i="9"/>
  <c r="AA1060" i="9"/>
  <c r="Y1060" i="9"/>
  <c r="W1060" i="9"/>
  <c r="AA1076" i="9"/>
  <c r="Y1076" i="9"/>
  <c r="W1076" i="9"/>
  <c r="AA1092" i="9"/>
  <c r="Y1092" i="9"/>
  <c r="W1092" i="9"/>
  <c r="AA1108" i="9"/>
  <c r="Y1108" i="9"/>
  <c r="W1108" i="9"/>
  <c r="AA1124" i="9"/>
  <c r="Y1124" i="9"/>
  <c r="W1124" i="9"/>
  <c r="AA1140" i="9"/>
  <c r="Y1140" i="9"/>
  <c r="W1140" i="9"/>
  <c r="AA1156" i="9"/>
  <c r="Y1156" i="9"/>
  <c r="W1156" i="9"/>
  <c r="AA1172" i="9"/>
  <c r="Y1172" i="9"/>
  <c r="W1172" i="9"/>
  <c r="AA1188" i="9"/>
  <c r="Y1188" i="9"/>
  <c r="W1188" i="9"/>
  <c r="AA1204" i="9"/>
  <c r="Y1204" i="9"/>
  <c r="W1204" i="9"/>
  <c r="AA1220" i="9"/>
  <c r="Y1220" i="9"/>
  <c r="W1220" i="9"/>
  <c r="AA1236" i="9"/>
  <c r="Y1236" i="9"/>
  <c r="W1236" i="9"/>
  <c r="AA1240" i="9"/>
  <c r="Y1240" i="9"/>
  <c r="W1240" i="9"/>
  <c r="AA1256" i="9"/>
  <c r="Y1256" i="9"/>
  <c r="W1256" i="9"/>
  <c r="AA1272" i="9"/>
  <c r="Y1272" i="9"/>
  <c r="W1272" i="9"/>
  <c r="AA1288" i="9"/>
  <c r="Y1288" i="9"/>
  <c r="W1288" i="9"/>
  <c r="AA1304" i="9"/>
  <c r="Y1304" i="9"/>
  <c r="W1304" i="9"/>
  <c r="AA1320" i="9"/>
  <c r="Y1320" i="9"/>
  <c r="W1320" i="9"/>
  <c r="AA1336" i="9"/>
  <c r="Y1336" i="9"/>
  <c r="W1336" i="9"/>
  <c r="AA1352" i="9"/>
  <c r="Y1352" i="9"/>
  <c r="W1352" i="9"/>
  <c r="AA1368" i="9"/>
  <c r="Y1368" i="9"/>
  <c r="W1368" i="9"/>
  <c r="AA1384" i="9"/>
  <c r="Y1384" i="9"/>
  <c r="W1384" i="9"/>
  <c r="AA1400" i="9"/>
  <c r="Y1400" i="9"/>
  <c r="W1400" i="9"/>
  <c r="AA1416" i="9"/>
  <c r="Y1416" i="9"/>
  <c r="W1416" i="9"/>
  <c r="AA1432" i="9"/>
  <c r="Y1432" i="9"/>
  <c r="W1432" i="9"/>
  <c r="AA1448" i="9"/>
  <c r="Y1448" i="9"/>
  <c r="W1448" i="9"/>
  <c r="AA1464" i="9"/>
  <c r="Y1464" i="9"/>
  <c r="W1464" i="9"/>
  <c r="AA1480" i="9"/>
  <c r="Y1480" i="9"/>
  <c r="W1480" i="9"/>
  <c r="AA1496" i="9"/>
  <c r="Y1496" i="9"/>
  <c r="W1496" i="9"/>
  <c r="AA1512" i="9"/>
  <c r="Y1512" i="9"/>
  <c r="W1512" i="9"/>
  <c r="AA1528" i="9"/>
  <c r="Y1528" i="9"/>
  <c r="W1528" i="9"/>
  <c r="AA1544" i="9"/>
  <c r="Y1544" i="9"/>
  <c r="W1544" i="9"/>
  <c r="AA1560" i="9"/>
  <c r="Y1560" i="9"/>
  <c r="W1560" i="9"/>
  <c r="AA1576" i="9"/>
  <c r="Y1576" i="9"/>
  <c r="W1576" i="9"/>
  <c r="AA1592" i="9"/>
  <c r="Y1592" i="9"/>
  <c r="W1592" i="9"/>
  <c r="AA1608" i="9"/>
  <c r="Y1608" i="9"/>
  <c r="W1608" i="9"/>
  <c r="AA1624" i="9"/>
  <c r="Y1624" i="9"/>
  <c r="W1624" i="9"/>
  <c r="AA1640" i="9"/>
  <c r="Y1640" i="9"/>
  <c r="W1640" i="9"/>
  <c r="AA1656" i="9"/>
  <c r="Y1656" i="9"/>
  <c r="W1656" i="9"/>
  <c r="AA1672" i="9"/>
  <c r="Y1672" i="9"/>
  <c r="W1672" i="9"/>
  <c r="AA1688" i="9"/>
  <c r="Y1688" i="9"/>
  <c r="W1688" i="9"/>
  <c r="AA1704" i="9"/>
  <c r="Y1704" i="9"/>
  <c r="W1704" i="9"/>
  <c r="AA1720" i="9"/>
  <c r="Y1720" i="9"/>
  <c r="W1720" i="9"/>
  <c r="AA1736" i="9"/>
  <c r="Y1736" i="9"/>
  <c r="W1736" i="9"/>
  <c r="AA1752" i="9"/>
  <c r="Y1752" i="9"/>
  <c r="W1752" i="9"/>
  <c r="AA1768" i="9"/>
  <c r="Y1768" i="9"/>
  <c r="W1768" i="9"/>
  <c r="AA1784" i="9"/>
  <c r="Y1784" i="9"/>
  <c r="W1784" i="9"/>
  <c r="AA1800" i="9"/>
  <c r="Y1800" i="9"/>
  <c r="W1800" i="9"/>
  <c r="AA1816" i="9"/>
  <c r="Y1816" i="9"/>
  <c r="W1816" i="9"/>
  <c r="AA1832" i="9"/>
  <c r="Y1832" i="9"/>
  <c r="W1832" i="9"/>
  <c r="AA1848" i="9"/>
  <c r="Y1848" i="9"/>
  <c r="W1848" i="9"/>
  <c r="AA1864" i="9"/>
  <c r="Y1864" i="9"/>
  <c r="W1864" i="9"/>
  <c r="AA1880" i="9"/>
  <c r="Y1880" i="9"/>
  <c r="W1880" i="9"/>
  <c r="AA1896" i="9"/>
  <c r="Y1896" i="9"/>
  <c r="W1896" i="9"/>
  <c r="AA1912" i="9"/>
  <c r="Y1912" i="9"/>
  <c r="W1912" i="9"/>
  <c r="AA1928" i="9"/>
  <c r="Y1928" i="9"/>
  <c r="W1928" i="9"/>
  <c r="AA1944" i="9"/>
  <c r="Y1944" i="9"/>
  <c r="W1944" i="9"/>
  <c r="AA1960" i="9"/>
  <c r="Y1960" i="9"/>
  <c r="W1960" i="9"/>
  <c r="AA1976" i="9"/>
  <c r="Y1976" i="9"/>
  <c r="W1976" i="9"/>
  <c r="AA1992" i="9"/>
  <c r="Y1992" i="9"/>
  <c r="W1992" i="9"/>
  <c r="AA2008" i="9"/>
  <c r="Y2008" i="9"/>
  <c r="W2008" i="9"/>
  <c r="AA2024" i="9"/>
  <c r="Y2024" i="9"/>
  <c r="W2024" i="9"/>
  <c r="AA2040" i="9"/>
  <c r="Y2040" i="9"/>
  <c r="W2040" i="9"/>
  <c r="AA2056" i="9"/>
  <c r="Y2056" i="9"/>
  <c r="W2056" i="9"/>
  <c r="AA2072" i="9"/>
  <c r="Y2072" i="9"/>
  <c r="W2072" i="9"/>
  <c r="AA2088" i="9"/>
  <c r="Y2088" i="9"/>
  <c r="W2088" i="9"/>
  <c r="AA2104" i="9"/>
  <c r="Y2104" i="9"/>
  <c r="W2104" i="9"/>
  <c r="AA2120" i="9"/>
  <c r="Y2120" i="9"/>
  <c r="W2120" i="9"/>
  <c r="AA2136" i="9"/>
  <c r="Y2136" i="9"/>
  <c r="W2136" i="9"/>
  <c r="AA2152" i="9"/>
  <c r="Y2152" i="9"/>
  <c r="W2152" i="9"/>
  <c r="AA2168" i="9"/>
  <c r="Y2168" i="9"/>
  <c r="W2168" i="9"/>
  <c r="AA2184" i="9"/>
  <c r="Y2184" i="9"/>
  <c r="W2184" i="9"/>
  <c r="AA2200" i="9"/>
  <c r="Y2200" i="9"/>
  <c r="W2200" i="9"/>
  <c r="AA2216" i="9"/>
  <c r="Y2216" i="9"/>
  <c r="W2216" i="9"/>
  <c r="AA2232" i="9"/>
  <c r="Y2232" i="9"/>
  <c r="W2232" i="9"/>
  <c r="AA2248" i="9"/>
  <c r="Y2248" i="9"/>
  <c r="W2248" i="9"/>
  <c r="AA2264" i="9"/>
  <c r="Y2264" i="9"/>
  <c r="W2264" i="9"/>
  <c r="AA2280" i="9"/>
  <c r="Y2280" i="9"/>
  <c r="W2280" i="9"/>
  <c r="AA2296" i="9"/>
  <c r="Y2296" i="9"/>
  <c r="W2296" i="9"/>
  <c r="AA2312" i="9"/>
  <c r="Y2312" i="9"/>
  <c r="W2312" i="9"/>
  <c r="AA2328" i="9"/>
  <c r="Y2328" i="9"/>
  <c r="W2328" i="9"/>
  <c r="AA2344" i="9"/>
  <c r="Y2344" i="9"/>
  <c r="W2344" i="9"/>
  <c r="AA2360" i="9"/>
  <c r="Y2360" i="9"/>
  <c r="W2360" i="9"/>
  <c r="AA2376" i="9"/>
  <c r="Y2376" i="9"/>
  <c r="W2376" i="9"/>
  <c r="AA2392" i="9"/>
  <c r="Y2392" i="9"/>
  <c r="W2392" i="9"/>
  <c r="AA2408" i="9"/>
  <c r="Y2408" i="9"/>
  <c r="W2408" i="9"/>
  <c r="AA2424" i="9"/>
  <c r="Y2424" i="9"/>
  <c r="W2424" i="9"/>
  <c r="AA2440" i="9"/>
  <c r="Y2440" i="9"/>
  <c r="W2440" i="9"/>
  <c r="AA2456" i="9"/>
  <c r="Y2456" i="9"/>
  <c r="W2456" i="9"/>
  <c r="AA2472" i="9"/>
  <c r="Y2472" i="9"/>
  <c r="W2472" i="9"/>
  <c r="AA2488" i="9"/>
  <c r="Y2488" i="9"/>
  <c r="W2488" i="9"/>
  <c r="AA5" i="9"/>
  <c r="Y5" i="9"/>
  <c r="W5" i="9"/>
  <c r="AA9" i="9"/>
  <c r="Y9" i="9"/>
  <c r="W9" i="9"/>
  <c r="AA21" i="9"/>
  <c r="Y21" i="9"/>
  <c r="W21" i="9"/>
  <c r="AA25" i="9"/>
  <c r="Y25" i="9"/>
  <c r="W25" i="9"/>
  <c r="AA37" i="9"/>
  <c r="Y37" i="9"/>
  <c r="W37" i="9"/>
  <c r="AA41" i="9"/>
  <c r="Y41" i="9"/>
  <c r="W41" i="9"/>
  <c r="AA53" i="9"/>
  <c r="Y53" i="9"/>
  <c r="W53" i="9"/>
  <c r="AA57" i="9"/>
  <c r="Y57" i="9"/>
  <c r="W57" i="9"/>
  <c r="AA69" i="9"/>
  <c r="Y69" i="9"/>
  <c r="W69" i="9"/>
  <c r="AA73" i="9"/>
  <c r="Y73" i="9"/>
  <c r="W73" i="9"/>
  <c r="AA85" i="9"/>
  <c r="Y85" i="9"/>
  <c r="W85" i="9"/>
  <c r="AA89" i="9"/>
  <c r="Y89" i="9"/>
  <c r="W89" i="9"/>
  <c r="AA101" i="9"/>
  <c r="Y101" i="9"/>
  <c r="W101" i="9"/>
  <c r="AA105" i="9"/>
  <c r="Y105" i="9"/>
  <c r="W105" i="9"/>
  <c r="AA117" i="9"/>
  <c r="Y117" i="9"/>
  <c r="W117" i="9"/>
  <c r="AA121" i="9"/>
  <c r="Y121" i="9"/>
  <c r="W121" i="9"/>
  <c r="AA133" i="9"/>
  <c r="Y133" i="9"/>
  <c r="W133" i="9"/>
  <c r="AA137" i="9"/>
  <c r="Y137" i="9"/>
  <c r="W137" i="9"/>
  <c r="AA149" i="9"/>
  <c r="Y149" i="9"/>
  <c r="W149" i="9"/>
  <c r="AA153" i="9"/>
  <c r="Y153" i="9"/>
  <c r="W153" i="9"/>
  <c r="AA165" i="9"/>
  <c r="Y165" i="9"/>
  <c r="W165" i="9"/>
  <c r="AA169" i="9"/>
  <c r="Y169" i="9"/>
  <c r="W169" i="9"/>
  <c r="AA181" i="9"/>
  <c r="Y181" i="9"/>
  <c r="W181" i="9"/>
  <c r="AA185" i="9"/>
  <c r="Y185" i="9"/>
  <c r="W185" i="9"/>
  <c r="AA197" i="9"/>
  <c r="Y197" i="9"/>
  <c r="W197" i="9"/>
  <c r="AA201" i="9"/>
  <c r="Y201" i="9"/>
  <c r="W201" i="9"/>
  <c r="AA213" i="9"/>
  <c r="Y213" i="9"/>
  <c r="W213" i="9"/>
  <c r="AA217" i="9"/>
  <c r="Y217" i="9"/>
  <c r="W217" i="9"/>
  <c r="AA229" i="9"/>
  <c r="Y229" i="9"/>
  <c r="W229" i="9"/>
  <c r="AA233" i="9"/>
  <c r="Y233" i="9"/>
  <c r="W233" i="9"/>
  <c r="AA245" i="9"/>
  <c r="Y245" i="9"/>
  <c r="W245" i="9"/>
  <c r="AA249" i="9"/>
  <c r="Y249" i="9"/>
  <c r="W249" i="9"/>
  <c r="AA261" i="9"/>
  <c r="Y261" i="9"/>
  <c r="W261" i="9"/>
  <c r="AA265" i="9"/>
  <c r="Y265" i="9"/>
  <c r="W265" i="9"/>
  <c r="AA277" i="9"/>
  <c r="Y277" i="9"/>
  <c r="W277" i="9"/>
  <c r="AA281" i="9"/>
  <c r="Y281" i="9"/>
  <c r="W281" i="9"/>
  <c r="AA293" i="9"/>
  <c r="Y293" i="9"/>
  <c r="W293" i="9"/>
  <c r="AA309" i="9"/>
  <c r="Y309" i="9"/>
  <c r="W309" i="9"/>
  <c r="AA313" i="9"/>
  <c r="Y313" i="9"/>
  <c r="W313" i="9"/>
  <c r="AA325" i="9"/>
  <c r="Y325" i="9"/>
  <c r="W325" i="9"/>
  <c r="AA341" i="9"/>
  <c r="Y341" i="9"/>
  <c r="W341" i="9"/>
  <c r="AA345" i="9"/>
  <c r="Y345" i="9"/>
  <c r="W345" i="9"/>
  <c r="AA357" i="9"/>
  <c r="Y357" i="9"/>
  <c r="W357" i="9"/>
  <c r="AA373" i="9"/>
  <c r="Y373" i="9"/>
  <c r="W373" i="9"/>
  <c r="AA377" i="9"/>
  <c r="Y377" i="9"/>
  <c r="W377" i="9"/>
  <c r="AA389" i="9"/>
  <c r="Y389" i="9"/>
  <c r="W389" i="9"/>
  <c r="AA405" i="9"/>
  <c r="Y405" i="9"/>
  <c r="W405" i="9"/>
  <c r="AA409" i="9"/>
  <c r="Y409" i="9"/>
  <c r="W409" i="9"/>
  <c r="AA421" i="9"/>
  <c r="Y421" i="9"/>
  <c r="W421" i="9"/>
  <c r="AA437" i="9"/>
  <c r="Y437" i="9"/>
  <c r="W437" i="9"/>
  <c r="AA441" i="9"/>
  <c r="Y441" i="9"/>
  <c r="W441" i="9"/>
  <c r="AA453" i="9"/>
  <c r="Y453" i="9"/>
  <c r="W453" i="9"/>
  <c r="AA469" i="9"/>
  <c r="Y469" i="9"/>
  <c r="W469" i="9"/>
  <c r="AA473" i="9"/>
  <c r="Y473" i="9"/>
  <c r="W473" i="9"/>
  <c r="AA485" i="9"/>
  <c r="Y485" i="9"/>
  <c r="W485" i="9"/>
  <c r="AA501" i="9"/>
  <c r="Y501" i="9"/>
  <c r="W501" i="9"/>
  <c r="AA505" i="9"/>
  <c r="Y505" i="9"/>
  <c r="W505" i="9"/>
  <c r="AA517" i="9"/>
  <c r="Y517" i="9"/>
  <c r="W517" i="9"/>
  <c r="AA533" i="9"/>
  <c r="Y533" i="9"/>
  <c r="W533" i="9"/>
  <c r="AA537" i="9"/>
  <c r="Y537" i="9"/>
  <c r="W537" i="9"/>
  <c r="AA549" i="9"/>
  <c r="Y549" i="9"/>
  <c r="W549" i="9"/>
  <c r="AA565" i="9"/>
  <c r="Y565" i="9"/>
  <c r="W565" i="9"/>
  <c r="AA569" i="9"/>
  <c r="Y569" i="9"/>
  <c r="W569" i="9"/>
  <c r="AA581" i="9"/>
  <c r="Y581" i="9"/>
  <c r="W581" i="9"/>
  <c r="AA597" i="9"/>
  <c r="Y597" i="9"/>
  <c r="W597" i="9"/>
  <c r="AA601" i="9"/>
  <c r="Y601" i="9"/>
  <c r="W601" i="9"/>
  <c r="AA613" i="9"/>
  <c r="Y613" i="9"/>
  <c r="W613" i="9"/>
  <c r="AA629" i="9"/>
  <c r="Y629" i="9"/>
  <c r="W629" i="9"/>
  <c r="AA633" i="9"/>
  <c r="Y633" i="9"/>
  <c r="W633" i="9"/>
  <c r="AA645" i="9"/>
  <c r="Y645" i="9"/>
  <c r="W645" i="9"/>
  <c r="AA661" i="9"/>
  <c r="Y661" i="9"/>
  <c r="W661" i="9"/>
  <c r="AA665" i="9"/>
  <c r="Y665" i="9"/>
  <c r="W665" i="9"/>
  <c r="AA677" i="9"/>
  <c r="Y677" i="9"/>
  <c r="W677" i="9"/>
  <c r="AA693" i="9"/>
  <c r="Y693" i="9"/>
  <c r="W693" i="9"/>
  <c r="AA697" i="9"/>
  <c r="Y697" i="9"/>
  <c r="W697" i="9"/>
  <c r="AA709" i="9"/>
  <c r="Y709" i="9"/>
  <c r="W709" i="9"/>
  <c r="AA725" i="9"/>
  <c r="Y725" i="9"/>
  <c r="W725" i="9"/>
  <c r="AA729" i="9"/>
  <c r="Y729" i="9"/>
  <c r="W729" i="9"/>
  <c r="AA741" i="9"/>
  <c r="Y741" i="9"/>
  <c r="W741" i="9"/>
  <c r="AA745" i="9"/>
  <c r="Y745" i="9"/>
  <c r="W745" i="9"/>
  <c r="AA757" i="9"/>
  <c r="Y757" i="9"/>
  <c r="W757" i="9"/>
  <c r="AA761" i="9"/>
  <c r="Y761" i="9"/>
  <c r="W761" i="9"/>
  <c r="AA773" i="9"/>
  <c r="Y773" i="9"/>
  <c r="W773" i="9"/>
  <c r="AA777" i="9"/>
  <c r="Y777" i="9"/>
  <c r="W777" i="9"/>
  <c r="AA789" i="9"/>
  <c r="Y789" i="9"/>
  <c r="W789" i="9"/>
  <c r="AA793" i="9"/>
  <c r="Y793" i="9"/>
  <c r="W793" i="9"/>
  <c r="AA805" i="9"/>
  <c r="Y805" i="9"/>
  <c r="W805" i="9"/>
  <c r="AA809" i="9"/>
  <c r="Y809" i="9"/>
  <c r="W809" i="9"/>
  <c r="AA821" i="9"/>
  <c r="Y821" i="9"/>
  <c r="W821" i="9"/>
  <c r="AA825" i="9"/>
  <c r="Y825" i="9"/>
  <c r="W825" i="9"/>
  <c r="AA837" i="9"/>
  <c r="Y837" i="9"/>
  <c r="W837" i="9"/>
  <c r="AA841" i="9"/>
  <c r="Y841" i="9"/>
  <c r="W841" i="9"/>
  <c r="AA853" i="9"/>
  <c r="Y853" i="9"/>
  <c r="W853" i="9"/>
  <c r="AA857" i="9"/>
  <c r="Y857" i="9"/>
  <c r="W857" i="9"/>
  <c r="AA869" i="9"/>
  <c r="Y869" i="9"/>
  <c r="W869" i="9"/>
  <c r="AA873" i="9"/>
  <c r="Y873" i="9"/>
  <c r="W873" i="9"/>
  <c r="AA885" i="9"/>
  <c r="Y885" i="9"/>
  <c r="W885" i="9"/>
  <c r="AA889" i="9"/>
  <c r="Y889" i="9"/>
  <c r="W889" i="9"/>
  <c r="AA901" i="9"/>
  <c r="Y901" i="9"/>
  <c r="W901" i="9"/>
  <c r="AA905" i="9"/>
  <c r="Y905" i="9"/>
  <c r="W905" i="9"/>
  <c r="AA917" i="9"/>
  <c r="Y917" i="9"/>
  <c r="W917" i="9"/>
  <c r="AA921" i="9"/>
  <c r="Y921" i="9"/>
  <c r="W921" i="9"/>
  <c r="AA933" i="9"/>
  <c r="Y933" i="9"/>
  <c r="W933" i="9"/>
  <c r="AA937" i="9"/>
  <c r="Y937" i="9"/>
  <c r="W937" i="9"/>
  <c r="AA949" i="9"/>
  <c r="Y949" i="9"/>
  <c r="W949" i="9"/>
  <c r="AA953" i="9"/>
  <c r="Y953" i="9"/>
  <c r="W953" i="9"/>
  <c r="AA965" i="9"/>
  <c r="Y965" i="9"/>
  <c r="W965" i="9"/>
  <c r="AA969" i="9"/>
  <c r="Y969" i="9"/>
  <c r="W969" i="9"/>
  <c r="AA981" i="9"/>
  <c r="Y981" i="9"/>
  <c r="W981" i="9"/>
  <c r="AA985" i="9"/>
  <c r="Y985" i="9"/>
  <c r="W985" i="9"/>
  <c r="AA997" i="9"/>
  <c r="Y997" i="9"/>
  <c r="W997" i="9"/>
  <c r="AA1001" i="9"/>
  <c r="Y1001" i="9"/>
  <c r="W1001" i="9"/>
  <c r="AA1013" i="9"/>
  <c r="Y1013" i="9"/>
  <c r="W1013" i="9"/>
  <c r="AA1017" i="9"/>
  <c r="Y1017" i="9"/>
  <c r="W1017" i="9"/>
  <c r="AA1029" i="9"/>
  <c r="Y1029" i="9"/>
  <c r="W1029" i="9"/>
  <c r="AA1033" i="9"/>
  <c r="Y1033" i="9"/>
  <c r="W1033" i="9"/>
  <c r="AA1045" i="9"/>
  <c r="Y1045" i="9"/>
  <c r="W1045" i="9"/>
  <c r="AA1049" i="9"/>
  <c r="Y1049" i="9"/>
  <c r="W1049" i="9"/>
  <c r="AA1061" i="9"/>
  <c r="Y1061" i="9"/>
  <c r="W1061" i="9"/>
  <c r="AA1065" i="9"/>
  <c r="Y1065" i="9"/>
  <c r="W1065" i="9"/>
  <c r="AA1077" i="9"/>
  <c r="Y1077" i="9"/>
  <c r="W1077" i="9"/>
  <c r="AA1081" i="9"/>
  <c r="Y1081" i="9"/>
  <c r="W1081" i="9"/>
  <c r="AA1093" i="9"/>
  <c r="Y1093" i="9"/>
  <c r="W1093" i="9"/>
  <c r="AA1097" i="9"/>
  <c r="Y1097" i="9"/>
  <c r="W1097" i="9"/>
  <c r="AA1109" i="9"/>
  <c r="Y1109" i="9"/>
  <c r="W1109" i="9"/>
  <c r="AA1113" i="9"/>
  <c r="Y1113" i="9"/>
  <c r="W1113" i="9"/>
  <c r="AA1125" i="9"/>
  <c r="Y1125" i="9"/>
  <c r="W1125" i="9"/>
  <c r="AA1129" i="9"/>
  <c r="Y1129" i="9"/>
  <c r="W1129" i="9"/>
  <c r="AA1141" i="9"/>
  <c r="Y1141" i="9"/>
  <c r="W1141" i="9"/>
  <c r="AA1145" i="9"/>
  <c r="Y1145" i="9"/>
  <c r="W1145" i="9"/>
  <c r="AA1157" i="9"/>
  <c r="Y1157" i="9"/>
  <c r="W1157" i="9"/>
  <c r="AA1161" i="9"/>
  <c r="Y1161" i="9"/>
  <c r="W1161" i="9"/>
  <c r="AA1173" i="9"/>
  <c r="Y1173" i="9"/>
  <c r="W1173" i="9"/>
  <c r="AA1177" i="9"/>
  <c r="Y1177" i="9"/>
  <c r="W1177" i="9"/>
  <c r="AA1189" i="9"/>
  <c r="Y1189" i="9"/>
  <c r="W1189" i="9"/>
  <c r="AA1193" i="9"/>
  <c r="Y1193" i="9"/>
  <c r="W1193" i="9"/>
  <c r="AA1205" i="9"/>
  <c r="Y1205" i="9"/>
  <c r="W1205" i="9"/>
  <c r="AA1209" i="9"/>
  <c r="Y1209" i="9"/>
  <c r="W1209" i="9"/>
  <c r="AA1221" i="9"/>
  <c r="Y1221" i="9"/>
  <c r="W1221" i="9"/>
  <c r="AA1225" i="9"/>
  <c r="Y1225" i="9"/>
  <c r="W1225" i="9"/>
  <c r="AA1237" i="9"/>
  <c r="Y1237" i="9"/>
  <c r="W1237" i="9"/>
  <c r="AA1241" i="9"/>
  <c r="Y1241" i="9"/>
  <c r="W1241" i="9"/>
  <c r="AA1257" i="9"/>
  <c r="Y1257" i="9"/>
  <c r="W1257" i="9"/>
  <c r="AA1273" i="9"/>
  <c r="Y1273" i="9"/>
  <c r="W1273" i="9"/>
  <c r="AA1289" i="9"/>
  <c r="Y1289" i="9"/>
  <c r="W1289" i="9"/>
  <c r="AA1305" i="9"/>
  <c r="Y1305" i="9"/>
  <c r="W1305" i="9"/>
  <c r="AA1321" i="9"/>
  <c r="Y1321" i="9"/>
  <c r="W1321" i="9"/>
  <c r="AA1337" i="9"/>
  <c r="Y1337" i="9"/>
  <c r="W1337" i="9"/>
  <c r="AA1353" i="9"/>
  <c r="Y1353" i="9"/>
  <c r="W1353" i="9"/>
  <c r="AA1369" i="9"/>
  <c r="Y1369" i="9"/>
  <c r="W1369" i="9"/>
  <c r="AA1385" i="9"/>
  <c r="Y1385" i="9"/>
  <c r="W1385" i="9"/>
  <c r="AA1401" i="9"/>
  <c r="Y1401" i="9"/>
  <c r="W1401" i="9"/>
  <c r="AA1417" i="9"/>
  <c r="Y1417" i="9"/>
  <c r="W1417" i="9"/>
  <c r="AA1433" i="9"/>
  <c r="Y1433" i="9"/>
  <c r="W1433" i="9"/>
  <c r="AA1449" i="9"/>
  <c r="Y1449" i="9"/>
  <c r="W1449" i="9"/>
  <c r="AA1465" i="9"/>
  <c r="Y1465" i="9"/>
  <c r="W1465" i="9"/>
  <c r="AA1481" i="9"/>
  <c r="Y1481" i="9"/>
  <c r="W1481" i="9"/>
  <c r="AA1497" i="9"/>
  <c r="Y1497" i="9"/>
  <c r="W1497" i="9"/>
  <c r="AA1513" i="9"/>
  <c r="Y1513" i="9"/>
  <c r="W1513" i="9"/>
  <c r="AA1529" i="9"/>
  <c r="Y1529" i="9"/>
  <c r="W1529" i="9"/>
  <c r="AA1545" i="9"/>
  <c r="Y1545" i="9"/>
  <c r="W1545" i="9"/>
  <c r="AA1561" i="9"/>
  <c r="Y1561" i="9"/>
  <c r="W1561" i="9"/>
  <c r="AA1577" i="9"/>
  <c r="Y1577" i="9"/>
  <c r="W1577" i="9"/>
  <c r="AA1593" i="9"/>
  <c r="Y1593" i="9"/>
  <c r="W1593" i="9"/>
  <c r="AA1609" i="9"/>
  <c r="Y1609" i="9"/>
  <c r="W1609" i="9"/>
  <c r="AA1625" i="9"/>
  <c r="Y1625" i="9"/>
  <c r="W1625" i="9"/>
  <c r="AA1641" i="9"/>
  <c r="Y1641" i="9"/>
  <c r="W1641" i="9"/>
  <c r="AA1657" i="9"/>
  <c r="Y1657" i="9"/>
  <c r="W1657" i="9"/>
  <c r="AA1673" i="9"/>
  <c r="Y1673" i="9"/>
  <c r="W1673" i="9"/>
  <c r="AA1689" i="9"/>
  <c r="Y1689" i="9"/>
  <c r="W1689" i="9"/>
  <c r="AA1705" i="9"/>
  <c r="Y1705" i="9"/>
  <c r="W1705" i="9"/>
  <c r="AA1721" i="9"/>
  <c r="Y1721" i="9"/>
  <c r="W1721" i="9"/>
  <c r="AA1737" i="9"/>
  <c r="Y1737" i="9"/>
  <c r="W1737" i="9"/>
  <c r="AA1753" i="9"/>
  <c r="Y1753" i="9"/>
  <c r="W1753" i="9"/>
  <c r="AA1769" i="9"/>
  <c r="Y1769" i="9"/>
  <c r="W1769" i="9"/>
  <c r="AA1785" i="9"/>
  <c r="Y1785" i="9"/>
  <c r="W1785" i="9"/>
  <c r="AA1801" i="9"/>
  <c r="Y1801" i="9"/>
  <c r="W1801" i="9"/>
  <c r="AA1817" i="9"/>
  <c r="Y1817" i="9"/>
  <c r="W1817" i="9"/>
  <c r="AA1833" i="9"/>
  <c r="Y1833" i="9"/>
  <c r="W1833" i="9"/>
  <c r="AA1849" i="9"/>
  <c r="Y1849" i="9"/>
  <c r="W1849" i="9"/>
  <c r="AA1865" i="9"/>
  <c r="Y1865" i="9"/>
  <c r="W1865" i="9"/>
  <c r="AA1881" i="9"/>
  <c r="Y1881" i="9"/>
  <c r="W1881" i="9"/>
  <c r="AA1897" i="9"/>
  <c r="Y1897" i="9"/>
  <c r="W1897" i="9"/>
  <c r="AA1913" i="9"/>
  <c r="Y1913" i="9"/>
  <c r="W1913" i="9"/>
  <c r="AA1929" i="9"/>
  <c r="Y1929" i="9"/>
  <c r="W1929" i="9"/>
  <c r="AA1945" i="9"/>
  <c r="Y1945" i="9"/>
  <c r="W1945" i="9"/>
  <c r="AA1961" i="9"/>
  <c r="Y1961" i="9"/>
  <c r="W1961" i="9"/>
  <c r="AA1977" i="9"/>
  <c r="Y1977" i="9"/>
  <c r="W1977" i="9"/>
  <c r="AA1993" i="9"/>
  <c r="Y1993" i="9"/>
  <c r="W1993" i="9"/>
  <c r="AA2009" i="9"/>
  <c r="Y2009" i="9"/>
  <c r="W2009" i="9"/>
  <c r="AA2025" i="9"/>
  <c r="Y2025" i="9"/>
  <c r="W2025" i="9"/>
  <c r="AA2041" i="9"/>
  <c r="Y2041" i="9"/>
  <c r="W2041" i="9"/>
  <c r="AA2057" i="9"/>
  <c r="Y2057" i="9"/>
  <c r="W2057" i="9"/>
  <c r="AA2073" i="9"/>
  <c r="Y2073" i="9"/>
  <c r="W2073" i="9"/>
  <c r="AA2089" i="9"/>
  <c r="Y2089" i="9"/>
  <c r="W2089" i="9"/>
  <c r="AA2105" i="9"/>
  <c r="Y2105" i="9"/>
  <c r="W2105" i="9"/>
  <c r="AA2121" i="9"/>
  <c r="Y2121" i="9"/>
  <c r="W2121" i="9"/>
  <c r="AA2137" i="9"/>
  <c r="Y2137" i="9"/>
  <c r="W2137" i="9"/>
  <c r="AA2153" i="9"/>
  <c r="Y2153" i="9"/>
  <c r="W2153" i="9"/>
  <c r="AA2169" i="9"/>
  <c r="Y2169" i="9"/>
  <c r="W2169" i="9"/>
  <c r="AA2185" i="9"/>
  <c r="Y2185" i="9"/>
  <c r="W2185" i="9"/>
  <c r="AA2201" i="9"/>
  <c r="Y2201" i="9"/>
  <c r="W2201" i="9"/>
  <c r="AA2217" i="9"/>
  <c r="Y2217" i="9"/>
  <c r="W2217" i="9"/>
  <c r="AA2233" i="9"/>
  <c r="Y2233" i="9"/>
  <c r="W2233" i="9"/>
  <c r="AA2249" i="9"/>
  <c r="Y2249" i="9"/>
  <c r="W2249" i="9"/>
  <c r="AA2265" i="9"/>
  <c r="Y2265" i="9"/>
  <c r="W2265" i="9"/>
  <c r="AA2281" i="9"/>
  <c r="Y2281" i="9"/>
  <c r="W2281" i="9"/>
  <c r="AA2297" i="9"/>
  <c r="Y2297" i="9"/>
  <c r="W2297" i="9"/>
  <c r="AA2313" i="9"/>
  <c r="Y2313" i="9"/>
  <c r="W2313" i="9"/>
  <c r="AA2329" i="9"/>
  <c r="Y2329" i="9"/>
  <c r="W2329" i="9"/>
  <c r="AA2345" i="9"/>
  <c r="Y2345" i="9"/>
  <c r="W2345" i="9"/>
  <c r="AA2361" i="9"/>
  <c r="Y2361" i="9"/>
  <c r="W2361" i="9"/>
  <c r="AA2377" i="9"/>
  <c r="Y2377" i="9"/>
  <c r="W2377" i="9"/>
  <c r="AA2393" i="9"/>
  <c r="Y2393" i="9"/>
  <c r="W2393" i="9"/>
  <c r="AA2409" i="9"/>
  <c r="Y2409" i="9"/>
  <c r="W2409" i="9"/>
  <c r="AA2425" i="9"/>
  <c r="Y2425" i="9"/>
  <c r="W2425" i="9"/>
  <c r="AA2441" i="9"/>
  <c r="Y2441" i="9"/>
  <c r="W2441" i="9"/>
  <c r="AA2457" i="9"/>
  <c r="Y2457" i="9"/>
  <c r="W2457" i="9"/>
  <c r="AA2473" i="9"/>
  <c r="Y2473" i="9"/>
  <c r="W2473" i="9"/>
  <c r="AA2489" i="9"/>
  <c r="Y2489" i="9"/>
  <c r="W2489" i="9"/>
  <c r="AA23" i="9"/>
  <c r="Y23" i="9"/>
  <c r="W23" i="9"/>
  <c r="AA35" i="9"/>
  <c r="Y35" i="9"/>
  <c r="W35" i="9"/>
  <c r="AA67" i="9"/>
  <c r="Y67" i="9"/>
  <c r="W67" i="9"/>
  <c r="AA79" i="9"/>
  <c r="Y79" i="9"/>
  <c r="W79" i="9"/>
  <c r="AA111" i="9"/>
  <c r="Y111" i="9"/>
  <c r="W111" i="9"/>
  <c r="AA119" i="9"/>
  <c r="Y119" i="9"/>
  <c r="W119" i="9"/>
  <c r="AA143" i="9"/>
  <c r="Y143" i="9"/>
  <c r="W143" i="9"/>
  <c r="AA175" i="9"/>
  <c r="Y175" i="9"/>
  <c r="W175" i="9"/>
  <c r="AA187" i="9"/>
  <c r="Y187" i="9"/>
  <c r="W187" i="9"/>
  <c r="AA219" i="9"/>
  <c r="Y219" i="9"/>
  <c r="W219" i="9"/>
  <c r="AA239" i="9"/>
  <c r="Y239" i="9"/>
  <c r="W239" i="9"/>
  <c r="AA251" i="9"/>
  <c r="Y251" i="9"/>
  <c r="W251" i="9"/>
  <c r="AA283" i="9"/>
  <c r="Y283" i="9"/>
  <c r="W283" i="9"/>
  <c r="AA367" i="9"/>
  <c r="Y367" i="9"/>
  <c r="W367" i="9"/>
  <c r="AA403" i="9"/>
  <c r="Y403" i="9"/>
  <c r="W403" i="9"/>
  <c r="AA435" i="9"/>
  <c r="Y435" i="9"/>
  <c r="W435" i="9"/>
  <c r="AA467" i="9"/>
  <c r="Y467" i="9"/>
  <c r="W467" i="9"/>
  <c r="AA499" i="9"/>
  <c r="Y499" i="9"/>
  <c r="W499" i="9"/>
  <c r="AA531" i="9"/>
  <c r="Y531" i="9"/>
  <c r="W531" i="9"/>
  <c r="AA563" i="9"/>
  <c r="Y563" i="9"/>
  <c r="W563" i="9"/>
  <c r="AA599" i="9"/>
  <c r="Y599" i="9"/>
  <c r="W599" i="9"/>
  <c r="AA619" i="9"/>
  <c r="Y619" i="9"/>
  <c r="W619" i="9"/>
  <c r="AA635" i="9"/>
  <c r="Y635" i="9"/>
  <c r="W635" i="9"/>
  <c r="AA651" i="9"/>
  <c r="Y651" i="9"/>
  <c r="W651" i="9"/>
  <c r="AA667" i="9"/>
  <c r="Y667" i="9"/>
  <c r="W667" i="9"/>
  <c r="AA683" i="9"/>
  <c r="Y683" i="9"/>
  <c r="W683" i="9"/>
  <c r="AA699" i="9"/>
  <c r="Y699" i="9"/>
  <c r="W699" i="9"/>
  <c r="AA731" i="9"/>
  <c r="Y731" i="9"/>
  <c r="W731" i="9"/>
  <c r="AA767" i="9"/>
  <c r="Y767" i="9"/>
  <c r="W767" i="9"/>
  <c r="AA795" i="9"/>
  <c r="Y795" i="9"/>
  <c r="W795" i="9"/>
  <c r="AA827" i="9"/>
  <c r="Y827" i="9"/>
  <c r="W827" i="9"/>
  <c r="AA871" i="9"/>
  <c r="Y871" i="9"/>
  <c r="W871" i="9"/>
  <c r="AA903" i="9"/>
  <c r="Y903" i="9"/>
  <c r="W903" i="9"/>
  <c r="AA935" i="9"/>
  <c r="Y935" i="9"/>
  <c r="W935" i="9"/>
  <c r="AA967" i="9"/>
  <c r="Y967" i="9"/>
  <c r="W967" i="9"/>
  <c r="AA1243" i="9"/>
  <c r="W1243" i="9"/>
  <c r="Y1243" i="9"/>
  <c r="AA1275" i="9"/>
  <c r="Y1275" i="9"/>
  <c r="W1275" i="9"/>
  <c r="AA1307" i="9"/>
  <c r="Y1307" i="9"/>
  <c r="W1307" i="9"/>
  <c r="AA1339" i="9"/>
  <c r="Y1339" i="9"/>
  <c r="W1339" i="9"/>
  <c r="AA1399" i="9"/>
  <c r="Y1399" i="9"/>
  <c r="W1399" i="9"/>
  <c r="AA1431" i="9"/>
  <c r="Y1431" i="9"/>
  <c r="W1431" i="9"/>
  <c r="AA1463" i="9"/>
  <c r="Y1463" i="9"/>
  <c r="W1463" i="9"/>
  <c r="AA1495" i="9"/>
  <c r="Y1495" i="9"/>
  <c r="W1495" i="9"/>
  <c r="AA1527" i="9"/>
  <c r="Y1527" i="9"/>
  <c r="W1527" i="9"/>
  <c r="AA1559" i="9"/>
  <c r="Y1559" i="9"/>
  <c r="W1559" i="9"/>
  <c r="AA1591" i="9"/>
  <c r="Y1591" i="9"/>
  <c r="W1591" i="9"/>
  <c r="AA1623" i="9"/>
  <c r="Y1623" i="9"/>
  <c r="W1623" i="9"/>
  <c r="AA1655" i="9"/>
  <c r="Y1655" i="9"/>
  <c r="W1655" i="9"/>
  <c r="AA1687" i="9"/>
  <c r="Y1687" i="9"/>
  <c r="W1687" i="9"/>
  <c r="AA1723" i="9"/>
  <c r="Y1723" i="9"/>
  <c r="W1723" i="9"/>
  <c r="AA1755" i="9"/>
  <c r="W1755" i="9"/>
  <c r="Y1755" i="9"/>
  <c r="AA1787" i="9"/>
  <c r="Y1787" i="9"/>
  <c r="W1787" i="9"/>
  <c r="AA1819" i="9"/>
  <c r="W1819" i="9"/>
  <c r="Y1819" i="9"/>
  <c r="AA1851" i="9"/>
  <c r="Y1851" i="9"/>
  <c r="W1851" i="9"/>
  <c r="AA1871" i="9"/>
  <c r="Y1871" i="9"/>
  <c r="W1871" i="9"/>
  <c r="AA1903" i="9"/>
  <c r="Y1903" i="9"/>
  <c r="W1903" i="9"/>
  <c r="AA1935" i="9"/>
  <c r="Y1935" i="9"/>
  <c r="W1935" i="9"/>
  <c r="AA1967" i="9"/>
  <c r="Y1967" i="9"/>
  <c r="W1967" i="9"/>
  <c r="AA1999" i="9"/>
  <c r="Y1999" i="9"/>
  <c r="W1999" i="9"/>
  <c r="AA2031" i="9"/>
  <c r="Y2031" i="9"/>
  <c r="W2031" i="9"/>
  <c r="AA2063" i="9"/>
  <c r="Y2063" i="9"/>
  <c r="W2063" i="9"/>
  <c r="AA2095" i="9"/>
  <c r="Y2095" i="9"/>
  <c r="W2095" i="9"/>
  <c r="AA2127" i="9"/>
  <c r="Y2127" i="9"/>
  <c r="W2127" i="9"/>
  <c r="AA2159" i="9"/>
  <c r="Y2159" i="9"/>
  <c r="W2159" i="9"/>
  <c r="AA2191" i="9"/>
  <c r="Y2191" i="9"/>
  <c r="W2191" i="9"/>
  <c r="AA2255" i="9"/>
  <c r="Y2255" i="9"/>
  <c r="W2255" i="9"/>
  <c r="AA2287" i="9"/>
  <c r="Y2287" i="9"/>
  <c r="W2287" i="9"/>
  <c r="AA2319" i="9"/>
  <c r="Y2319" i="9"/>
  <c r="W2319" i="9"/>
  <c r="AA2351" i="9"/>
  <c r="Y2351" i="9"/>
  <c r="W2351" i="9"/>
  <c r="AA2383" i="9"/>
  <c r="Y2383" i="9"/>
  <c r="W2383" i="9"/>
  <c r="AA2415" i="9"/>
  <c r="Y2415" i="9"/>
  <c r="W2415" i="9"/>
  <c r="AA2447" i="9"/>
  <c r="Y2447" i="9"/>
  <c r="W2447" i="9"/>
  <c r="AA2479" i="9"/>
  <c r="Y2479" i="9"/>
  <c r="W2479" i="9"/>
  <c r="AA10" i="9"/>
  <c r="W10" i="9"/>
  <c r="Y10" i="9"/>
  <c r="AA26" i="9"/>
  <c r="Y26" i="9"/>
  <c r="W26" i="9"/>
  <c r="AA42" i="9"/>
  <c r="Y42" i="9"/>
  <c r="W42" i="9"/>
  <c r="AA58" i="9"/>
  <c r="Y58" i="9"/>
  <c r="W58" i="9"/>
  <c r="AA74" i="9"/>
  <c r="Y74" i="9"/>
  <c r="W74" i="9"/>
  <c r="AA90" i="9"/>
  <c r="Y90" i="9"/>
  <c r="W90" i="9"/>
  <c r="AA106" i="9"/>
  <c r="Y106" i="9"/>
  <c r="W106" i="9"/>
  <c r="AA122" i="9"/>
  <c r="Y122" i="9"/>
  <c r="W122" i="9"/>
  <c r="AA138" i="9"/>
  <c r="Y138" i="9"/>
  <c r="W138" i="9"/>
  <c r="AA154" i="9"/>
  <c r="Y154" i="9"/>
  <c r="W154" i="9"/>
  <c r="AA170" i="9"/>
  <c r="Y170" i="9"/>
  <c r="W170" i="9"/>
  <c r="AA186" i="9"/>
  <c r="Y186" i="9"/>
  <c r="W186" i="9"/>
  <c r="AA202" i="9"/>
  <c r="Y202" i="9"/>
  <c r="W202" i="9"/>
  <c r="AA218" i="9"/>
  <c r="Y218" i="9"/>
  <c r="W218" i="9"/>
  <c r="AA234" i="9"/>
  <c r="Y234" i="9"/>
  <c r="W234" i="9"/>
  <c r="AA250" i="9"/>
  <c r="Y250" i="9"/>
  <c r="W250" i="9"/>
  <c r="AA266" i="9"/>
  <c r="Y266" i="9"/>
  <c r="W266" i="9"/>
  <c r="AA282" i="9"/>
  <c r="Y282" i="9"/>
  <c r="W282" i="9"/>
  <c r="AA290" i="9"/>
  <c r="Y290" i="9"/>
  <c r="W290" i="9"/>
  <c r="AA306" i="9"/>
  <c r="Y306" i="9"/>
  <c r="W306" i="9"/>
  <c r="AA322" i="9"/>
  <c r="Y322" i="9"/>
  <c r="W322" i="9"/>
  <c r="AA338" i="9"/>
  <c r="Y338" i="9"/>
  <c r="W338" i="9"/>
  <c r="AA354" i="9"/>
  <c r="Y354" i="9"/>
  <c r="W354" i="9"/>
  <c r="AA370" i="9"/>
  <c r="Y370" i="9"/>
  <c r="W370" i="9"/>
  <c r="AA386" i="9"/>
  <c r="Y386" i="9"/>
  <c r="W386" i="9"/>
  <c r="AA402" i="9"/>
  <c r="Y402" i="9"/>
  <c r="W402" i="9"/>
  <c r="AA418" i="9"/>
  <c r="Y418" i="9"/>
  <c r="W418" i="9"/>
  <c r="AA434" i="9"/>
  <c r="Y434" i="9"/>
  <c r="W434" i="9"/>
  <c r="AA450" i="9"/>
  <c r="Y450" i="9"/>
  <c r="W450" i="9"/>
  <c r="AA466" i="9"/>
  <c r="Y466" i="9"/>
  <c r="W466" i="9"/>
  <c r="AA482" i="9"/>
  <c r="Y482" i="9"/>
  <c r="W482" i="9"/>
  <c r="AA498" i="9"/>
  <c r="Y498" i="9"/>
  <c r="W498" i="9"/>
  <c r="AA514" i="9"/>
  <c r="Y514" i="9"/>
  <c r="W514" i="9"/>
  <c r="AA530" i="9"/>
  <c r="Y530" i="9"/>
  <c r="W530" i="9"/>
  <c r="AA546" i="9"/>
  <c r="Y546" i="9"/>
  <c r="W546" i="9"/>
  <c r="AA562" i="9"/>
  <c r="Y562" i="9"/>
  <c r="W562" i="9"/>
  <c r="AA578" i="9"/>
  <c r="Y578" i="9"/>
  <c r="W578" i="9"/>
  <c r="AA594" i="9"/>
  <c r="Y594" i="9"/>
  <c r="W594" i="9"/>
  <c r="AA610" i="9"/>
  <c r="Y610" i="9"/>
  <c r="W610" i="9"/>
  <c r="AA626" i="9"/>
  <c r="Y626" i="9"/>
  <c r="W626" i="9"/>
  <c r="AA642" i="9"/>
  <c r="Y642" i="9"/>
  <c r="W642" i="9"/>
  <c r="AA658" i="9"/>
  <c r="Y658" i="9"/>
  <c r="W658" i="9"/>
  <c r="AA678" i="9"/>
  <c r="Y678" i="9"/>
  <c r="W678" i="9"/>
  <c r="AA694" i="9"/>
  <c r="Y694" i="9"/>
  <c r="W694" i="9"/>
  <c r="AA710" i="9"/>
  <c r="Y710" i="9"/>
  <c r="W710" i="9"/>
  <c r="AA726" i="9"/>
  <c r="Y726" i="9"/>
  <c r="W726" i="9"/>
  <c r="AA742" i="9"/>
  <c r="Y742" i="9"/>
  <c r="W742" i="9"/>
  <c r="AA746" i="9"/>
  <c r="Y746" i="9"/>
  <c r="W746" i="9"/>
  <c r="AA758" i="9"/>
  <c r="Y758" i="9"/>
  <c r="W758" i="9"/>
  <c r="AA762" i="9"/>
  <c r="Y762" i="9"/>
  <c r="W762" i="9"/>
  <c r="AA774" i="9"/>
  <c r="Y774" i="9"/>
  <c r="W774" i="9"/>
  <c r="AA778" i="9"/>
  <c r="Y778" i="9"/>
  <c r="W778" i="9"/>
  <c r="AA790" i="9"/>
  <c r="Y790" i="9"/>
  <c r="W790" i="9"/>
  <c r="AA794" i="9"/>
  <c r="Y794" i="9"/>
  <c r="W794" i="9"/>
  <c r="AA806" i="9"/>
  <c r="Y806" i="9"/>
  <c r="W806" i="9"/>
  <c r="AA810" i="9"/>
  <c r="Y810" i="9"/>
  <c r="W810" i="9"/>
  <c r="AA822" i="9"/>
  <c r="Y822" i="9"/>
  <c r="W822" i="9"/>
  <c r="AA826" i="9"/>
  <c r="Y826" i="9"/>
  <c r="W826" i="9"/>
  <c r="AA838" i="9"/>
  <c r="Y838" i="9"/>
  <c r="W838" i="9"/>
  <c r="AA842" i="9"/>
  <c r="Y842" i="9"/>
  <c r="W842" i="9"/>
  <c r="AA854" i="9"/>
  <c r="Y854" i="9"/>
  <c r="W854" i="9"/>
  <c r="AA858" i="9"/>
  <c r="Y858" i="9"/>
  <c r="W858" i="9"/>
  <c r="AA870" i="9"/>
  <c r="Y870" i="9"/>
  <c r="W870" i="9"/>
  <c r="AA874" i="9"/>
  <c r="Y874" i="9"/>
  <c r="W874" i="9"/>
  <c r="AA886" i="9"/>
  <c r="Y886" i="9"/>
  <c r="W886" i="9"/>
  <c r="AA890" i="9"/>
  <c r="Y890" i="9"/>
  <c r="W890" i="9"/>
  <c r="AA902" i="9"/>
  <c r="Y902" i="9"/>
  <c r="W902" i="9"/>
  <c r="AA906" i="9"/>
  <c r="Y906" i="9"/>
  <c r="W906" i="9"/>
  <c r="AA918" i="9"/>
  <c r="Y918" i="9"/>
  <c r="W918" i="9"/>
  <c r="AA922" i="9"/>
  <c r="Y922" i="9"/>
  <c r="W922" i="9"/>
  <c r="AA934" i="9"/>
  <c r="Y934" i="9"/>
  <c r="W934" i="9"/>
  <c r="AA938" i="9"/>
  <c r="Y938" i="9"/>
  <c r="W938" i="9"/>
  <c r="AA950" i="9"/>
  <c r="Y950" i="9"/>
  <c r="W950" i="9"/>
  <c r="AA954" i="9"/>
  <c r="Y954" i="9"/>
  <c r="W954" i="9"/>
  <c r="AA966" i="9"/>
  <c r="Y966" i="9"/>
  <c r="W966" i="9"/>
  <c r="AA970" i="9"/>
  <c r="Y970" i="9"/>
  <c r="W970" i="9"/>
  <c r="AA982" i="9"/>
  <c r="Y982" i="9"/>
  <c r="W982" i="9"/>
  <c r="AA986" i="9"/>
  <c r="Y986" i="9"/>
  <c r="W986" i="9"/>
  <c r="AA998" i="9"/>
  <c r="Y998" i="9"/>
  <c r="W998" i="9"/>
  <c r="AA1002" i="9"/>
  <c r="Y1002" i="9"/>
  <c r="W1002" i="9"/>
  <c r="AA1014" i="9"/>
  <c r="Y1014" i="9"/>
  <c r="W1014" i="9"/>
  <c r="AA1018" i="9"/>
  <c r="Y1018" i="9"/>
  <c r="W1018" i="9"/>
  <c r="AA1030" i="9"/>
  <c r="Y1030" i="9"/>
  <c r="W1030" i="9"/>
  <c r="AA1034" i="9"/>
  <c r="Y1034" i="9"/>
  <c r="W1034" i="9"/>
  <c r="AA1046" i="9"/>
  <c r="Y1046" i="9"/>
  <c r="W1046" i="9"/>
  <c r="AA1050" i="9"/>
  <c r="Y1050" i="9"/>
  <c r="W1050" i="9"/>
  <c r="AA1062" i="9"/>
  <c r="Y1062" i="9"/>
  <c r="W1062" i="9"/>
  <c r="AA1066" i="9"/>
  <c r="Y1066" i="9"/>
  <c r="W1066" i="9"/>
  <c r="AA1078" i="9"/>
  <c r="Y1078" i="9"/>
  <c r="W1078" i="9"/>
  <c r="AA1082" i="9"/>
  <c r="Y1082" i="9"/>
  <c r="W1082" i="9"/>
  <c r="AA1094" i="9"/>
  <c r="Y1094" i="9"/>
  <c r="W1094" i="9"/>
  <c r="AA1098" i="9"/>
  <c r="Y1098" i="9"/>
  <c r="W1098" i="9"/>
  <c r="AA1110" i="9"/>
  <c r="Y1110" i="9"/>
  <c r="W1110" i="9"/>
  <c r="AA1114" i="9"/>
  <c r="Y1114" i="9"/>
  <c r="W1114" i="9"/>
  <c r="AA1126" i="9"/>
  <c r="Y1126" i="9"/>
  <c r="W1126" i="9"/>
  <c r="AA1130" i="9"/>
  <c r="Y1130" i="9"/>
  <c r="W1130" i="9"/>
  <c r="AA1142" i="9"/>
  <c r="Y1142" i="9"/>
  <c r="W1142" i="9"/>
  <c r="AA1146" i="9"/>
  <c r="Y1146" i="9"/>
  <c r="W1146" i="9"/>
  <c r="AA1158" i="9"/>
  <c r="Y1158" i="9"/>
  <c r="W1158" i="9"/>
  <c r="AA1162" i="9"/>
  <c r="Y1162" i="9"/>
  <c r="W1162" i="9"/>
  <c r="AA1174" i="9"/>
  <c r="Y1174" i="9"/>
  <c r="W1174" i="9"/>
  <c r="AA1178" i="9"/>
  <c r="Y1178" i="9"/>
  <c r="W1178" i="9"/>
  <c r="AA1190" i="9"/>
  <c r="Y1190" i="9"/>
  <c r="W1190" i="9"/>
  <c r="AA1194" i="9"/>
  <c r="Y1194" i="9"/>
  <c r="W1194" i="9"/>
  <c r="AA1206" i="9"/>
  <c r="Y1206" i="9"/>
  <c r="W1206" i="9"/>
  <c r="AA1210" i="9"/>
  <c r="Y1210" i="9"/>
  <c r="W1210" i="9"/>
  <c r="AA1222" i="9"/>
  <c r="Y1222" i="9"/>
  <c r="W1222" i="9"/>
  <c r="AA1226" i="9"/>
  <c r="Y1226" i="9"/>
  <c r="W1226" i="9"/>
  <c r="AA1238" i="9"/>
  <c r="Y1238" i="9"/>
  <c r="W1238" i="9"/>
  <c r="AA1246" i="9"/>
  <c r="Y1246" i="9"/>
  <c r="W1246" i="9"/>
  <c r="AA1262" i="9"/>
  <c r="Y1262" i="9"/>
  <c r="W1262" i="9"/>
  <c r="AA1278" i="9"/>
  <c r="Y1278" i="9"/>
  <c r="W1278" i="9"/>
  <c r="AA1294" i="9"/>
  <c r="Y1294" i="9"/>
  <c r="W1294" i="9"/>
  <c r="AA1310" i="9"/>
  <c r="Y1310" i="9"/>
  <c r="W1310" i="9"/>
  <c r="AA1326" i="9"/>
  <c r="Y1326" i="9"/>
  <c r="W1326" i="9"/>
  <c r="AA1342" i="9"/>
  <c r="Y1342" i="9"/>
  <c r="W1342" i="9"/>
  <c r="AA1358" i="9"/>
  <c r="Y1358" i="9"/>
  <c r="W1358" i="9"/>
  <c r="AA1374" i="9"/>
  <c r="Y1374" i="9"/>
  <c r="W1374" i="9"/>
  <c r="AA1390" i="9"/>
  <c r="Y1390" i="9"/>
  <c r="W1390" i="9"/>
  <c r="AA1406" i="9"/>
  <c r="Y1406" i="9"/>
  <c r="W1406" i="9"/>
  <c r="AA1422" i="9"/>
  <c r="Y1422" i="9"/>
  <c r="W1422" i="9"/>
  <c r="AA1438" i="9"/>
  <c r="Y1438" i="9"/>
  <c r="W1438" i="9"/>
  <c r="AA1454" i="9"/>
  <c r="Y1454" i="9"/>
  <c r="W1454" i="9"/>
  <c r="AA1470" i="9"/>
  <c r="Y1470" i="9"/>
  <c r="W1470" i="9"/>
  <c r="AA1486" i="9"/>
  <c r="Y1486" i="9"/>
  <c r="W1486" i="9"/>
  <c r="AA1502" i="9"/>
  <c r="Y1502" i="9"/>
  <c r="W1502" i="9"/>
  <c r="AA1518" i="9"/>
  <c r="Y1518" i="9"/>
  <c r="W1518" i="9"/>
  <c r="AA1534" i="9"/>
  <c r="Y1534" i="9"/>
  <c r="W1534" i="9"/>
  <c r="AA1550" i="9"/>
  <c r="Y1550" i="9"/>
  <c r="W1550" i="9"/>
  <c r="AA1566" i="9"/>
  <c r="Y1566" i="9"/>
  <c r="W1566" i="9"/>
  <c r="AA1582" i="9"/>
  <c r="Y1582" i="9"/>
  <c r="W1582" i="9"/>
  <c r="AA1598" i="9"/>
  <c r="Y1598" i="9"/>
  <c r="W1598" i="9"/>
  <c r="AA1614" i="9"/>
  <c r="Y1614" i="9"/>
  <c r="W1614" i="9"/>
  <c r="AA1630" i="9"/>
  <c r="Y1630" i="9"/>
  <c r="W1630" i="9"/>
  <c r="AA1646" i="9"/>
  <c r="Y1646" i="9"/>
  <c r="W1646" i="9"/>
  <c r="AA1662" i="9"/>
  <c r="Y1662" i="9"/>
  <c r="W1662" i="9"/>
  <c r="AA1678" i="9"/>
  <c r="Y1678" i="9"/>
  <c r="W1678" i="9"/>
  <c r="AA1694" i="9"/>
  <c r="Y1694" i="9"/>
  <c r="W1694" i="9"/>
  <c r="AA1710" i="9"/>
  <c r="Y1710" i="9"/>
  <c r="W1710" i="9"/>
  <c r="AA1726" i="9"/>
  <c r="Y1726" i="9"/>
  <c r="W1726" i="9"/>
  <c r="AA1742" i="9"/>
  <c r="Y1742" i="9"/>
  <c r="W1742" i="9"/>
  <c r="AA1758" i="9"/>
  <c r="Y1758" i="9"/>
  <c r="W1758" i="9"/>
  <c r="AA1774" i="9"/>
  <c r="Y1774" i="9"/>
  <c r="W1774" i="9"/>
  <c r="AA1790" i="9"/>
  <c r="Y1790" i="9"/>
  <c r="W1790" i="9"/>
  <c r="AA1806" i="9"/>
  <c r="Y1806" i="9"/>
  <c r="W1806" i="9"/>
  <c r="AA1822" i="9"/>
  <c r="Y1822" i="9"/>
  <c r="W1822" i="9"/>
  <c r="AA1838" i="9"/>
  <c r="Y1838" i="9"/>
  <c r="W1838" i="9"/>
  <c r="AA1854" i="9"/>
  <c r="Y1854" i="9"/>
  <c r="W1854" i="9"/>
  <c r="AA1870" i="9"/>
  <c r="Y1870" i="9"/>
  <c r="W1870" i="9"/>
  <c r="AA1886" i="9"/>
  <c r="Y1886" i="9"/>
  <c r="W1886" i="9"/>
  <c r="AA1902" i="9"/>
  <c r="Y1902" i="9"/>
  <c r="W1902" i="9"/>
  <c r="AA1918" i="9"/>
  <c r="Y1918" i="9"/>
  <c r="W1918" i="9"/>
  <c r="AA1934" i="9"/>
  <c r="Y1934" i="9"/>
  <c r="W1934" i="9"/>
  <c r="AA1950" i="9"/>
  <c r="Y1950" i="9"/>
  <c r="W1950" i="9"/>
  <c r="AA1966" i="9"/>
  <c r="Y1966" i="9"/>
  <c r="W1966" i="9"/>
  <c r="AA1982" i="9"/>
  <c r="Y1982" i="9"/>
  <c r="W1982" i="9"/>
  <c r="AA1998" i="9"/>
  <c r="Y1998" i="9"/>
  <c r="W1998" i="9"/>
  <c r="AA2014" i="9"/>
  <c r="Y2014" i="9"/>
  <c r="W2014" i="9"/>
  <c r="AA2030" i="9"/>
  <c r="Y2030" i="9"/>
  <c r="W2030" i="9"/>
  <c r="AA2046" i="9"/>
  <c r="Y2046" i="9"/>
  <c r="W2046" i="9"/>
  <c r="AA2062" i="9"/>
  <c r="Y2062" i="9"/>
  <c r="W2062" i="9"/>
  <c r="AA2078" i="9"/>
  <c r="Y2078" i="9"/>
  <c r="W2078" i="9"/>
  <c r="AA2094" i="9"/>
  <c r="Y2094" i="9"/>
  <c r="W2094" i="9"/>
  <c r="AA2110" i="9"/>
  <c r="Y2110" i="9"/>
  <c r="W2110" i="9"/>
  <c r="AA2126" i="9"/>
  <c r="Y2126" i="9"/>
  <c r="W2126" i="9"/>
  <c r="AA2142" i="9"/>
  <c r="Y2142" i="9"/>
  <c r="W2142" i="9"/>
  <c r="AA2158" i="9"/>
  <c r="Y2158" i="9"/>
  <c r="W2158" i="9"/>
  <c r="AA2174" i="9"/>
  <c r="Y2174" i="9"/>
  <c r="W2174" i="9"/>
  <c r="AA2190" i="9"/>
  <c r="Y2190" i="9"/>
  <c r="W2190" i="9"/>
  <c r="AA2206" i="9"/>
  <c r="Y2206" i="9"/>
  <c r="W2206" i="9"/>
  <c r="AA2222" i="9"/>
  <c r="Y2222" i="9"/>
  <c r="W2222" i="9"/>
  <c r="AA2238" i="9"/>
  <c r="Y2238" i="9"/>
  <c r="W2238" i="9"/>
  <c r="AA2254" i="9"/>
  <c r="Y2254" i="9"/>
  <c r="W2254" i="9"/>
  <c r="AA2270" i="9"/>
  <c r="Y2270" i="9"/>
  <c r="W2270" i="9"/>
  <c r="AA2286" i="9"/>
  <c r="Y2286" i="9"/>
  <c r="W2286" i="9"/>
  <c r="AA2302" i="9"/>
  <c r="Y2302" i="9"/>
  <c r="W2302" i="9"/>
  <c r="AA2318" i="9"/>
  <c r="Y2318" i="9"/>
  <c r="W2318" i="9"/>
  <c r="AA2334" i="9"/>
  <c r="Y2334" i="9"/>
  <c r="W2334" i="9"/>
  <c r="AA2350" i="9"/>
  <c r="Y2350" i="9"/>
  <c r="W2350" i="9"/>
  <c r="AA2366" i="9"/>
  <c r="Y2366" i="9"/>
  <c r="W2366" i="9"/>
  <c r="AA2382" i="9"/>
  <c r="Y2382" i="9"/>
  <c r="W2382" i="9"/>
  <c r="AA2398" i="9"/>
  <c r="Y2398" i="9"/>
  <c r="W2398" i="9"/>
  <c r="AA2414" i="9"/>
  <c r="Y2414" i="9"/>
  <c r="W2414" i="9"/>
  <c r="AA2430" i="9"/>
  <c r="Y2430" i="9"/>
  <c r="W2430" i="9"/>
  <c r="AA2446" i="9"/>
  <c r="Y2446" i="9"/>
  <c r="W2446" i="9"/>
  <c r="AA2462" i="9"/>
  <c r="Y2462" i="9"/>
  <c r="W2462" i="9"/>
  <c r="AA2478" i="9"/>
  <c r="Y2478" i="9"/>
  <c r="W2478" i="9"/>
  <c r="AA2494" i="9"/>
  <c r="Y2494" i="9"/>
  <c r="W2494" i="9"/>
  <c r="AA7" i="9"/>
  <c r="Y7" i="9"/>
  <c r="W7" i="9"/>
  <c r="AA83" i="9"/>
  <c r="Y83" i="9"/>
  <c r="W83" i="9"/>
  <c r="AA115" i="9"/>
  <c r="Y115" i="9"/>
  <c r="W115" i="9"/>
  <c r="AA147" i="9"/>
  <c r="Y147" i="9"/>
  <c r="W147" i="9"/>
  <c r="AA179" i="9"/>
  <c r="Y179" i="9"/>
  <c r="W179" i="9"/>
  <c r="AA199" i="9"/>
  <c r="Y199" i="9"/>
  <c r="W199" i="9"/>
  <c r="AA231" i="9"/>
  <c r="Y231" i="9"/>
  <c r="W231" i="9"/>
  <c r="AA243" i="9"/>
  <c r="Y243" i="9"/>
  <c r="W243" i="9"/>
  <c r="AA263" i="9"/>
  <c r="Y263" i="9"/>
  <c r="W263" i="9"/>
  <c r="AA295" i="9"/>
  <c r="Y295" i="9"/>
  <c r="W295" i="9"/>
  <c r="AA327" i="9"/>
  <c r="Y327" i="9"/>
  <c r="W327" i="9"/>
  <c r="AA355" i="9"/>
  <c r="Y355" i="9"/>
  <c r="W355" i="9"/>
  <c r="AA387" i="9"/>
  <c r="Y387" i="9"/>
  <c r="W387" i="9"/>
  <c r="AA415" i="9"/>
  <c r="Y415" i="9"/>
  <c r="W415" i="9"/>
  <c r="AA447" i="9"/>
  <c r="Y447" i="9"/>
  <c r="W447" i="9"/>
  <c r="AA479" i="9"/>
  <c r="Y479" i="9"/>
  <c r="W479" i="9"/>
  <c r="AA511" i="9"/>
  <c r="Y511" i="9"/>
  <c r="W511" i="9"/>
  <c r="AA543" i="9"/>
  <c r="Y543" i="9"/>
  <c r="W543" i="9"/>
  <c r="AA575" i="9"/>
  <c r="Y575" i="9"/>
  <c r="W575" i="9"/>
  <c r="AA603" i="9"/>
  <c r="Y603" i="9"/>
  <c r="W603" i="9"/>
  <c r="AA631" i="9"/>
  <c r="Y631" i="9"/>
  <c r="W631" i="9"/>
  <c r="AA663" i="9"/>
  <c r="Y663" i="9"/>
  <c r="W663" i="9"/>
  <c r="AA671" i="9"/>
  <c r="Y671" i="9"/>
  <c r="W671" i="9"/>
  <c r="AA703" i="9"/>
  <c r="Y703" i="9"/>
  <c r="W703" i="9"/>
  <c r="AA735" i="9"/>
  <c r="Y735" i="9"/>
  <c r="W735" i="9"/>
  <c r="AA747" i="9"/>
  <c r="Y747" i="9"/>
  <c r="W747" i="9"/>
  <c r="AA763" i="9"/>
  <c r="Y763" i="9"/>
  <c r="W763" i="9"/>
  <c r="AA799" i="9"/>
  <c r="Y799" i="9"/>
  <c r="W799" i="9"/>
  <c r="AA831" i="9"/>
  <c r="Y831" i="9"/>
  <c r="W831" i="9"/>
  <c r="AA875" i="9"/>
  <c r="Y875" i="9"/>
  <c r="W875" i="9"/>
  <c r="AA907" i="9"/>
  <c r="Y907" i="9"/>
  <c r="W907" i="9"/>
  <c r="AA939" i="9"/>
  <c r="Y939" i="9"/>
  <c r="W939" i="9"/>
  <c r="AA987" i="9"/>
  <c r="W987" i="9"/>
  <c r="Y987" i="9"/>
  <c r="AA1015" i="9"/>
  <c r="Y1015" i="9"/>
  <c r="W1015" i="9"/>
  <c r="AA1047" i="9"/>
  <c r="Y1047" i="9"/>
  <c r="W1047" i="9"/>
  <c r="AA1079" i="9"/>
  <c r="Y1079" i="9"/>
  <c r="W1079" i="9"/>
  <c r="AA1111" i="9"/>
  <c r="Y1111" i="9"/>
  <c r="W1111" i="9"/>
  <c r="AA1143" i="9"/>
  <c r="Y1143" i="9"/>
  <c r="W1143" i="9"/>
  <c r="AA1175" i="9"/>
  <c r="Y1175" i="9"/>
  <c r="W1175" i="9"/>
  <c r="AA1207" i="9"/>
  <c r="Y1207" i="9"/>
  <c r="W1207" i="9"/>
  <c r="AA1279" i="9"/>
  <c r="Y1279" i="9"/>
  <c r="W1279" i="9"/>
  <c r="AA1379" i="9"/>
  <c r="Y1379" i="9"/>
  <c r="W1379" i="9"/>
  <c r="AA1411" i="9"/>
  <c r="Y1411" i="9"/>
  <c r="W1411" i="9"/>
  <c r="AA1443" i="9"/>
  <c r="Y1443" i="9"/>
  <c r="W1443" i="9"/>
  <c r="AA1475" i="9"/>
  <c r="Y1475" i="9"/>
  <c r="W1475" i="9"/>
  <c r="AA1507" i="9"/>
  <c r="Y1507" i="9"/>
  <c r="W1507" i="9"/>
  <c r="AA1539" i="9"/>
  <c r="Y1539" i="9"/>
  <c r="W1539" i="9"/>
  <c r="AA1571" i="9"/>
  <c r="Y1571" i="9"/>
  <c r="W1571" i="9"/>
  <c r="AA1603" i="9"/>
  <c r="Y1603" i="9"/>
  <c r="W1603" i="9"/>
  <c r="AA1635" i="9"/>
  <c r="Y1635" i="9"/>
  <c r="W1635" i="9"/>
  <c r="AA1667" i="9"/>
  <c r="Y1667" i="9"/>
  <c r="W1667" i="9"/>
  <c r="AA1899" i="9"/>
  <c r="W1899" i="9"/>
  <c r="Y1899" i="9"/>
  <c r="AA1931" i="9"/>
  <c r="W1931" i="9"/>
  <c r="Y1931" i="9"/>
  <c r="AA1963" i="9"/>
  <c r="W1963" i="9"/>
  <c r="Y1963" i="9"/>
  <c r="AA1995" i="9"/>
  <c r="W1995" i="9"/>
  <c r="Y1995" i="9"/>
  <c r="AA2027" i="9"/>
  <c r="W2027" i="9"/>
  <c r="Y2027" i="9"/>
  <c r="AA2059" i="9"/>
  <c r="W2059" i="9"/>
  <c r="Y2059" i="9"/>
  <c r="AA2091" i="9"/>
  <c r="W2091" i="9"/>
  <c r="Y2091" i="9"/>
  <c r="AA2123" i="9"/>
  <c r="W2123" i="9"/>
  <c r="Y2123" i="9"/>
  <c r="AA2155" i="9"/>
  <c r="W2155" i="9"/>
  <c r="Y2155" i="9"/>
  <c r="AA2187" i="9"/>
  <c r="W2187" i="9"/>
  <c r="Y2187" i="9"/>
  <c r="AA2207" i="9"/>
  <c r="Y2207" i="9"/>
  <c r="W2207" i="9"/>
  <c r="AA2215" i="9"/>
  <c r="Y2215" i="9"/>
  <c r="W2215" i="9"/>
  <c r="AA2251" i="9"/>
  <c r="W2251" i="9"/>
  <c r="Y2251" i="9"/>
  <c r="AA2283" i="9"/>
  <c r="W2283" i="9"/>
  <c r="Y2283" i="9"/>
  <c r="AA2315" i="9"/>
  <c r="W2315" i="9"/>
  <c r="Y2315" i="9"/>
  <c r="AA2347" i="9"/>
  <c r="W2347" i="9"/>
  <c r="Y2347" i="9"/>
  <c r="AA2379" i="9"/>
  <c r="W2379" i="9"/>
  <c r="Y2379" i="9"/>
  <c r="AA2411" i="9"/>
  <c r="W2411" i="9"/>
  <c r="Y2411" i="9"/>
  <c r="AA2443" i="9"/>
  <c r="W2443" i="9"/>
  <c r="Y2443" i="9"/>
  <c r="AA2475" i="9"/>
  <c r="W2475" i="9"/>
  <c r="Y2475" i="9"/>
  <c r="X4" i="9"/>
  <c r="D2534" i="9" s="1"/>
  <c r="D2529" i="9"/>
  <c r="G2529" i="9"/>
  <c r="AA40" i="9"/>
  <c r="Y40" i="9"/>
  <c r="W40" i="9"/>
  <c r="AA60" i="9"/>
  <c r="Y60" i="9"/>
  <c r="W60" i="9"/>
  <c r="AA72" i="9"/>
  <c r="Y72" i="9"/>
  <c r="W72" i="9"/>
  <c r="AA136" i="9"/>
  <c r="Y136" i="9"/>
  <c r="W136" i="9"/>
  <c r="AA188" i="9"/>
  <c r="Y188" i="9"/>
  <c r="W188" i="9"/>
  <c r="AA236" i="9"/>
  <c r="Y236" i="9"/>
  <c r="W236" i="9"/>
  <c r="AA252" i="9"/>
  <c r="Y252" i="9"/>
  <c r="W252" i="9"/>
  <c r="AA280" i="9"/>
  <c r="Y280" i="9"/>
  <c r="W280" i="9"/>
  <c r="AA312" i="9"/>
  <c r="Y312" i="9"/>
  <c r="W312" i="9"/>
  <c r="AA328" i="9"/>
  <c r="Y328" i="9"/>
  <c r="W328" i="9"/>
  <c r="AA360" i="9"/>
  <c r="Y360" i="9"/>
  <c r="W360" i="9"/>
  <c r="AA376" i="9"/>
  <c r="Y376" i="9"/>
  <c r="W376" i="9"/>
  <c r="AA408" i="9"/>
  <c r="Y408" i="9"/>
  <c r="W408" i="9"/>
  <c r="AA440" i="9"/>
  <c r="Y440" i="9"/>
  <c r="W440" i="9"/>
  <c r="AA460" i="9"/>
  <c r="Y460" i="9"/>
  <c r="W460" i="9"/>
  <c r="AA472" i="9"/>
  <c r="Y472" i="9"/>
  <c r="W472" i="9"/>
  <c r="AA488" i="9"/>
  <c r="Y488" i="9"/>
  <c r="W488" i="9"/>
  <c r="AA504" i="9"/>
  <c r="Y504" i="9"/>
  <c r="W504" i="9"/>
  <c r="AA520" i="9"/>
  <c r="Y520" i="9"/>
  <c r="W520" i="9"/>
  <c r="AA536" i="9"/>
  <c r="Y536" i="9"/>
  <c r="W536" i="9"/>
  <c r="AA552" i="9"/>
  <c r="Y552" i="9"/>
  <c r="W552" i="9"/>
  <c r="AA604" i="9"/>
  <c r="Y604" i="9"/>
  <c r="W604" i="9"/>
  <c r="AA636" i="9"/>
  <c r="Y636" i="9"/>
  <c r="W636" i="9"/>
  <c r="AA648" i="9"/>
  <c r="Y648" i="9"/>
  <c r="W648" i="9"/>
  <c r="AA668" i="9"/>
  <c r="Y668" i="9"/>
  <c r="W668" i="9"/>
  <c r="AA680" i="9"/>
  <c r="Y680" i="9"/>
  <c r="W680" i="9"/>
  <c r="AA696" i="9"/>
  <c r="Y696" i="9"/>
  <c r="W696" i="9"/>
  <c r="AA700" i="9"/>
  <c r="Y700" i="9"/>
  <c r="W700" i="9"/>
  <c r="AA716" i="9"/>
  <c r="Y716" i="9"/>
  <c r="W716" i="9"/>
  <c r="AA744" i="9"/>
  <c r="Y744" i="9"/>
  <c r="W744" i="9"/>
  <c r="AA824" i="9"/>
  <c r="Y824" i="9"/>
  <c r="W824" i="9"/>
  <c r="AA856" i="9"/>
  <c r="Y856" i="9"/>
  <c r="W856" i="9"/>
  <c r="AA984" i="9"/>
  <c r="Y984" i="9"/>
  <c r="W984" i="9"/>
  <c r="AA1000" i="9"/>
  <c r="Y1000" i="9"/>
  <c r="W1000" i="9"/>
  <c r="AA1016" i="9"/>
  <c r="Y1016" i="9"/>
  <c r="W1016" i="9"/>
  <c r="AA1048" i="9"/>
  <c r="Y1048" i="9"/>
  <c r="W1048" i="9"/>
  <c r="AA1112" i="9"/>
  <c r="Y1112" i="9"/>
  <c r="W1112" i="9"/>
  <c r="AA1224" i="9"/>
  <c r="Y1224" i="9"/>
  <c r="W1224" i="9"/>
  <c r="AA15" i="9"/>
  <c r="Y15" i="9"/>
  <c r="W15" i="9"/>
  <c r="AA2503" i="9"/>
  <c r="Y2503" i="9"/>
  <c r="W2503" i="9"/>
  <c r="AA16" i="9"/>
  <c r="Y16" i="9"/>
  <c r="W16" i="9"/>
  <c r="AA20" i="9"/>
  <c r="Y20" i="9"/>
  <c r="W20" i="9"/>
  <c r="AA32" i="9"/>
  <c r="Y32" i="9"/>
  <c r="W32" i="9"/>
  <c r="AA36" i="9"/>
  <c r="Y36" i="9"/>
  <c r="W36" i="9"/>
  <c r="AA48" i="9"/>
  <c r="Y48" i="9"/>
  <c r="W48" i="9"/>
  <c r="AA52" i="9"/>
  <c r="Y52" i="9"/>
  <c r="W52" i="9"/>
  <c r="AA64" i="9"/>
  <c r="Y64" i="9"/>
  <c r="W64" i="9"/>
  <c r="AA68" i="9"/>
  <c r="Y68" i="9"/>
  <c r="W68" i="9"/>
  <c r="AA80" i="9"/>
  <c r="Y80" i="9"/>
  <c r="W80" i="9"/>
  <c r="AA84" i="9"/>
  <c r="Y84" i="9"/>
  <c r="W84" i="9"/>
  <c r="AA96" i="9"/>
  <c r="Y96" i="9"/>
  <c r="W96" i="9"/>
  <c r="AA100" i="9"/>
  <c r="Y100" i="9"/>
  <c r="W100" i="9"/>
  <c r="AA112" i="9"/>
  <c r="Y112" i="9"/>
  <c r="W112" i="9"/>
  <c r="AA116" i="9"/>
  <c r="Y116" i="9"/>
  <c r="W116" i="9"/>
  <c r="AA128" i="9"/>
  <c r="Y128" i="9"/>
  <c r="W128" i="9"/>
  <c r="AA132" i="9"/>
  <c r="Y132" i="9"/>
  <c r="W132" i="9"/>
  <c r="AA144" i="9"/>
  <c r="Y144" i="9"/>
  <c r="W144" i="9"/>
  <c r="AA148" i="9"/>
  <c r="Y148" i="9"/>
  <c r="W148" i="9"/>
  <c r="AA160" i="9"/>
  <c r="Y160" i="9"/>
  <c r="W160" i="9"/>
  <c r="AA164" i="9"/>
  <c r="Y164" i="9"/>
  <c r="W164" i="9"/>
  <c r="AA176" i="9"/>
  <c r="Y176" i="9"/>
  <c r="W176" i="9"/>
  <c r="AA180" i="9"/>
  <c r="Y180" i="9"/>
  <c r="W180" i="9"/>
  <c r="AA192" i="9"/>
  <c r="Y192" i="9"/>
  <c r="W192" i="9"/>
  <c r="AA196" i="9"/>
  <c r="Y196" i="9"/>
  <c r="W196" i="9"/>
  <c r="AA208" i="9"/>
  <c r="Y208" i="9"/>
  <c r="W208" i="9"/>
  <c r="AA212" i="9"/>
  <c r="Y212" i="9"/>
  <c r="W212" i="9"/>
  <c r="AA224" i="9"/>
  <c r="Y224" i="9"/>
  <c r="W224" i="9"/>
  <c r="AA228" i="9"/>
  <c r="Y228" i="9"/>
  <c r="W228" i="9"/>
  <c r="AA240" i="9"/>
  <c r="Y240" i="9"/>
  <c r="W240" i="9"/>
  <c r="AA244" i="9"/>
  <c r="Y244" i="9"/>
  <c r="W244" i="9"/>
  <c r="AA256" i="9"/>
  <c r="Y256" i="9"/>
  <c r="W256" i="9"/>
  <c r="AA260" i="9"/>
  <c r="Y260" i="9"/>
  <c r="W260" i="9"/>
  <c r="AA272" i="9"/>
  <c r="Y272" i="9"/>
  <c r="W272" i="9"/>
  <c r="AA276" i="9"/>
  <c r="Y276" i="9"/>
  <c r="W276" i="9"/>
  <c r="AA288" i="9"/>
  <c r="Y288" i="9"/>
  <c r="W288" i="9"/>
  <c r="AA304" i="9"/>
  <c r="Y304" i="9"/>
  <c r="W304" i="9"/>
  <c r="AA320" i="9"/>
  <c r="Y320" i="9"/>
  <c r="W320" i="9"/>
  <c r="AA336" i="9"/>
  <c r="Y336" i="9"/>
  <c r="W336" i="9"/>
  <c r="AA352" i="9"/>
  <c r="Y352" i="9"/>
  <c r="W352" i="9"/>
  <c r="AA368" i="9"/>
  <c r="Y368" i="9"/>
  <c r="W368" i="9"/>
  <c r="AA384" i="9"/>
  <c r="Y384" i="9"/>
  <c r="W384" i="9"/>
  <c r="AA400" i="9"/>
  <c r="Y400" i="9"/>
  <c r="W400" i="9"/>
  <c r="AA416" i="9"/>
  <c r="Y416" i="9"/>
  <c r="W416" i="9"/>
  <c r="AA432" i="9"/>
  <c r="Y432" i="9"/>
  <c r="W432" i="9"/>
  <c r="AA448" i="9"/>
  <c r="Y448" i="9"/>
  <c r="W448" i="9"/>
  <c r="AA464" i="9"/>
  <c r="Y464" i="9"/>
  <c r="W464" i="9"/>
  <c r="AA480" i="9"/>
  <c r="Y480" i="9"/>
  <c r="W480" i="9"/>
  <c r="AA496" i="9"/>
  <c r="Y496" i="9"/>
  <c r="W496" i="9"/>
  <c r="AA512" i="9"/>
  <c r="Y512" i="9"/>
  <c r="W512" i="9"/>
  <c r="AA528" i="9"/>
  <c r="Y528" i="9"/>
  <c r="W528" i="9"/>
  <c r="AA544" i="9"/>
  <c r="Y544" i="9"/>
  <c r="W544" i="9"/>
  <c r="AA560" i="9"/>
  <c r="Y560" i="9"/>
  <c r="W560" i="9"/>
  <c r="AA576" i="9"/>
  <c r="Y576" i="9"/>
  <c r="W576" i="9"/>
  <c r="AA592" i="9"/>
  <c r="Y592" i="9"/>
  <c r="W592" i="9"/>
  <c r="AA608" i="9"/>
  <c r="Y608" i="9"/>
  <c r="W608" i="9"/>
  <c r="AA624" i="9"/>
  <c r="Y624" i="9"/>
  <c r="W624" i="9"/>
  <c r="AA640" i="9"/>
  <c r="Y640" i="9"/>
  <c r="W640" i="9"/>
  <c r="AA656" i="9"/>
  <c r="Y656" i="9"/>
  <c r="W656" i="9"/>
  <c r="AA672" i="9"/>
  <c r="Y672" i="9"/>
  <c r="W672" i="9"/>
  <c r="AA688" i="9"/>
  <c r="Y688" i="9"/>
  <c r="W688" i="9"/>
  <c r="AA704" i="9"/>
  <c r="Y704" i="9"/>
  <c r="W704" i="9"/>
  <c r="AA720" i="9"/>
  <c r="Y720" i="9"/>
  <c r="W720" i="9"/>
  <c r="AA736" i="9"/>
  <c r="Y736" i="9"/>
  <c r="W736" i="9"/>
  <c r="AA752" i="9"/>
  <c r="Y752" i="9"/>
  <c r="W752" i="9"/>
  <c r="AA768" i="9"/>
  <c r="Y768" i="9"/>
  <c r="W768" i="9"/>
  <c r="AA784" i="9"/>
  <c r="Y784" i="9"/>
  <c r="W784" i="9"/>
  <c r="AA800" i="9"/>
  <c r="Y800" i="9"/>
  <c r="W800" i="9"/>
  <c r="AA816" i="9"/>
  <c r="Y816" i="9"/>
  <c r="W816" i="9"/>
  <c r="AA832" i="9"/>
  <c r="Y832" i="9"/>
  <c r="W832" i="9"/>
  <c r="AA848" i="9"/>
  <c r="Y848" i="9"/>
  <c r="W848" i="9"/>
  <c r="AA864" i="9"/>
  <c r="Y864" i="9"/>
  <c r="W864" i="9"/>
  <c r="AA880" i="9"/>
  <c r="Y880" i="9"/>
  <c r="W880" i="9"/>
  <c r="AA896" i="9"/>
  <c r="Y896" i="9"/>
  <c r="W896" i="9"/>
  <c r="AA912" i="9"/>
  <c r="Y912" i="9"/>
  <c r="W912" i="9"/>
  <c r="AA928" i="9"/>
  <c r="Y928" i="9"/>
  <c r="W928" i="9"/>
  <c r="AA944" i="9"/>
  <c r="Y944" i="9"/>
  <c r="W944" i="9"/>
  <c r="AA960" i="9"/>
  <c r="Y960" i="9"/>
  <c r="W960" i="9"/>
  <c r="AA976" i="9"/>
  <c r="Y976" i="9"/>
  <c r="W976" i="9"/>
  <c r="AA992" i="9"/>
  <c r="Y992" i="9"/>
  <c r="W992" i="9"/>
  <c r="AA1008" i="9"/>
  <c r="Y1008" i="9"/>
  <c r="W1008" i="9"/>
  <c r="AA1024" i="9"/>
  <c r="Y1024" i="9"/>
  <c r="W1024" i="9"/>
  <c r="AA1040" i="9"/>
  <c r="Y1040" i="9"/>
  <c r="W1040" i="9"/>
  <c r="AA1056" i="9"/>
  <c r="Y1056" i="9"/>
  <c r="W1056" i="9"/>
  <c r="AA1072" i="9"/>
  <c r="Y1072" i="9"/>
  <c r="W1072" i="9"/>
  <c r="AA1088" i="9"/>
  <c r="Y1088" i="9"/>
  <c r="W1088" i="9"/>
  <c r="AA1104" i="9"/>
  <c r="Y1104" i="9"/>
  <c r="W1104" i="9"/>
  <c r="AA1120" i="9"/>
  <c r="Y1120" i="9"/>
  <c r="W1120" i="9"/>
  <c r="AA1136" i="9"/>
  <c r="Y1136" i="9"/>
  <c r="W1136" i="9"/>
  <c r="AA1152" i="9"/>
  <c r="Y1152" i="9"/>
  <c r="W1152" i="9"/>
  <c r="AA1168" i="9"/>
  <c r="Y1168" i="9"/>
  <c r="W1168" i="9"/>
  <c r="AA1184" i="9"/>
  <c r="Y1184" i="9"/>
  <c r="W1184" i="9"/>
  <c r="AA1200" i="9"/>
  <c r="Y1200" i="9"/>
  <c r="W1200" i="9"/>
  <c r="AA1216" i="9"/>
  <c r="Y1216" i="9"/>
  <c r="W1216" i="9"/>
  <c r="AA1232" i="9"/>
  <c r="Y1232" i="9"/>
  <c r="W1232" i="9"/>
  <c r="AA1252" i="9"/>
  <c r="Y1252" i="9"/>
  <c r="W1252" i="9"/>
  <c r="AA1268" i="9"/>
  <c r="Y1268" i="9"/>
  <c r="W1268" i="9"/>
  <c r="AA1276" i="9"/>
  <c r="Y1276" i="9"/>
  <c r="W1276" i="9"/>
  <c r="AA1284" i="9"/>
  <c r="Y1284" i="9"/>
  <c r="W1284" i="9"/>
  <c r="AA1300" i="9"/>
  <c r="Y1300" i="9"/>
  <c r="W1300" i="9"/>
  <c r="AA1316" i="9"/>
  <c r="Y1316" i="9"/>
  <c r="W1316" i="9"/>
  <c r="AA1332" i="9"/>
  <c r="Y1332" i="9"/>
  <c r="W1332" i="9"/>
  <c r="AA1340" i="9"/>
  <c r="Y1340" i="9"/>
  <c r="W1340" i="9"/>
  <c r="AA1348" i="9"/>
  <c r="Y1348" i="9"/>
  <c r="W1348" i="9"/>
  <c r="AA1364" i="9"/>
  <c r="Y1364" i="9"/>
  <c r="W1364" i="9"/>
  <c r="AA1380" i="9"/>
  <c r="Y1380" i="9"/>
  <c r="W1380" i="9"/>
  <c r="AA1396" i="9"/>
  <c r="Y1396" i="9"/>
  <c r="W1396" i="9"/>
  <c r="AA1404" i="9"/>
  <c r="Y1404" i="9"/>
  <c r="W1404" i="9"/>
  <c r="AA1412" i="9"/>
  <c r="Y1412" i="9"/>
  <c r="W1412" i="9"/>
  <c r="AA1428" i="9"/>
  <c r="Y1428" i="9"/>
  <c r="W1428" i="9"/>
  <c r="AA1444" i="9"/>
  <c r="Y1444" i="9"/>
  <c r="W1444" i="9"/>
  <c r="AA1460" i="9"/>
  <c r="Y1460" i="9"/>
  <c r="W1460" i="9"/>
  <c r="AA1468" i="9"/>
  <c r="Y1468" i="9"/>
  <c r="W1468" i="9"/>
  <c r="AA1476" i="9"/>
  <c r="Y1476" i="9"/>
  <c r="W1476" i="9"/>
  <c r="AA1492" i="9"/>
  <c r="Y1492" i="9"/>
  <c r="W1492" i="9"/>
  <c r="AA1508" i="9"/>
  <c r="Y1508" i="9"/>
  <c r="W1508" i="9"/>
  <c r="AA1524" i="9"/>
  <c r="Y1524" i="9"/>
  <c r="W1524" i="9"/>
  <c r="AA1532" i="9"/>
  <c r="Y1532" i="9"/>
  <c r="W1532" i="9"/>
  <c r="AA1540" i="9"/>
  <c r="Y1540" i="9"/>
  <c r="W1540" i="9"/>
  <c r="AA1556" i="9"/>
  <c r="Y1556" i="9"/>
  <c r="W1556" i="9"/>
  <c r="AA1572" i="9"/>
  <c r="Y1572" i="9"/>
  <c r="W1572" i="9"/>
  <c r="AA1588" i="9"/>
  <c r="Y1588" i="9"/>
  <c r="W1588" i="9"/>
  <c r="AA1596" i="9"/>
  <c r="Y1596" i="9"/>
  <c r="W1596" i="9"/>
  <c r="AA1604" i="9"/>
  <c r="Y1604" i="9"/>
  <c r="W1604" i="9"/>
  <c r="AA1620" i="9"/>
  <c r="Y1620" i="9"/>
  <c r="W1620" i="9"/>
  <c r="AA1636" i="9"/>
  <c r="Y1636" i="9"/>
  <c r="W1636" i="9"/>
  <c r="AA1652" i="9"/>
  <c r="Y1652" i="9"/>
  <c r="W1652" i="9"/>
  <c r="AA1660" i="9"/>
  <c r="Y1660" i="9"/>
  <c r="W1660" i="9"/>
  <c r="AA1668" i="9"/>
  <c r="Y1668" i="9"/>
  <c r="W1668" i="9"/>
  <c r="AA1684" i="9"/>
  <c r="Y1684" i="9"/>
  <c r="W1684" i="9"/>
  <c r="AA1700" i="9"/>
  <c r="Y1700" i="9"/>
  <c r="W1700" i="9"/>
  <c r="AA1716" i="9"/>
  <c r="Y1716" i="9"/>
  <c r="W1716" i="9"/>
  <c r="AA1724" i="9"/>
  <c r="Y1724" i="9"/>
  <c r="W1724" i="9"/>
  <c r="AA1732" i="9"/>
  <c r="Y1732" i="9"/>
  <c r="W1732" i="9"/>
  <c r="AA1748" i="9"/>
  <c r="Y1748" i="9"/>
  <c r="W1748" i="9"/>
  <c r="AA1764" i="9"/>
  <c r="Y1764" i="9"/>
  <c r="W1764" i="9"/>
  <c r="AA1780" i="9"/>
  <c r="Y1780" i="9"/>
  <c r="W1780" i="9"/>
  <c r="AA1788" i="9"/>
  <c r="Y1788" i="9"/>
  <c r="W1788" i="9"/>
  <c r="AA1796" i="9"/>
  <c r="Y1796" i="9"/>
  <c r="W1796" i="9"/>
  <c r="AA1812" i="9"/>
  <c r="Y1812" i="9"/>
  <c r="W1812" i="9"/>
  <c r="AA1828" i="9"/>
  <c r="Y1828" i="9"/>
  <c r="W1828" i="9"/>
  <c r="AA1844" i="9"/>
  <c r="Y1844" i="9"/>
  <c r="W1844" i="9"/>
  <c r="AA1852" i="9"/>
  <c r="Y1852" i="9"/>
  <c r="W1852" i="9"/>
  <c r="AA1860" i="9"/>
  <c r="Y1860" i="9"/>
  <c r="W1860" i="9"/>
  <c r="AA1876" i="9"/>
  <c r="Y1876" i="9"/>
  <c r="W1876" i="9"/>
  <c r="AA1892" i="9"/>
  <c r="Y1892" i="9"/>
  <c r="W1892" i="9"/>
  <c r="AA1908" i="9"/>
  <c r="Y1908" i="9"/>
  <c r="W1908" i="9"/>
  <c r="AA1916" i="9"/>
  <c r="Y1916" i="9"/>
  <c r="W1916" i="9"/>
  <c r="AA1924" i="9"/>
  <c r="Y1924" i="9"/>
  <c r="W1924" i="9"/>
  <c r="AA1940" i="9"/>
  <c r="Y1940" i="9"/>
  <c r="W1940" i="9"/>
  <c r="AA1956" i="9"/>
  <c r="Y1956" i="9"/>
  <c r="W1956" i="9"/>
  <c r="AA1972" i="9"/>
  <c r="Y1972" i="9"/>
  <c r="W1972" i="9"/>
  <c r="AA1980" i="9"/>
  <c r="Y1980" i="9"/>
  <c r="W1980" i="9"/>
  <c r="AA1988" i="9"/>
  <c r="Y1988" i="9"/>
  <c r="W1988" i="9"/>
  <c r="AA2004" i="9"/>
  <c r="Y2004" i="9"/>
  <c r="W2004" i="9"/>
  <c r="AA2020" i="9"/>
  <c r="Y2020" i="9"/>
  <c r="W2020" i="9"/>
  <c r="AA2036" i="9"/>
  <c r="Y2036" i="9"/>
  <c r="W2036" i="9"/>
  <c r="AA2044" i="9"/>
  <c r="Y2044" i="9"/>
  <c r="W2044" i="9"/>
  <c r="AA2052" i="9"/>
  <c r="Y2052" i="9"/>
  <c r="W2052" i="9"/>
  <c r="AA2068" i="9"/>
  <c r="Y2068" i="9"/>
  <c r="W2068" i="9"/>
  <c r="AA2084" i="9"/>
  <c r="Y2084" i="9"/>
  <c r="W2084" i="9"/>
  <c r="AA2100" i="9"/>
  <c r="Y2100" i="9"/>
  <c r="W2100" i="9"/>
  <c r="AA2108" i="9"/>
  <c r="Y2108" i="9"/>
  <c r="W2108" i="9"/>
  <c r="AA2116" i="9"/>
  <c r="Y2116" i="9"/>
  <c r="W2116" i="9"/>
  <c r="AA2132" i="9"/>
  <c r="Y2132" i="9"/>
  <c r="W2132" i="9"/>
  <c r="AA2148" i="9"/>
  <c r="Y2148" i="9"/>
  <c r="W2148" i="9"/>
  <c r="AA2164" i="9"/>
  <c r="Y2164" i="9"/>
  <c r="W2164" i="9"/>
  <c r="AA2172" i="9"/>
  <c r="Y2172" i="9"/>
  <c r="W2172" i="9"/>
  <c r="AA2180" i="9"/>
  <c r="Y2180" i="9"/>
  <c r="W2180" i="9"/>
  <c r="AA2196" i="9"/>
  <c r="Y2196" i="9"/>
  <c r="W2196" i="9"/>
  <c r="AA2212" i="9"/>
  <c r="Y2212" i="9"/>
  <c r="W2212" i="9"/>
  <c r="AA2228" i="9"/>
  <c r="Y2228" i="9"/>
  <c r="W2228" i="9"/>
  <c r="AA2236" i="9"/>
  <c r="Y2236" i="9"/>
  <c r="W2236" i="9"/>
  <c r="AA2244" i="9"/>
  <c r="Y2244" i="9"/>
  <c r="W2244" i="9"/>
  <c r="AA2260" i="9"/>
  <c r="Y2260" i="9"/>
  <c r="W2260" i="9"/>
  <c r="AA2276" i="9"/>
  <c r="Y2276" i="9"/>
  <c r="W2276" i="9"/>
  <c r="AA2292" i="9"/>
  <c r="Y2292" i="9"/>
  <c r="W2292" i="9"/>
  <c r="AA2300" i="9"/>
  <c r="Y2300" i="9"/>
  <c r="W2300" i="9"/>
  <c r="AA2308" i="9"/>
  <c r="Y2308" i="9"/>
  <c r="W2308" i="9"/>
  <c r="AA2324" i="9"/>
  <c r="Y2324" i="9"/>
  <c r="W2324" i="9"/>
  <c r="AA2340" i="9"/>
  <c r="Y2340" i="9"/>
  <c r="W2340" i="9"/>
  <c r="AA2356" i="9"/>
  <c r="Y2356" i="9"/>
  <c r="W2356" i="9"/>
  <c r="AA2364" i="9"/>
  <c r="Y2364" i="9"/>
  <c r="W2364" i="9"/>
  <c r="AA2372" i="9"/>
  <c r="Y2372" i="9"/>
  <c r="W2372" i="9"/>
  <c r="AA2388" i="9"/>
  <c r="Y2388" i="9"/>
  <c r="W2388" i="9"/>
  <c r="AA2404" i="9"/>
  <c r="Y2404" i="9"/>
  <c r="W2404" i="9"/>
  <c r="AA2420" i="9"/>
  <c r="Y2420" i="9"/>
  <c r="W2420" i="9"/>
  <c r="AA2428" i="9"/>
  <c r="Y2428" i="9"/>
  <c r="W2428" i="9"/>
  <c r="AA2436" i="9"/>
  <c r="Y2436" i="9"/>
  <c r="W2436" i="9"/>
  <c r="AA2452" i="9"/>
  <c r="Y2452" i="9"/>
  <c r="W2452" i="9"/>
  <c r="AA2468" i="9"/>
  <c r="Y2468" i="9"/>
  <c r="W2468" i="9"/>
  <c r="AA2484" i="9"/>
  <c r="Y2484" i="9"/>
  <c r="W2484" i="9"/>
  <c r="AA2492" i="9"/>
  <c r="Y2492" i="9"/>
  <c r="W2492" i="9"/>
  <c r="AA2500" i="9"/>
  <c r="Y2500" i="9"/>
  <c r="W2500" i="9"/>
  <c r="AA17" i="9"/>
  <c r="Y17" i="9"/>
  <c r="W17" i="9"/>
  <c r="AA33" i="9"/>
  <c r="Y33" i="9"/>
  <c r="W33" i="9"/>
  <c r="AA49" i="9"/>
  <c r="Y49" i="9"/>
  <c r="W49" i="9"/>
  <c r="AA65" i="9"/>
  <c r="Y65" i="9"/>
  <c r="W65" i="9"/>
  <c r="AA81" i="9"/>
  <c r="Y81" i="9"/>
  <c r="W81" i="9"/>
  <c r="AA97" i="9"/>
  <c r="Y97" i="9"/>
  <c r="W97" i="9"/>
  <c r="AA113" i="9"/>
  <c r="Y113" i="9"/>
  <c r="W113" i="9"/>
  <c r="AA129" i="9"/>
  <c r="Y129" i="9"/>
  <c r="W129" i="9"/>
  <c r="AA145" i="9"/>
  <c r="Y145" i="9"/>
  <c r="W145" i="9"/>
  <c r="AA161" i="9"/>
  <c r="Y161" i="9"/>
  <c r="W161" i="9"/>
  <c r="AA177" i="9"/>
  <c r="Y177" i="9"/>
  <c r="W177" i="9"/>
  <c r="AA193" i="9"/>
  <c r="Y193" i="9"/>
  <c r="W193" i="9"/>
  <c r="AA209" i="9"/>
  <c r="Y209" i="9"/>
  <c r="W209" i="9"/>
  <c r="AA225" i="9"/>
  <c r="Y225" i="9"/>
  <c r="W225" i="9"/>
  <c r="AA241" i="9"/>
  <c r="Y241" i="9"/>
  <c r="W241" i="9"/>
  <c r="AA257" i="9"/>
  <c r="Y257" i="9"/>
  <c r="W257" i="9"/>
  <c r="AA273" i="9"/>
  <c r="Y273" i="9"/>
  <c r="W273" i="9"/>
  <c r="AA289" i="9"/>
  <c r="Y289" i="9"/>
  <c r="W289" i="9"/>
  <c r="AA305" i="9"/>
  <c r="Y305" i="9"/>
  <c r="W305" i="9"/>
  <c r="AA321" i="9"/>
  <c r="Y321" i="9"/>
  <c r="W321" i="9"/>
  <c r="AA337" i="9"/>
  <c r="Y337" i="9"/>
  <c r="W337" i="9"/>
  <c r="AA353" i="9"/>
  <c r="Y353" i="9"/>
  <c r="W353" i="9"/>
  <c r="AA369" i="9"/>
  <c r="Y369" i="9"/>
  <c r="W369" i="9"/>
  <c r="AA385" i="9"/>
  <c r="Y385" i="9"/>
  <c r="W385" i="9"/>
  <c r="AA401" i="9"/>
  <c r="Y401" i="9"/>
  <c r="W401" i="9"/>
  <c r="AA417" i="9"/>
  <c r="Y417" i="9"/>
  <c r="W417" i="9"/>
  <c r="AA433" i="9"/>
  <c r="Y433" i="9"/>
  <c r="W433" i="9"/>
  <c r="AA449" i="9"/>
  <c r="Y449" i="9"/>
  <c r="W449" i="9"/>
  <c r="AA465" i="9"/>
  <c r="Y465" i="9"/>
  <c r="W465" i="9"/>
  <c r="AA481" i="9"/>
  <c r="Y481" i="9"/>
  <c r="W481" i="9"/>
  <c r="AA497" i="9"/>
  <c r="Y497" i="9"/>
  <c r="W497" i="9"/>
  <c r="AA513" i="9"/>
  <c r="Y513" i="9"/>
  <c r="W513" i="9"/>
  <c r="AA529" i="9"/>
  <c r="Y529" i="9"/>
  <c r="W529" i="9"/>
  <c r="AA545" i="9"/>
  <c r="Y545" i="9"/>
  <c r="W545" i="9"/>
  <c r="AA561" i="9"/>
  <c r="Y561" i="9"/>
  <c r="W561" i="9"/>
  <c r="AA577" i="9"/>
  <c r="Y577" i="9"/>
  <c r="W577" i="9"/>
  <c r="AA593" i="9"/>
  <c r="Y593" i="9"/>
  <c r="W593" i="9"/>
  <c r="AA609" i="9"/>
  <c r="Y609" i="9"/>
  <c r="W609" i="9"/>
  <c r="AA625" i="9"/>
  <c r="Y625" i="9"/>
  <c r="W625" i="9"/>
  <c r="AA641" i="9"/>
  <c r="Y641" i="9"/>
  <c r="W641" i="9"/>
  <c r="AA657" i="9"/>
  <c r="Y657" i="9"/>
  <c r="W657" i="9"/>
  <c r="AA673" i="9"/>
  <c r="Y673" i="9"/>
  <c r="W673" i="9"/>
  <c r="AA689" i="9"/>
  <c r="Y689" i="9"/>
  <c r="W689" i="9"/>
  <c r="AA705" i="9"/>
  <c r="Y705" i="9"/>
  <c r="W705" i="9"/>
  <c r="AA721" i="9"/>
  <c r="Y721" i="9"/>
  <c r="W721" i="9"/>
  <c r="AA737" i="9"/>
  <c r="Y737" i="9"/>
  <c r="W737" i="9"/>
  <c r="AA1253" i="9"/>
  <c r="Y1253" i="9"/>
  <c r="W1253" i="9"/>
  <c r="AA1269" i="9"/>
  <c r="Y1269" i="9"/>
  <c r="W1269" i="9"/>
  <c r="AA1285" i="9"/>
  <c r="Y1285" i="9"/>
  <c r="W1285" i="9"/>
  <c r="AA1301" i="9"/>
  <c r="Y1301" i="9"/>
  <c r="W1301" i="9"/>
  <c r="AA1317" i="9"/>
  <c r="Y1317" i="9"/>
  <c r="W1317" i="9"/>
  <c r="AA1333" i="9"/>
  <c r="Y1333" i="9"/>
  <c r="W1333" i="9"/>
  <c r="AA1349" i="9"/>
  <c r="Y1349" i="9"/>
  <c r="W1349" i="9"/>
  <c r="AA1365" i="9"/>
  <c r="Y1365" i="9"/>
  <c r="W1365" i="9"/>
  <c r="AA1381" i="9"/>
  <c r="Y1381" i="9"/>
  <c r="W1381" i="9"/>
  <c r="AA1397" i="9"/>
  <c r="Y1397" i="9"/>
  <c r="W1397" i="9"/>
  <c r="AA1413" i="9"/>
  <c r="Y1413" i="9"/>
  <c r="W1413" i="9"/>
  <c r="AA1429" i="9"/>
  <c r="Y1429" i="9"/>
  <c r="W1429" i="9"/>
  <c r="AA1445" i="9"/>
  <c r="Y1445" i="9"/>
  <c r="W1445" i="9"/>
  <c r="AA1461" i="9"/>
  <c r="Y1461" i="9"/>
  <c r="W1461" i="9"/>
  <c r="AA1477" i="9"/>
  <c r="Y1477" i="9"/>
  <c r="W1477" i="9"/>
  <c r="AA1493" i="9"/>
  <c r="Y1493" i="9"/>
  <c r="W1493" i="9"/>
  <c r="AA1509" i="9"/>
  <c r="Y1509" i="9"/>
  <c r="W1509" i="9"/>
  <c r="AA1525" i="9"/>
  <c r="Y1525" i="9"/>
  <c r="W1525" i="9"/>
  <c r="AA1541" i="9"/>
  <c r="Y1541" i="9"/>
  <c r="W1541" i="9"/>
  <c r="AA1557" i="9"/>
  <c r="Y1557" i="9"/>
  <c r="W1557" i="9"/>
  <c r="AA1573" i="9"/>
  <c r="Y1573" i="9"/>
  <c r="W1573" i="9"/>
  <c r="AA1589" i="9"/>
  <c r="Y1589" i="9"/>
  <c r="W1589" i="9"/>
  <c r="AA1605" i="9"/>
  <c r="Y1605" i="9"/>
  <c r="W1605" i="9"/>
  <c r="AA1621" i="9"/>
  <c r="Y1621" i="9"/>
  <c r="W1621" i="9"/>
  <c r="AA1637" i="9"/>
  <c r="Y1637" i="9"/>
  <c r="W1637" i="9"/>
  <c r="AA1653" i="9"/>
  <c r="Y1653" i="9"/>
  <c r="W1653" i="9"/>
  <c r="AA1669" i="9"/>
  <c r="Y1669" i="9"/>
  <c r="W1669" i="9"/>
  <c r="AA1685" i="9"/>
  <c r="Y1685" i="9"/>
  <c r="W1685" i="9"/>
  <c r="AA1701" i="9"/>
  <c r="Y1701" i="9"/>
  <c r="W1701" i="9"/>
  <c r="AA1717" i="9"/>
  <c r="Y1717" i="9"/>
  <c r="W1717" i="9"/>
  <c r="AA1733" i="9"/>
  <c r="Y1733" i="9"/>
  <c r="W1733" i="9"/>
  <c r="AA1749" i="9"/>
  <c r="Y1749" i="9"/>
  <c r="W1749" i="9"/>
  <c r="AA1765" i="9"/>
  <c r="Y1765" i="9"/>
  <c r="W1765" i="9"/>
  <c r="AA1781" i="9"/>
  <c r="Y1781" i="9"/>
  <c r="W1781" i="9"/>
  <c r="AA1797" i="9"/>
  <c r="Y1797" i="9"/>
  <c r="W1797" i="9"/>
  <c r="AA1813" i="9"/>
  <c r="Y1813" i="9"/>
  <c r="W1813" i="9"/>
  <c r="AA1829" i="9"/>
  <c r="Y1829" i="9"/>
  <c r="W1829" i="9"/>
  <c r="AA1845" i="9"/>
  <c r="Y1845" i="9"/>
  <c r="W1845" i="9"/>
  <c r="AA1861" i="9"/>
  <c r="Y1861" i="9"/>
  <c r="W1861" i="9"/>
  <c r="AA1877" i="9"/>
  <c r="Y1877" i="9"/>
  <c r="W1877" i="9"/>
  <c r="AA1893" i="9"/>
  <c r="Y1893" i="9"/>
  <c r="W1893" i="9"/>
  <c r="AA1909" i="9"/>
  <c r="Y1909" i="9"/>
  <c r="W1909" i="9"/>
  <c r="AA1925" i="9"/>
  <c r="Y1925" i="9"/>
  <c r="W1925" i="9"/>
  <c r="AA1941" i="9"/>
  <c r="Y1941" i="9"/>
  <c r="W1941" i="9"/>
  <c r="AA1957" i="9"/>
  <c r="Y1957" i="9"/>
  <c r="W1957" i="9"/>
  <c r="AA1973" i="9"/>
  <c r="Y1973" i="9"/>
  <c r="W1973" i="9"/>
  <c r="AA1989" i="9"/>
  <c r="Y1989" i="9"/>
  <c r="W1989" i="9"/>
  <c r="AA2005" i="9"/>
  <c r="Y2005" i="9"/>
  <c r="W2005" i="9"/>
  <c r="AA2021" i="9"/>
  <c r="Y2021" i="9"/>
  <c r="W2021" i="9"/>
  <c r="AA2037" i="9"/>
  <c r="Y2037" i="9"/>
  <c r="W2037" i="9"/>
  <c r="AA2053" i="9"/>
  <c r="Y2053" i="9"/>
  <c r="W2053" i="9"/>
  <c r="AA2069" i="9"/>
  <c r="Y2069" i="9"/>
  <c r="W2069" i="9"/>
  <c r="AA2085" i="9"/>
  <c r="Y2085" i="9"/>
  <c r="W2085" i="9"/>
  <c r="AA2101" i="9"/>
  <c r="Y2101" i="9"/>
  <c r="W2101" i="9"/>
  <c r="AA2117" i="9"/>
  <c r="Y2117" i="9"/>
  <c r="W2117" i="9"/>
  <c r="AA2133" i="9"/>
  <c r="Y2133" i="9"/>
  <c r="W2133" i="9"/>
  <c r="AA2149" i="9"/>
  <c r="Y2149" i="9"/>
  <c r="W2149" i="9"/>
  <c r="AA2165" i="9"/>
  <c r="Y2165" i="9"/>
  <c r="W2165" i="9"/>
  <c r="AA2181" i="9"/>
  <c r="Y2181" i="9"/>
  <c r="W2181" i="9"/>
  <c r="AA2197" i="9"/>
  <c r="Y2197" i="9"/>
  <c r="W2197" i="9"/>
  <c r="AA2213" i="9"/>
  <c r="Y2213" i="9"/>
  <c r="W2213" i="9"/>
  <c r="AA2229" i="9"/>
  <c r="Y2229" i="9"/>
  <c r="W2229" i="9"/>
  <c r="AA2245" i="9"/>
  <c r="Y2245" i="9"/>
  <c r="W2245" i="9"/>
  <c r="AA2261" i="9"/>
  <c r="Y2261" i="9"/>
  <c r="W2261" i="9"/>
  <c r="AA2277" i="9"/>
  <c r="Y2277" i="9"/>
  <c r="W2277" i="9"/>
  <c r="AA2293" i="9"/>
  <c r="Y2293" i="9"/>
  <c r="W2293" i="9"/>
  <c r="AA2309" i="9"/>
  <c r="Y2309" i="9"/>
  <c r="W2309" i="9"/>
  <c r="AA2325" i="9"/>
  <c r="Y2325" i="9"/>
  <c r="W2325" i="9"/>
  <c r="AA2341" i="9"/>
  <c r="Y2341" i="9"/>
  <c r="W2341" i="9"/>
  <c r="AA2357" i="9"/>
  <c r="Y2357" i="9"/>
  <c r="W2357" i="9"/>
  <c r="AA2373" i="9"/>
  <c r="Y2373" i="9"/>
  <c r="W2373" i="9"/>
  <c r="AA2389" i="9"/>
  <c r="Y2389" i="9"/>
  <c r="W2389" i="9"/>
  <c r="AA2405" i="9"/>
  <c r="Y2405" i="9"/>
  <c r="W2405" i="9"/>
  <c r="AA2421" i="9"/>
  <c r="Y2421" i="9"/>
  <c r="W2421" i="9"/>
  <c r="AA2437" i="9"/>
  <c r="Y2437" i="9"/>
  <c r="W2437" i="9"/>
  <c r="AA2453" i="9"/>
  <c r="Y2453" i="9"/>
  <c r="W2453" i="9"/>
  <c r="AA2469" i="9"/>
  <c r="Y2469" i="9"/>
  <c r="W2469" i="9"/>
  <c r="AA2485" i="9"/>
  <c r="Y2485" i="9"/>
  <c r="W2485" i="9"/>
  <c r="AA2501" i="9"/>
  <c r="Y2501" i="9"/>
  <c r="W2501" i="9"/>
  <c r="AA103" i="9"/>
  <c r="Y103" i="9"/>
  <c r="W103" i="9"/>
  <c r="AA135" i="9"/>
  <c r="Y135" i="9"/>
  <c r="W135" i="9"/>
  <c r="AA167" i="9"/>
  <c r="Y167" i="9"/>
  <c r="W167" i="9"/>
  <c r="AA183" i="9"/>
  <c r="Y183" i="9"/>
  <c r="W183" i="9"/>
  <c r="AA211" i="9"/>
  <c r="Y211" i="9"/>
  <c r="W211" i="9"/>
  <c r="AA247" i="9"/>
  <c r="Y247" i="9"/>
  <c r="W247" i="9"/>
  <c r="AA275" i="9"/>
  <c r="Y275" i="9"/>
  <c r="W275" i="9"/>
  <c r="AA291" i="9"/>
  <c r="Y291" i="9"/>
  <c r="W291" i="9"/>
  <c r="AA323" i="9"/>
  <c r="Y323" i="9"/>
  <c r="W323" i="9"/>
  <c r="AA331" i="9"/>
  <c r="Y331" i="9"/>
  <c r="W331" i="9"/>
  <c r="AA359" i="9"/>
  <c r="Y359" i="9"/>
  <c r="W359" i="9"/>
  <c r="AA391" i="9"/>
  <c r="Y391" i="9"/>
  <c r="W391" i="9"/>
  <c r="AA591" i="9"/>
  <c r="Y591" i="9"/>
  <c r="W591" i="9"/>
  <c r="AA627" i="9"/>
  <c r="Y627" i="9"/>
  <c r="W627" i="9"/>
  <c r="AA659" i="9"/>
  <c r="Y659" i="9"/>
  <c r="W659" i="9"/>
  <c r="AA759" i="9"/>
  <c r="Y759" i="9"/>
  <c r="W759" i="9"/>
  <c r="AA811" i="9"/>
  <c r="Y811" i="9"/>
  <c r="W811" i="9"/>
  <c r="AA863" i="9"/>
  <c r="Y863" i="9"/>
  <c r="W863" i="9"/>
  <c r="AA895" i="9"/>
  <c r="Y895" i="9"/>
  <c r="W895" i="9"/>
  <c r="AA927" i="9"/>
  <c r="Y927" i="9"/>
  <c r="W927" i="9"/>
  <c r="AA959" i="9"/>
  <c r="Y959" i="9"/>
  <c r="W959" i="9"/>
  <c r="AA995" i="9"/>
  <c r="Y995" i="9"/>
  <c r="W995" i="9"/>
  <c r="AA1027" i="9"/>
  <c r="Y1027" i="9"/>
  <c r="W1027" i="9"/>
  <c r="AA1059" i="9"/>
  <c r="Y1059" i="9"/>
  <c r="W1059" i="9"/>
  <c r="AA1091" i="9"/>
  <c r="Y1091" i="9"/>
  <c r="W1091" i="9"/>
  <c r="AA1099" i="9"/>
  <c r="W1099" i="9"/>
  <c r="Y1099" i="9"/>
  <c r="AA1123" i="9"/>
  <c r="Y1123" i="9"/>
  <c r="W1123" i="9"/>
  <c r="AA1155" i="9"/>
  <c r="Y1155" i="9"/>
  <c r="W1155" i="9"/>
  <c r="AA1187" i="9"/>
  <c r="Y1187" i="9"/>
  <c r="W1187" i="9"/>
  <c r="AA1219" i="9"/>
  <c r="Y1219" i="9"/>
  <c r="W1219" i="9"/>
  <c r="AA1227" i="9"/>
  <c r="Y1227" i="9"/>
  <c r="W1227" i="9"/>
  <c r="AA1267" i="9"/>
  <c r="Y1267" i="9"/>
  <c r="W1267" i="9"/>
  <c r="AA1299" i="9"/>
  <c r="Y1299" i="9"/>
  <c r="W1299" i="9"/>
  <c r="AA1331" i="9"/>
  <c r="Y1331" i="9"/>
  <c r="W1331" i="9"/>
  <c r="AA1363" i="9"/>
  <c r="Y1363" i="9"/>
  <c r="W1363" i="9"/>
  <c r="AA1391" i="9"/>
  <c r="Y1391" i="9"/>
  <c r="W1391" i="9"/>
  <c r="AA1407" i="9"/>
  <c r="Y1407" i="9"/>
  <c r="W1407" i="9"/>
  <c r="AA1423" i="9"/>
  <c r="Y1423" i="9"/>
  <c r="W1423" i="9"/>
  <c r="AA1455" i="9"/>
  <c r="Y1455" i="9"/>
  <c r="W1455" i="9"/>
  <c r="AA1471" i="9"/>
  <c r="Y1471" i="9"/>
  <c r="W1471" i="9"/>
  <c r="AA1487" i="9"/>
  <c r="Y1487" i="9"/>
  <c r="W1487" i="9"/>
  <c r="AA1519" i="9"/>
  <c r="Y1519" i="9"/>
  <c r="W1519" i="9"/>
  <c r="AA1551" i="9"/>
  <c r="Y1551" i="9"/>
  <c r="W1551" i="9"/>
  <c r="AA1583" i="9"/>
  <c r="Y1583" i="9"/>
  <c r="W1583" i="9"/>
  <c r="AA1615" i="9"/>
  <c r="Y1615" i="9"/>
  <c r="W1615" i="9"/>
  <c r="AA1647" i="9"/>
  <c r="Y1647" i="9"/>
  <c r="W1647" i="9"/>
  <c r="AA1679" i="9"/>
  <c r="Y1679" i="9"/>
  <c r="W1679" i="9"/>
  <c r="AA1715" i="9"/>
  <c r="Y1715" i="9"/>
  <c r="W1715" i="9"/>
  <c r="AA1747" i="9"/>
  <c r="Y1747" i="9"/>
  <c r="W1747" i="9"/>
  <c r="AA1779" i="9"/>
  <c r="Y1779" i="9"/>
  <c r="W1779" i="9"/>
  <c r="AA1811" i="9"/>
  <c r="Y1811" i="9"/>
  <c r="W1811" i="9"/>
  <c r="AA1843" i="9"/>
  <c r="Y1843" i="9"/>
  <c r="W1843" i="9"/>
  <c r="AA1887" i="9"/>
  <c r="Y1887" i="9"/>
  <c r="W1887" i="9"/>
  <c r="AA1895" i="9"/>
  <c r="Y1895" i="9"/>
  <c r="W1895" i="9"/>
  <c r="AA1919" i="9"/>
  <c r="Y1919" i="9"/>
  <c r="W1919" i="9"/>
  <c r="AA1927" i="9"/>
  <c r="Y1927" i="9"/>
  <c r="W1927" i="9"/>
  <c r="AA1951" i="9"/>
  <c r="Y1951" i="9"/>
  <c r="W1951" i="9"/>
  <c r="AA1959" i="9"/>
  <c r="Y1959" i="9"/>
  <c r="W1959" i="9"/>
  <c r="AA1983" i="9"/>
  <c r="Y1983" i="9"/>
  <c r="W1983" i="9"/>
  <c r="AA1991" i="9"/>
  <c r="Y1991" i="9"/>
  <c r="W1991" i="9"/>
  <c r="AA2015" i="9"/>
  <c r="Y2015" i="9"/>
  <c r="W2015" i="9"/>
  <c r="AA2023" i="9"/>
  <c r="Y2023" i="9"/>
  <c r="W2023" i="9"/>
  <c r="AA2055" i="9"/>
  <c r="Y2055" i="9"/>
  <c r="W2055" i="9"/>
  <c r="AA2079" i="9"/>
  <c r="Y2079" i="9"/>
  <c r="W2079" i="9"/>
  <c r="AA2087" i="9"/>
  <c r="Y2087" i="9"/>
  <c r="W2087" i="9"/>
  <c r="AA2111" i="9"/>
  <c r="Y2111" i="9"/>
  <c r="W2111" i="9"/>
  <c r="AA2119" i="9"/>
  <c r="Y2119" i="9"/>
  <c r="W2119" i="9"/>
  <c r="AA2143" i="9"/>
  <c r="Y2143" i="9"/>
  <c r="W2143" i="9"/>
  <c r="AA2151" i="9"/>
  <c r="Y2151" i="9"/>
  <c r="W2151" i="9"/>
  <c r="AA2175" i="9"/>
  <c r="Y2175" i="9"/>
  <c r="W2175" i="9"/>
  <c r="AA2183" i="9"/>
  <c r="Y2183" i="9"/>
  <c r="W2183" i="9"/>
  <c r="AA2219" i="9"/>
  <c r="W2219" i="9"/>
  <c r="Y2219" i="9"/>
  <c r="AA2239" i="9"/>
  <c r="Y2239" i="9"/>
  <c r="W2239" i="9"/>
  <c r="AA2247" i="9"/>
  <c r="Y2247" i="9"/>
  <c r="W2247" i="9"/>
  <c r="AA2271" i="9"/>
  <c r="Y2271" i="9"/>
  <c r="W2271" i="9"/>
  <c r="AA2279" i="9"/>
  <c r="Y2279" i="9"/>
  <c r="W2279" i="9"/>
  <c r="AA2311" i="9"/>
  <c r="Y2311" i="9"/>
  <c r="W2311" i="9"/>
  <c r="AA2335" i="9"/>
  <c r="Y2335" i="9"/>
  <c r="W2335" i="9"/>
  <c r="AA2343" i="9"/>
  <c r="Y2343" i="9"/>
  <c r="W2343" i="9"/>
  <c r="AA2367" i="9"/>
  <c r="Y2367" i="9"/>
  <c r="W2367" i="9"/>
  <c r="AA2375" i="9"/>
  <c r="Y2375" i="9"/>
  <c r="W2375" i="9"/>
  <c r="AA2399" i="9"/>
  <c r="Y2399" i="9"/>
  <c r="W2399" i="9"/>
  <c r="AA2407" i="9"/>
  <c r="Y2407" i="9"/>
  <c r="W2407" i="9"/>
  <c r="AA2431" i="9"/>
  <c r="Y2431" i="9"/>
  <c r="W2431" i="9"/>
  <c r="AA2439" i="9"/>
  <c r="Y2439" i="9"/>
  <c r="W2439" i="9"/>
  <c r="AA2463" i="9"/>
  <c r="Y2463" i="9"/>
  <c r="W2463" i="9"/>
  <c r="AA2471" i="9"/>
  <c r="Y2471" i="9"/>
  <c r="W2471" i="9"/>
  <c r="AA2495" i="9"/>
  <c r="Y2495" i="9"/>
  <c r="W2495" i="9"/>
  <c r="AA6" i="9"/>
  <c r="Y6" i="9"/>
  <c r="W6" i="9"/>
  <c r="AA30" i="9"/>
  <c r="Y30" i="9"/>
  <c r="W30" i="9"/>
  <c r="AA46" i="9"/>
  <c r="Y46" i="9"/>
  <c r="W46" i="9"/>
  <c r="AA62" i="9"/>
  <c r="Y62" i="9"/>
  <c r="W62" i="9"/>
  <c r="AA78" i="9"/>
  <c r="Y78" i="9"/>
  <c r="W78" i="9"/>
  <c r="AA94" i="9"/>
  <c r="Y94" i="9"/>
  <c r="W94" i="9"/>
  <c r="AA110" i="9"/>
  <c r="Y110" i="9"/>
  <c r="W110" i="9"/>
  <c r="AA126" i="9"/>
  <c r="Y126" i="9"/>
  <c r="W126" i="9"/>
  <c r="AA142" i="9"/>
  <c r="Y142" i="9"/>
  <c r="W142" i="9"/>
  <c r="AA158" i="9"/>
  <c r="Y158" i="9"/>
  <c r="W158" i="9"/>
  <c r="AA174" i="9"/>
  <c r="Y174" i="9"/>
  <c r="W174" i="9"/>
  <c r="AA190" i="9"/>
  <c r="Y190" i="9"/>
  <c r="W190" i="9"/>
  <c r="AA206" i="9"/>
  <c r="Y206" i="9"/>
  <c r="W206" i="9"/>
  <c r="AA222" i="9"/>
  <c r="Y222" i="9"/>
  <c r="W222" i="9"/>
  <c r="AA238" i="9"/>
  <c r="Y238" i="9"/>
  <c r="W238" i="9"/>
  <c r="AA254" i="9"/>
  <c r="Y254" i="9"/>
  <c r="W254" i="9"/>
  <c r="AA270" i="9"/>
  <c r="Y270" i="9"/>
  <c r="W270" i="9"/>
  <c r="AA286" i="9"/>
  <c r="Y286" i="9"/>
  <c r="W286" i="9"/>
  <c r="AA302" i="9"/>
  <c r="Y302" i="9"/>
  <c r="W302" i="9"/>
  <c r="AA318" i="9"/>
  <c r="Y318" i="9"/>
  <c r="W318" i="9"/>
  <c r="AA334" i="9"/>
  <c r="Y334" i="9"/>
  <c r="W334" i="9"/>
  <c r="AA350" i="9"/>
  <c r="Y350" i="9"/>
  <c r="W350" i="9"/>
  <c r="AA366" i="9"/>
  <c r="Y366" i="9"/>
  <c r="W366" i="9"/>
  <c r="AA382" i="9"/>
  <c r="Y382" i="9"/>
  <c r="W382" i="9"/>
  <c r="AA398" i="9"/>
  <c r="Y398" i="9"/>
  <c r="W398" i="9"/>
  <c r="AA414" i="9"/>
  <c r="Y414" i="9"/>
  <c r="W414" i="9"/>
  <c r="AA430" i="9"/>
  <c r="Y430" i="9"/>
  <c r="W430" i="9"/>
  <c r="AA446" i="9"/>
  <c r="Y446" i="9"/>
  <c r="W446" i="9"/>
  <c r="AA462" i="9"/>
  <c r="Y462" i="9"/>
  <c r="W462" i="9"/>
  <c r="AA478" i="9"/>
  <c r="Y478" i="9"/>
  <c r="W478" i="9"/>
  <c r="AA494" i="9"/>
  <c r="Y494" i="9"/>
  <c r="W494" i="9"/>
  <c r="AA510" i="9"/>
  <c r="Y510" i="9"/>
  <c r="W510" i="9"/>
  <c r="AA526" i="9"/>
  <c r="Y526" i="9"/>
  <c r="W526" i="9"/>
  <c r="AA542" i="9"/>
  <c r="Y542" i="9"/>
  <c r="W542" i="9"/>
  <c r="AA558" i="9"/>
  <c r="Y558" i="9"/>
  <c r="W558" i="9"/>
  <c r="AA574" i="9"/>
  <c r="Y574" i="9"/>
  <c r="W574" i="9"/>
  <c r="AA590" i="9"/>
  <c r="Y590" i="9"/>
  <c r="W590" i="9"/>
  <c r="AA606" i="9"/>
  <c r="Y606" i="9"/>
  <c r="W606" i="9"/>
  <c r="AA622" i="9"/>
  <c r="Y622" i="9"/>
  <c r="W622" i="9"/>
  <c r="AA638" i="9"/>
  <c r="Y638" i="9"/>
  <c r="W638" i="9"/>
  <c r="AA654" i="9"/>
  <c r="Y654" i="9"/>
  <c r="W654" i="9"/>
  <c r="AA674" i="9"/>
  <c r="Y674" i="9"/>
  <c r="W674" i="9"/>
  <c r="AA690" i="9"/>
  <c r="Y690" i="9"/>
  <c r="W690" i="9"/>
  <c r="AA706" i="9"/>
  <c r="Y706" i="9"/>
  <c r="W706" i="9"/>
  <c r="AA722" i="9"/>
  <c r="Y722" i="9"/>
  <c r="W722" i="9"/>
  <c r="AA738" i="9"/>
  <c r="Y738" i="9"/>
  <c r="W738" i="9"/>
  <c r="AA754" i="9"/>
  <c r="Y754" i="9"/>
  <c r="W754" i="9"/>
  <c r="AA770" i="9"/>
  <c r="Y770" i="9"/>
  <c r="W770" i="9"/>
  <c r="AA786" i="9"/>
  <c r="Y786" i="9"/>
  <c r="W786" i="9"/>
  <c r="AA802" i="9"/>
  <c r="Y802" i="9"/>
  <c r="W802" i="9"/>
  <c r="AA818" i="9"/>
  <c r="Y818" i="9"/>
  <c r="W818" i="9"/>
  <c r="AA834" i="9"/>
  <c r="Y834" i="9"/>
  <c r="W834" i="9"/>
  <c r="AA850" i="9"/>
  <c r="Y850" i="9"/>
  <c r="W850" i="9"/>
  <c r="AA866" i="9"/>
  <c r="Y866" i="9"/>
  <c r="W866" i="9"/>
  <c r="AA882" i="9"/>
  <c r="Y882" i="9"/>
  <c r="W882" i="9"/>
  <c r="AA898" i="9"/>
  <c r="Y898" i="9"/>
  <c r="W898" i="9"/>
  <c r="AA914" i="9"/>
  <c r="Y914" i="9"/>
  <c r="W914" i="9"/>
  <c r="AA930" i="9"/>
  <c r="Y930" i="9"/>
  <c r="W930" i="9"/>
  <c r="AA946" i="9"/>
  <c r="Y946" i="9"/>
  <c r="W946" i="9"/>
  <c r="AA962" i="9"/>
  <c r="Y962" i="9"/>
  <c r="W962" i="9"/>
  <c r="AA978" i="9"/>
  <c r="Y978" i="9"/>
  <c r="W978" i="9"/>
  <c r="AA994" i="9"/>
  <c r="Y994" i="9"/>
  <c r="W994" i="9"/>
  <c r="AA1010" i="9"/>
  <c r="Y1010" i="9"/>
  <c r="W1010" i="9"/>
  <c r="AA1026" i="9"/>
  <c r="Y1026" i="9"/>
  <c r="W1026" i="9"/>
  <c r="AA1042" i="9"/>
  <c r="Y1042" i="9"/>
  <c r="W1042" i="9"/>
  <c r="AA1058" i="9"/>
  <c r="Y1058" i="9"/>
  <c r="W1058" i="9"/>
  <c r="AA1074" i="9"/>
  <c r="Y1074" i="9"/>
  <c r="W1074" i="9"/>
  <c r="AA1090" i="9"/>
  <c r="Y1090" i="9"/>
  <c r="W1090" i="9"/>
  <c r="AA1106" i="9"/>
  <c r="Y1106" i="9"/>
  <c r="W1106" i="9"/>
  <c r="AA1122" i="9"/>
  <c r="Y1122" i="9"/>
  <c r="W1122" i="9"/>
  <c r="AA1138" i="9"/>
  <c r="Y1138" i="9"/>
  <c r="W1138" i="9"/>
  <c r="AA1154" i="9"/>
  <c r="Y1154" i="9"/>
  <c r="W1154" i="9"/>
  <c r="AA1170" i="9"/>
  <c r="Y1170" i="9"/>
  <c r="W1170" i="9"/>
  <c r="AA1186" i="9"/>
  <c r="Y1186" i="9"/>
  <c r="W1186" i="9"/>
  <c r="AA1202" i="9"/>
  <c r="Y1202" i="9"/>
  <c r="W1202" i="9"/>
  <c r="AA1218" i="9"/>
  <c r="Y1218" i="9"/>
  <c r="W1218" i="9"/>
  <c r="AA1234" i="9"/>
  <c r="Y1234" i="9"/>
  <c r="W1234" i="9"/>
  <c r="AA1242" i="9"/>
  <c r="Y1242" i="9"/>
  <c r="W1242" i="9"/>
  <c r="AA1258" i="9"/>
  <c r="Y1258" i="9"/>
  <c r="W1258" i="9"/>
  <c r="AA1274" i="9"/>
  <c r="Y1274" i="9"/>
  <c r="W1274" i="9"/>
  <c r="AA1290" i="9"/>
  <c r="Y1290" i="9"/>
  <c r="W1290" i="9"/>
  <c r="AA1306" i="9"/>
  <c r="Y1306" i="9"/>
  <c r="W1306" i="9"/>
  <c r="AA1322" i="9"/>
  <c r="Y1322" i="9"/>
  <c r="W1322" i="9"/>
  <c r="AA1338" i="9"/>
  <c r="Y1338" i="9"/>
  <c r="W1338" i="9"/>
  <c r="AA1354" i="9"/>
  <c r="Y1354" i="9"/>
  <c r="W1354" i="9"/>
  <c r="AA1370" i="9"/>
  <c r="Y1370" i="9"/>
  <c r="W1370" i="9"/>
  <c r="AA1386" i="9"/>
  <c r="Y1386" i="9"/>
  <c r="W1386" i="9"/>
  <c r="AA1402" i="9"/>
  <c r="Y1402" i="9"/>
  <c r="W1402" i="9"/>
  <c r="AA1418" i="9"/>
  <c r="Y1418" i="9"/>
  <c r="W1418" i="9"/>
  <c r="AA1434" i="9"/>
  <c r="Y1434" i="9"/>
  <c r="W1434" i="9"/>
  <c r="AA1450" i="9"/>
  <c r="Y1450" i="9"/>
  <c r="W1450" i="9"/>
  <c r="AA1466" i="9"/>
  <c r="Y1466" i="9"/>
  <c r="W1466" i="9"/>
  <c r="AA1482" i="9"/>
  <c r="Y1482" i="9"/>
  <c r="W1482" i="9"/>
  <c r="AA1498" i="9"/>
  <c r="Y1498" i="9"/>
  <c r="W1498" i="9"/>
  <c r="AA1514" i="9"/>
  <c r="Y1514" i="9"/>
  <c r="W1514" i="9"/>
  <c r="AA1530" i="9"/>
  <c r="Y1530" i="9"/>
  <c r="W1530" i="9"/>
  <c r="AA1546" i="9"/>
  <c r="Y1546" i="9"/>
  <c r="W1546" i="9"/>
  <c r="AA1562" i="9"/>
  <c r="Y1562" i="9"/>
  <c r="W1562" i="9"/>
  <c r="AA1578" i="9"/>
  <c r="Y1578" i="9"/>
  <c r="W1578" i="9"/>
  <c r="AA1594" i="9"/>
  <c r="Y1594" i="9"/>
  <c r="W1594" i="9"/>
  <c r="AA1610" i="9"/>
  <c r="Y1610" i="9"/>
  <c r="W1610" i="9"/>
  <c r="AA1626" i="9"/>
  <c r="Y1626" i="9"/>
  <c r="W1626" i="9"/>
  <c r="AA1642" i="9"/>
  <c r="Y1642" i="9"/>
  <c r="W1642" i="9"/>
  <c r="AA1658" i="9"/>
  <c r="Y1658" i="9"/>
  <c r="W1658" i="9"/>
  <c r="AA1674" i="9"/>
  <c r="Y1674" i="9"/>
  <c r="W1674" i="9"/>
  <c r="AA1690" i="9"/>
  <c r="Y1690" i="9"/>
  <c r="W1690" i="9"/>
  <c r="AA1706" i="9"/>
  <c r="Y1706" i="9"/>
  <c r="W1706" i="9"/>
  <c r="AA1722" i="9"/>
  <c r="Y1722" i="9"/>
  <c r="W1722" i="9"/>
  <c r="AA1738" i="9"/>
  <c r="Y1738" i="9"/>
  <c r="W1738" i="9"/>
  <c r="AA1754" i="9"/>
  <c r="Y1754" i="9"/>
  <c r="W1754" i="9"/>
  <c r="AA1770" i="9"/>
  <c r="Y1770" i="9"/>
  <c r="W1770" i="9"/>
  <c r="AA1786" i="9"/>
  <c r="Y1786" i="9"/>
  <c r="W1786" i="9"/>
  <c r="AA1802" i="9"/>
  <c r="Y1802" i="9"/>
  <c r="W1802" i="9"/>
  <c r="AA1818" i="9"/>
  <c r="Y1818" i="9"/>
  <c r="W1818" i="9"/>
  <c r="AA1834" i="9"/>
  <c r="Y1834" i="9"/>
  <c r="W1834" i="9"/>
  <c r="AA1850" i="9"/>
  <c r="Y1850" i="9"/>
  <c r="W1850" i="9"/>
  <c r="AA1866" i="9"/>
  <c r="Y1866" i="9"/>
  <c r="W1866" i="9"/>
  <c r="AA1882" i="9"/>
  <c r="Y1882" i="9"/>
  <c r="W1882" i="9"/>
  <c r="AA1898" i="9"/>
  <c r="Y1898" i="9"/>
  <c r="W1898" i="9"/>
  <c r="AA1914" i="9"/>
  <c r="Y1914" i="9"/>
  <c r="W1914" i="9"/>
  <c r="AA1930" i="9"/>
  <c r="Y1930" i="9"/>
  <c r="W1930" i="9"/>
  <c r="AA1946" i="9"/>
  <c r="Y1946" i="9"/>
  <c r="W1946" i="9"/>
  <c r="AA1962" i="9"/>
  <c r="Y1962" i="9"/>
  <c r="W1962" i="9"/>
  <c r="AA1978" i="9"/>
  <c r="Y1978" i="9"/>
  <c r="W1978" i="9"/>
  <c r="AA1994" i="9"/>
  <c r="Y1994" i="9"/>
  <c r="W1994" i="9"/>
  <c r="AA2010" i="9"/>
  <c r="Y2010" i="9"/>
  <c r="W2010" i="9"/>
  <c r="AA2026" i="9"/>
  <c r="Y2026" i="9"/>
  <c r="W2026" i="9"/>
  <c r="AA2042" i="9"/>
  <c r="Y2042" i="9"/>
  <c r="W2042" i="9"/>
  <c r="AA2058" i="9"/>
  <c r="Y2058" i="9"/>
  <c r="W2058" i="9"/>
  <c r="AA2074" i="9"/>
  <c r="Y2074" i="9"/>
  <c r="W2074" i="9"/>
  <c r="AA2090" i="9"/>
  <c r="Y2090" i="9"/>
  <c r="W2090" i="9"/>
  <c r="AA2106" i="9"/>
  <c r="Y2106" i="9"/>
  <c r="W2106" i="9"/>
  <c r="AA2122" i="9"/>
  <c r="Y2122" i="9"/>
  <c r="W2122" i="9"/>
  <c r="AA2138" i="9"/>
  <c r="Y2138" i="9"/>
  <c r="W2138" i="9"/>
  <c r="AA2154" i="9"/>
  <c r="Y2154" i="9"/>
  <c r="W2154" i="9"/>
  <c r="AA2170" i="9"/>
  <c r="Y2170" i="9"/>
  <c r="W2170" i="9"/>
  <c r="AA2186" i="9"/>
  <c r="Y2186" i="9"/>
  <c r="W2186" i="9"/>
  <c r="AA2202" i="9"/>
  <c r="Y2202" i="9"/>
  <c r="W2202" i="9"/>
  <c r="AA2218" i="9"/>
  <c r="Y2218" i="9"/>
  <c r="W2218" i="9"/>
  <c r="AA2234" i="9"/>
  <c r="Y2234" i="9"/>
  <c r="W2234" i="9"/>
  <c r="AA2250" i="9"/>
  <c r="Y2250" i="9"/>
  <c r="W2250" i="9"/>
  <c r="AA2266" i="9"/>
  <c r="Y2266" i="9"/>
  <c r="W2266" i="9"/>
  <c r="AA2282" i="9"/>
  <c r="Y2282" i="9"/>
  <c r="W2282" i="9"/>
  <c r="AA2298" i="9"/>
  <c r="Y2298" i="9"/>
  <c r="W2298" i="9"/>
  <c r="AA2314" i="9"/>
  <c r="Y2314" i="9"/>
  <c r="W2314" i="9"/>
  <c r="AA2330" i="9"/>
  <c r="Y2330" i="9"/>
  <c r="W2330" i="9"/>
  <c r="AA2346" i="9"/>
  <c r="Y2346" i="9"/>
  <c r="W2346" i="9"/>
  <c r="AA2362" i="9"/>
  <c r="Y2362" i="9"/>
  <c r="W2362" i="9"/>
  <c r="AA2378" i="9"/>
  <c r="Y2378" i="9"/>
  <c r="W2378" i="9"/>
  <c r="AA2394" i="9"/>
  <c r="Y2394" i="9"/>
  <c r="W2394" i="9"/>
  <c r="AA2410" i="9"/>
  <c r="Y2410" i="9"/>
  <c r="W2410" i="9"/>
  <c r="AA2426" i="9"/>
  <c r="Y2426" i="9"/>
  <c r="W2426" i="9"/>
  <c r="AA2442" i="9"/>
  <c r="Y2442" i="9"/>
  <c r="W2442" i="9"/>
  <c r="AA2458" i="9"/>
  <c r="Y2458" i="9"/>
  <c r="W2458" i="9"/>
  <c r="AA2474" i="9"/>
  <c r="Y2474" i="9"/>
  <c r="W2474" i="9"/>
  <c r="AA2490" i="9"/>
  <c r="Y2490" i="9"/>
  <c r="W2490" i="9"/>
  <c r="AA107" i="9"/>
  <c r="Y107" i="9"/>
  <c r="W107" i="9"/>
  <c r="AA139" i="9"/>
  <c r="Y139" i="9"/>
  <c r="W139" i="9"/>
  <c r="AA171" i="9"/>
  <c r="Y171" i="9"/>
  <c r="W171" i="9"/>
  <c r="AA191" i="9"/>
  <c r="Y191" i="9"/>
  <c r="W191" i="9"/>
  <c r="AA223" i="9"/>
  <c r="Y223" i="9"/>
  <c r="W223" i="9"/>
  <c r="AA235" i="9"/>
  <c r="Y235" i="9"/>
  <c r="W235" i="9"/>
  <c r="AA255" i="9"/>
  <c r="Y255" i="9"/>
  <c r="W255" i="9"/>
  <c r="AA287" i="9"/>
  <c r="Y287" i="9"/>
  <c r="W287" i="9"/>
  <c r="AA319" i="9"/>
  <c r="Y319" i="9"/>
  <c r="W319" i="9"/>
  <c r="AA351" i="9"/>
  <c r="Y351" i="9"/>
  <c r="W351" i="9"/>
  <c r="AA363" i="9"/>
  <c r="Y363" i="9"/>
  <c r="W363" i="9"/>
  <c r="AA379" i="9"/>
  <c r="Y379" i="9"/>
  <c r="W379" i="9"/>
  <c r="AA395" i="9"/>
  <c r="Y395" i="9"/>
  <c r="W395" i="9"/>
  <c r="AA407" i="9"/>
  <c r="Y407" i="9"/>
  <c r="W407" i="9"/>
  <c r="AA439" i="9"/>
  <c r="Y439" i="9"/>
  <c r="W439" i="9"/>
  <c r="AA471" i="9"/>
  <c r="Y471" i="9"/>
  <c r="W471" i="9"/>
  <c r="AA503" i="9"/>
  <c r="Y503" i="9"/>
  <c r="W503" i="9"/>
  <c r="AA535" i="9"/>
  <c r="Y535" i="9"/>
  <c r="W535" i="9"/>
  <c r="AA567" i="9"/>
  <c r="Y567" i="9"/>
  <c r="W567" i="9"/>
  <c r="AA595" i="9"/>
  <c r="Y595" i="9"/>
  <c r="W595" i="9"/>
  <c r="AA623" i="9"/>
  <c r="Y623" i="9"/>
  <c r="W623" i="9"/>
  <c r="AA655" i="9"/>
  <c r="Y655" i="9"/>
  <c r="W655" i="9"/>
  <c r="AA695" i="9"/>
  <c r="Y695" i="9"/>
  <c r="W695" i="9"/>
  <c r="AA727" i="9"/>
  <c r="Y727" i="9"/>
  <c r="W727" i="9"/>
  <c r="AA779" i="9"/>
  <c r="Y779" i="9"/>
  <c r="W779" i="9"/>
  <c r="AA791" i="9"/>
  <c r="Y791" i="9"/>
  <c r="W791" i="9"/>
  <c r="AA823" i="9"/>
  <c r="Y823" i="9"/>
  <c r="W823" i="9"/>
  <c r="AA855" i="9"/>
  <c r="Y855" i="9"/>
  <c r="W855" i="9"/>
  <c r="AA883" i="9"/>
  <c r="Y883" i="9"/>
  <c r="W883" i="9"/>
  <c r="AA915" i="9"/>
  <c r="Y915" i="9"/>
  <c r="W915" i="9"/>
  <c r="AA947" i="9"/>
  <c r="Y947" i="9"/>
  <c r="W947" i="9"/>
  <c r="AA979" i="9"/>
  <c r="Y979" i="9"/>
  <c r="W979" i="9"/>
  <c r="AA1007" i="9"/>
  <c r="Y1007" i="9"/>
  <c r="W1007" i="9"/>
  <c r="AA1039" i="9"/>
  <c r="Y1039" i="9"/>
  <c r="W1039" i="9"/>
  <c r="AA1071" i="9"/>
  <c r="Y1071" i="9"/>
  <c r="W1071" i="9"/>
  <c r="AA1103" i="9"/>
  <c r="Y1103" i="9"/>
  <c r="W1103" i="9"/>
  <c r="AA1135" i="9"/>
  <c r="Y1135" i="9"/>
  <c r="W1135" i="9"/>
  <c r="AA1167" i="9"/>
  <c r="Y1167" i="9"/>
  <c r="W1167" i="9"/>
  <c r="AA1199" i="9"/>
  <c r="Y1199" i="9"/>
  <c r="W1199" i="9"/>
  <c r="AA1231" i="9"/>
  <c r="Y1231" i="9"/>
  <c r="W1231" i="9"/>
  <c r="AA1239" i="9"/>
  <c r="Y1239" i="9"/>
  <c r="W1239" i="9"/>
  <c r="AA1271" i="9"/>
  <c r="Y1271" i="9"/>
  <c r="W1271" i="9"/>
  <c r="AA1303" i="9"/>
  <c r="Y1303" i="9"/>
  <c r="W1303" i="9"/>
  <c r="AA1335" i="9"/>
  <c r="Y1335" i="9"/>
  <c r="W1335" i="9"/>
  <c r="AA1367" i="9"/>
  <c r="Y1367" i="9"/>
  <c r="W1367" i="9"/>
  <c r="AA1371" i="9"/>
  <c r="W1371" i="9"/>
  <c r="Y1371" i="9"/>
  <c r="AA1403" i="9"/>
  <c r="Y1403" i="9"/>
  <c r="W1403" i="9"/>
  <c r="AA1435" i="9"/>
  <c r="W1435" i="9"/>
  <c r="Y1435" i="9"/>
  <c r="AA1467" i="9"/>
  <c r="Y1467" i="9"/>
  <c r="W1467" i="9"/>
  <c r="AA1499" i="9"/>
  <c r="W1499" i="9"/>
  <c r="Y1499" i="9"/>
  <c r="AA1531" i="9"/>
  <c r="Y1531" i="9"/>
  <c r="W1531" i="9"/>
  <c r="AA1563" i="9"/>
  <c r="W1563" i="9"/>
  <c r="Y1563" i="9"/>
  <c r="AA1595" i="9"/>
  <c r="Y1595" i="9"/>
  <c r="W1595" i="9"/>
  <c r="AA1627" i="9"/>
  <c r="W1627" i="9"/>
  <c r="Y1627" i="9"/>
  <c r="AA1659" i="9"/>
  <c r="Y1659" i="9"/>
  <c r="W1659" i="9"/>
  <c r="AA1691" i="9"/>
  <c r="W1691" i="9"/>
  <c r="Y1691" i="9"/>
  <c r="AA1719" i="9"/>
  <c r="Y1719" i="9"/>
  <c r="W1719" i="9"/>
  <c r="AA1751" i="9"/>
  <c r="Y1751" i="9"/>
  <c r="W1751" i="9"/>
  <c r="AA1783" i="9"/>
  <c r="Y1783" i="9"/>
  <c r="W1783" i="9"/>
  <c r="AA1791" i="9"/>
  <c r="Y1791" i="9"/>
  <c r="W1791" i="9"/>
  <c r="AA1815" i="9"/>
  <c r="Y1815" i="9"/>
  <c r="W1815" i="9"/>
  <c r="AA1847" i="9"/>
  <c r="Y1847" i="9"/>
  <c r="W1847" i="9"/>
  <c r="AA1891" i="9"/>
  <c r="Y1891" i="9"/>
  <c r="W1891" i="9"/>
  <c r="AA1923" i="9"/>
  <c r="Y1923" i="9"/>
  <c r="W1923" i="9"/>
  <c r="AA1955" i="9"/>
  <c r="Y1955" i="9"/>
  <c r="W1955" i="9"/>
  <c r="AA1987" i="9"/>
  <c r="Y1987" i="9"/>
  <c r="W1987" i="9"/>
  <c r="AA2019" i="9"/>
  <c r="Y2019" i="9"/>
  <c r="W2019" i="9"/>
  <c r="AA2051" i="9"/>
  <c r="Y2051" i="9"/>
  <c r="W2051" i="9"/>
  <c r="AA2083" i="9"/>
  <c r="Y2083" i="9"/>
  <c r="W2083" i="9"/>
  <c r="AA2115" i="9"/>
  <c r="Y2115" i="9"/>
  <c r="W2115" i="9"/>
  <c r="AA2147" i="9"/>
  <c r="Y2147" i="9"/>
  <c r="W2147" i="9"/>
  <c r="AA2179" i="9"/>
  <c r="Y2179" i="9"/>
  <c r="W2179" i="9"/>
  <c r="AA2243" i="9"/>
  <c r="Y2243" i="9"/>
  <c r="W2243" i="9"/>
  <c r="AA2275" i="9"/>
  <c r="Y2275" i="9"/>
  <c r="W2275" i="9"/>
  <c r="AA2307" i="9"/>
  <c r="Y2307" i="9"/>
  <c r="W2307" i="9"/>
  <c r="AA2339" i="9"/>
  <c r="Y2339" i="9"/>
  <c r="W2339" i="9"/>
  <c r="AA2371" i="9"/>
  <c r="Y2371" i="9"/>
  <c r="W2371" i="9"/>
  <c r="AA2403" i="9"/>
  <c r="Y2403" i="9"/>
  <c r="W2403" i="9"/>
  <c r="AA2435" i="9"/>
  <c r="Y2435" i="9"/>
  <c r="W2435" i="9"/>
  <c r="AA2467" i="9"/>
  <c r="Y2467" i="9"/>
  <c r="W2467" i="9"/>
  <c r="AA2499" i="9"/>
  <c r="Y2499" i="9"/>
  <c r="W2499" i="9"/>
  <c r="AA12" i="9"/>
  <c r="Y12" i="9"/>
  <c r="W12" i="9"/>
  <c r="AA24" i="9"/>
  <c r="Y24" i="9"/>
  <c r="W24" i="9"/>
  <c r="AA56" i="9"/>
  <c r="Y56" i="9"/>
  <c r="W56" i="9"/>
  <c r="AA76" i="9"/>
  <c r="Y76" i="9"/>
  <c r="W76" i="9"/>
  <c r="AA108" i="9"/>
  <c r="Y108" i="9"/>
  <c r="W108" i="9"/>
  <c r="AA120" i="9"/>
  <c r="Y120" i="9"/>
  <c r="W120" i="9"/>
  <c r="AA140" i="9"/>
  <c r="Y140" i="9"/>
  <c r="W140" i="9"/>
  <c r="AA168" i="9"/>
  <c r="Y168" i="9"/>
  <c r="W168" i="9"/>
  <c r="AA184" i="9"/>
  <c r="Y184" i="9"/>
  <c r="W184" i="9"/>
  <c r="AA216" i="9"/>
  <c r="Y216" i="9"/>
  <c r="W216" i="9"/>
  <c r="AA232" i="9"/>
  <c r="Y232" i="9"/>
  <c r="W232" i="9"/>
  <c r="AA248" i="9"/>
  <c r="Y248" i="9"/>
  <c r="W248" i="9"/>
  <c r="AA284" i="9"/>
  <c r="Y284" i="9"/>
  <c r="W284" i="9"/>
  <c r="AA300" i="9"/>
  <c r="Y300" i="9"/>
  <c r="W300" i="9"/>
  <c r="AA316" i="9"/>
  <c r="Y316" i="9"/>
  <c r="W316" i="9"/>
  <c r="AA332" i="9"/>
  <c r="Y332" i="9"/>
  <c r="W332" i="9"/>
  <c r="AA348" i="9"/>
  <c r="Y348" i="9"/>
  <c r="W348" i="9"/>
  <c r="AA380" i="9"/>
  <c r="Y380" i="9"/>
  <c r="W380" i="9"/>
  <c r="AA396" i="9"/>
  <c r="Y396" i="9"/>
  <c r="W396" i="9"/>
  <c r="AA424" i="9"/>
  <c r="Y424" i="9"/>
  <c r="W424" i="9"/>
  <c r="AA508" i="9"/>
  <c r="Y508" i="9"/>
  <c r="W508" i="9"/>
  <c r="AA524" i="9"/>
  <c r="Y524" i="9"/>
  <c r="W524" i="9"/>
  <c r="AA540" i="9"/>
  <c r="Y540" i="9"/>
  <c r="W540" i="9"/>
  <c r="AA556" i="9"/>
  <c r="Y556" i="9"/>
  <c r="W556" i="9"/>
  <c r="AA568" i="9"/>
  <c r="Y568" i="9"/>
  <c r="W568" i="9"/>
  <c r="AA584" i="9"/>
  <c r="Y584" i="9"/>
  <c r="W584" i="9"/>
  <c r="AA600" i="9"/>
  <c r="Y600" i="9"/>
  <c r="W600" i="9"/>
  <c r="AA616" i="9"/>
  <c r="Y616" i="9"/>
  <c r="W616" i="9"/>
  <c r="AA620" i="9"/>
  <c r="Y620" i="9"/>
  <c r="W620" i="9"/>
  <c r="AA776" i="9"/>
  <c r="Y776" i="9"/>
  <c r="W776" i="9"/>
  <c r="AA808" i="9"/>
  <c r="Y808" i="9"/>
  <c r="W808" i="9"/>
  <c r="AA888" i="9"/>
  <c r="Y888" i="9"/>
  <c r="W888" i="9"/>
  <c r="AA920" i="9"/>
  <c r="Y920" i="9"/>
  <c r="W920" i="9"/>
  <c r="AA952" i="9"/>
  <c r="Y952" i="9"/>
  <c r="W952" i="9"/>
  <c r="AA1032" i="9"/>
  <c r="Y1032" i="9"/>
  <c r="W1032" i="9"/>
  <c r="AA1064" i="9"/>
  <c r="Y1064" i="9"/>
  <c r="W1064" i="9"/>
  <c r="AA1080" i="9"/>
  <c r="Y1080" i="9"/>
  <c r="W1080" i="9"/>
  <c r="AA1176" i="9"/>
  <c r="Y1176" i="9"/>
  <c r="W1176" i="9"/>
  <c r="AA1208" i="9"/>
  <c r="Y1208" i="9"/>
  <c r="W1208" i="9"/>
  <c r="AA748" i="9"/>
  <c r="Y748" i="9"/>
  <c r="W748" i="9"/>
  <c r="AA764" i="9"/>
  <c r="Y764" i="9"/>
  <c r="W764" i="9"/>
  <c r="AA780" i="9"/>
  <c r="Y780" i="9"/>
  <c r="W780" i="9"/>
  <c r="AA796" i="9"/>
  <c r="Y796" i="9"/>
  <c r="W796" i="9"/>
  <c r="AA812" i="9"/>
  <c r="Y812" i="9"/>
  <c r="W812" i="9"/>
  <c r="AA828" i="9"/>
  <c r="Y828" i="9"/>
  <c r="W828" i="9"/>
  <c r="AA844" i="9"/>
  <c r="Y844" i="9"/>
  <c r="W844" i="9"/>
  <c r="AA860" i="9"/>
  <c r="Y860" i="9"/>
  <c r="W860" i="9"/>
  <c r="AA876" i="9"/>
  <c r="Y876" i="9"/>
  <c r="W876" i="9"/>
  <c r="AA892" i="9"/>
  <c r="Y892" i="9"/>
  <c r="W892" i="9"/>
  <c r="AA908" i="9"/>
  <c r="Y908" i="9"/>
  <c r="W908" i="9"/>
  <c r="AA924" i="9"/>
  <c r="Y924" i="9"/>
  <c r="W924" i="9"/>
  <c r="AA940" i="9"/>
  <c r="Y940" i="9"/>
  <c r="W940" i="9"/>
  <c r="AA956" i="9"/>
  <c r="Y956" i="9"/>
  <c r="W956" i="9"/>
  <c r="AA972" i="9"/>
  <c r="Y972" i="9"/>
  <c r="W972" i="9"/>
  <c r="AA988" i="9"/>
  <c r="Y988" i="9"/>
  <c r="W988" i="9"/>
  <c r="AA1004" i="9"/>
  <c r="Y1004" i="9"/>
  <c r="W1004" i="9"/>
  <c r="AA1020" i="9"/>
  <c r="Y1020" i="9"/>
  <c r="W1020" i="9"/>
  <c r="AA1036" i="9"/>
  <c r="Y1036" i="9"/>
  <c r="W1036" i="9"/>
  <c r="AA1052" i="9"/>
  <c r="Y1052" i="9"/>
  <c r="W1052" i="9"/>
  <c r="AA1068" i="9"/>
  <c r="Y1068" i="9"/>
  <c r="W1068" i="9"/>
  <c r="AA1084" i="9"/>
  <c r="Y1084" i="9"/>
  <c r="W1084" i="9"/>
  <c r="AA1100" i="9"/>
  <c r="Y1100" i="9"/>
  <c r="W1100" i="9"/>
  <c r="AA1116" i="9"/>
  <c r="Y1116" i="9"/>
  <c r="W1116" i="9"/>
  <c r="AA1132" i="9"/>
  <c r="Y1132" i="9"/>
  <c r="W1132" i="9"/>
  <c r="AA1148" i="9"/>
  <c r="Y1148" i="9"/>
  <c r="W1148" i="9"/>
  <c r="AA1164" i="9"/>
  <c r="Y1164" i="9"/>
  <c r="W1164" i="9"/>
  <c r="AA1180" i="9"/>
  <c r="Y1180" i="9"/>
  <c r="W1180" i="9"/>
  <c r="AA1196" i="9"/>
  <c r="Y1196" i="9"/>
  <c r="W1196" i="9"/>
  <c r="AA1212" i="9"/>
  <c r="Y1212" i="9"/>
  <c r="W1212" i="9"/>
  <c r="AA1228" i="9"/>
  <c r="Y1228" i="9"/>
  <c r="W1228" i="9"/>
  <c r="AA1244" i="9"/>
  <c r="Y1244" i="9"/>
  <c r="W1244" i="9"/>
  <c r="AA1248" i="9"/>
  <c r="Y1248" i="9"/>
  <c r="W1248" i="9"/>
  <c r="AA1260" i="9"/>
  <c r="Y1260" i="9"/>
  <c r="W1260" i="9"/>
  <c r="AA1264" i="9"/>
  <c r="Y1264" i="9"/>
  <c r="W1264" i="9"/>
  <c r="AA1280" i="9"/>
  <c r="Y1280" i="9"/>
  <c r="W1280" i="9"/>
  <c r="AA1292" i="9"/>
  <c r="Y1292" i="9"/>
  <c r="W1292" i="9"/>
  <c r="AA1296" i="9"/>
  <c r="Y1296" i="9"/>
  <c r="W1296" i="9"/>
  <c r="AA1308" i="9"/>
  <c r="Y1308" i="9"/>
  <c r="W1308" i="9"/>
  <c r="AA1312" i="9"/>
  <c r="Y1312" i="9"/>
  <c r="W1312" i="9"/>
  <c r="AA1324" i="9"/>
  <c r="Y1324" i="9"/>
  <c r="W1324" i="9"/>
  <c r="AA1328" i="9"/>
  <c r="Y1328" i="9"/>
  <c r="W1328" i="9"/>
  <c r="AA1344" i="9"/>
  <c r="Y1344" i="9"/>
  <c r="W1344" i="9"/>
  <c r="AA1356" i="9"/>
  <c r="Y1356" i="9"/>
  <c r="W1356" i="9"/>
  <c r="AA1360" i="9"/>
  <c r="Y1360" i="9"/>
  <c r="W1360" i="9"/>
  <c r="AA1372" i="9"/>
  <c r="Y1372" i="9"/>
  <c r="W1372" i="9"/>
  <c r="AA1376" i="9"/>
  <c r="Y1376" i="9"/>
  <c r="W1376" i="9"/>
  <c r="AA1388" i="9"/>
  <c r="Y1388" i="9"/>
  <c r="W1388" i="9"/>
  <c r="AA1392" i="9"/>
  <c r="Y1392" i="9"/>
  <c r="W1392" i="9"/>
  <c r="AA1408" i="9"/>
  <c r="Y1408" i="9"/>
  <c r="W1408" i="9"/>
  <c r="AA1420" i="9"/>
  <c r="Y1420" i="9"/>
  <c r="W1420" i="9"/>
  <c r="AA1424" i="9"/>
  <c r="Y1424" i="9"/>
  <c r="W1424" i="9"/>
  <c r="AA1436" i="9"/>
  <c r="Y1436" i="9"/>
  <c r="W1436" i="9"/>
  <c r="AA1440" i="9"/>
  <c r="Y1440" i="9"/>
  <c r="W1440" i="9"/>
  <c r="AA1452" i="9"/>
  <c r="Y1452" i="9"/>
  <c r="W1452" i="9"/>
  <c r="AA1456" i="9"/>
  <c r="Y1456" i="9"/>
  <c r="W1456" i="9"/>
  <c r="AA1472" i="9"/>
  <c r="Y1472" i="9"/>
  <c r="W1472" i="9"/>
  <c r="AA1484" i="9"/>
  <c r="Y1484" i="9"/>
  <c r="W1484" i="9"/>
  <c r="AA1488" i="9"/>
  <c r="Y1488" i="9"/>
  <c r="W1488" i="9"/>
  <c r="AA1500" i="9"/>
  <c r="Y1500" i="9"/>
  <c r="W1500" i="9"/>
  <c r="AA1504" i="9"/>
  <c r="Y1504" i="9"/>
  <c r="W1504" i="9"/>
  <c r="AA1516" i="9"/>
  <c r="Y1516" i="9"/>
  <c r="W1516" i="9"/>
  <c r="AA1520" i="9"/>
  <c r="Y1520" i="9"/>
  <c r="W1520" i="9"/>
  <c r="AA1536" i="9"/>
  <c r="Y1536" i="9"/>
  <c r="W1536" i="9"/>
  <c r="AA1548" i="9"/>
  <c r="Y1548" i="9"/>
  <c r="W1548" i="9"/>
  <c r="AA1552" i="9"/>
  <c r="Y1552" i="9"/>
  <c r="W1552" i="9"/>
  <c r="AA1564" i="9"/>
  <c r="Y1564" i="9"/>
  <c r="W1564" i="9"/>
  <c r="AA1568" i="9"/>
  <c r="Y1568" i="9"/>
  <c r="W1568" i="9"/>
  <c r="AA1580" i="9"/>
  <c r="Y1580" i="9"/>
  <c r="W1580" i="9"/>
  <c r="AA1584" i="9"/>
  <c r="Y1584" i="9"/>
  <c r="W1584" i="9"/>
  <c r="AA1600" i="9"/>
  <c r="Y1600" i="9"/>
  <c r="W1600" i="9"/>
  <c r="AA1612" i="9"/>
  <c r="Y1612" i="9"/>
  <c r="W1612" i="9"/>
  <c r="AA1616" i="9"/>
  <c r="Y1616" i="9"/>
  <c r="W1616" i="9"/>
  <c r="AA1628" i="9"/>
  <c r="Y1628" i="9"/>
  <c r="W1628" i="9"/>
  <c r="AA1632" i="9"/>
  <c r="Y1632" i="9"/>
  <c r="W1632" i="9"/>
  <c r="AA1644" i="9"/>
  <c r="Y1644" i="9"/>
  <c r="W1644" i="9"/>
  <c r="AA1648" i="9"/>
  <c r="Y1648" i="9"/>
  <c r="W1648" i="9"/>
  <c r="AA1664" i="9"/>
  <c r="Y1664" i="9"/>
  <c r="W1664" i="9"/>
  <c r="AA1676" i="9"/>
  <c r="Y1676" i="9"/>
  <c r="W1676" i="9"/>
  <c r="AA1680" i="9"/>
  <c r="Y1680" i="9"/>
  <c r="W1680" i="9"/>
  <c r="AA1692" i="9"/>
  <c r="Y1692" i="9"/>
  <c r="W1692" i="9"/>
  <c r="AA1696" i="9"/>
  <c r="Y1696" i="9"/>
  <c r="W1696" i="9"/>
  <c r="AA1708" i="9"/>
  <c r="Y1708" i="9"/>
  <c r="W1708" i="9"/>
  <c r="AA1712" i="9"/>
  <c r="Y1712" i="9"/>
  <c r="W1712" i="9"/>
  <c r="AA1728" i="9"/>
  <c r="Y1728" i="9"/>
  <c r="W1728" i="9"/>
  <c r="AA1740" i="9"/>
  <c r="Y1740" i="9"/>
  <c r="W1740" i="9"/>
  <c r="AA1744" i="9"/>
  <c r="Y1744" i="9"/>
  <c r="W1744" i="9"/>
  <c r="AA1756" i="9"/>
  <c r="Y1756" i="9"/>
  <c r="W1756" i="9"/>
  <c r="AA1760" i="9"/>
  <c r="Y1760" i="9"/>
  <c r="W1760" i="9"/>
  <c r="AA1772" i="9"/>
  <c r="Y1772" i="9"/>
  <c r="W1772" i="9"/>
  <c r="AA1776" i="9"/>
  <c r="Y1776" i="9"/>
  <c r="W1776" i="9"/>
  <c r="AA1792" i="9"/>
  <c r="Y1792" i="9"/>
  <c r="W1792" i="9"/>
  <c r="AA1804" i="9"/>
  <c r="Y1804" i="9"/>
  <c r="W1804" i="9"/>
  <c r="AA1808" i="9"/>
  <c r="Y1808" i="9"/>
  <c r="W1808" i="9"/>
  <c r="AA1820" i="9"/>
  <c r="Y1820" i="9"/>
  <c r="W1820" i="9"/>
  <c r="AA1824" i="9"/>
  <c r="Y1824" i="9"/>
  <c r="W1824" i="9"/>
  <c r="AA1836" i="9"/>
  <c r="Y1836" i="9"/>
  <c r="W1836" i="9"/>
  <c r="AA1840" i="9"/>
  <c r="Y1840" i="9"/>
  <c r="W1840" i="9"/>
  <c r="AA1856" i="9"/>
  <c r="Y1856" i="9"/>
  <c r="W1856" i="9"/>
  <c r="AA1868" i="9"/>
  <c r="Y1868" i="9"/>
  <c r="W1868" i="9"/>
  <c r="AA1872" i="9"/>
  <c r="Y1872" i="9"/>
  <c r="W1872" i="9"/>
  <c r="AA1884" i="9"/>
  <c r="Y1884" i="9"/>
  <c r="W1884" i="9"/>
  <c r="AA1888" i="9"/>
  <c r="Y1888" i="9"/>
  <c r="W1888" i="9"/>
  <c r="AA1900" i="9"/>
  <c r="Y1900" i="9"/>
  <c r="W1900" i="9"/>
  <c r="AA1904" i="9"/>
  <c r="Y1904" i="9"/>
  <c r="W1904" i="9"/>
  <c r="AA1920" i="9"/>
  <c r="Y1920" i="9"/>
  <c r="W1920" i="9"/>
  <c r="AA1932" i="9"/>
  <c r="Y1932" i="9"/>
  <c r="W1932" i="9"/>
  <c r="AA1936" i="9"/>
  <c r="Y1936" i="9"/>
  <c r="W1936" i="9"/>
  <c r="AA1948" i="9"/>
  <c r="Y1948" i="9"/>
  <c r="W1948" i="9"/>
  <c r="AA1952" i="9"/>
  <c r="Y1952" i="9"/>
  <c r="W1952" i="9"/>
  <c r="AA1964" i="9"/>
  <c r="Y1964" i="9"/>
  <c r="W1964" i="9"/>
  <c r="AA1968" i="9"/>
  <c r="Y1968" i="9"/>
  <c r="W1968" i="9"/>
  <c r="AA1984" i="9"/>
  <c r="Y1984" i="9"/>
  <c r="W1984" i="9"/>
  <c r="AA1996" i="9"/>
  <c r="Y1996" i="9"/>
  <c r="W1996" i="9"/>
  <c r="AA2000" i="9"/>
  <c r="Y2000" i="9"/>
  <c r="W2000" i="9"/>
  <c r="AA2012" i="9"/>
  <c r="Y2012" i="9"/>
  <c r="W2012" i="9"/>
  <c r="AA2016" i="9"/>
  <c r="Y2016" i="9"/>
  <c r="W2016" i="9"/>
  <c r="AA2028" i="9"/>
  <c r="Y2028" i="9"/>
  <c r="W2028" i="9"/>
  <c r="AA2032" i="9"/>
  <c r="Y2032" i="9"/>
  <c r="W2032" i="9"/>
  <c r="AA2048" i="9"/>
  <c r="Y2048" i="9"/>
  <c r="W2048" i="9"/>
  <c r="AA2060" i="9"/>
  <c r="Y2060" i="9"/>
  <c r="W2060" i="9"/>
  <c r="AA2064" i="9"/>
  <c r="Y2064" i="9"/>
  <c r="W2064" i="9"/>
  <c r="AA2076" i="9"/>
  <c r="Y2076" i="9"/>
  <c r="W2076" i="9"/>
  <c r="AA2080" i="9"/>
  <c r="Y2080" i="9"/>
  <c r="W2080" i="9"/>
  <c r="AA2092" i="9"/>
  <c r="Y2092" i="9"/>
  <c r="W2092" i="9"/>
  <c r="AA2096" i="9"/>
  <c r="Y2096" i="9"/>
  <c r="W2096" i="9"/>
  <c r="AA2112" i="9"/>
  <c r="Y2112" i="9"/>
  <c r="W2112" i="9"/>
  <c r="AA2124" i="9"/>
  <c r="Y2124" i="9"/>
  <c r="W2124" i="9"/>
  <c r="AA2128" i="9"/>
  <c r="Y2128" i="9"/>
  <c r="W2128" i="9"/>
  <c r="AA2140" i="9"/>
  <c r="Y2140" i="9"/>
  <c r="W2140" i="9"/>
  <c r="AA2144" i="9"/>
  <c r="Y2144" i="9"/>
  <c r="W2144" i="9"/>
  <c r="AA2156" i="9"/>
  <c r="Y2156" i="9"/>
  <c r="W2156" i="9"/>
  <c r="AA2160" i="9"/>
  <c r="Y2160" i="9"/>
  <c r="W2160" i="9"/>
  <c r="AA2176" i="9"/>
  <c r="Y2176" i="9"/>
  <c r="W2176" i="9"/>
  <c r="AA2188" i="9"/>
  <c r="Y2188" i="9"/>
  <c r="W2188" i="9"/>
  <c r="AA2192" i="9"/>
  <c r="Y2192" i="9"/>
  <c r="W2192" i="9"/>
  <c r="AA2204" i="9"/>
  <c r="Y2204" i="9"/>
  <c r="W2204" i="9"/>
  <c r="AA2208" i="9"/>
  <c r="Y2208" i="9"/>
  <c r="W2208" i="9"/>
  <c r="AA2220" i="9"/>
  <c r="Y2220" i="9"/>
  <c r="W2220" i="9"/>
  <c r="AA2224" i="9"/>
  <c r="Y2224" i="9"/>
  <c r="W2224" i="9"/>
  <c r="AA2240" i="9"/>
  <c r="Y2240" i="9"/>
  <c r="W2240" i="9"/>
  <c r="AA2252" i="9"/>
  <c r="Y2252" i="9"/>
  <c r="W2252" i="9"/>
  <c r="AA2256" i="9"/>
  <c r="Y2256" i="9"/>
  <c r="W2256" i="9"/>
  <c r="AA2268" i="9"/>
  <c r="Y2268" i="9"/>
  <c r="W2268" i="9"/>
  <c r="AA2272" i="9"/>
  <c r="Y2272" i="9"/>
  <c r="W2272" i="9"/>
  <c r="AA2284" i="9"/>
  <c r="Y2284" i="9"/>
  <c r="W2284" i="9"/>
  <c r="AA2288" i="9"/>
  <c r="Y2288" i="9"/>
  <c r="W2288" i="9"/>
  <c r="AA2304" i="9"/>
  <c r="Y2304" i="9"/>
  <c r="W2304" i="9"/>
  <c r="AA2316" i="9"/>
  <c r="Y2316" i="9"/>
  <c r="W2316" i="9"/>
  <c r="AA2320" i="9"/>
  <c r="Y2320" i="9"/>
  <c r="W2320" i="9"/>
  <c r="AA2332" i="9"/>
  <c r="Y2332" i="9"/>
  <c r="W2332" i="9"/>
  <c r="AA2336" i="9"/>
  <c r="Y2336" i="9"/>
  <c r="W2336" i="9"/>
  <c r="AA2348" i="9"/>
  <c r="Y2348" i="9"/>
  <c r="W2348" i="9"/>
  <c r="AA2352" i="9"/>
  <c r="Y2352" i="9"/>
  <c r="W2352" i="9"/>
  <c r="AA2368" i="9"/>
  <c r="Y2368" i="9"/>
  <c r="W2368" i="9"/>
  <c r="AA2380" i="9"/>
  <c r="Y2380" i="9"/>
  <c r="W2380" i="9"/>
  <c r="AA2384" i="9"/>
  <c r="Y2384" i="9"/>
  <c r="W2384" i="9"/>
  <c r="AA2396" i="9"/>
  <c r="Y2396" i="9"/>
  <c r="W2396" i="9"/>
  <c r="AA2400" i="9"/>
  <c r="Y2400" i="9"/>
  <c r="W2400" i="9"/>
  <c r="AA2412" i="9"/>
  <c r="Y2412" i="9"/>
  <c r="W2412" i="9"/>
  <c r="AA2416" i="9"/>
  <c r="Y2416" i="9"/>
  <c r="W2416" i="9"/>
  <c r="AA2432" i="9"/>
  <c r="Y2432" i="9"/>
  <c r="W2432" i="9"/>
  <c r="AA2444" i="9"/>
  <c r="Y2444" i="9"/>
  <c r="W2444" i="9"/>
  <c r="AA2448" i="9"/>
  <c r="Y2448" i="9"/>
  <c r="W2448" i="9"/>
  <c r="AA2460" i="9"/>
  <c r="Y2460" i="9"/>
  <c r="W2460" i="9"/>
  <c r="AA2464" i="9"/>
  <c r="Y2464" i="9"/>
  <c r="W2464" i="9"/>
  <c r="AA2476" i="9"/>
  <c r="Y2476" i="9"/>
  <c r="W2476" i="9"/>
  <c r="AA2480" i="9"/>
  <c r="Y2480" i="9"/>
  <c r="W2480" i="9"/>
  <c r="AA2496" i="9"/>
  <c r="Y2496" i="9"/>
  <c r="W2496" i="9"/>
  <c r="AA13" i="9"/>
  <c r="Y13" i="9"/>
  <c r="W13" i="9"/>
  <c r="AA29" i="9"/>
  <c r="Y29" i="9"/>
  <c r="W29" i="9"/>
  <c r="AA45" i="9"/>
  <c r="Y45" i="9"/>
  <c r="W45" i="9"/>
  <c r="AA61" i="9"/>
  <c r="Y61" i="9"/>
  <c r="W61" i="9"/>
  <c r="AA77" i="9"/>
  <c r="Y77" i="9"/>
  <c r="W77" i="9"/>
  <c r="AA93" i="9"/>
  <c r="Y93" i="9"/>
  <c r="W93" i="9"/>
  <c r="AA109" i="9"/>
  <c r="Y109" i="9"/>
  <c r="W109" i="9"/>
  <c r="AA125" i="9"/>
  <c r="Y125" i="9"/>
  <c r="W125" i="9"/>
  <c r="AA141" i="9"/>
  <c r="Y141" i="9"/>
  <c r="W141" i="9"/>
  <c r="AA157" i="9"/>
  <c r="Y157" i="9"/>
  <c r="W157" i="9"/>
  <c r="AA173" i="9"/>
  <c r="Y173" i="9"/>
  <c r="W173" i="9"/>
  <c r="AA189" i="9"/>
  <c r="Y189" i="9"/>
  <c r="W189" i="9"/>
  <c r="AA205" i="9"/>
  <c r="Y205" i="9"/>
  <c r="W205" i="9"/>
  <c r="AA221" i="9"/>
  <c r="Y221" i="9"/>
  <c r="W221" i="9"/>
  <c r="AA237" i="9"/>
  <c r="Y237" i="9"/>
  <c r="W237" i="9"/>
  <c r="AA253" i="9"/>
  <c r="Y253" i="9"/>
  <c r="W253" i="9"/>
  <c r="AA269" i="9"/>
  <c r="Y269" i="9"/>
  <c r="W269" i="9"/>
  <c r="AA285" i="9"/>
  <c r="Y285" i="9"/>
  <c r="W285" i="9"/>
  <c r="AA301" i="9"/>
  <c r="Y301" i="9"/>
  <c r="W301" i="9"/>
  <c r="AA317" i="9"/>
  <c r="Y317" i="9"/>
  <c r="W317" i="9"/>
  <c r="AA333" i="9"/>
  <c r="Y333" i="9"/>
  <c r="W333" i="9"/>
  <c r="AA349" i="9"/>
  <c r="Y349" i="9"/>
  <c r="W349" i="9"/>
  <c r="AA365" i="9"/>
  <c r="Y365" i="9"/>
  <c r="W365" i="9"/>
  <c r="AA381" i="9"/>
  <c r="Y381" i="9"/>
  <c r="W381" i="9"/>
  <c r="AA397" i="9"/>
  <c r="Y397" i="9"/>
  <c r="W397" i="9"/>
  <c r="AA413" i="9"/>
  <c r="Y413" i="9"/>
  <c r="W413" i="9"/>
  <c r="AA429" i="9"/>
  <c r="Y429" i="9"/>
  <c r="W429" i="9"/>
  <c r="AA445" i="9"/>
  <c r="Y445" i="9"/>
  <c r="W445" i="9"/>
  <c r="AA461" i="9"/>
  <c r="Y461" i="9"/>
  <c r="W461" i="9"/>
  <c r="AA477" i="9"/>
  <c r="Y477" i="9"/>
  <c r="W477" i="9"/>
  <c r="AA493" i="9"/>
  <c r="Y493" i="9"/>
  <c r="W493" i="9"/>
  <c r="AA509" i="9"/>
  <c r="Y509" i="9"/>
  <c r="W509" i="9"/>
  <c r="AA525" i="9"/>
  <c r="Y525" i="9"/>
  <c r="W525" i="9"/>
  <c r="AA541" i="9"/>
  <c r="Y541" i="9"/>
  <c r="W541" i="9"/>
  <c r="AA557" i="9"/>
  <c r="Y557" i="9"/>
  <c r="W557" i="9"/>
  <c r="AA573" i="9"/>
  <c r="Y573" i="9"/>
  <c r="W573" i="9"/>
  <c r="AA589" i="9"/>
  <c r="Y589" i="9"/>
  <c r="W589" i="9"/>
  <c r="AA605" i="9"/>
  <c r="Y605" i="9"/>
  <c r="W605" i="9"/>
  <c r="AA621" i="9"/>
  <c r="Y621" i="9"/>
  <c r="W621" i="9"/>
  <c r="AA637" i="9"/>
  <c r="Y637" i="9"/>
  <c r="W637" i="9"/>
  <c r="AA653" i="9"/>
  <c r="Y653" i="9"/>
  <c r="W653" i="9"/>
  <c r="AA669" i="9"/>
  <c r="Y669" i="9"/>
  <c r="W669" i="9"/>
  <c r="AA685" i="9"/>
  <c r="Y685" i="9"/>
  <c r="W685" i="9"/>
  <c r="AA701" i="9"/>
  <c r="Y701" i="9"/>
  <c r="W701" i="9"/>
  <c r="AA717" i="9"/>
  <c r="Y717" i="9"/>
  <c r="W717" i="9"/>
  <c r="AA733" i="9"/>
  <c r="Y733" i="9"/>
  <c r="W733" i="9"/>
  <c r="AA749" i="9"/>
  <c r="Y749" i="9"/>
  <c r="W749" i="9"/>
  <c r="AA753" i="9"/>
  <c r="Y753" i="9"/>
  <c r="W753" i="9"/>
  <c r="AA765" i="9"/>
  <c r="Y765" i="9"/>
  <c r="W765" i="9"/>
  <c r="AA769" i="9"/>
  <c r="Y769" i="9"/>
  <c r="W769" i="9"/>
  <c r="AA781" i="9"/>
  <c r="Y781" i="9"/>
  <c r="W781" i="9"/>
  <c r="AA785" i="9"/>
  <c r="Y785" i="9"/>
  <c r="W785" i="9"/>
  <c r="AA797" i="9"/>
  <c r="Y797" i="9"/>
  <c r="W797" i="9"/>
  <c r="AA801" i="9"/>
  <c r="Y801" i="9"/>
  <c r="W801" i="9"/>
  <c r="AA813" i="9"/>
  <c r="Y813" i="9"/>
  <c r="W813" i="9"/>
  <c r="AA817" i="9"/>
  <c r="Y817" i="9"/>
  <c r="W817" i="9"/>
  <c r="AA829" i="9"/>
  <c r="Y829" i="9"/>
  <c r="W829" i="9"/>
  <c r="AA833" i="9"/>
  <c r="Y833" i="9"/>
  <c r="W833" i="9"/>
  <c r="AA845" i="9"/>
  <c r="Y845" i="9"/>
  <c r="W845" i="9"/>
  <c r="AA849" i="9"/>
  <c r="Y849" i="9"/>
  <c r="W849" i="9"/>
  <c r="AA861" i="9"/>
  <c r="Y861" i="9"/>
  <c r="W861" i="9"/>
  <c r="AA865" i="9"/>
  <c r="Y865" i="9"/>
  <c r="W865" i="9"/>
  <c r="AA877" i="9"/>
  <c r="Y877" i="9"/>
  <c r="W877" i="9"/>
  <c r="AA881" i="9"/>
  <c r="Y881" i="9"/>
  <c r="W881" i="9"/>
  <c r="AA893" i="9"/>
  <c r="Y893" i="9"/>
  <c r="W893" i="9"/>
  <c r="AA897" i="9"/>
  <c r="Y897" i="9"/>
  <c r="W897" i="9"/>
  <c r="AA909" i="9"/>
  <c r="Y909" i="9"/>
  <c r="W909" i="9"/>
  <c r="AA913" i="9"/>
  <c r="Y913" i="9"/>
  <c r="W913" i="9"/>
  <c r="AA925" i="9"/>
  <c r="Y925" i="9"/>
  <c r="W925" i="9"/>
  <c r="AA929" i="9"/>
  <c r="Y929" i="9"/>
  <c r="W929" i="9"/>
  <c r="AA941" i="9"/>
  <c r="Y941" i="9"/>
  <c r="W941" i="9"/>
  <c r="AA945" i="9"/>
  <c r="Y945" i="9"/>
  <c r="W945" i="9"/>
  <c r="AA957" i="9"/>
  <c r="Y957" i="9"/>
  <c r="W957" i="9"/>
  <c r="AA961" i="9"/>
  <c r="Y961" i="9"/>
  <c r="W961" i="9"/>
  <c r="AA973" i="9"/>
  <c r="Y973" i="9"/>
  <c r="W973" i="9"/>
  <c r="AA977" i="9"/>
  <c r="Y977" i="9"/>
  <c r="W977" i="9"/>
  <c r="AA989" i="9"/>
  <c r="Y989" i="9"/>
  <c r="W989" i="9"/>
  <c r="AA993" i="9"/>
  <c r="Y993" i="9"/>
  <c r="W993" i="9"/>
  <c r="AA1005" i="9"/>
  <c r="Y1005" i="9"/>
  <c r="W1005" i="9"/>
  <c r="AA1009" i="9"/>
  <c r="Y1009" i="9"/>
  <c r="W1009" i="9"/>
  <c r="AA1021" i="9"/>
  <c r="Y1021" i="9"/>
  <c r="W1021" i="9"/>
  <c r="AA1025" i="9"/>
  <c r="Y1025" i="9"/>
  <c r="W1025" i="9"/>
  <c r="AA1037" i="9"/>
  <c r="Y1037" i="9"/>
  <c r="W1037" i="9"/>
  <c r="AA1041" i="9"/>
  <c r="Y1041" i="9"/>
  <c r="W1041" i="9"/>
  <c r="AA1053" i="9"/>
  <c r="Y1053" i="9"/>
  <c r="W1053" i="9"/>
  <c r="AA1057" i="9"/>
  <c r="Y1057" i="9"/>
  <c r="W1057" i="9"/>
  <c r="AA1069" i="9"/>
  <c r="Y1069" i="9"/>
  <c r="W1069" i="9"/>
  <c r="AA1073" i="9"/>
  <c r="Y1073" i="9"/>
  <c r="W1073" i="9"/>
  <c r="AA1085" i="9"/>
  <c r="Y1085" i="9"/>
  <c r="W1085" i="9"/>
  <c r="AA1089" i="9"/>
  <c r="Y1089" i="9"/>
  <c r="W1089" i="9"/>
  <c r="AA1101" i="9"/>
  <c r="Y1101" i="9"/>
  <c r="W1101" i="9"/>
  <c r="AA1105" i="9"/>
  <c r="Y1105" i="9"/>
  <c r="W1105" i="9"/>
  <c r="AA1117" i="9"/>
  <c r="Y1117" i="9"/>
  <c r="W1117" i="9"/>
  <c r="AA1121" i="9"/>
  <c r="Y1121" i="9"/>
  <c r="W1121" i="9"/>
  <c r="AA1133" i="9"/>
  <c r="Y1133" i="9"/>
  <c r="W1133" i="9"/>
  <c r="AA1137" i="9"/>
  <c r="Y1137" i="9"/>
  <c r="W1137" i="9"/>
  <c r="AA1149" i="9"/>
  <c r="Y1149" i="9"/>
  <c r="W1149" i="9"/>
  <c r="AA1153" i="9"/>
  <c r="Y1153" i="9"/>
  <c r="W1153" i="9"/>
  <c r="AA1165" i="9"/>
  <c r="Y1165" i="9"/>
  <c r="W1165" i="9"/>
  <c r="AA1169" i="9"/>
  <c r="Y1169" i="9"/>
  <c r="W1169" i="9"/>
  <c r="AA1181" i="9"/>
  <c r="Y1181" i="9"/>
  <c r="W1181" i="9"/>
  <c r="AA1185" i="9"/>
  <c r="Y1185" i="9"/>
  <c r="W1185" i="9"/>
  <c r="AA1197" i="9"/>
  <c r="Y1197" i="9"/>
  <c r="W1197" i="9"/>
  <c r="AA1201" i="9"/>
  <c r="Y1201" i="9"/>
  <c r="W1201" i="9"/>
  <c r="AA1213" i="9"/>
  <c r="Y1213" i="9"/>
  <c r="W1213" i="9"/>
  <c r="AA1217" i="9"/>
  <c r="Y1217" i="9"/>
  <c r="W1217" i="9"/>
  <c r="AA1229" i="9"/>
  <c r="Y1229" i="9"/>
  <c r="W1229" i="9"/>
  <c r="AA1233" i="9"/>
  <c r="Y1233" i="9"/>
  <c r="W1233" i="9"/>
  <c r="AA1249" i="9"/>
  <c r="Y1249" i="9"/>
  <c r="W1249" i="9"/>
  <c r="AA1265" i="9"/>
  <c r="Y1265" i="9"/>
  <c r="W1265" i="9"/>
  <c r="AA1281" i="9"/>
  <c r="Y1281" i="9"/>
  <c r="W1281" i="9"/>
  <c r="AA1297" i="9"/>
  <c r="Y1297" i="9"/>
  <c r="W1297" i="9"/>
  <c r="AA1313" i="9"/>
  <c r="Y1313" i="9"/>
  <c r="W1313" i="9"/>
  <c r="AA1329" i="9"/>
  <c r="Y1329" i="9"/>
  <c r="W1329" i="9"/>
  <c r="AA1345" i="9"/>
  <c r="Y1345" i="9"/>
  <c r="W1345" i="9"/>
  <c r="AA1361" i="9"/>
  <c r="Y1361" i="9"/>
  <c r="W1361" i="9"/>
  <c r="AA1377" i="9"/>
  <c r="Y1377" i="9"/>
  <c r="W1377" i="9"/>
  <c r="AA1393" i="9"/>
  <c r="Y1393" i="9"/>
  <c r="W1393" i="9"/>
  <c r="AA1409" i="9"/>
  <c r="Y1409" i="9"/>
  <c r="W1409" i="9"/>
  <c r="AA1425" i="9"/>
  <c r="Y1425" i="9"/>
  <c r="W1425" i="9"/>
  <c r="AA1441" i="9"/>
  <c r="Y1441" i="9"/>
  <c r="W1441" i="9"/>
  <c r="AA1457" i="9"/>
  <c r="Y1457" i="9"/>
  <c r="W1457" i="9"/>
  <c r="AA1473" i="9"/>
  <c r="Y1473" i="9"/>
  <c r="W1473" i="9"/>
  <c r="AA1489" i="9"/>
  <c r="Y1489" i="9"/>
  <c r="W1489" i="9"/>
  <c r="AA1505" i="9"/>
  <c r="Y1505" i="9"/>
  <c r="W1505" i="9"/>
  <c r="AA1521" i="9"/>
  <c r="Y1521" i="9"/>
  <c r="W1521" i="9"/>
  <c r="AA1537" i="9"/>
  <c r="Y1537" i="9"/>
  <c r="W1537" i="9"/>
  <c r="AA1553" i="9"/>
  <c r="Y1553" i="9"/>
  <c r="W1553" i="9"/>
  <c r="AA1569" i="9"/>
  <c r="Y1569" i="9"/>
  <c r="W1569" i="9"/>
  <c r="AA1585" i="9"/>
  <c r="Y1585" i="9"/>
  <c r="W1585" i="9"/>
  <c r="AA1601" i="9"/>
  <c r="Y1601" i="9"/>
  <c r="W1601" i="9"/>
  <c r="AA1617" i="9"/>
  <c r="Y1617" i="9"/>
  <c r="W1617" i="9"/>
  <c r="AA1633" i="9"/>
  <c r="Y1633" i="9"/>
  <c r="W1633" i="9"/>
  <c r="AA1649" i="9"/>
  <c r="Y1649" i="9"/>
  <c r="W1649" i="9"/>
  <c r="AA1665" i="9"/>
  <c r="Y1665" i="9"/>
  <c r="W1665" i="9"/>
  <c r="AA1681" i="9"/>
  <c r="Y1681" i="9"/>
  <c r="W1681" i="9"/>
  <c r="AA1697" i="9"/>
  <c r="Y1697" i="9"/>
  <c r="W1697" i="9"/>
  <c r="AA1713" i="9"/>
  <c r="Y1713" i="9"/>
  <c r="W1713" i="9"/>
  <c r="AA1729" i="9"/>
  <c r="Y1729" i="9"/>
  <c r="W1729" i="9"/>
  <c r="AA1745" i="9"/>
  <c r="Y1745" i="9"/>
  <c r="W1745" i="9"/>
  <c r="AA1761" i="9"/>
  <c r="Y1761" i="9"/>
  <c r="W1761" i="9"/>
  <c r="AA1777" i="9"/>
  <c r="Y1777" i="9"/>
  <c r="W1777" i="9"/>
  <c r="AA1793" i="9"/>
  <c r="Y1793" i="9"/>
  <c r="W1793" i="9"/>
  <c r="AA1809" i="9"/>
  <c r="Y1809" i="9"/>
  <c r="W1809" i="9"/>
  <c r="AA1825" i="9"/>
  <c r="Y1825" i="9"/>
  <c r="W1825" i="9"/>
  <c r="AA1841" i="9"/>
  <c r="Y1841" i="9"/>
  <c r="W1841" i="9"/>
  <c r="AA1857" i="9"/>
  <c r="Y1857" i="9"/>
  <c r="W1857" i="9"/>
  <c r="AA1873" i="9"/>
  <c r="Y1873" i="9"/>
  <c r="W1873" i="9"/>
  <c r="AA1889" i="9"/>
  <c r="Y1889" i="9"/>
  <c r="W1889" i="9"/>
  <c r="AA1905" i="9"/>
  <c r="Y1905" i="9"/>
  <c r="W1905" i="9"/>
  <c r="AA1921" i="9"/>
  <c r="Y1921" i="9"/>
  <c r="W1921" i="9"/>
  <c r="AA1937" i="9"/>
  <c r="Y1937" i="9"/>
  <c r="W1937" i="9"/>
  <c r="AA1953" i="9"/>
  <c r="Y1953" i="9"/>
  <c r="W1953" i="9"/>
  <c r="AA1969" i="9"/>
  <c r="Y1969" i="9"/>
  <c r="W1969" i="9"/>
  <c r="AA1985" i="9"/>
  <c r="Y1985" i="9"/>
  <c r="W1985" i="9"/>
  <c r="AA2001" i="9"/>
  <c r="Y2001" i="9"/>
  <c r="W2001" i="9"/>
  <c r="AA2017" i="9"/>
  <c r="Y2017" i="9"/>
  <c r="W2017" i="9"/>
  <c r="AA2033" i="9"/>
  <c r="Y2033" i="9"/>
  <c r="W2033" i="9"/>
  <c r="AA2049" i="9"/>
  <c r="Y2049" i="9"/>
  <c r="W2049" i="9"/>
  <c r="AA2065" i="9"/>
  <c r="Y2065" i="9"/>
  <c r="W2065" i="9"/>
  <c r="AA2081" i="9"/>
  <c r="Y2081" i="9"/>
  <c r="W2081" i="9"/>
  <c r="AA2097" i="9"/>
  <c r="Y2097" i="9"/>
  <c r="W2097" i="9"/>
  <c r="AA2113" i="9"/>
  <c r="Y2113" i="9"/>
  <c r="W2113" i="9"/>
  <c r="AA2129" i="9"/>
  <c r="Y2129" i="9"/>
  <c r="W2129" i="9"/>
  <c r="AA2145" i="9"/>
  <c r="Y2145" i="9"/>
  <c r="W2145" i="9"/>
  <c r="AA2161" i="9"/>
  <c r="Y2161" i="9"/>
  <c r="W2161" i="9"/>
  <c r="AA2177" i="9"/>
  <c r="Y2177" i="9"/>
  <c r="W2177" i="9"/>
  <c r="AA2193" i="9"/>
  <c r="Y2193" i="9"/>
  <c r="W2193" i="9"/>
  <c r="AA2209" i="9"/>
  <c r="Y2209" i="9"/>
  <c r="W2209" i="9"/>
  <c r="AA2225" i="9"/>
  <c r="Y2225" i="9"/>
  <c r="W2225" i="9"/>
  <c r="AA2241" i="9"/>
  <c r="Y2241" i="9"/>
  <c r="W2241" i="9"/>
  <c r="AA2257" i="9"/>
  <c r="Y2257" i="9"/>
  <c r="W2257" i="9"/>
  <c r="AA2273" i="9"/>
  <c r="Y2273" i="9"/>
  <c r="W2273" i="9"/>
  <c r="AA2289" i="9"/>
  <c r="Y2289" i="9"/>
  <c r="W2289" i="9"/>
  <c r="AA2305" i="9"/>
  <c r="Y2305" i="9"/>
  <c r="W2305" i="9"/>
  <c r="AA2321" i="9"/>
  <c r="Y2321" i="9"/>
  <c r="W2321" i="9"/>
  <c r="AA2337" i="9"/>
  <c r="Y2337" i="9"/>
  <c r="W2337" i="9"/>
  <c r="AA2353" i="9"/>
  <c r="Y2353" i="9"/>
  <c r="W2353" i="9"/>
  <c r="AA2369" i="9"/>
  <c r="Y2369" i="9"/>
  <c r="W2369" i="9"/>
  <c r="AA2385" i="9"/>
  <c r="Y2385" i="9"/>
  <c r="W2385" i="9"/>
  <c r="AA2401" i="9"/>
  <c r="Y2401" i="9"/>
  <c r="W2401" i="9"/>
  <c r="AA2417" i="9"/>
  <c r="Y2417" i="9"/>
  <c r="W2417" i="9"/>
  <c r="AA2433" i="9"/>
  <c r="Y2433" i="9"/>
  <c r="W2433" i="9"/>
  <c r="AA2449" i="9"/>
  <c r="Y2449" i="9"/>
  <c r="W2449" i="9"/>
  <c r="AA2465" i="9"/>
  <c r="Y2465" i="9"/>
  <c r="W2465" i="9"/>
  <c r="AA2481" i="9"/>
  <c r="Y2481" i="9"/>
  <c r="W2481" i="9"/>
  <c r="AA2497" i="9"/>
  <c r="Y2497" i="9"/>
  <c r="W2497" i="9"/>
  <c r="AA55" i="9"/>
  <c r="Y55" i="9"/>
  <c r="W55" i="9"/>
  <c r="AA95" i="9"/>
  <c r="Y95" i="9"/>
  <c r="W95" i="9"/>
  <c r="AA127" i="9"/>
  <c r="Y127" i="9"/>
  <c r="W127" i="9"/>
  <c r="AA159" i="9"/>
  <c r="Y159" i="9"/>
  <c r="W159" i="9"/>
  <c r="AA203" i="9"/>
  <c r="Y203" i="9"/>
  <c r="W203" i="9"/>
  <c r="AA267" i="9"/>
  <c r="Y267" i="9"/>
  <c r="W267" i="9"/>
  <c r="AA299" i="9"/>
  <c r="Y299" i="9"/>
  <c r="W299" i="9"/>
  <c r="AA315" i="9"/>
  <c r="Y315" i="9"/>
  <c r="W315" i="9"/>
  <c r="AA347" i="9"/>
  <c r="Y347" i="9"/>
  <c r="W347" i="9"/>
  <c r="AA383" i="9"/>
  <c r="Y383" i="9"/>
  <c r="W383" i="9"/>
  <c r="AA419" i="9"/>
  <c r="Y419" i="9"/>
  <c r="W419" i="9"/>
  <c r="AA451" i="9"/>
  <c r="Y451" i="9"/>
  <c r="W451" i="9"/>
  <c r="AA459" i="9"/>
  <c r="Y459" i="9"/>
  <c r="W459" i="9"/>
  <c r="AA483" i="9"/>
  <c r="Y483" i="9"/>
  <c r="W483" i="9"/>
  <c r="AA515" i="9"/>
  <c r="Y515" i="9"/>
  <c r="W515" i="9"/>
  <c r="AA547" i="9"/>
  <c r="Y547" i="9"/>
  <c r="W547" i="9"/>
  <c r="AA583" i="9"/>
  <c r="Y583" i="9"/>
  <c r="W583" i="9"/>
  <c r="AA691" i="9"/>
  <c r="Y691" i="9"/>
  <c r="W691" i="9"/>
  <c r="AA723" i="9"/>
  <c r="Y723" i="9"/>
  <c r="W723" i="9"/>
  <c r="AA751" i="9"/>
  <c r="Y751" i="9"/>
  <c r="W751" i="9"/>
  <c r="AA787" i="9"/>
  <c r="Y787" i="9"/>
  <c r="W787" i="9"/>
  <c r="AA819" i="9"/>
  <c r="Y819" i="9"/>
  <c r="W819" i="9"/>
  <c r="AA851" i="9"/>
  <c r="Y851" i="9"/>
  <c r="W851" i="9"/>
  <c r="AA887" i="9"/>
  <c r="Y887" i="9"/>
  <c r="W887" i="9"/>
  <c r="AA919" i="9"/>
  <c r="Y919" i="9"/>
  <c r="W919" i="9"/>
  <c r="AA951" i="9"/>
  <c r="Y951" i="9"/>
  <c r="W951" i="9"/>
  <c r="AA983" i="9"/>
  <c r="Y983" i="9"/>
  <c r="W983" i="9"/>
  <c r="AA1003" i="9"/>
  <c r="Y1003" i="9"/>
  <c r="W1003" i="9"/>
  <c r="AA1019" i="9"/>
  <c r="Y1019" i="9"/>
  <c r="W1019" i="9"/>
  <c r="AA1035" i="9"/>
  <c r="W1035" i="9"/>
  <c r="Y1035" i="9"/>
  <c r="AA1051" i="9"/>
  <c r="W1051" i="9"/>
  <c r="Y1051" i="9"/>
  <c r="AA1067" i="9"/>
  <c r="Y1067" i="9"/>
  <c r="W1067" i="9"/>
  <c r="AA1083" i="9"/>
  <c r="Y1083" i="9"/>
  <c r="W1083" i="9"/>
  <c r="AA1115" i="9"/>
  <c r="W1115" i="9"/>
  <c r="Y1115" i="9"/>
  <c r="AA1131" i="9"/>
  <c r="Y1131" i="9"/>
  <c r="W1131" i="9"/>
  <c r="AA1147" i="9"/>
  <c r="Y1147" i="9"/>
  <c r="W1147" i="9"/>
  <c r="AA1163" i="9"/>
  <c r="Y1163" i="9"/>
  <c r="W1163" i="9"/>
  <c r="AA1179" i="9"/>
  <c r="W1179" i="9"/>
  <c r="Y1179" i="9"/>
  <c r="AA1195" i="9"/>
  <c r="Y1195" i="9"/>
  <c r="W1195" i="9"/>
  <c r="AA1211" i="9"/>
  <c r="Y1211" i="9"/>
  <c r="W1211" i="9"/>
  <c r="AA1259" i="9"/>
  <c r="Y1259" i="9"/>
  <c r="W1259" i="9"/>
  <c r="AA1291" i="9"/>
  <c r="Y1291" i="9"/>
  <c r="W1291" i="9"/>
  <c r="AA1323" i="9"/>
  <c r="Y1323" i="9"/>
  <c r="W1323" i="9"/>
  <c r="AA1355" i="9"/>
  <c r="Y1355" i="9"/>
  <c r="W1355" i="9"/>
  <c r="AA1375" i="9"/>
  <c r="Y1375" i="9"/>
  <c r="W1375" i="9"/>
  <c r="AA1383" i="9"/>
  <c r="Y1383" i="9"/>
  <c r="W1383" i="9"/>
  <c r="AA1415" i="9"/>
  <c r="Y1415" i="9"/>
  <c r="W1415" i="9"/>
  <c r="AA1439" i="9"/>
  <c r="Y1439" i="9"/>
  <c r="W1439" i="9"/>
  <c r="AA1447" i="9"/>
  <c r="Y1447" i="9"/>
  <c r="W1447" i="9"/>
  <c r="AA1479" i="9"/>
  <c r="Y1479" i="9"/>
  <c r="W1479" i="9"/>
  <c r="AA1503" i="9"/>
  <c r="Y1503" i="9"/>
  <c r="W1503" i="9"/>
  <c r="AA1511" i="9"/>
  <c r="Y1511" i="9"/>
  <c r="W1511" i="9"/>
  <c r="AA1535" i="9"/>
  <c r="Y1535" i="9"/>
  <c r="W1535" i="9"/>
  <c r="AA1543" i="9"/>
  <c r="Y1543" i="9"/>
  <c r="W1543" i="9"/>
  <c r="AA1567" i="9"/>
  <c r="Y1567" i="9"/>
  <c r="W1567" i="9"/>
  <c r="AA1575" i="9"/>
  <c r="Y1575" i="9"/>
  <c r="W1575" i="9"/>
  <c r="AA1599" i="9"/>
  <c r="Y1599" i="9"/>
  <c r="W1599" i="9"/>
  <c r="AA1607" i="9"/>
  <c r="Y1607" i="9"/>
  <c r="W1607" i="9"/>
  <c r="AA1631" i="9"/>
  <c r="Y1631" i="9"/>
  <c r="W1631" i="9"/>
  <c r="AA1639" i="9"/>
  <c r="Y1639" i="9"/>
  <c r="W1639" i="9"/>
  <c r="AA1663" i="9"/>
  <c r="Y1663" i="9"/>
  <c r="W1663" i="9"/>
  <c r="AA1671" i="9"/>
  <c r="Y1671" i="9"/>
  <c r="W1671" i="9"/>
  <c r="AA1695" i="9"/>
  <c r="Y1695" i="9"/>
  <c r="W1695" i="9"/>
  <c r="AA1707" i="9"/>
  <c r="W1707" i="9"/>
  <c r="Y1707" i="9"/>
  <c r="AA1739" i="9"/>
  <c r="W1739" i="9"/>
  <c r="Y1739" i="9"/>
  <c r="AA1771" i="9"/>
  <c r="W1771" i="9"/>
  <c r="Y1771" i="9"/>
  <c r="AA1803" i="9"/>
  <c r="W1803" i="9"/>
  <c r="Y1803" i="9"/>
  <c r="AA1835" i="9"/>
  <c r="W1835" i="9"/>
  <c r="Y1835" i="9"/>
  <c r="AA1867" i="9"/>
  <c r="W1867" i="9"/>
  <c r="Y1867" i="9"/>
  <c r="AA2211" i="9"/>
  <c r="Y2211" i="9"/>
  <c r="W2211" i="9"/>
  <c r="AA14" i="9"/>
  <c r="Y14" i="9"/>
  <c r="W14" i="9"/>
  <c r="AA18" i="9"/>
  <c r="Y18" i="9"/>
  <c r="W18" i="9"/>
  <c r="AA34" i="9"/>
  <c r="Y34" i="9"/>
  <c r="W34" i="9"/>
  <c r="AA50" i="9"/>
  <c r="Y50" i="9"/>
  <c r="W50" i="9"/>
  <c r="AA66" i="9"/>
  <c r="Y66" i="9"/>
  <c r="W66" i="9"/>
  <c r="AA82" i="9"/>
  <c r="Y82" i="9"/>
  <c r="W82" i="9"/>
  <c r="AA98" i="9"/>
  <c r="Y98" i="9"/>
  <c r="W98" i="9"/>
  <c r="AA114" i="9"/>
  <c r="Y114" i="9"/>
  <c r="W114" i="9"/>
  <c r="AA130" i="9"/>
  <c r="Y130" i="9"/>
  <c r="W130" i="9"/>
  <c r="AA146" i="9"/>
  <c r="Y146" i="9"/>
  <c r="W146" i="9"/>
  <c r="AA162" i="9"/>
  <c r="Y162" i="9"/>
  <c r="W162" i="9"/>
  <c r="AA178" i="9"/>
  <c r="Y178" i="9"/>
  <c r="W178" i="9"/>
  <c r="AA194" i="9"/>
  <c r="Y194" i="9"/>
  <c r="W194" i="9"/>
  <c r="AA210" i="9"/>
  <c r="Y210" i="9"/>
  <c r="W210" i="9"/>
  <c r="AA226" i="9"/>
  <c r="Y226" i="9"/>
  <c r="W226" i="9"/>
  <c r="AA242" i="9"/>
  <c r="Y242" i="9"/>
  <c r="W242" i="9"/>
  <c r="AA258" i="9"/>
  <c r="Y258" i="9"/>
  <c r="W258" i="9"/>
  <c r="AA274" i="9"/>
  <c r="Y274" i="9"/>
  <c r="W274" i="9"/>
  <c r="AA298" i="9"/>
  <c r="Y298" i="9"/>
  <c r="W298" i="9"/>
  <c r="AA314" i="9"/>
  <c r="Y314" i="9"/>
  <c r="W314" i="9"/>
  <c r="AA330" i="9"/>
  <c r="Y330" i="9"/>
  <c r="W330" i="9"/>
  <c r="AA346" i="9"/>
  <c r="Y346" i="9"/>
  <c r="W346" i="9"/>
  <c r="AA362" i="9"/>
  <c r="Y362" i="9"/>
  <c r="W362" i="9"/>
  <c r="AA378" i="9"/>
  <c r="Y378" i="9"/>
  <c r="W378" i="9"/>
  <c r="AA394" i="9"/>
  <c r="Y394" i="9"/>
  <c r="W394" i="9"/>
  <c r="AA410" i="9"/>
  <c r="Y410" i="9"/>
  <c r="W410" i="9"/>
  <c r="AA426" i="9"/>
  <c r="Y426" i="9"/>
  <c r="W426" i="9"/>
  <c r="AA442" i="9"/>
  <c r="Y442" i="9"/>
  <c r="W442" i="9"/>
  <c r="AA458" i="9"/>
  <c r="Y458" i="9"/>
  <c r="W458" i="9"/>
  <c r="AA474" i="9"/>
  <c r="Y474" i="9"/>
  <c r="W474" i="9"/>
  <c r="AA490" i="9"/>
  <c r="Y490" i="9"/>
  <c r="W490" i="9"/>
  <c r="AA506" i="9"/>
  <c r="Y506" i="9"/>
  <c r="W506" i="9"/>
  <c r="AA522" i="9"/>
  <c r="Y522" i="9"/>
  <c r="W522" i="9"/>
  <c r="AA538" i="9"/>
  <c r="Y538" i="9"/>
  <c r="W538" i="9"/>
  <c r="AA554" i="9"/>
  <c r="Y554" i="9"/>
  <c r="W554" i="9"/>
  <c r="AA570" i="9"/>
  <c r="Y570" i="9"/>
  <c r="W570" i="9"/>
  <c r="AA586" i="9"/>
  <c r="Y586" i="9"/>
  <c r="W586" i="9"/>
  <c r="AA602" i="9"/>
  <c r="Y602" i="9"/>
  <c r="W602" i="9"/>
  <c r="AA618" i="9"/>
  <c r="Y618" i="9"/>
  <c r="W618" i="9"/>
  <c r="AA634" i="9"/>
  <c r="Y634" i="9"/>
  <c r="W634" i="9"/>
  <c r="AA650" i="9"/>
  <c r="Y650" i="9"/>
  <c r="W650" i="9"/>
  <c r="AA666" i="9"/>
  <c r="Y666" i="9"/>
  <c r="W666" i="9"/>
  <c r="AA670" i="9"/>
  <c r="Y670" i="9"/>
  <c r="W670" i="9"/>
  <c r="AA686" i="9"/>
  <c r="Y686" i="9"/>
  <c r="W686" i="9"/>
  <c r="AA702" i="9"/>
  <c r="Y702" i="9"/>
  <c r="W702" i="9"/>
  <c r="AA718" i="9"/>
  <c r="Y718" i="9"/>
  <c r="W718" i="9"/>
  <c r="AA734" i="9"/>
  <c r="Y734" i="9"/>
  <c r="W734" i="9"/>
  <c r="AA750" i="9"/>
  <c r="Y750" i="9"/>
  <c r="W750" i="9"/>
  <c r="AA766" i="9"/>
  <c r="Y766" i="9"/>
  <c r="W766" i="9"/>
  <c r="AA782" i="9"/>
  <c r="Y782" i="9"/>
  <c r="W782" i="9"/>
  <c r="AA798" i="9"/>
  <c r="Y798" i="9"/>
  <c r="W798" i="9"/>
  <c r="AA814" i="9"/>
  <c r="Y814" i="9"/>
  <c r="W814" i="9"/>
  <c r="AA830" i="9"/>
  <c r="Y830" i="9"/>
  <c r="W830" i="9"/>
  <c r="AA846" i="9"/>
  <c r="Y846" i="9"/>
  <c r="W846" i="9"/>
  <c r="AA862" i="9"/>
  <c r="Y862" i="9"/>
  <c r="W862" i="9"/>
  <c r="AA878" i="9"/>
  <c r="Y878" i="9"/>
  <c r="W878" i="9"/>
  <c r="AA894" i="9"/>
  <c r="Y894" i="9"/>
  <c r="W894" i="9"/>
  <c r="AA910" i="9"/>
  <c r="Y910" i="9"/>
  <c r="W910" i="9"/>
  <c r="AA926" i="9"/>
  <c r="Y926" i="9"/>
  <c r="W926" i="9"/>
  <c r="AA942" i="9"/>
  <c r="Y942" i="9"/>
  <c r="W942" i="9"/>
  <c r="AA958" i="9"/>
  <c r="Y958" i="9"/>
  <c r="W958" i="9"/>
  <c r="AA974" i="9"/>
  <c r="Y974" i="9"/>
  <c r="W974" i="9"/>
  <c r="AA990" i="9"/>
  <c r="Y990" i="9"/>
  <c r="W990" i="9"/>
  <c r="AA1006" i="9"/>
  <c r="Y1006" i="9"/>
  <c r="W1006" i="9"/>
  <c r="AA1022" i="9"/>
  <c r="Y1022" i="9"/>
  <c r="W1022" i="9"/>
  <c r="AA1038" i="9"/>
  <c r="Y1038" i="9"/>
  <c r="W1038" i="9"/>
  <c r="AA1054" i="9"/>
  <c r="Y1054" i="9"/>
  <c r="W1054" i="9"/>
  <c r="AA1070" i="9"/>
  <c r="Y1070" i="9"/>
  <c r="W1070" i="9"/>
  <c r="AA1086" i="9"/>
  <c r="Y1086" i="9"/>
  <c r="W1086" i="9"/>
  <c r="AA1102" i="9"/>
  <c r="Y1102" i="9"/>
  <c r="W1102" i="9"/>
  <c r="AA1118" i="9"/>
  <c r="Y1118" i="9"/>
  <c r="W1118" i="9"/>
  <c r="AA1134" i="9"/>
  <c r="Y1134" i="9"/>
  <c r="W1134" i="9"/>
  <c r="AA1150" i="9"/>
  <c r="Y1150" i="9"/>
  <c r="W1150" i="9"/>
  <c r="AA1166" i="9"/>
  <c r="Y1166" i="9"/>
  <c r="W1166" i="9"/>
  <c r="AA1182" i="9"/>
  <c r="Y1182" i="9"/>
  <c r="W1182" i="9"/>
  <c r="AA1198" i="9"/>
  <c r="Y1198" i="9"/>
  <c r="W1198" i="9"/>
  <c r="AA1214" i="9"/>
  <c r="Y1214" i="9"/>
  <c r="W1214" i="9"/>
  <c r="AA1230" i="9"/>
  <c r="Y1230" i="9"/>
  <c r="W1230" i="9"/>
  <c r="AA1254" i="9"/>
  <c r="Y1254" i="9"/>
  <c r="W1254" i="9"/>
  <c r="AA1270" i="9"/>
  <c r="Y1270" i="9"/>
  <c r="W1270" i="9"/>
  <c r="AA1286" i="9"/>
  <c r="Y1286" i="9"/>
  <c r="W1286" i="9"/>
  <c r="AA1302" i="9"/>
  <c r="Y1302" i="9"/>
  <c r="W1302" i="9"/>
  <c r="AA1318" i="9"/>
  <c r="Y1318" i="9"/>
  <c r="W1318" i="9"/>
  <c r="AA1334" i="9"/>
  <c r="Y1334" i="9"/>
  <c r="W1334" i="9"/>
  <c r="AA1350" i="9"/>
  <c r="Y1350" i="9"/>
  <c r="W1350" i="9"/>
  <c r="AA1366" i="9"/>
  <c r="Y1366" i="9"/>
  <c r="W1366" i="9"/>
  <c r="AA1382" i="9"/>
  <c r="Y1382" i="9"/>
  <c r="W1382" i="9"/>
  <c r="AA1398" i="9"/>
  <c r="Y1398" i="9"/>
  <c r="W1398" i="9"/>
  <c r="AA1414" i="9"/>
  <c r="Y1414" i="9"/>
  <c r="W1414" i="9"/>
  <c r="AA1430" i="9"/>
  <c r="Y1430" i="9"/>
  <c r="W1430" i="9"/>
  <c r="AA1446" i="9"/>
  <c r="Y1446" i="9"/>
  <c r="W1446" i="9"/>
  <c r="AA1462" i="9"/>
  <c r="Y1462" i="9"/>
  <c r="W1462" i="9"/>
  <c r="AA1478" i="9"/>
  <c r="Y1478" i="9"/>
  <c r="W1478" i="9"/>
  <c r="AA1494" i="9"/>
  <c r="Y1494" i="9"/>
  <c r="W1494" i="9"/>
  <c r="AA1510" i="9"/>
  <c r="Y1510" i="9"/>
  <c r="W1510" i="9"/>
  <c r="AA1526" i="9"/>
  <c r="Y1526" i="9"/>
  <c r="W1526" i="9"/>
  <c r="AA1542" i="9"/>
  <c r="Y1542" i="9"/>
  <c r="W1542" i="9"/>
  <c r="AA1558" i="9"/>
  <c r="Y1558" i="9"/>
  <c r="W1558" i="9"/>
  <c r="AA1574" i="9"/>
  <c r="Y1574" i="9"/>
  <c r="W1574" i="9"/>
  <c r="AA1590" i="9"/>
  <c r="Y1590" i="9"/>
  <c r="W1590" i="9"/>
  <c r="AA1606" i="9"/>
  <c r="Y1606" i="9"/>
  <c r="W1606" i="9"/>
  <c r="AA1622" i="9"/>
  <c r="Y1622" i="9"/>
  <c r="W1622" i="9"/>
  <c r="AA1638" i="9"/>
  <c r="Y1638" i="9"/>
  <c r="W1638" i="9"/>
  <c r="AA1654" i="9"/>
  <c r="Y1654" i="9"/>
  <c r="W1654" i="9"/>
  <c r="AA1670" i="9"/>
  <c r="Y1670" i="9"/>
  <c r="W1670" i="9"/>
  <c r="AA1686" i="9"/>
  <c r="Y1686" i="9"/>
  <c r="W1686" i="9"/>
  <c r="AA1702" i="9"/>
  <c r="Y1702" i="9"/>
  <c r="W1702" i="9"/>
  <c r="AA1718" i="9"/>
  <c r="Y1718" i="9"/>
  <c r="W1718" i="9"/>
  <c r="AA1734" i="9"/>
  <c r="Y1734" i="9"/>
  <c r="W1734" i="9"/>
  <c r="AA1750" i="9"/>
  <c r="Y1750" i="9"/>
  <c r="W1750" i="9"/>
  <c r="AA1766" i="9"/>
  <c r="Y1766" i="9"/>
  <c r="W1766" i="9"/>
  <c r="AA1782" i="9"/>
  <c r="Y1782" i="9"/>
  <c r="W1782" i="9"/>
  <c r="AA1798" i="9"/>
  <c r="Y1798" i="9"/>
  <c r="W1798" i="9"/>
  <c r="AA1814" i="9"/>
  <c r="Y1814" i="9"/>
  <c r="W1814" i="9"/>
  <c r="AA1830" i="9"/>
  <c r="Y1830" i="9"/>
  <c r="W1830" i="9"/>
  <c r="AA1846" i="9"/>
  <c r="Y1846" i="9"/>
  <c r="W1846" i="9"/>
  <c r="AA1862" i="9"/>
  <c r="Y1862" i="9"/>
  <c r="W1862" i="9"/>
  <c r="AA1878" i="9"/>
  <c r="Y1878" i="9"/>
  <c r="W1878" i="9"/>
  <c r="AA1894" i="9"/>
  <c r="Y1894" i="9"/>
  <c r="W1894" i="9"/>
  <c r="AA1910" i="9"/>
  <c r="Y1910" i="9"/>
  <c r="W1910" i="9"/>
  <c r="AA1926" i="9"/>
  <c r="Y1926" i="9"/>
  <c r="W1926" i="9"/>
  <c r="AA1942" i="9"/>
  <c r="Y1942" i="9"/>
  <c r="W1942" i="9"/>
  <c r="AA1958" i="9"/>
  <c r="Y1958" i="9"/>
  <c r="W1958" i="9"/>
  <c r="AA1974" i="9"/>
  <c r="Y1974" i="9"/>
  <c r="W1974" i="9"/>
  <c r="AA1990" i="9"/>
  <c r="Y1990" i="9"/>
  <c r="W1990" i="9"/>
  <c r="AA2006" i="9"/>
  <c r="Y2006" i="9"/>
  <c r="W2006" i="9"/>
  <c r="AA2022" i="9"/>
  <c r="Y2022" i="9"/>
  <c r="W2022" i="9"/>
  <c r="AA2038" i="9"/>
  <c r="Y2038" i="9"/>
  <c r="W2038" i="9"/>
  <c r="AA2054" i="9"/>
  <c r="Y2054" i="9"/>
  <c r="W2054" i="9"/>
  <c r="AA2070" i="9"/>
  <c r="Y2070" i="9"/>
  <c r="W2070" i="9"/>
  <c r="AA2086" i="9"/>
  <c r="Y2086" i="9"/>
  <c r="W2086" i="9"/>
  <c r="AA2102" i="9"/>
  <c r="Y2102" i="9"/>
  <c r="W2102" i="9"/>
  <c r="AA2118" i="9"/>
  <c r="Y2118" i="9"/>
  <c r="W2118" i="9"/>
  <c r="AA2134" i="9"/>
  <c r="Y2134" i="9"/>
  <c r="W2134" i="9"/>
  <c r="AA2150" i="9"/>
  <c r="Y2150" i="9"/>
  <c r="W2150" i="9"/>
  <c r="AA2166" i="9"/>
  <c r="Y2166" i="9"/>
  <c r="W2166" i="9"/>
  <c r="AA2182" i="9"/>
  <c r="Y2182" i="9"/>
  <c r="W2182" i="9"/>
  <c r="AA2198" i="9"/>
  <c r="Y2198" i="9"/>
  <c r="W2198" i="9"/>
  <c r="AA2214" i="9"/>
  <c r="Y2214" i="9"/>
  <c r="W2214" i="9"/>
  <c r="AA2230" i="9"/>
  <c r="Y2230" i="9"/>
  <c r="W2230" i="9"/>
  <c r="AA2246" i="9"/>
  <c r="Y2246" i="9"/>
  <c r="W2246" i="9"/>
  <c r="AA2262" i="9"/>
  <c r="Y2262" i="9"/>
  <c r="W2262" i="9"/>
  <c r="AA2278" i="9"/>
  <c r="Y2278" i="9"/>
  <c r="W2278" i="9"/>
  <c r="AA2294" i="9"/>
  <c r="Y2294" i="9"/>
  <c r="W2294" i="9"/>
  <c r="AA2310" i="9"/>
  <c r="Y2310" i="9"/>
  <c r="W2310" i="9"/>
  <c r="AA2326" i="9"/>
  <c r="Y2326" i="9"/>
  <c r="W2326" i="9"/>
  <c r="AA2342" i="9"/>
  <c r="Y2342" i="9"/>
  <c r="W2342" i="9"/>
  <c r="AA2358" i="9"/>
  <c r="Y2358" i="9"/>
  <c r="W2358" i="9"/>
  <c r="AA2374" i="9"/>
  <c r="Y2374" i="9"/>
  <c r="W2374" i="9"/>
  <c r="AA2390" i="9"/>
  <c r="Y2390" i="9"/>
  <c r="W2390" i="9"/>
  <c r="AA2406" i="9"/>
  <c r="Y2406" i="9"/>
  <c r="W2406" i="9"/>
  <c r="AA2422" i="9"/>
  <c r="Y2422" i="9"/>
  <c r="W2422" i="9"/>
  <c r="AA2438" i="9"/>
  <c r="Y2438" i="9"/>
  <c r="W2438" i="9"/>
  <c r="AA2454" i="9"/>
  <c r="Y2454" i="9"/>
  <c r="W2454" i="9"/>
  <c r="AA2470" i="9"/>
  <c r="Y2470" i="9"/>
  <c r="W2470" i="9"/>
  <c r="AA2486" i="9"/>
  <c r="Y2486" i="9"/>
  <c r="W2486" i="9"/>
  <c r="AA2502" i="9"/>
  <c r="Y2502" i="9"/>
  <c r="W2502" i="9"/>
  <c r="AA27" i="9"/>
  <c r="Y27" i="9"/>
  <c r="W27" i="9"/>
  <c r="AA47" i="9"/>
  <c r="Y47" i="9"/>
  <c r="W47" i="9"/>
  <c r="AA59" i="9"/>
  <c r="Y59" i="9"/>
  <c r="W59" i="9"/>
  <c r="AA99" i="9"/>
  <c r="Y99" i="9"/>
  <c r="W99" i="9"/>
  <c r="AA131" i="9"/>
  <c r="Y131" i="9"/>
  <c r="W131" i="9"/>
  <c r="AA163" i="9"/>
  <c r="Y163" i="9"/>
  <c r="W163" i="9"/>
  <c r="AA215" i="9"/>
  <c r="Y215" i="9"/>
  <c r="W215" i="9"/>
  <c r="AA279" i="9"/>
  <c r="Y279" i="9"/>
  <c r="W279" i="9"/>
  <c r="AA311" i="9"/>
  <c r="Y311" i="9"/>
  <c r="W311" i="9"/>
  <c r="AA343" i="9"/>
  <c r="Y343" i="9"/>
  <c r="W343" i="9"/>
  <c r="AA371" i="9"/>
  <c r="Y371" i="9"/>
  <c r="W371" i="9"/>
  <c r="AA399" i="9"/>
  <c r="Y399" i="9"/>
  <c r="W399" i="9"/>
  <c r="AA431" i="9"/>
  <c r="Y431" i="9"/>
  <c r="W431" i="9"/>
  <c r="AA463" i="9"/>
  <c r="Y463" i="9"/>
  <c r="W463" i="9"/>
  <c r="AA495" i="9"/>
  <c r="Y495" i="9"/>
  <c r="W495" i="9"/>
  <c r="AA527" i="9"/>
  <c r="Y527" i="9"/>
  <c r="W527" i="9"/>
  <c r="AA559" i="9"/>
  <c r="Y559" i="9"/>
  <c r="W559" i="9"/>
  <c r="AA615" i="9"/>
  <c r="Y615" i="9"/>
  <c r="W615" i="9"/>
  <c r="AA647" i="9"/>
  <c r="Y647" i="9"/>
  <c r="W647" i="9"/>
  <c r="AA687" i="9"/>
  <c r="Y687" i="9"/>
  <c r="W687" i="9"/>
  <c r="AA719" i="9"/>
  <c r="Y719" i="9"/>
  <c r="W719" i="9"/>
  <c r="AA755" i="9"/>
  <c r="Y755" i="9"/>
  <c r="W755" i="9"/>
  <c r="AA783" i="9"/>
  <c r="Y783" i="9"/>
  <c r="W783" i="9"/>
  <c r="AA815" i="9"/>
  <c r="Y815" i="9"/>
  <c r="W815" i="9"/>
  <c r="AA847" i="9"/>
  <c r="Y847" i="9"/>
  <c r="W847" i="9"/>
  <c r="AA867" i="9"/>
  <c r="Y867" i="9"/>
  <c r="W867" i="9"/>
  <c r="AA899" i="9"/>
  <c r="Y899" i="9"/>
  <c r="W899" i="9"/>
  <c r="AA931" i="9"/>
  <c r="Y931" i="9"/>
  <c r="W931" i="9"/>
  <c r="AA963" i="9"/>
  <c r="Y963" i="9"/>
  <c r="W963" i="9"/>
  <c r="AA971" i="9"/>
  <c r="Y971" i="9"/>
  <c r="W971" i="9"/>
  <c r="AA999" i="9"/>
  <c r="Y999" i="9"/>
  <c r="W999" i="9"/>
  <c r="AA1031" i="9"/>
  <c r="Y1031" i="9"/>
  <c r="W1031" i="9"/>
  <c r="AA1063" i="9"/>
  <c r="Y1063" i="9"/>
  <c r="W1063" i="9"/>
  <c r="AA1095" i="9"/>
  <c r="Y1095" i="9"/>
  <c r="W1095" i="9"/>
  <c r="AA1127" i="9"/>
  <c r="Y1127" i="9"/>
  <c r="W1127" i="9"/>
  <c r="AA1159" i="9"/>
  <c r="Y1159" i="9"/>
  <c r="W1159" i="9"/>
  <c r="AA1191" i="9"/>
  <c r="Y1191" i="9"/>
  <c r="W1191" i="9"/>
  <c r="AA1223" i="9"/>
  <c r="Y1223" i="9"/>
  <c r="W1223" i="9"/>
  <c r="AA1263" i="9"/>
  <c r="Y1263" i="9"/>
  <c r="W1263" i="9"/>
  <c r="AA1295" i="9"/>
  <c r="Y1295" i="9"/>
  <c r="W1295" i="9"/>
  <c r="AA1327" i="9"/>
  <c r="Y1327" i="9"/>
  <c r="W1327" i="9"/>
  <c r="AA1359" i="9"/>
  <c r="Y1359" i="9"/>
  <c r="W1359" i="9"/>
  <c r="AA1395" i="9"/>
  <c r="Y1395" i="9"/>
  <c r="W1395" i="9"/>
  <c r="AA1427" i="9"/>
  <c r="Y1427" i="9"/>
  <c r="W1427" i="9"/>
  <c r="AA1459" i="9"/>
  <c r="Y1459" i="9"/>
  <c r="W1459" i="9"/>
  <c r="AA1491" i="9"/>
  <c r="Y1491" i="9"/>
  <c r="W1491" i="9"/>
  <c r="AA1523" i="9"/>
  <c r="Y1523" i="9"/>
  <c r="W1523" i="9"/>
  <c r="AA1555" i="9"/>
  <c r="Y1555" i="9"/>
  <c r="W1555" i="9"/>
  <c r="AA1587" i="9"/>
  <c r="Y1587" i="9"/>
  <c r="W1587" i="9"/>
  <c r="AA1619" i="9"/>
  <c r="Y1619" i="9"/>
  <c r="W1619" i="9"/>
  <c r="AA1651" i="9"/>
  <c r="Y1651" i="9"/>
  <c r="W1651" i="9"/>
  <c r="AA1683" i="9"/>
  <c r="Y1683" i="9"/>
  <c r="W1683" i="9"/>
  <c r="AA1711" i="9"/>
  <c r="Y1711" i="9"/>
  <c r="W1711" i="9"/>
  <c r="AA1743" i="9"/>
  <c r="Y1743" i="9"/>
  <c r="W1743" i="9"/>
  <c r="AA1775" i="9"/>
  <c r="Y1775" i="9"/>
  <c r="W1775" i="9"/>
  <c r="AA1807" i="9"/>
  <c r="Y1807" i="9"/>
  <c r="W1807" i="9"/>
  <c r="AA1839" i="9"/>
  <c r="Y1839" i="9"/>
  <c r="W1839" i="9"/>
  <c r="AA1883" i="9"/>
  <c r="W1883" i="9"/>
  <c r="Y1883" i="9"/>
  <c r="AA1915" i="9"/>
  <c r="Y1915" i="9"/>
  <c r="W1915" i="9"/>
  <c r="AA1947" i="9"/>
  <c r="W1947" i="9"/>
  <c r="Y1947" i="9"/>
  <c r="AA1979" i="9"/>
  <c r="Y1979" i="9"/>
  <c r="W1979" i="9"/>
  <c r="AA2011" i="9"/>
  <c r="W2011" i="9"/>
  <c r="Y2011" i="9"/>
  <c r="AA2043" i="9"/>
  <c r="Y2043" i="9"/>
  <c r="W2043" i="9"/>
  <c r="AA2075" i="9"/>
  <c r="W2075" i="9"/>
  <c r="Y2075" i="9"/>
  <c r="AA2107" i="9"/>
  <c r="Y2107" i="9"/>
  <c r="W2107" i="9"/>
  <c r="AA2139" i="9"/>
  <c r="W2139" i="9"/>
  <c r="Y2139" i="9"/>
  <c r="AA2171" i="9"/>
  <c r="Y2171" i="9"/>
  <c r="W2171" i="9"/>
  <c r="AA2235" i="9"/>
  <c r="Y2235" i="9"/>
  <c r="W2235" i="9"/>
  <c r="AA2267" i="9"/>
  <c r="W2267" i="9"/>
  <c r="Y2267" i="9"/>
  <c r="AA2299" i="9"/>
  <c r="Y2299" i="9"/>
  <c r="W2299" i="9"/>
  <c r="AA2331" i="9"/>
  <c r="W2331" i="9"/>
  <c r="Y2331" i="9"/>
  <c r="AA2363" i="9"/>
  <c r="Y2363" i="9"/>
  <c r="W2363" i="9"/>
  <c r="AA2395" i="9"/>
  <c r="W2395" i="9"/>
  <c r="Y2395" i="9"/>
  <c r="AA2427" i="9"/>
  <c r="Y2427" i="9"/>
  <c r="W2427" i="9"/>
  <c r="AA2459" i="9"/>
  <c r="W2459" i="9"/>
  <c r="Y2459" i="9"/>
  <c r="AA2491" i="9"/>
  <c r="Y2491" i="9"/>
  <c r="W2491" i="9"/>
  <c r="Q20" i="9"/>
  <c r="Q36" i="9"/>
  <c r="Q64" i="9"/>
  <c r="Q100" i="9"/>
  <c r="Q164" i="9"/>
  <c r="Q180" i="9"/>
  <c r="Q196" i="9"/>
  <c r="Q240" i="9"/>
  <c r="Q288" i="9"/>
  <c r="Q352" i="9"/>
  <c r="Q384" i="9"/>
  <c r="Q416" i="9"/>
  <c r="Q436" i="9"/>
  <c r="Q500" i="9"/>
  <c r="Q516" i="9"/>
  <c r="Q564" i="9"/>
  <c r="Q608" i="9"/>
  <c r="Q628" i="9"/>
  <c r="Q832" i="9"/>
  <c r="Q848" i="9"/>
  <c r="Q912" i="9"/>
  <c r="Q976" i="9"/>
  <c r="Q1028" i="9"/>
  <c r="Q1092" i="9"/>
  <c r="Q1104" i="9"/>
  <c r="Q1124" i="9"/>
  <c r="Q1136" i="9"/>
  <c r="Q668" i="9"/>
  <c r="Q684" i="9"/>
  <c r="Q732" i="9"/>
  <c r="Q796" i="9"/>
  <c r="Q860" i="9"/>
  <c r="Q908" i="9"/>
  <c r="Q924" i="9"/>
  <c r="Q1120" i="9"/>
  <c r="Q1216" i="9"/>
  <c r="Q1312" i="9"/>
  <c r="Q1328" i="9"/>
  <c r="Q1472" i="9"/>
  <c r="Q1504" i="9"/>
  <c r="Q1632" i="9"/>
  <c r="Q1680" i="9"/>
  <c r="Q1696" i="9"/>
  <c r="Q1712" i="9"/>
  <c r="Q1728" i="9"/>
  <c r="Q1744" i="9"/>
  <c r="Q1760" i="9"/>
  <c r="Q1776" i="9"/>
  <c r="Q1792" i="9"/>
  <c r="Q1808" i="9"/>
  <c r="Q1824" i="9"/>
  <c r="Q1840" i="9"/>
  <c r="Q1856" i="9"/>
  <c r="Q1872" i="9"/>
  <c r="Q1888" i="9"/>
  <c r="Q1904" i="9"/>
  <c r="Q1920" i="9"/>
  <c r="Q1936" i="9"/>
  <c r="Q1952" i="9"/>
  <c r="Q1968" i="9"/>
  <c r="Q1984" i="9"/>
  <c r="Q2000" i="9"/>
  <c r="Q2016" i="9"/>
  <c r="Q2032" i="9"/>
  <c r="Q2048" i="9"/>
  <c r="Q2064" i="9"/>
  <c r="Q2080" i="9"/>
  <c r="Q2112" i="9"/>
  <c r="Q2128" i="9"/>
  <c r="Q2144" i="9"/>
  <c r="Q2160" i="9"/>
  <c r="Q2176" i="9"/>
  <c r="Q2192" i="9"/>
  <c r="Q2208" i="9"/>
  <c r="Q2224" i="9"/>
  <c r="Q2240" i="9"/>
  <c r="Q2256" i="9"/>
  <c r="Q2272" i="9"/>
  <c r="Q2288" i="9"/>
  <c r="Q2304" i="9"/>
  <c r="Q2320" i="9"/>
  <c r="Q2336" i="9"/>
  <c r="Q2352" i="9"/>
  <c r="Q2368" i="9"/>
  <c r="Q2384" i="9"/>
  <c r="Q2400" i="9"/>
  <c r="Q2416" i="9"/>
  <c r="Q2432" i="9"/>
  <c r="Q2448" i="9"/>
  <c r="Q2464" i="9"/>
  <c r="Q2480" i="9"/>
  <c r="Q2496" i="9"/>
  <c r="Q5" i="9"/>
  <c r="Q21" i="9"/>
  <c r="Q25" i="9"/>
  <c r="Q37" i="9"/>
  <c r="Q41" i="9"/>
  <c r="Q53" i="9"/>
  <c r="Q69" i="9"/>
  <c r="Q73" i="9"/>
  <c r="Q85" i="9"/>
  <c r="Q89" i="9"/>
  <c r="Q101" i="9"/>
  <c r="Q105" i="9"/>
  <c r="Q117" i="9"/>
  <c r="Q133" i="9"/>
  <c r="Q137" i="9"/>
  <c r="Q149" i="9"/>
  <c r="Q153" i="9"/>
  <c r="Q165" i="9"/>
  <c r="Q169" i="9"/>
  <c r="Q181" i="9"/>
  <c r="Q197" i="9"/>
  <c r="Q201" i="9"/>
  <c r="Q213" i="9"/>
  <c r="Q217" i="9"/>
  <c r="Q229" i="9"/>
  <c r="Q233" i="9"/>
  <c r="Q245" i="9"/>
  <c r="Q261" i="9"/>
  <c r="Q265" i="9"/>
  <c r="Q277" i="9"/>
  <c r="Q281" i="9"/>
  <c r="Q293" i="9"/>
  <c r="Q297" i="9"/>
  <c r="Q309" i="9"/>
  <c r="Q325" i="9"/>
  <c r="Q329" i="9"/>
  <c r="Q341" i="9"/>
  <c r="Q345" i="9"/>
  <c r="Q357" i="9"/>
  <c r="Q361" i="9"/>
  <c r="Q373" i="9"/>
  <c r="Q389" i="9"/>
  <c r="Q393" i="9"/>
  <c r="Q405" i="9"/>
  <c r="Q409" i="9"/>
  <c r="Q421" i="9"/>
  <c r="Q425" i="9"/>
  <c r="Q437" i="9"/>
  <c r="Q453" i="9"/>
  <c r="Q457" i="9"/>
  <c r="Q469" i="9"/>
  <c r="Q473" i="9"/>
  <c r="Q485" i="9"/>
  <c r="Q489" i="9"/>
  <c r="Q501" i="9"/>
  <c r="Q517" i="9"/>
  <c r="Q521" i="9"/>
  <c r="Q533" i="9"/>
  <c r="Q537" i="9"/>
  <c r="Q549" i="9"/>
  <c r="Q553" i="9"/>
  <c r="Q565" i="9"/>
  <c r="Q581" i="9"/>
  <c r="Q585" i="9"/>
  <c r="Q597" i="9"/>
  <c r="Q601" i="9"/>
  <c r="Q613" i="9"/>
  <c r="Q617" i="9"/>
  <c r="Q629" i="9"/>
  <c r="Q645" i="9"/>
  <c r="Q649" i="9"/>
  <c r="Q661" i="9"/>
  <c r="Q665" i="9"/>
  <c r="Q677" i="9"/>
  <c r="Q681" i="9"/>
  <c r="Q693" i="9"/>
  <c r="Q709" i="9"/>
  <c r="Q713" i="9"/>
  <c r="Q725" i="9"/>
  <c r="Q729" i="9"/>
  <c r="Q741" i="9"/>
  <c r="Q757" i="9"/>
  <c r="Q773" i="9"/>
  <c r="Q789" i="9"/>
  <c r="Q805" i="9"/>
  <c r="Q821" i="9"/>
  <c r="Q837" i="9"/>
  <c r="Q853" i="9"/>
  <c r="Q869" i="9"/>
  <c r="Q885" i="9"/>
  <c r="Q901" i="9"/>
  <c r="Q917" i="9"/>
  <c r="Q933" i="9"/>
  <c r="Q949" i="9"/>
  <c r="Q965" i="9"/>
  <c r="Q981" i="9"/>
  <c r="Q997" i="9"/>
  <c r="Q1013" i="9"/>
  <c r="Q1029" i="9"/>
  <c r="Q1045" i="9"/>
  <c r="Q1061" i="9"/>
  <c r="Q1077" i="9"/>
  <c r="Q1093" i="9"/>
  <c r="Q1109" i="9"/>
  <c r="Q1125" i="9"/>
  <c r="Q1141" i="9"/>
  <c r="Q1157" i="9"/>
  <c r="Q1173" i="9"/>
  <c r="Q1189" i="9"/>
  <c r="Q1205" i="9"/>
  <c r="Q1221" i="9"/>
  <c r="Q1237" i="9"/>
  <c r="Q1253" i="9"/>
  <c r="Q1269" i="9"/>
  <c r="Q1285" i="9"/>
  <c r="Q1301" i="9"/>
  <c r="Q1317" i="9"/>
  <c r="Q1333" i="9"/>
  <c r="Q1349" i="9"/>
  <c r="Q1365" i="9"/>
  <c r="Q1381" i="9"/>
  <c r="Q1397" i="9"/>
  <c r="Q1413" i="9"/>
  <c r="Q1429" i="9"/>
  <c r="Q1445" i="9"/>
  <c r="Q1461" i="9"/>
  <c r="Q1477" i="9"/>
  <c r="Q1493" i="9"/>
  <c r="Q1509" i="9"/>
  <c r="Q1525" i="9"/>
  <c r="Q1541" i="9"/>
  <c r="Q1557" i="9"/>
  <c r="Q1573" i="9"/>
  <c r="Q1589" i="9"/>
  <c r="Q1605" i="9"/>
  <c r="Q1621" i="9"/>
  <c r="Q1637" i="9"/>
  <c r="Q11" i="9"/>
  <c r="Q23" i="9"/>
  <c r="Q43" i="9"/>
  <c r="Q55" i="9"/>
  <c r="Q75" i="9"/>
  <c r="Q79" i="9"/>
  <c r="Q111" i="9"/>
  <c r="Q143" i="9"/>
  <c r="Q175" i="9"/>
  <c r="Q195" i="9"/>
  <c r="Q227" i="9"/>
  <c r="Q239" i="9"/>
  <c r="Q259" i="9"/>
  <c r="Q299" i="9"/>
  <c r="Q331" i="9"/>
  <c r="Q367" i="9"/>
  <c r="Q403" i="9"/>
  <c r="Q435" i="9"/>
  <c r="Q467" i="9"/>
  <c r="Q499" i="9"/>
  <c r="Q531" i="9"/>
  <c r="Q563" i="9"/>
  <c r="Q599" i="9"/>
  <c r="Q635" i="9"/>
  <c r="Q667" i="9"/>
  <c r="Q699" i="9"/>
  <c r="Q731" i="9"/>
  <c r="Q759" i="9"/>
  <c r="Q795" i="9"/>
  <c r="Q827" i="9"/>
  <c r="Q863" i="9"/>
  <c r="Q895" i="9"/>
  <c r="Q927" i="9"/>
  <c r="Q959" i="9"/>
  <c r="Q995" i="9"/>
  <c r="Q1027" i="9"/>
  <c r="Q1059" i="9"/>
  <c r="Q1091" i="9"/>
  <c r="Q1123" i="9"/>
  <c r="Q1155" i="9"/>
  <c r="Q1187" i="9"/>
  <c r="Q1219" i="9"/>
  <c r="Q1243" i="9"/>
  <c r="Q1275" i="9"/>
  <c r="Q1307" i="9"/>
  <c r="Q1339" i="9"/>
  <c r="Q1723" i="9"/>
  <c r="Q1755" i="9"/>
  <c r="Q1787" i="9"/>
  <c r="Q1819" i="9"/>
  <c r="Q1851" i="9"/>
  <c r="Q1879" i="9"/>
  <c r="Q1887" i="9"/>
  <c r="Q1911" i="9"/>
  <c r="Q1919" i="9"/>
  <c r="Q1943" i="9"/>
  <c r="Q1951" i="9"/>
  <c r="Q1975" i="9"/>
  <c r="Q1983" i="9"/>
  <c r="Q2007" i="9"/>
  <c r="Q2015" i="9"/>
  <c r="Q2039" i="9"/>
  <c r="Q2047" i="9"/>
  <c r="Q2071" i="9"/>
  <c r="Q2079" i="9"/>
  <c r="Q2103" i="9"/>
  <c r="Q2111" i="9"/>
  <c r="Q2135" i="9"/>
  <c r="Q2143" i="9"/>
  <c r="Q2167" i="9"/>
  <c r="Q2175" i="9"/>
  <c r="Q2199" i="9"/>
  <c r="Q2231" i="9"/>
  <c r="Q2239" i="9"/>
  <c r="Q2263" i="9"/>
  <c r="Q2271" i="9"/>
  <c r="Q2295" i="9"/>
  <c r="Q2303" i="9"/>
  <c r="Q2327" i="9"/>
  <c r="Q2335" i="9"/>
  <c r="Q2359" i="9"/>
  <c r="Q2367" i="9"/>
  <c r="Q2391" i="9"/>
  <c r="Q2399" i="9"/>
  <c r="Q2423" i="9"/>
  <c r="Q2431" i="9"/>
  <c r="Q2455" i="9"/>
  <c r="Q2463" i="9"/>
  <c r="Q2487" i="9"/>
  <c r="Q2495" i="9"/>
  <c r="Q290" i="9"/>
  <c r="Q306" i="9"/>
  <c r="Q322" i="9"/>
  <c r="Q338" i="9"/>
  <c r="Q354" i="9"/>
  <c r="Q370" i="9"/>
  <c r="Q386" i="9"/>
  <c r="Q402" i="9"/>
  <c r="Q418" i="9"/>
  <c r="Q434" i="9"/>
  <c r="Q450" i="9"/>
  <c r="Q466" i="9"/>
  <c r="Q482" i="9"/>
  <c r="Q498" i="9"/>
  <c r="Q514" i="9"/>
  <c r="Q530" i="9"/>
  <c r="Q546" i="9"/>
  <c r="Q562" i="9"/>
  <c r="Q578" i="9"/>
  <c r="Q594" i="9"/>
  <c r="Q610" i="9"/>
  <c r="Q626" i="9"/>
  <c r="Q642" i="9"/>
  <c r="Q658" i="9"/>
  <c r="Q674" i="9"/>
  <c r="Q690" i="9"/>
  <c r="Q706" i="9"/>
  <c r="Q722" i="9"/>
  <c r="Q738" i="9"/>
  <c r="Q742" i="9"/>
  <c r="Q758" i="9"/>
  <c r="Q774" i="9"/>
  <c r="Q790" i="9"/>
  <c r="Q806" i="9"/>
  <c r="Q822" i="9"/>
  <c r="Q838" i="9"/>
  <c r="Q854" i="9"/>
  <c r="Q870" i="9"/>
  <c r="Q886" i="9"/>
  <c r="Q902" i="9"/>
  <c r="Q918" i="9"/>
  <c r="Q934" i="9"/>
  <c r="Q950" i="9"/>
  <c r="Q966" i="9"/>
  <c r="Q982" i="9"/>
  <c r="Q998" i="9"/>
  <c r="Q1014" i="9"/>
  <c r="Q1030" i="9"/>
  <c r="Q1046" i="9"/>
  <c r="Q1062" i="9"/>
  <c r="Q1078" i="9"/>
  <c r="Q1094" i="9"/>
  <c r="Q1110" i="9"/>
  <c r="Q1126" i="9"/>
  <c r="Q1142" i="9"/>
  <c r="Q1158" i="9"/>
  <c r="Q1174" i="9"/>
  <c r="Q1190" i="9"/>
  <c r="Q1206" i="9"/>
  <c r="Q1222" i="9"/>
  <c r="Q1238" i="9"/>
  <c r="Q1250" i="9"/>
  <c r="Q1266" i="9"/>
  <c r="Q1282" i="9"/>
  <c r="Q1298" i="9"/>
  <c r="Q1314" i="9"/>
  <c r="Q1330" i="9"/>
  <c r="Q1346" i="9"/>
  <c r="Q1362" i="9"/>
  <c r="Q1378" i="9"/>
  <c r="Q1394" i="9"/>
  <c r="Q1410" i="9"/>
  <c r="Q1426" i="9"/>
  <c r="Q1442" i="9"/>
  <c r="Q1458" i="9"/>
  <c r="Q1474" i="9"/>
  <c r="Q1490" i="9"/>
  <c r="Q1506" i="9"/>
  <c r="Q1522" i="9"/>
  <c r="Q1538" i="9"/>
  <c r="Q1554" i="9"/>
  <c r="Q1570" i="9"/>
  <c r="Q1586" i="9"/>
  <c r="Q1602" i="9"/>
  <c r="Q1618" i="9"/>
  <c r="Q1634" i="9"/>
  <c r="Q1650" i="9"/>
  <c r="Q1666" i="9"/>
  <c r="Q1682" i="9"/>
  <c r="Q1698" i="9"/>
  <c r="Q1714" i="9"/>
  <c r="Q1730" i="9"/>
  <c r="Q1746" i="9"/>
  <c r="Q1762" i="9"/>
  <c r="Q1778" i="9"/>
  <c r="Q1794" i="9"/>
  <c r="Q1810" i="9"/>
  <c r="Q1826" i="9"/>
  <c r="Q1842" i="9"/>
  <c r="Q1858" i="9"/>
  <c r="Q1874" i="9"/>
  <c r="Q1890" i="9"/>
  <c r="Q1906" i="9"/>
  <c r="Q1922" i="9"/>
  <c r="Q1938" i="9"/>
  <c r="Q1954" i="9"/>
  <c r="Q1970" i="9"/>
  <c r="Q1986" i="9"/>
  <c r="Q2002" i="9"/>
  <c r="Q2018" i="9"/>
  <c r="Q2034" i="9"/>
  <c r="Q2050" i="9"/>
  <c r="Q2066" i="9"/>
  <c r="Q2082" i="9"/>
  <c r="Q2098" i="9"/>
  <c r="Q2114" i="9"/>
  <c r="Q2130" i="9"/>
  <c r="Q2146" i="9"/>
  <c r="Q2162" i="9"/>
  <c r="Q2178" i="9"/>
  <c r="Q2194" i="9"/>
  <c r="Q2210" i="9"/>
  <c r="Q2226" i="9"/>
  <c r="Q2242" i="9"/>
  <c r="Q2258" i="9"/>
  <c r="Q2274" i="9"/>
  <c r="Q2290" i="9"/>
  <c r="Q2306" i="9"/>
  <c r="Q2322" i="9"/>
  <c r="Q2338" i="9"/>
  <c r="Q2354" i="9"/>
  <c r="Q2370" i="9"/>
  <c r="Q2386" i="9"/>
  <c r="Q2402" i="9"/>
  <c r="Q2418" i="9"/>
  <c r="Q2434" i="9"/>
  <c r="Q2450" i="9"/>
  <c r="Q2466" i="9"/>
  <c r="Q2482" i="9"/>
  <c r="Q2498" i="9"/>
  <c r="Q19" i="9"/>
  <c r="Q51" i="9"/>
  <c r="Q91" i="9"/>
  <c r="Q123" i="9"/>
  <c r="Q155" i="9"/>
  <c r="Q199" i="9"/>
  <c r="Q231" i="9"/>
  <c r="Q263" i="9"/>
  <c r="Q295" i="9"/>
  <c r="Q327" i="9"/>
  <c r="Q355" i="9"/>
  <c r="Q387" i="9"/>
  <c r="Q415" i="9"/>
  <c r="Q447" i="9"/>
  <c r="Q479" i="9"/>
  <c r="Q511" i="9"/>
  <c r="Q543" i="9"/>
  <c r="Q575" i="9"/>
  <c r="Q603" i="9"/>
  <c r="Q631" i="9"/>
  <c r="Q663" i="9"/>
  <c r="Q695" i="9"/>
  <c r="Q727" i="9"/>
  <c r="Q763" i="9"/>
  <c r="Q791" i="9"/>
  <c r="Q823" i="9"/>
  <c r="Q855" i="9"/>
  <c r="Q883" i="9"/>
  <c r="Q915" i="9"/>
  <c r="Q947" i="9"/>
  <c r="Q979" i="9"/>
  <c r="Q1007" i="9"/>
  <c r="Q1039" i="9"/>
  <c r="Q1071" i="9"/>
  <c r="Q1103" i="9"/>
  <c r="Q1135" i="9"/>
  <c r="Q1167" i="9"/>
  <c r="Q1199" i="9"/>
  <c r="Q1231" i="9"/>
  <c r="Q1255" i="9"/>
  <c r="Q1287" i="9"/>
  <c r="Q1319" i="9"/>
  <c r="Q1351" i="9"/>
  <c r="Q1379" i="9"/>
  <c r="Q1411" i="9"/>
  <c r="Q1443" i="9"/>
  <c r="Q1475" i="9"/>
  <c r="Q1507" i="9"/>
  <c r="Q1539" i="9"/>
  <c r="Q1571" i="9"/>
  <c r="Q1603" i="9"/>
  <c r="Q1635" i="9"/>
  <c r="Q1667" i="9"/>
  <c r="Q1703" i="9"/>
  <c r="Q1735" i="9"/>
  <c r="Q1767" i="9"/>
  <c r="Q1799" i="9"/>
  <c r="Q1831" i="9"/>
  <c r="Q1863" i="9"/>
  <c r="Q1899" i="9"/>
  <c r="Q1931" i="9"/>
  <c r="Q1963" i="9"/>
  <c r="Q1995" i="9"/>
  <c r="Q2027" i="9"/>
  <c r="Q2059" i="9"/>
  <c r="Q2091" i="9"/>
  <c r="Q2123" i="9"/>
  <c r="Q2155" i="9"/>
  <c r="Q2187" i="9"/>
  <c r="Q2223" i="9"/>
  <c r="Q2251" i="9"/>
  <c r="Q2283" i="9"/>
  <c r="Q2315" i="9"/>
  <c r="Q2347" i="9"/>
  <c r="Q2379" i="9"/>
  <c r="Q2411" i="9"/>
  <c r="Q2443" i="9"/>
  <c r="Q2475" i="9"/>
  <c r="Q2503" i="9"/>
  <c r="Q52" i="9"/>
  <c r="Q84" i="9"/>
  <c r="Q128" i="9"/>
  <c r="Q192" i="9"/>
  <c r="Q208" i="9"/>
  <c r="Q224" i="9"/>
  <c r="Q256" i="9"/>
  <c r="Q308" i="9"/>
  <c r="Q324" i="9"/>
  <c r="Q356" i="9"/>
  <c r="Q388" i="9"/>
  <c r="Q464" i="9"/>
  <c r="Q480" i="9"/>
  <c r="Q496" i="9"/>
  <c r="Q548" i="9"/>
  <c r="Q720" i="9"/>
  <c r="Q768" i="9"/>
  <c r="Q880" i="9"/>
  <c r="Q896" i="9"/>
  <c r="Q960" i="9"/>
  <c r="Q980" i="9"/>
  <c r="Q1008" i="9"/>
  <c r="Q1076" i="9"/>
  <c r="Q1172" i="9"/>
  <c r="Q716" i="9"/>
  <c r="Q748" i="9"/>
  <c r="Q764" i="9"/>
  <c r="Q780" i="9"/>
  <c r="Q828" i="9"/>
  <c r="Q940" i="9"/>
  <c r="Q956" i="9"/>
  <c r="Q1024" i="9"/>
  <c r="Q1152" i="9"/>
  <c r="Q1280" i="9"/>
  <c r="Q1376" i="9"/>
  <c r="Q1408" i="9"/>
  <c r="Q1600" i="9"/>
  <c r="Q1664" i="9"/>
  <c r="Q24" i="9"/>
  <c r="Q28" i="9"/>
  <c r="Q40" i="9"/>
  <c r="Q44" i="9"/>
  <c r="Q76" i="9"/>
  <c r="Q92" i="9"/>
  <c r="Q104" i="9"/>
  <c r="Q108" i="9"/>
  <c r="Q120" i="9"/>
  <c r="Q136" i="9"/>
  <c r="Q140" i="9"/>
  <c r="Q152" i="9"/>
  <c r="Q156" i="9"/>
  <c r="Q168" i="9"/>
  <c r="Q172" i="9"/>
  <c r="Q176" i="9"/>
  <c r="Q184" i="9"/>
  <c r="Q200" i="9"/>
  <c r="Q204" i="9"/>
  <c r="Q216" i="9"/>
  <c r="Q220" i="9"/>
  <c r="Q232" i="9"/>
  <c r="Q236" i="9"/>
  <c r="Q248" i="9"/>
  <c r="Q264" i="9"/>
  <c r="Q268" i="9"/>
  <c r="Q280" i="9"/>
  <c r="Q284" i="9"/>
  <c r="Q296" i="9"/>
  <c r="Q300" i="9"/>
  <c r="Q304" i="9"/>
  <c r="Q312" i="9"/>
  <c r="Q328" i="9"/>
  <c r="Q332" i="9"/>
  <c r="Q344" i="9"/>
  <c r="Q348" i="9"/>
  <c r="Q360" i="9"/>
  <c r="Q364" i="9"/>
  <c r="Q376" i="9"/>
  <c r="Q392" i="9"/>
  <c r="Q396" i="9"/>
  <c r="Q408" i="9"/>
  <c r="Q412" i="9"/>
  <c r="Q424" i="9"/>
  <c r="Q428" i="9"/>
  <c r="Q440" i="9"/>
  <c r="Q456" i="9"/>
  <c r="Q460" i="9"/>
  <c r="Q472" i="9"/>
  <c r="Q476" i="9"/>
  <c r="Q488" i="9"/>
  <c r="Q492" i="9"/>
  <c r="Q504" i="9"/>
  <c r="Q520" i="9"/>
  <c r="Q524" i="9"/>
  <c r="Q536" i="9"/>
  <c r="Q540" i="9"/>
  <c r="Q552" i="9"/>
  <c r="Q556" i="9"/>
  <c r="Q560" i="9"/>
  <c r="Q568" i="9"/>
  <c r="Q584" i="9"/>
  <c r="Q588" i="9"/>
  <c r="Q600" i="9"/>
  <c r="Q604" i="9"/>
  <c r="Q616" i="9"/>
  <c r="Q620" i="9"/>
  <c r="Q632" i="9"/>
  <c r="Q648" i="9"/>
  <c r="Q652" i="9"/>
  <c r="Q664" i="9"/>
  <c r="Q680" i="9"/>
  <c r="Q688" i="9"/>
  <c r="Q696" i="9"/>
  <c r="Q700" i="9"/>
  <c r="Q712" i="9"/>
  <c r="Q728" i="9"/>
  <c r="Q744" i="9"/>
  <c r="Q760" i="9"/>
  <c r="Q776" i="9"/>
  <c r="Q792" i="9"/>
  <c r="Q808" i="9"/>
  <c r="Q816" i="9"/>
  <c r="Q824" i="9"/>
  <c r="Q840" i="9"/>
  <c r="Q856" i="9"/>
  <c r="Q872" i="9"/>
  <c r="Q888" i="9"/>
  <c r="Q904" i="9"/>
  <c r="Q920" i="9"/>
  <c r="Q936" i="9"/>
  <c r="Q944" i="9"/>
  <c r="Q952" i="9"/>
  <c r="Q972" i="9"/>
  <c r="Q988" i="9"/>
  <c r="Q1004" i="9"/>
  <c r="Q1020" i="9"/>
  <c r="Q1036" i="9"/>
  <c r="Q1052" i="9"/>
  <c r="Q1068" i="9"/>
  <c r="Q1084" i="9"/>
  <c r="Q1100" i="9"/>
  <c r="Q1116" i="9"/>
  <c r="Q1132" i="9"/>
  <c r="Q1148" i="9"/>
  <c r="Q1164" i="9"/>
  <c r="Q1180" i="9"/>
  <c r="Q1196" i="9"/>
  <c r="Q1212" i="9"/>
  <c r="Q1228" i="9"/>
  <c r="Q1244" i="9"/>
  <c r="Q1260" i="9"/>
  <c r="Q1292" i="9"/>
  <c r="Q1308" i="9"/>
  <c r="Q1324" i="9"/>
  <c r="Q1356" i="9"/>
  <c r="Q1372" i="9"/>
  <c r="Q1388" i="9"/>
  <c r="Q1420" i="9"/>
  <c r="Q1436" i="9"/>
  <c r="Q1452" i="9"/>
  <c r="Q1484" i="9"/>
  <c r="Q1500" i="9"/>
  <c r="Q1516" i="9"/>
  <c r="Q1548" i="9"/>
  <c r="Q1564" i="9"/>
  <c r="Q1580" i="9"/>
  <c r="Q1584" i="9"/>
  <c r="Q1612" i="9"/>
  <c r="Q1628" i="9"/>
  <c r="Q1644" i="9"/>
  <c r="Q1676" i="9"/>
  <c r="Q1692" i="9"/>
  <c r="Q1708" i="9"/>
  <c r="Q1740" i="9"/>
  <c r="Q1756" i="9"/>
  <c r="Q1772" i="9"/>
  <c r="Q1804" i="9"/>
  <c r="Q1820" i="9"/>
  <c r="Q1836" i="9"/>
  <c r="Q1868" i="9"/>
  <c r="Q1884" i="9"/>
  <c r="Q1900" i="9"/>
  <c r="Q1932" i="9"/>
  <c r="Q1948" i="9"/>
  <c r="Q1964" i="9"/>
  <c r="Q1996" i="9"/>
  <c r="Q2012" i="9"/>
  <c r="Q2028" i="9"/>
  <c r="Q2060" i="9"/>
  <c r="Q2076" i="9"/>
  <c r="Q2092" i="9"/>
  <c r="Q2096" i="9"/>
  <c r="Q2124" i="9"/>
  <c r="Q2140" i="9"/>
  <c r="Q2156" i="9"/>
  <c r="Q2188" i="9"/>
  <c r="Q2204" i="9"/>
  <c r="Q2220" i="9"/>
  <c r="Q2252" i="9"/>
  <c r="Q2268" i="9"/>
  <c r="Q2284" i="9"/>
  <c r="Q2316" i="9"/>
  <c r="Q2332" i="9"/>
  <c r="Q2348" i="9"/>
  <c r="Q2380" i="9"/>
  <c r="Q2396" i="9"/>
  <c r="Q2412" i="9"/>
  <c r="Q2444" i="9"/>
  <c r="Q2460" i="9"/>
  <c r="Q2476" i="9"/>
  <c r="Q13" i="9"/>
  <c r="Q57" i="9"/>
  <c r="Q121" i="9"/>
  <c r="Q185" i="9"/>
  <c r="Q249" i="9"/>
  <c r="Q313" i="9"/>
  <c r="Q377" i="9"/>
  <c r="Q441" i="9"/>
  <c r="Q505" i="9"/>
  <c r="Q569" i="9"/>
  <c r="Q633" i="9"/>
  <c r="Q697" i="9"/>
  <c r="Q745" i="9"/>
  <c r="Q761" i="9"/>
  <c r="Q777" i="9"/>
  <c r="Q793" i="9"/>
  <c r="Q809" i="9"/>
  <c r="Q825" i="9"/>
  <c r="Q841" i="9"/>
  <c r="Q857" i="9"/>
  <c r="Q873" i="9"/>
  <c r="Q889" i="9"/>
  <c r="Q905" i="9"/>
  <c r="Q921" i="9"/>
  <c r="Q937" i="9"/>
  <c r="Q953" i="9"/>
  <c r="Q969" i="9"/>
  <c r="Q985" i="9"/>
  <c r="Q1001" i="9"/>
  <c r="Q1017" i="9"/>
  <c r="Q1033" i="9"/>
  <c r="Q1049" i="9"/>
  <c r="Q1065" i="9"/>
  <c r="Q1081" i="9"/>
  <c r="Q1097" i="9"/>
  <c r="Q1113" i="9"/>
  <c r="Q1129" i="9"/>
  <c r="Q1145" i="9"/>
  <c r="Q1161" i="9"/>
  <c r="Q1177" i="9"/>
  <c r="Q1193" i="9"/>
  <c r="Q1209" i="9"/>
  <c r="Q1225" i="9"/>
  <c r="Q1241" i="9"/>
  <c r="Q1257" i="9"/>
  <c r="Q1273" i="9"/>
  <c r="Q1289" i="9"/>
  <c r="Q1305" i="9"/>
  <c r="Q1321" i="9"/>
  <c r="Q1337" i="9"/>
  <c r="Q1353" i="9"/>
  <c r="Q1369" i="9"/>
  <c r="Q1385" i="9"/>
  <c r="Q1401" i="9"/>
  <c r="Q1417" i="9"/>
  <c r="Q1433" i="9"/>
  <c r="Q1449" i="9"/>
  <c r="Q1465" i="9"/>
  <c r="Q1481" i="9"/>
  <c r="Q1497" i="9"/>
  <c r="Q1513" i="9"/>
  <c r="Q1529" i="9"/>
  <c r="Q1545" i="9"/>
  <c r="Q1561" i="9"/>
  <c r="Q1577" i="9"/>
  <c r="Q1593" i="9"/>
  <c r="Q1609" i="9"/>
  <c r="Q1625" i="9"/>
  <c r="Q1641" i="9"/>
  <c r="Q1653" i="9"/>
  <c r="Q1657" i="9"/>
  <c r="Q1669" i="9"/>
  <c r="Q1673" i="9"/>
  <c r="Q1685" i="9"/>
  <c r="Q1689" i="9"/>
  <c r="Q1701" i="9"/>
  <c r="Q1705" i="9"/>
  <c r="Q1717" i="9"/>
  <c r="Q1721" i="9"/>
  <c r="Q1733" i="9"/>
  <c r="Q1737" i="9"/>
  <c r="Q1749" i="9"/>
  <c r="Q1753" i="9"/>
  <c r="Q1765" i="9"/>
  <c r="Q1769" i="9"/>
  <c r="Q1781" i="9"/>
  <c r="Q1785" i="9"/>
  <c r="Q1797" i="9"/>
  <c r="Q1801" i="9"/>
  <c r="Q1813" i="9"/>
  <c r="Q1817" i="9"/>
  <c r="Q1829" i="9"/>
  <c r="Q1833" i="9"/>
  <c r="Q1845" i="9"/>
  <c r="Q1849" i="9"/>
  <c r="Q1861" i="9"/>
  <c r="Q1865" i="9"/>
  <c r="Q1877" i="9"/>
  <c r="Q1881" i="9"/>
  <c r="Q1893" i="9"/>
  <c r="Q1897" i="9"/>
  <c r="Q1909" i="9"/>
  <c r="Q1913" i="9"/>
  <c r="Q1925" i="9"/>
  <c r="Q1929" i="9"/>
  <c r="Q1941" i="9"/>
  <c r="Q1945" i="9"/>
  <c r="Q1957" i="9"/>
  <c r="Q1961" i="9"/>
  <c r="Q1973" i="9"/>
  <c r="Q1977" i="9"/>
  <c r="Q1989" i="9"/>
  <c r="Q1993" i="9"/>
  <c r="Q2005" i="9"/>
  <c r="Q2009" i="9"/>
  <c r="Q2021" i="9"/>
  <c r="Q2025" i="9"/>
  <c r="Q2037" i="9"/>
  <c r="Q2041" i="9"/>
  <c r="Q2053" i="9"/>
  <c r="Q2057" i="9"/>
  <c r="Q2069" i="9"/>
  <c r="Q2073" i="9"/>
  <c r="Q2085" i="9"/>
  <c r="Q2089" i="9"/>
  <c r="Q2101" i="9"/>
  <c r="Q2105" i="9"/>
  <c r="Q2117" i="9"/>
  <c r="Q2121" i="9"/>
  <c r="Q2133" i="9"/>
  <c r="Q2137" i="9"/>
  <c r="Q2149" i="9"/>
  <c r="Q2153" i="9"/>
  <c r="Q2165" i="9"/>
  <c r="Q2169" i="9"/>
  <c r="Q2181" i="9"/>
  <c r="Q2185" i="9"/>
  <c r="Q2197" i="9"/>
  <c r="Q2201" i="9"/>
  <c r="Q2213" i="9"/>
  <c r="Q2217" i="9"/>
  <c r="Q2229" i="9"/>
  <c r="Q2233" i="9"/>
  <c r="Q2245" i="9"/>
  <c r="Q2249" i="9"/>
  <c r="Q2261" i="9"/>
  <c r="Q2265" i="9"/>
  <c r="Q2277" i="9"/>
  <c r="Q2281" i="9"/>
  <c r="Q2293" i="9"/>
  <c r="Q2297" i="9"/>
  <c r="Q2309" i="9"/>
  <c r="Q2313" i="9"/>
  <c r="Q2325" i="9"/>
  <c r="Q2329" i="9"/>
  <c r="Q2341" i="9"/>
  <c r="Q2345" i="9"/>
  <c r="Q2357" i="9"/>
  <c r="Q2361" i="9"/>
  <c r="Q2373" i="9"/>
  <c r="Q2377" i="9"/>
  <c r="Q2389" i="9"/>
  <c r="Q2393" i="9"/>
  <c r="Q2405" i="9"/>
  <c r="Q2409" i="9"/>
  <c r="Q2421" i="9"/>
  <c r="Q2425" i="9"/>
  <c r="Q2437" i="9"/>
  <c r="Q2441" i="9"/>
  <c r="Q2453" i="9"/>
  <c r="Q2457" i="9"/>
  <c r="Q2469" i="9"/>
  <c r="Q2473" i="9"/>
  <c r="Q2485" i="9"/>
  <c r="Q2489" i="9"/>
  <c r="Q2501" i="9"/>
  <c r="Q35" i="9"/>
  <c r="Q67" i="9"/>
  <c r="Q103" i="9"/>
  <c r="Q135" i="9"/>
  <c r="Q167" i="9"/>
  <c r="Q187" i="9"/>
  <c r="Q219" i="9"/>
  <c r="Q251" i="9"/>
  <c r="Q283" i="9"/>
  <c r="Q291" i="9"/>
  <c r="Q323" i="9"/>
  <c r="Q359" i="9"/>
  <c r="Q391" i="9"/>
  <c r="Q427" i="9"/>
  <c r="Q459" i="9"/>
  <c r="Q491" i="9"/>
  <c r="Q523" i="9"/>
  <c r="Q555" i="9"/>
  <c r="Q591" i="9"/>
  <c r="Q627" i="9"/>
  <c r="Q659" i="9"/>
  <c r="Q691" i="9"/>
  <c r="Q723" i="9"/>
  <c r="Q751" i="9"/>
  <c r="Q787" i="9"/>
  <c r="Q819" i="9"/>
  <c r="Q851" i="9"/>
  <c r="Q887" i="9"/>
  <c r="Q919" i="9"/>
  <c r="Q951" i="9"/>
  <c r="Q983" i="9"/>
  <c r="Q1019" i="9"/>
  <c r="Q1051" i="9"/>
  <c r="Q1083" i="9"/>
  <c r="Q1115" i="9"/>
  <c r="Q1147" i="9"/>
  <c r="Q1179" i="9"/>
  <c r="Q1211" i="9"/>
  <c r="Q1267" i="9"/>
  <c r="Q1299" i="9"/>
  <c r="Q1331" i="9"/>
  <c r="Q1363" i="9"/>
  <c r="Q1375" i="9"/>
  <c r="Q1399" i="9"/>
  <c r="Q1407" i="9"/>
  <c r="Q1431" i="9"/>
  <c r="Q1439" i="9"/>
  <c r="Q1463" i="9"/>
  <c r="Q1471" i="9"/>
  <c r="Q1495" i="9"/>
  <c r="Q1503" i="9"/>
  <c r="Q1527" i="9"/>
  <c r="Q1535" i="9"/>
  <c r="Q1559" i="9"/>
  <c r="Q1567" i="9"/>
  <c r="Q1591" i="9"/>
  <c r="Q1599" i="9"/>
  <c r="Q1623" i="9"/>
  <c r="Q1631" i="9"/>
  <c r="Q1655" i="9"/>
  <c r="Q1663" i="9"/>
  <c r="Q1687" i="9"/>
  <c r="Q1695" i="9"/>
  <c r="Q1715" i="9"/>
  <c r="Q1747" i="9"/>
  <c r="Q1779" i="9"/>
  <c r="Q1811" i="9"/>
  <c r="Q1843" i="9"/>
  <c r="Q1871" i="9"/>
  <c r="Q1903" i="9"/>
  <c r="Q1935" i="9"/>
  <c r="Q1967" i="9"/>
  <c r="Q1999" i="9"/>
  <c r="Q2031" i="9"/>
  <c r="Q2063" i="9"/>
  <c r="Q2095" i="9"/>
  <c r="Q2127" i="9"/>
  <c r="Q2159" i="9"/>
  <c r="Q2191" i="9"/>
  <c r="Q2219" i="9"/>
  <c r="Q2255" i="9"/>
  <c r="Q2287" i="9"/>
  <c r="Q2319" i="9"/>
  <c r="Q2351" i="9"/>
  <c r="Q2383" i="9"/>
  <c r="Q2415" i="9"/>
  <c r="Q2447" i="9"/>
  <c r="Q2479" i="9"/>
  <c r="Q10" i="9"/>
  <c r="Q26" i="9"/>
  <c r="Q30" i="9"/>
  <c r="Q42" i="9"/>
  <c r="Q46" i="9"/>
  <c r="Q58" i="9"/>
  <c r="Q62" i="9"/>
  <c r="Q74" i="9"/>
  <c r="Q78" i="9"/>
  <c r="Q90" i="9"/>
  <c r="Q94" i="9"/>
  <c r="Q106" i="9"/>
  <c r="Q110" i="9"/>
  <c r="Q122" i="9"/>
  <c r="Q126" i="9"/>
  <c r="Q138" i="9"/>
  <c r="Q142" i="9"/>
  <c r="Q154" i="9"/>
  <c r="Q158" i="9"/>
  <c r="Q170" i="9"/>
  <c r="Q174" i="9"/>
  <c r="Q186" i="9"/>
  <c r="Q190" i="9"/>
  <c r="Q202" i="9"/>
  <c r="Q206" i="9"/>
  <c r="Q218" i="9"/>
  <c r="Q222" i="9"/>
  <c r="Q234" i="9"/>
  <c r="Q238" i="9"/>
  <c r="Q250" i="9"/>
  <c r="Q254" i="9"/>
  <c r="Q266" i="9"/>
  <c r="Q270" i="9"/>
  <c r="Q282" i="9"/>
  <c r="Q286" i="9"/>
  <c r="Q302" i="9"/>
  <c r="Q318" i="9"/>
  <c r="Q334" i="9"/>
  <c r="Q350" i="9"/>
  <c r="Q366" i="9"/>
  <c r="Q382" i="9"/>
  <c r="Q398" i="9"/>
  <c r="Q414" i="9"/>
  <c r="Q430" i="9"/>
  <c r="Q446" i="9"/>
  <c r="Q462" i="9"/>
  <c r="Q478" i="9"/>
  <c r="Q494" i="9"/>
  <c r="Q510" i="9"/>
  <c r="Q526" i="9"/>
  <c r="Q542" i="9"/>
  <c r="Q558" i="9"/>
  <c r="Q574" i="9"/>
  <c r="Q590" i="9"/>
  <c r="Q606" i="9"/>
  <c r="Q622" i="9"/>
  <c r="Q638" i="9"/>
  <c r="Q654" i="9"/>
  <c r="Q670" i="9"/>
  <c r="Q686" i="9"/>
  <c r="Q702" i="9"/>
  <c r="Q718" i="9"/>
  <c r="Q734" i="9"/>
  <c r="Q754" i="9"/>
  <c r="Q770" i="9"/>
  <c r="Q786" i="9"/>
  <c r="Q802" i="9"/>
  <c r="Q818" i="9"/>
  <c r="Q834" i="9"/>
  <c r="Q850" i="9"/>
  <c r="Q866" i="9"/>
  <c r="Q882" i="9"/>
  <c r="Q898" i="9"/>
  <c r="Q914" i="9"/>
  <c r="Q930" i="9"/>
  <c r="Q946" i="9"/>
  <c r="Q962" i="9"/>
  <c r="Q978" i="9"/>
  <c r="Q994" i="9"/>
  <c r="Q1010" i="9"/>
  <c r="Q1026" i="9"/>
  <c r="Q1042" i="9"/>
  <c r="Q1058" i="9"/>
  <c r="Q1074" i="9"/>
  <c r="Q1090" i="9"/>
  <c r="Q1106" i="9"/>
  <c r="Q1122" i="9"/>
  <c r="Q1138" i="9"/>
  <c r="Q1154" i="9"/>
  <c r="Q1170" i="9"/>
  <c r="Q1186" i="9"/>
  <c r="Q1202" i="9"/>
  <c r="Q1218" i="9"/>
  <c r="Q1234" i="9"/>
  <c r="Q1246" i="9"/>
  <c r="Q1262" i="9"/>
  <c r="Q1278" i="9"/>
  <c r="Q1294" i="9"/>
  <c r="Q1310" i="9"/>
  <c r="Q1326" i="9"/>
  <c r="Q1342" i="9"/>
  <c r="Q1358" i="9"/>
  <c r="Q1374" i="9"/>
  <c r="Q1390" i="9"/>
  <c r="Q1406" i="9"/>
  <c r="Q1422" i="9"/>
  <c r="Q1438" i="9"/>
  <c r="Q1454" i="9"/>
  <c r="Q1470" i="9"/>
  <c r="Q1486" i="9"/>
  <c r="Q1502" i="9"/>
  <c r="Q1518" i="9"/>
  <c r="Q1534" i="9"/>
  <c r="Q1550" i="9"/>
  <c r="Q1566" i="9"/>
  <c r="Q1582" i="9"/>
  <c r="Q1598" i="9"/>
  <c r="Q1614" i="9"/>
  <c r="Q1630" i="9"/>
  <c r="Q1646" i="9"/>
  <c r="Q1662" i="9"/>
  <c r="Q1678" i="9"/>
  <c r="Q1694" i="9"/>
  <c r="Q1710" i="9"/>
  <c r="Q1726" i="9"/>
  <c r="Q1742" i="9"/>
  <c r="Q1758" i="9"/>
  <c r="Q1774" i="9"/>
  <c r="Q1790" i="9"/>
  <c r="Q1806" i="9"/>
  <c r="Q1822" i="9"/>
  <c r="Q1838" i="9"/>
  <c r="Q1854" i="9"/>
  <c r="Q1870" i="9"/>
  <c r="Q1886" i="9"/>
  <c r="Q1902" i="9"/>
  <c r="Q1918" i="9"/>
  <c r="Q1934" i="9"/>
  <c r="Q1950" i="9"/>
  <c r="Q1966" i="9"/>
  <c r="Q1982" i="9"/>
  <c r="Q1998" i="9"/>
  <c r="Q2014" i="9"/>
  <c r="Q2030" i="9"/>
  <c r="Q2046" i="9"/>
  <c r="Q2062" i="9"/>
  <c r="Q2078" i="9"/>
  <c r="Q2094" i="9"/>
  <c r="Q2110" i="9"/>
  <c r="Q2126" i="9"/>
  <c r="Q2142" i="9"/>
  <c r="Q2158" i="9"/>
  <c r="Q2174" i="9"/>
  <c r="Q2190" i="9"/>
  <c r="Q2206" i="9"/>
  <c r="Q2222" i="9"/>
  <c r="Q2238" i="9"/>
  <c r="Q2254" i="9"/>
  <c r="Q2270" i="9"/>
  <c r="Q2286" i="9"/>
  <c r="Q2302" i="9"/>
  <c r="Q2318" i="9"/>
  <c r="Q2334" i="9"/>
  <c r="Q2350" i="9"/>
  <c r="Q2366" i="9"/>
  <c r="Q2382" i="9"/>
  <c r="Q2398" i="9"/>
  <c r="Q2414" i="9"/>
  <c r="Q2430" i="9"/>
  <c r="Q2446" i="9"/>
  <c r="Q2462" i="9"/>
  <c r="Q2478" i="9"/>
  <c r="Q2494" i="9"/>
  <c r="Q7" i="9"/>
  <c r="Q83" i="9"/>
  <c r="Q115" i="9"/>
  <c r="Q147" i="9"/>
  <c r="Q179" i="9"/>
  <c r="Q191" i="9"/>
  <c r="Q223" i="9"/>
  <c r="Q243" i="9"/>
  <c r="Q255" i="9"/>
  <c r="Q287" i="9"/>
  <c r="Q319" i="9"/>
  <c r="Q351" i="9"/>
  <c r="Q379" i="9"/>
  <c r="Q407" i="9"/>
  <c r="Q439" i="9"/>
  <c r="Q471" i="9"/>
  <c r="Q503" i="9"/>
  <c r="Q535" i="9"/>
  <c r="Q567" i="9"/>
  <c r="Q595" i="9"/>
  <c r="Q623" i="9"/>
  <c r="Q655" i="9"/>
  <c r="Q687" i="9"/>
  <c r="Q719" i="9"/>
  <c r="Q755" i="9"/>
  <c r="Q783" i="9"/>
  <c r="Q815" i="9"/>
  <c r="Q847" i="9"/>
  <c r="Q875" i="9"/>
  <c r="Q907" i="9"/>
  <c r="Q939" i="9"/>
  <c r="Q971" i="9"/>
  <c r="Q999" i="9"/>
  <c r="Q1031" i="9"/>
  <c r="Q1063" i="9"/>
  <c r="Q1095" i="9"/>
  <c r="Q1127" i="9"/>
  <c r="Q1159" i="9"/>
  <c r="Q1191" i="9"/>
  <c r="Q1223" i="9"/>
  <c r="Q1371" i="9"/>
  <c r="Q1403" i="9"/>
  <c r="Q1435" i="9"/>
  <c r="Q1467" i="9"/>
  <c r="Q1499" i="9"/>
  <c r="Q1531" i="9"/>
  <c r="Q1563" i="9"/>
  <c r="Q1595" i="9"/>
  <c r="Q1627" i="9"/>
  <c r="Q1659" i="9"/>
  <c r="Q1691" i="9"/>
  <c r="Q1891" i="9"/>
  <c r="Q1923" i="9"/>
  <c r="Q1955" i="9"/>
  <c r="Q1987" i="9"/>
  <c r="Q2019" i="9"/>
  <c r="Q2051" i="9"/>
  <c r="Q2083" i="9"/>
  <c r="Q2115" i="9"/>
  <c r="Q2147" i="9"/>
  <c r="Q2179" i="9"/>
  <c r="Q2215" i="9"/>
  <c r="Q2243" i="9"/>
  <c r="Q2275" i="9"/>
  <c r="Q2307" i="9"/>
  <c r="Q2339" i="9"/>
  <c r="Q2371" i="9"/>
  <c r="Q2403" i="9"/>
  <c r="Q2435" i="9"/>
  <c r="Q2467" i="9"/>
  <c r="Q2499" i="9"/>
  <c r="Q96" i="9"/>
  <c r="Q112" i="9"/>
  <c r="Q148" i="9"/>
  <c r="Q160" i="9"/>
  <c r="Q260" i="9"/>
  <c r="Q292" i="9"/>
  <c r="Q336" i="9"/>
  <c r="Q368" i="9"/>
  <c r="Q420" i="9"/>
  <c r="Q452" i="9"/>
  <c r="Q484" i="9"/>
  <c r="Q512" i="9"/>
  <c r="Q532" i="9"/>
  <c r="Q544" i="9"/>
  <c r="Q576" i="9"/>
  <c r="Q596" i="9"/>
  <c r="Q644" i="9"/>
  <c r="Q752" i="9"/>
  <c r="Q800" i="9"/>
  <c r="Q1012" i="9"/>
  <c r="Q1044" i="9"/>
  <c r="Q1060" i="9"/>
  <c r="Q1108" i="9"/>
  <c r="Q1168" i="9"/>
  <c r="Q12" i="9"/>
  <c r="Q432" i="9"/>
  <c r="Q812" i="9"/>
  <c r="Q844" i="9"/>
  <c r="Q876" i="9"/>
  <c r="Q892" i="9"/>
  <c r="Q992" i="9"/>
  <c r="Q1056" i="9"/>
  <c r="Q1088" i="9"/>
  <c r="Q1184" i="9"/>
  <c r="Q1200" i="9"/>
  <c r="Q1248" i="9"/>
  <c r="Q1344" i="9"/>
  <c r="Q1440" i="9"/>
  <c r="Q1456" i="9"/>
  <c r="Q1536" i="9"/>
  <c r="Q1568" i="9"/>
  <c r="Q1648" i="9"/>
  <c r="Q8" i="9"/>
  <c r="Q48" i="9"/>
  <c r="Q56" i="9"/>
  <c r="Q72" i="9"/>
  <c r="Q88" i="9"/>
  <c r="Q16" i="9"/>
  <c r="Q60" i="9"/>
  <c r="Q124" i="9"/>
  <c r="Q144" i="9"/>
  <c r="Q188" i="9"/>
  <c r="Q252" i="9"/>
  <c r="Q272" i="9"/>
  <c r="Q316" i="9"/>
  <c r="Q380" i="9"/>
  <c r="Q400" i="9"/>
  <c r="Q444" i="9"/>
  <c r="Q508" i="9"/>
  <c r="Q528" i="9"/>
  <c r="Q572" i="9"/>
  <c r="Q636" i="9"/>
  <c r="Q656" i="9"/>
  <c r="Q676" i="9"/>
  <c r="Q692" i="9"/>
  <c r="Q708" i="9"/>
  <c r="Q724" i="9"/>
  <c r="Q740" i="9"/>
  <c r="Q756" i="9"/>
  <c r="Q772" i="9"/>
  <c r="Q784" i="9"/>
  <c r="Q788" i="9"/>
  <c r="Q804" i="9"/>
  <c r="Q820" i="9"/>
  <c r="Q836" i="9"/>
  <c r="Q852" i="9"/>
  <c r="Q868" i="9"/>
  <c r="Q884" i="9"/>
  <c r="Q900" i="9"/>
  <c r="Q916" i="9"/>
  <c r="Q932" i="9"/>
  <c r="Q948" i="9"/>
  <c r="Q964" i="9"/>
  <c r="Q968" i="9"/>
  <c r="Q984" i="9"/>
  <c r="Q1000" i="9"/>
  <c r="Q1016" i="9"/>
  <c r="Q1032" i="9"/>
  <c r="Q1048" i="9"/>
  <c r="Q1064" i="9"/>
  <c r="Q1072" i="9"/>
  <c r="Q1080" i="9"/>
  <c r="Q1096" i="9"/>
  <c r="Q1112" i="9"/>
  <c r="Q1128" i="9"/>
  <c r="Q1144" i="9"/>
  <c r="Q1160" i="9"/>
  <c r="Q1176" i="9"/>
  <c r="Q1192" i="9"/>
  <c r="Q1208" i="9"/>
  <c r="Q1224" i="9"/>
  <c r="Q1240" i="9"/>
  <c r="Q1256" i="9"/>
  <c r="Q1272" i="9"/>
  <c r="Q1276" i="9"/>
  <c r="Q1288" i="9"/>
  <c r="Q1304" i="9"/>
  <c r="Q1320" i="9"/>
  <c r="Q1336" i="9"/>
  <c r="Q1340" i="9"/>
  <c r="Q1352" i="9"/>
  <c r="Q1368" i="9"/>
  <c r="Q1384" i="9"/>
  <c r="Q1400" i="9"/>
  <c r="Q1404" i="9"/>
  <c r="Q1416" i="9"/>
  <c r="Q1432" i="9"/>
  <c r="Q1448" i="9"/>
  <c r="Q1464" i="9"/>
  <c r="Q1468" i="9"/>
  <c r="Q1480" i="9"/>
  <c r="Q1496" i="9"/>
  <c r="Q1512" i="9"/>
  <c r="Q1528" i="9"/>
  <c r="Q1532" i="9"/>
  <c r="Q1544" i="9"/>
  <c r="Q1560" i="9"/>
  <c r="Q1576" i="9"/>
  <c r="Q1592" i="9"/>
  <c r="Q1596" i="9"/>
  <c r="Q1608" i="9"/>
  <c r="Q1624" i="9"/>
  <c r="Q1640" i="9"/>
  <c r="Q1656" i="9"/>
  <c r="Q1660" i="9"/>
  <c r="Q1672" i="9"/>
  <c r="Q1688" i="9"/>
  <c r="Q1704" i="9"/>
  <c r="Q1720" i="9"/>
  <c r="Q1724" i="9"/>
  <c r="Q1736" i="9"/>
  <c r="Q1752" i="9"/>
  <c r="Q1768" i="9"/>
  <c r="Q1784" i="9"/>
  <c r="Q1788" i="9"/>
  <c r="Q1800" i="9"/>
  <c r="Q1816" i="9"/>
  <c r="Q1832" i="9"/>
  <c r="Q1848" i="9"/>
  <c r="Q1852" i="9"/>
  <c r="Q1864" i="9"/>
  <c r="Q1880" i="9"/>
  <c r="Q1896" i="9"/>
  <c r="Q1912" i="9"/>
  <c r="Q1916" i="9"/>
  <c r="Q1928" i="9"/>
  <c r="Q1944" i="9"/>
  <c r="Q1960" i="9"/>
  <c r="Q1976" i="9"/>
  <c r="Q1980" i="9"/>
  <c r="Q1992" i="9"/>
  <c r="Q2008" i="9"/>
  <c r="Q2024" i="9"/>
  <c r="Q2040" i="9"/>
  <c r="Q2044" i="9"/>
  <c r="Q2056" i="9"/>
  <c r="Q2072" i="9"/>
  <c r="Q2088" i="9"/>
  <c r="Q2104" i="9"/>
  <c r="Q2108" i="9"/>
  <c r="Q2120" i="9"/>
  <c r="Q2136" i="9"/>
  <c r="Q2152" i="9"/>
  <c r="Q2168" i="9"/>
  <c r="Q2172" i="9"/>
  <c r="Q2184" i="9"/>
  <c r="Q2200" i="9"/>
  <c r="Q2216" i="9"/>
  <c r="Q2232" i="9"/>
  <c r="Q2236" i="9"/>
  <c r="Q2248" i="9"/>
  <c r="Q2264" i="9"/>
  <c r="Q2280" i="9"/>
  <c r="Q2296" i="9"/>
  <c r="Q2300" i="9"/>
  <c r="Q2312" i="9"/>
  <c r="Q2328" i="9"/>
  <c r="Q2344" i="9"/>
  <c r="Q2360" i="9"/>
  <c r="Q2364" i="9"/>
  <c r="Q2376" i="9"/>
  <c r="Q2392" i="9"/>
  <c r="Q2408" i="9"/>
  <c r="Q2424" i="9"/>
  <c r="Q2428" i="9"/>
  <c r="Q2440" i="9"/>
  <c r="Q2456" i="9"/>
  <c r="Q2472" i="9"/>
  <c r="Q2488" i="9"/>
  <c r="Q2492" i="9"/>
  <c r="Q17" i="9"/>
  <c r="Q29" i="9"/>
  <c r="Q33" i="9"/>
  <c r="Q45" i="9"/>
  <c r="Q49" i="9"/>
  <c r="Q61" i="9"/>
  <c r="Q65" i="9"/>
  <c r="Q77" i="9"/>
  <c r="Q81" i="9"/>
  <c r="Q93" i="9"/>
  <c r="Q97" i="9"/>
  <c r="Q109" i="9"/>
  <c r="Q113" i="9"/>
  <c r="Q125" i="9"/>
  <c r="Q129" i="9"/>
  <c r="Q141" i="9"/>
  <c r="Q145" i="9"/>
  <c r="Q157" i="9"/>
  <c r="Q161" i="9"/>
  <c r="Q173" i="9"/>
  <c r="Q177" i="9"/>
  <c r="Q189" i="9"/>
  <c r="Q193" i="9"/>
  <c r="Q205" i="9"/>
  <c r="Q209" i="9"/>
  <c r="Q221" i="9"/>
  <c r="Q225" i="9"/>
  <c r="Q237" i="9"/>
  <c r="Q241" i="9"/>
  <c r="Q253" i="9"/>
  <c r="Q257" i="9"/>
  <c r="Q269" i="9"/>
  <c r="Q273" i="9"/>
  <c r="Q285" i="9"/>
  <c r="Q289" i="9"/>
  <c r="Q301" i="9"/>
  <c r="Q305" i="9"/>
  <c r="Q317" i="9"/>
  <c r="Q321" i="9"/>
  <c r="Q333" i="9"/>
  <c r="Q337" i="9"/>
  <c r="Q349" i="9"/>
  <c r="Q353" i="9"/>
  <c r="Q365" i="9"/>
  <c r="Q369" i="9"/>
  <c r="Q381" i="9"/>
  <c r="Q385" i="9"/>
  <c r="Q397" i="9"/>
  <c r="Q401" i="9"/>
  <c r="Q413" i="9"/>
  <c r="Q417" i="9"/>
  <c r="Q429" i="9"/>
  <c r="Q433" i="9"/>
  <c r="Q445" i="9"/>
  <c r="Q449" i="9"/>
  <c r="Q461" i="9"/>
  <c r="Q465" i="9"/>
  <c r="Q477" i="9"/>
  <c r="Q481" i="9"/>
  <c r="Q493" i="9"/>
  <c r="Q497" i="9"/>
  <c r="Q509" i="9"/>
  <c r="Q513" i="9"/>
  <c r="Q525" i="9"/>
  <c r="Q529" i="9"/>
  <c r="Q541" i="9"/>
  <c r="Q545" i="9"/>
  <c r="Q557" i="9"/>
  <c r="Q561" i="9"/>
  <c r="Q573" i="9"/>
  <c r="Q577" i="9"/>
  <c r="Q589" i="9"/>
  <c r="Q593" i="9"/>
  <c r="Q605" i="9"/>
  <c r="Q609" i="9"/>
  <c r="Q621" i="9"/>
  <c r="Q625" i="9"/>
  <c r="Q637" i="9"/>
  <c r="Q641" i="9"/>
  <c r="Q653" i="9"/>
  <c r="Q657" i="9"/>
  <c r="Q669" i="9"/>
  <c r="Q673" i="9"/>
  <c r="Q685" i="9"/>
  <c r="Q689" i="9"/>
  <c r="Q701" i="9"/>
  <c r="Q705" i="9"/>
  <c r="Q717" i="9"/>
  <c r="Q721" i="9"/>
  <c r="Q733" i="9"/>
  <c r="Q737" i="9"/>
  <c r="Q749" i="9"/>
  <c r="Q753" i="9"/>
  <c r="Q765" i="9"/>
  <c r="Q769" i="9"/>
  <c r="Q781" i="9"/>
  <c r="Q785" i="9"/>
  <c r="Q797" i="9"/>
  <c r="Q801" i="9"/>
  <c r="Q813" i="9"/>
  <c r="Q817" i="9"/>
  <c r="Q829" i="9"/>
  <c r="Q833" i="9"/>
  <c r="Q845" i="9"/>
  <c r="Q849" i="9"/>
  <c r="Q861" i="9"/>
  <c r="Q865" i="9"/>
  <c r="Q877" i="9"/>
  <c r="Q881" i="9"/>
  <c r="Q893" i="9"/>
  <c r="Q897" i="9"/>
  <c r="Q909" i="9"/>
  <c r="Q913" i="9"/>
  <c r="Q925" i="9"/>
  <c r="Q929" i="9"/>
  <c r="Q941" i="9"/>
  <c r="Q945" i="9"/>
  <c r="Q957" i="9"/>
  <c r="Q961" i="9"/>
  <c r="Q973" i="9"/>
  <c r="Q977" i="9"/>
  <c r="Q989" i="9"/>
  <c r="Q993" i="9"/>
  <c r="Q1005" i="9"/>
  <c r="Q1009" i="9"/>
  <c r="Q1021" i="9"/>
  <c r="Q1025" i="9"/>
  <c r="Q1037" i="9"/>
  <c r="Q1041" i="9"/>
  <c r="Q1053" i="9"/>
  <c r="Q1057" i="9"/>
  <c r="Q1069" i="9"/>
  <c r="Q1073" i="9"/>
  <c r="Q1085" i="9"/>
  <c r="Q1089" i="9"/>
  <c r="Q1101" i="9"/>
  <c r="Q1105" i="9"/>
  <c r="Q1117" i="9"/>
  <c r="Q1121" i="9"/>
  <c r="Q1133" i="9"/>
  <c r="Q1137" i="9"/>
  <c r="Q1149" i="9"/>
  <c r="Q1153" i="9"/>
  <c r="Q1165" i="9"/>
  <c r="Q1169" i="9"/>
  <c r="Q1181" i="9"/>
  <c r="Q1185" i="9"/>
  <c r="Q1197" i="9"/>
  <c r="Q1201" i="9"/>
  <c r="Q1213" i="9"/>
  <c r="Q1217" i="9"/>
  <c r="Q1229" i="9"/>
  <c r="Q1233" i="9"/>
  <c r="Q1245" i="9"/>
  <c r="Q1249" i="9"/>
  <c r="Q1261" i="9"/>
  <c r="Q1265" i="9"/>
  <c r="Q1277" i="9"/>
  <c r="Q1281" i="9"/>
  <c r="Q1293" i="9"/>
  <c r="Q1297" i="9"/>
  <c r="Q1309" i="9"/>
  <c r="Q1313" i="9"/>
  <c r="Q1325" i="9"/>
  <c r="Q1329" i="9"/>
  <c r="Q1341" i="9"/>
  <c r="Q1345" i="9"/>
  <c r="Q1357" i="9"/>
  <c r="Q1361" i="9"/>
  <c r="Q1373" i="9"/>
  <c r="Q1377" i="9"/>
  <c r="Q1389" i="9"/>
  <c r="Q1393" i="9"/>
  <c r="Q1405" i="9"/>
  <c r="Q1409" i="9"/>
  <c r="Q1421" i="9"/>
  <c r="Q1425" i="9"/>
  <c r="Q1437" i="9"/>
  <c r="Q1441" i="9"/>
  <c r="Q1453" i="9"/>
  <c r="Q1457" i="9"/>
  <c r="Q1469" i="9"/>
  <c r="Q1473" i="9"/>
  <c r="Q1485" i="9"/>
  <c r="Q1489" i="9"/>
  <c r="Q1501" i="9"/>
  <c r="Q1505" i="9"/>
  <c r="Q1517" i="9"/>
  <c r="Q1521" i="9"/>
  <c r="Q1533" i="9"/>
  <c r="Q1537" i="9"/>
  <c r="Q1549" i="9"/>
  <c r="Q1553" i="9"/>
  <c r="Q1565" i="9"/>
  <c r="Q1569" i="9"/>
  <c r="Q1581" i="9"/>
  <c r="Q1585" i="9"/>
  <c r="Q1597" i="9"/>
  <c r="Q1601" i="9"/>
  <c r="Q1613" i="9"/>
  <c r="Q1617" i="9"/>
  <c r="Q1629" i="9"/>
  <c r="Q1633" i="9"/>
  <c r="Q1649" i="9"/>
  <c r="Q1665" i="9"/>
  <c r="Q1681" i="9"/>
  <c r="Q1697" i="9"/>
  <c r="Q1713" i="9"/>
  <c r="Q1729" i="9"/>
  <c r="Q1745" i="9"/>
  <c r="Q1761" i="9"/>
  <c r="Q1777" i="9"/>
  <c r="Q1793" i="9"/>
  <c r="Q1809" i="9"/>
  <c r="Q1825" i="9"/>
  <c r="Q1841" i="9"/>
  <c r="Q1857" i="9"/>
  <c r="Q1873" i="9"/>
  <c r="Q1889" i="9"/>
  <c r="Q1905" i="9"/>
  <c r="Q1921" i="9"/>
  <c r="Q1937" i="9"/>
  <c r="Q1953" i="9"/>
  <c r="Q1969" i="9"/>
  <c r="Q1985" i="9"/>
  <c r="Q2001" i="9"/>
  <c r="Q2017" i="9"/>
  <c r="Q2033" i="9"/>
  <c r="Q2049" i="9"/>
  <c r="Q2065" i="9"/>
  <c r="Q2081" i="9"/>
  <c r="Q2097" i="9"/>
  <c r="Q2113" i="9"/>
  <c r="Q2129" i="9"/>
  <c r="Q2145" i="9"/>
  <c r="Q2161" i="9"/>
  <c r="Q2177" i="9"/>
  <c r="Q2193" i="9"/>
  <c r="Q2209" i="9"/>
  <c r="Q2225" i="9"/>
  <c r="Q2241" i="9"/>
  <c r="Q2257" i="9"/>
  <c r="Q2273" i="9"/>
  <c r="Q2289" i="9"/>
  <c r="Q2305" i="9"/>
  <c r="Q2321" i="9"/>
  <c r="Q2337" i="9"/>
  <c r="Q2353" i="9"/>
  <c r="Q2369" i="9"/>
  <c r="Q2385" i="9"/>
  <c r="Q2401" i="9"/>
  <c r="Q2417" i="9"/>
  <c r="Q2433" i="9"/>
  <c r="Q2449" i="9"/>
  <c r="Q2465" i="9"/>
  <c r="Q2481" i="9"/>
  <c r="Q2497" i="9"/>
  <c r="Q95" i="9"/>
  <c r="Q127" i="9"/>
  <c r="Q159" i="9"/>
  <c r="Q211" i="9"/>
  <c r="Q275" i="9"/>
  <c r="Q315" i="9"/>
  <c r="Q347" i="9"/>
  <c r="Q383" i="9"/>
  <c r="Q419" i="9"/>
  <c r="Q451" i="9"/>
  <c r="Q483" i="9"/>
  <c r="Q515" i="9"/>
  <c r="Q547" i="9"/>
  <c r="Q583" i="9"/>
  <c r="Q619" i="9"/>
  <c r="Q651" i="9"/>
  <c r="Q683" i="9"/>
  <c r="Q715" i="9"/>
  <c r="Q743" i="9"/>
  <c r="Q775" i="9"/>
  <c r="Q811" i="9"/>
  <c r="Q843" i="9"/>
  <c r="Q879" i="9"/>
  <c r="Q911" i="9"/>
  <c r="Q943" i="9"/>
  <c r="Q975" i="9"/>
  <c r="Q1011" i="9"/>
  <c r="Q1043" i="9"/>
  <c r="Q1075" i="9"/>
  <c r="Q1107" i="9"/>
  <c r="Q1139" i="9"/>
  <c r="Q1171" i="9"/>
  <c r="Q1203" i="9"/>
  <c r="Q1235" i="9"/>
  <c r="Q1259" i="9"/>
  <c r="Q1291" i="9"/>
  <c r="Q1323" i="9"/>
  <c r="Q1355" i="9"/>
  <c r="Q1391" i="9"/>
  <c r="Q1423" i="9"/>
  <c r="Q1455" i="9"/>
  <c r="Q1487" i="9"/>
  <c r="Q1519" i="9"/>
  <c r="Q1551" i="9"/>
  <c r="Q1583" i="9"/>
  <c r="Q1615" i="9"/>
  <c r="Q1647" i="9"/>
  <c r="Q1679" i="9"/>
  <c r="Q1707" i="9"/>
  <c r="Q1739" i="9"/>
  <c r="Q1771" i="9"/>
  <c r="Q1803" i="9"/>
  <c r="Q1835" i="9"/>
  <c r="Q1867" i="9"/>
  <c r="Q1895" i="9"/>
  <c r="Q1927" i="9"/>
  <c r="Q1959" i="9"/>
  <c r="Q1991" i="9"/>
  <c r="Q2023" i="9"/>
  <c r="Q2055" i="9"/>
  <c r="Q2087" i="9"/>
  <c r="Q2119" i="9"/>
  <c r="Q2151" i="9"/>
  <c r="Q2183" i="9"/>
  <c r="Q2211" i="9"/>
  <c r="Q2247" i="9"/>
  <c r="Q2279" i="9"/>
  <c r="Q2311" i="9"/>
  <c r="Q2343" i="9"/>
  <c r="Q2375" i="9"/>
  <c r="Q2407" i="9"/>
  <c r="Q2439" i="9"/>
  <c r="Q2471" i="9"/>
  <c r="Q6" i="9"/>
  <c r="Q298" i="9"/>
  <c r="Q314" i="9"/>
  <c r="Q330" i="9"/>
  <c r="Q346" i="9"/>
  <c r="Q362" i="9"/>
  <c r="Q378" i="9"/>
  <c r="Q394" i="9"/>
  <c r="Q410" i="9"/>
  <c r="Q426" i="9"/>
  <c r="Q442" i="9"/>
  <c r="Q458" i="9"/>
  <c r="Q474" i="9"/>
  <c r="Q490" i="9"/>
  <c r="Q506" i="9"/>
  <c r="Q522" i="9"/>
  <c r="Q538" i="9"/>
  <c r="Q554" i="9"/>
  <c r="Q570" i="9"/>
  <c r="Q586" i="9"/>
  <c r="Q602" i="9"/>
  <c r="Q618" i="9"/>
  <c r="Q634" i="9"/>
  <c r="Q650" i="9"/>
  <c r="Q666" i="9"/>
  <c r="Q682" i="9"/>
  <c r="Q698" i="9"/>
  <c r="Q714" i="9"/>
  <c r="Q730" i="9"/>
  <c r="Q750" i="9"/>
  <c r="Q766" i="9"/>
  <c r="Q782" i="9"/>
  <c r="Q798" i="9"/>
  <c r="Q814" i="9"/>
  <c r="Q830" i="9"/>
  <c r="Q846" i="9"/>
  <c r="Q862" i="9"/>
  <c r="Q878" i="9"/>
  <c r="Q894" i="9"/>
  <c r="Q910" i="9"/>
  <c r="Q926" i="9"/>
  <c r="Q942" i="9"/>
  <c r="Q958" i="9"/>
  <c r="Q974" i="9"/>
  <c r="Q990" i="9"/>
  <c r="Q1006" i="9"/>
  <c r="Q1022" i="9"/>
  <c r="Q1038" i="9"/>
  <c r="Q1054" i="9"/>
  <c r="Q1070" i="9"/>
  <c r="Q1086" i="9"/>
  <c r="Q1102" i="9"/>
  <c r="Q1118" i="9"/>
  <c r="Q1134" i="9"/>
  <c r="Q1150" i="9"/>
  <c r="Q1166" i="9"/>
  <c r="Q1182" i="9"/>
  <c r="Q1198" i="9"/>
  <c r="Q1214" i="9"/>
  <c r="Q1230" i="9"/>
  <c r="Q1242" i="9"/>
  <c r="Q1258" i="9"/>
  <c r="Q1274" i="9"/>
  <c r="Q1290" i="9"/>
  <c r="Q1306" i="9"/>
  <c r="Q1322" i="9"/>
  <c r="Q1338" i="9"/>
  <c r="Q1354" i="9"/>
  <c r="Q1370" i="9"/>
  <c r="Q1386" i="9"/>
  <c r="Q1402" i="9"/>
  <c r="Q1418" i="9"/>
  <c r="Q1434" i="9"/>
  <c r="Q1450" i="9"/>
  <c r="Q1466" i="9"/>
  <c r="Q1482" i="9"/>
  <c r="Q1498" i="9"/>
  <c r="Q1514" i="9"/>
  <c r="Q1530" i="9"/>
  <c r="Q1546" i="9"/>
  <c r="Q1562" i="9"/>
  <c r="Q1578" i="9"/>
  <c r="Q1594" i="9"/>
  <c r="Q1610" i="9"/>
  <c r="Q1626" i="9"/>
  <c r="Q1642" i="9"/>
  <c r="Q1658" i="9"/>
  <c r="Q1674" i="9"/>
  <c r="Q1690" i="9"/>
  <c r="Q1706" i="9"/>
  <c r="Q1722" i="9"/>
  <c r="Q1738" i="9"/>
  <c r="Q1754" i="9"/>
  <c r="Q1770" i="9"/>
  <c r="Q1786" i="9"/>
  <c r="Q1802" i="9"/>
  <c r="Q1818" i="9"/>
  <c r="Q1834" i="9"/>
  <c r="Q1850" i="9"/>
  <c r="Q1866" i="9"/>
  <c r="Q1882" i="9"/>
  <c r="Q1898" i="9"/>
  <c r="Q1914" i="9"/>
  <c r="Q1930" i="9"/>
  <c r="Q1946" i="9"/>
  <c r="Q1962" i="9"/>
  <c r="Q1978" i="9"/>
  <c r="Q1994" i="9"/>
  <c r="Q2010" i="9"/>
  <c r="Q2026" i="9"/>
  <c r="Q2042" i="9"/>
  <c r="Q2058" i="9"/>
  <c r="Q2074" i="9"/>
  <c r="Q2090" i="9"/>
  <c r="Q2106" i="9"/>
  <c r="Q2122" i="9"/>
  <c r="Q2138" i="9"/>
  <c r="Q2154" i="9"/>
  <c r="Q2170" i="9"/>
  <c r="Q2186" i="9"/>
  <c r="Q2202" i="9"/>
  <c r="Q2218" i="9"/>
  <c r="Q2234" i="9"/>
  <c r="Q2250" i="9"/>
  <c r="Q2266" i="9"/>
  <c r="Q2282" i="9"/>
  <c r="Q2298" i="9"/>
  <c r="Q2314" i="9"/>
  <c r="Q2330" i="9"/>
  <c r="Q2346" i="9"/>
  <c r="Q2362" i="9"/>
  <c r="Q2378" i="9"/>
  <c r="Q2394" i="9"/>
  <c r="Q2410" i="9"/>
  <c r="Q2426" i="9"/>
  <c r="Q2442" i="9"/>
  <c r="Q2458" i="9"/>
  <c r="Q2474" i="9"/>
  <c r="Q2490" i="9"/>
  <c r="Q47" i="9"/>
  <c r="Q107" i="9"/>
  <c r="Q139" i="9"/>
  <c r="Q171" i="9"/>
  <c r="Q215" i="9"/>
  <c r="Q235" i="9"/>
  <c r="Q279" i="9"/>
  <c r="Q311" i="9"/>
  <c r="Q343" i="9"/>
  <c r="Q371" i="9"/>
  <c r="Q399" i="9"/>
  <c r="Q431" i="9"/>
  <c r="Q463" i="9"/>
  <c r="Q495" i="9"/>
  <c r="Q527" i="9"/>
  <c r="Q559" i="9"/>
  <c r="Q587" i="9"/>
  <c r="Q615" i="9"/>
  <c r="Q647" i="9"/>
  <c r="Q679" i="9"/>
  <c r="Q711" i="9"/>
  <c r="Q747" i="9"/>
  <c r="Q779" i="9"/>
  <c r="Q807" i="9"/>
  <c r="Q839" i="9"/>
  <c r="Q867" i="9"/>
  <c r="Q899" i="9"/>
  <c r="Q931" i="9"/>
  <c r="Q963" i="9"/>
  <c r="Q991" i="9"/>
  <c r="Q1023" i="9"/>
  <c r="Q1055" i="9"/>
  <c r="Q1087" i="9"/>
  <c r="Q1119" i="9"/>
  <c r="Q1151" i="9"/>
  <c r="Q1183" i="9"/>
  <c r="Q1215" i="9"/>
  <c r="Q1239" i="9"/>
  <c r="Q1247" i="9"/>
  <c r="Q1271" i="9"/>
  <c r="Q1279" i="9"/>
  <c r="Q1303" i="9"/>
  <c r="Q1311" i="9"/>
  <c r="Q1335" i="9"/>
  <c r="Q1343" i="9"/>
  <c r="Q1367" i="9"/>
  <c r="Q1395" i="9"/>
  <c r="Q1427" i="9"/>
  <c r="Q1459" i="9"/>
  <c r="Q1491" i="9"/>
  <c r="Q1523" i="9"/>
  <c r="Q1555" i="9"/>
  <c r="Q1587" i="9"/>
  <c r="Q1619" i="9"/>
  <c r="Q1651" i="9"/>
  <c r="Q1683" i="9"/>
  <c r="Q1719" i="9"/>
  <c r="Q1727" i="9"/>
  <c r="Q1751" i="9"/>
  <c r="Q1759" i="9"/>
  <c r="Q1783" i="9"/>
  <c r="Q1791" i="9"/>
  <c r="Q1815" i="9"/>
  <c r="Q1823" i="9"/>
  <c r="Q1847" i="9"/>
  <c r="Q1855" i="9"/>
  <c r="Q1883" i="9"/>
  <c r="Q1915" i="9"/>
  <c r="Q1947" i="9"/>
  <c r="Q1979" i="9"/>
  <c r="Q2011" i="9"/>
  <c r="Q2043" i="9"/>
  <c r="Q2075" i="9"/>
  <c r="Q2107" i="9"/>
  <c r="Q2139" i="9"/>
  <c r="Q2171" i="9"/>
  <c r="Q2235" i="9"/>
  <c r="Q2267" i="9"/>
  <c r="Q2299" i="9"/>
  <c r="Q2331" i="9"/>
  <c r="Q2363" i="9"/>
  <c r="Q2395" i="9"/>
  <c r="Q2427" i="9"/>
  <c r="Q2459" i="9"/>
  <c r="Q2491" i="9"/>
  <c r="Q32" i="9"/>
  <c r="Q68" i="9"/>
  <c r="Q80" i="9"/>
  <c r="Q116" i="9"/>
  <c r="Q132" i="9"/>
  <c r="Q212" i="9"/>
  <c r="Q228" i="9"/>
  <c r="Q244" i="9"/>
  <c r="Q276" i="9"/>
  <c r="Q320" i="9"/>
  <c r="Q340" i="9"/>
  <c r="Q372" i="9"/>
  <c r="Q404" i="9"/>
  <c r="Q448" i="9"/>
  <c r="Q468" i="9"/>
  <c r="Q580" i="9"/>
  <c r="Q592" i="9"/>
  <c r="Q612" i="9"/>
  <c r="Q624" i="9"/>
  <c r="Q640" i="9"/>
  <c r="Q660" i="9"/>
  <c r="Q672" i="9"/>
  <c r="Q704" i="9"/>
  <c r="Q736" i="9"/>
  <c r="Q864" i="9"/>
  <c r="Q928" i="9"/>
  <c r="Q996" i="9"/>
  <c r="Q1040" i="9"/>
  <c r="Q1140" i="9"/>
  <c r="Q1156" i="9"/>
  <c r="Q1188" i="9"/>
  <c r="Q1204" i="9"/>
  <c r="Q1220" i="9"/>
  <c r="Q1232" i="9"/>
  <c r="Q1236" i="9"/>
  <c r="Q1252" i="9"/>
  <c r="Q1264" i="9"/>
  <c r="Q1268" i="9"/>
  <c r="Q1284" i="9"/>
  <c r="Q1296" i="9"/>
  <c r="Q1300" i="9"/>
  <c r="Q1316" i="9"/>
  <c r="Q1332" i="9"/>
  <c r="Q1348" i="9"/>
  <c r="Q1360" i="9"/>
  <c r="Q1364" i="9"/>
  <c r="Q1380" i="9"/>
  <c r="Q1392" i="9"/>
  <c r="Q1396" i="9"/>
  <c r="Q1412" i="9"/>
  <c r="Q1424" i="9"/>
  <c r="Q1428" i="9"/>
  <c r="Q1444" i="9"/>
  <c r="Q1460" i="9"/>
  <c r="Q1476" i="9"/>
  <c r="Q1488" i="9"/>
  <c r="Q1492" i="9"/>
  <c r="Q1508" i="9"/>
  <c r="Q1520" i="9"/>
  <c r="Q1524" i="9"/>
  <c r="Q1540" i="9"/>
  <c r="Q1552" i="9"/>
  <c r="Q1556" i="9"/>
  <c r="Q1572" i="9"/>
  <c r="Q1588" i="9"/>
  <c r="Q1604" i="9"/>
  <c r="Q1616" i="9"/>
  <c r="Q1620" i="9"/>
  <c r="Q1636" i="9"/>
  <c r="Q1652" i="9"/>
  <c r="Q1668" i="9"/>
  <c r="Q1684" i="9"/>
  <c r="Q1700" i="9"/>
  <c r="Q1716" i="9"/>
  <c r="Q1732" i="9"/>
  <c r="Q1748" i="9"/>
  <c r="Q1764" i="9"/>
  <c r="Q1780" i="9"/>
  <c r="Q1796" i="9"/>
  <c r="Q1812" i="9"/>
  <c r="Q1828" i="9"/>
  <c r="Q1844" i="9"/>
  <c r="Q1860" i="9"/>
  <c r="Q1876" i="9"/>
  <c r="Q1892" i="9"/>
  <c r="Q1908" i="9"/>
  <c r="Q1924" i="9"/>
  <c r="Q1940" i="9"/>
  <c r="Q1956" i="9"/>
  <c r="Q1972" i="9"/>
  <c r="Q1988" i="9"/>
  <c r="Q2004" i="9"/>
  <c r="Q2020" i="9"/>
  <c r="Q2036" i="9"/>
  <c r="Q2052" i="9"/>
  <c r="Q2068" i="9"/>
  <c r="Q2084" i="9"/>
  <c r="Q2100" i="9"/>
  <c r="Q2116" i="9"/>
  <c r="Q2132" i="9"/>
  <c r="Q2148" i="9"/>
  <c r="Q2164" i="9"/>
  <c r="Q2180" i="9"/>
  <c r="Q2196" i="9"/>
  <c r="Q2212" i="9"/>
  <c r="Q2228" i="9"/>
  <c r="Q2244" i="9"/>
  <c r="Q2260" i="9"/>
  <c r="Q2276" i="9"/>
  <c r="Q2292" i="9"/>
  <c r="Q2308" i="9"/>
  <c r="Q2324" i="9"/>
  <c r="Q2340" i="9"/>
  <c r="Q2356" i="9"/>
  <c r="Q2372" i="9"/>
  <c r="Q2388" i="9"/>
  <c r="Q2404" i="9"/>
  <c r="Q2420" i="9"/>
  <c r="Q2436" i="9"/>
  <c r="Q2452" i="9"/>
  <c r="Q2468" i="9"/>
  <c r="Q2484" i="9"/>
  <c r="Q2500" i="9"/>
  <c r="Q15" i="9"/>
  <c r="Q9" i="9"/>
  <c r="Q1645" i="9"/>
  <c r="Q1661" i="9"/>
  <c r="Q1677" i="9"/>
  <c r="Q1693" i="9"/>
  <c r="Q1709" i="9"/>
  <c r="Q1725" i="9"/>
  <c r="Q1741" i="9"/>
  <c r="Q1757" i="9"/>
  <c r="Q1773" i="9"/>
  <c r="Q1789" i="9"/>
  <c r="Q1805" i="9"/>
  <c r="Q1821" i="9"/>
  <c r="Q1837" i="9"/>
  <c r="Q1853" i="9"/>
  <c r="Q1869" i="9"/>
  <c r="Q1885" i="9"/>
  <c r="Q1901" i="9"/>
  <c r="Q1917" i="9"/>
  <c r="Q1933" i="9"/>
  <c r="Q1949" i="9"/>
  <c r="Q1965" i="9"/>
  <c r="Q1981" i="9"/>
  <c r="Q1997" i="9"/>
  <c r="Q2013" i="9"/>
  <c r="Q2029" i="9"/>
  <c r="Q2045" i="9"/>
  <c r="Q2061" i="9"/>
  <c r="Q2077" i="9"/>
  <c r="Q2093" i="9"/>
  <c r="Q2109" i="9"/>
  <c r="Q2125" i="9"/>
  <c r="Q2141" i="9"/>
  <c r="Q2157" i="9"/>
  <c r="Q2173" i="9"/>
  <c r="Q2189" i="9"/>
  <c r="Q2205" i="9"/>
  <c r="Q2221" i="9"/>
  <c r="Q2237" i="9"/>
  <c r="Q2253" i="9"/>
  <c r="Q2269" i="9"/>
  <c r="Q2285" i="9"/>
  <c r="Q2301" i="9"/>
  <c r="Q2317" i="9"/>
  <c r="Q2333" i="9"/>
  <c r="Q2349" i="9"/>
  <c r="Q2365" i="9"/>
  <c r="Q2381" i="9"/>
  <c r="Q2397" i="9"/>
  <c r="Q2413" i="9"/>
  <c r="Q2429" i="9"/>
  <c r="Q2445" i="9"/>
  <c r="Q2461" i="9"/>
  <c r="Q2477" i="9"/>
  <c r="Q2493" i="9"/>
  <c r="Q31" i="9"/>
  <c r="Q63" i="9"/>
  <c r="Q87" i="9"/>
  <c r="Q119" i="9"/>
  <c r="Q151" i="9"/>
  <c r="Q183" i="9"/>
  <c r="Q203" i="9"/>
  <c r="Q247" i="9"/>
  <c r="Q267" i="9"/>
  <c r="Q307" i="9"/>
  <c r="Q339" i="9"/>
  <c r="Q375" i="9"/>
  <c r="Q411" i="9"/>
  <c r="Q443" i="9"/>
  <c r="Q475" i="9"/>
  <c r="Q507" i="9"/>
  <c r="Q539" i="9"/>
  <c r="Q571" i="9"/>
  <c r="Q611" i="9"/>
  <c r="Q643" i="9"/>
  <c r="Q675" i="9"/>
  <c r="Q707" i="9"/>
  <c r="Q739" i="9"/>
  <c r="Q767" i="9"/>
  <c r="Q803" i="9"/>
  <c r="Q835" i="9"/>
  <c r="Q871" i="9"/>
  <c r="Q903" i="9"/>
  <c r="Q935" i="9"/>
  <c r="Q967" i="9"/>
  <c r="Q1003" i="9"/>
  <c r="Q1035" i="9"/>
  <c r="Q1067" i="9"/>
  <c r="Q1099" i="9"/>
  <c r="Q1131" i="9"/>
  <c r="Q1163" i="9"/>
  <c r="Q1195" i="9"/>
  <c r="Q1227" i="9"/>
  <c r="Q1251" i="9"/>
  <c r="Q1283" i="9"/>
  <c r="Q1315" i="9"/>
  <c r="Q1347" i="9"/>
  <c r="Q1383" i="9"/>
  <c r="Q1415" i="9"/>
  <c r="Q1447" i="9"/>
  <c r="Q1479" i="9"/>
  <c r="Q1511" i="9"/>
  <c r="Q1543" i="9"/>
  <c r="Q1575" i="9"/>
  <c r="Q1607" i="9"/>
  <c r="Q1639" i="9"/>
  <c r="Q1671" i="9"/>
  <c r="Q1699" i="9"/>
  <c r="Q1731" i="9"/>
  <c r="Q1763" i="9"/>
  <c r="Q1795" i="9"/>
  <c r="Q1827" i="9"/>
  <c r="Q1859" i="9"/>
  <c r="Q2203" i="9"/>
  <c r="Q14" i="9"/>
  <c r="Q18" i="9"/>
  <c r="Q22" i="9"/>
  <c r="Q34" i="9"/>
  <c r="Q38" i="9"/>
  <c r="Q50" i="9"/>
  <c r="Q54" i="9"/>
  <c r="Q66" i="9"/>
  <c r="Q70" i="9"/>
  <c r="Q82" i="9"/>
  <c r="Q86" i="9"/>
  <c r="Q98" i="9"/>
  <c r="Q102" i="9"/>
  <c r="Q114" i="9"/>
  <c r="Q118" i="9"/>
  <c r="Q130" i="9"/>
  <c r="Q134" i="9"/>
  <c r="Q146" i="9"/>
  <c r="Q150" i="9"/>
  <c r="Q162" i="9"/>
  <c r="Q166" i="9"/>
  <c r="Q178" i="9"/>
  <c r="Q182" i="9"/>
  <c r="Q194" i="9"/>
  <c r="Q198" i="9"/>
  <c r="Q210" i="9"/>
  <c r="Q214" i="9"/>
  <c r="Q226" i="9"/>
  <c r="Q230" i="9"/>
  <c r="Q242" i="9"/>
  <c r="Q246" i="9"/>
  <c r="Q258" i="9"/>
  <c r="Q262" i="9"/>
  <c r="Q274" i="9"/>
  <c r="Q278" i="9"/>
  <c r="Q294" i="9"/>
  <c r="Q310" i="9"/>
  <c r="Q326" i="9"/>
  <c r="Q342" i="9"/>
  <c r="Q358" i="9"/>
  <c r="Q374" i="9"/>
  <c r="Q390" i="9"/>
  <c r="Q406" i="9"/>
  <c r="Q422" i="9"/>
  <c r="Q438" i="9"/>
  <c r="Q454" i="9"/>
  <c r="Q470" i="9"/>
  <c r="Q486" i="9"/>
  <c r="Q502" i="9"/>
  <c r="Q518" i="9"/>
  <c r="Q534" i="9"/>
  <c r="Q550" i="9"/>
  <c r="Q566" i="9"/>
  <c r="Q582" i="9"/>
  <c r="Q598" i="9"/>
  <c r="Q614" i="9"/>
  <c r="Q630" i="9"/>
  <c r="Q646" i="9"/>
  <c r="Q662" i="9"/>
  <c r="Q678" i="9"/>
  <c r="Q694" i="9"/>
  <c r="Q710" i="9"/>
  <c r="Q726" i="9"/>
  <c r="Q746" i="9"/>
  <c r="Q762" i="9"/>
  <c r="Q778" i="9"/>
  <c r="Q794" i="9"/>
  <c r="Q810" i="9"/>
  <c r="Q826" i="9"/>
  <c r="Q842" i="9"/>
  <c r="Q858" i="9"/>
  <c r="Q874" i="9"/>
  <c r="Q890" i="9"/>
  <c r="Q906" i="9"/>
  <c r="Q922" i="9"/>
  <c r="Q938" i="9"/>
  <c r="Q954" i="9"/>
  <c r="Q970" i="9"/>
  <c r="Q986" i="9"/>
  <c r="Q1002" i="9"/>
  <c r="Q1018" i="9"/>
  <c r="Q1034" i="9"/>
  <c r="Q1050" i="9"/>
  <c r="Q1066" i="9"/>
  <c r="Q1082" i="9"/>
  <c r="Q1098" i="9"/>
  <c r="Q1114" i="9"/>
  <c r="Q1130" i="9"/>
  <c r="Q1146" i="9"/>
  <c r="Q1162" i="9"/>
  <c r="Q1178" i="9"/>
  <c r="Q1194" i="9"/>
  <c r="Q1210" i="9"/>
  <c r="Q1226" i="9"/>
  <c r="Q1254" i="9"/>
  <c r="Q1270" i="9"/>
  <c r="Q1286" i="9"/>
  <c r="Q1302" i="9"/>
  <c r="Q1318" i="9"/>
  <c r="Q1334" i="9"/>
  <c r="Q1350" i="9"/>
  <c r="Q1366" i="9"/>
  <c r="Q1382" i="9"/>
  <c r="Q1398" i="9"/>
  <c r="Q1414" i="9"/>
  <c r="Q1430" i="9"/>
  <c r="Q1446" i="9"/>
  <c r="Q1462" i="9"/>
  <c r="Q1478" i="9"/>
  <c r="Q1494" i="9"/>
  <c r="Q1510" i="9"/>
  <c r="Q1526" i="9"/>
  <c r="Q1542" i="9"/>
  <c r="Q1558" i="9"/>
  <c r="Q1574" i="9"/>
  <c r="Q1590" i="9"/>
  <c r="Q1606" i="9"/>
  <c r="Q1622" i="9"/>
  <c r="Q1638" i="9"/>
  <c r="Q1654" i="9"/>
  <c r="Q1670" i="9"/>
  <c r="Q1686" i="9"/>
  <c r="Q1702" i="9"/>
  <c r="Q1718" i="9"/>
  <c r="Q1734" i="9"/>
  <c r="Q1750" i="9"/>
  <c r="Q1766" i="9"/>
  <c r="Q1782" i="9"/>
  <c r="Q1798" i="9"/>
  <c r="Q1814" i="9"/>
  <c r="Q1830" i="9"/>
  <c r="Q1846" i="9"/>
  <c r="Q1862" i="9"/>
  <c r="Q1878" i="9"/>
  <c r="Q1894" i="9"/>
  <c r="Q1910" i="9"/>
  <c r="Q1926" i="9"/>
  <c r="Q1942" i="9"/>
  <c r="Q1958" i="9"/>
  <c r="Q1974" i="9"/>
  <c r="Q1990" i="9"/>
  <c r="Q2006" i="9"/>
  <c r="Q2022" i="9"/>
  <c r="Q2038" i="9"/>
  <c r="Q2054" i="9"/>
  <c r="Q2070" i="9"/>
  <c r="Q2086" i="9"/>
  <c r="Q2102" i="9"/>
  <c r="Q2118" i="9"/>
  <c r="Q2134" i="9"/>
  <c r="Q2150" i="9"/>
  <c r="Q2166" i="9"/>
  <c r="Q2182" i="9"/>
  <c r="Q2198" i="9"/>
  <c r="Q2214" i="9"/>
  <c r="Q2230" i="9"/>
  <c r="Q2246" i="9"/>
  <c r="Q2262" i="9"/>
  <c r="Q2278" i="9"/>
  <c r="Q2294" i="9"/>
  <c r="Q2310" i="9"/>
  <c r="Q2326" i="9"/>
  <c r="Q2342" i="9"/>
  <c r="Q2358" i="9"/>
  <c r="Q2374" i="9"/>
  <c r="Q2390" i="9"/>
  <c r="Q2406" i="9"/>
  <c r="Q2422" i="9"/>
  <c r="Q2438" i="9"/>
  <c r="Q2454" i="9"/>
  <c r="Q2470" i="9"/>
  <c r="Q2486" i="9"/>
  <c r="Q2502" i="9"/>
  <c r="Q27" i="9"/>
  <c r="Q39" i="9"/>
  <c r="Q59" i="9"/>
  <c r="Q71" i="9"/>
  <c r="Q99" i="9"/>
  <c r="Q131" i="9"/>
  <c r="Q163" i="9"/>
  <c r="Q207" i="9"/>
  <c r="Q271" i="9"/>
  <c r="Q303" i="9"/>
  <c r="Q335" i="9"/>
  <c r="Q363" i="9"/>
  <c r="Q395" i="9"/>
  <c r="Q423" i="9"/>
  <c r="Q455" i="9"/>
  <c r="Q487" i="9"/>
  <c r="Q519" i="9"/>
  <c r="Q551" i="9"/>
  <c r="Q579" i="9"/>
  <c r="Q607" i="9"/>
  <c r="Q639" i="9"/>
  <c r="Q671" i="9"/>
  <c r="Q703" i="9"/>
  <c r="Q735" i="9"/>
  <c r="Q771" i="9"/>
  <c r="Q799" i="9"/>
  <c r="Q831" i="9"/>
  <c r="Q859" i="9"/>
  <c r="Q891" i="9"/>
  <c r="Q923" i="9"/>
  <c r="Q955" i="9"/>
  <c r="Q987" i="9"/>
  <c r="Q1015" i="9"/>
  <c r="Q1047" i="9"/>
  <c r="Q1079" i="9"/>
  <c r="Q1111" i="9"/>
  <c r="Q1143" i="9"/>
  <c r="Q1175" i="9"/>
  <c r="Q1207" i="9"/>
  <c r="Q1263" i="9"/>
  <c r="Q1295" i="9"/>
  <c r="Q1327" i="9"/>
  <c r="Q1359" i="9"/>
  <c r="Q1387" i="9"/>
  <c r="Q1419" i="9"/>
  <c r="Q1451" i="9"/>
  <c r="Q1483" i="9"/>
  <c r="Q1515" i="9"/>
  <c r="Q1547" i="9"/>
  <c r="Q1579" i="9"/>
  <c r="Q1611" i="9"/>
  <c r="Q1643" i="9"/>
  <c r="Q1675" i="9"/>
  <c r="Q1711" i="9"/>
  <c r="Q1743" i="9"/>
  <c r="Q1775" i="9"/>
  <c r="Q1807" i="9"/>
  <c r="Q1839" i="9"/>
  <c r="Q1875" i="9"/>
  <c r="Q1907" i="9"/>
  <c r="Q1939" i="9"/>
  <c r="Q1971" i="9"/>
  <c r="Q2003" i="9"/>
  <c r="Q2035" i="9"/>
  <c r="Q2067" i="9"/>
  <c r="Q2099" i="9"/>
  <c r="Q2131" i="9"/>
  <c r="Q2163" i="9"/>
  <c r="Q2195" i="9"/>
  <c r="Q2207" i="9"/>
  <c r="Q2227" i="9"/>
  <c r="Q2259" i="9"/>
  <c r="Q2291" i="9"/>
  <c r="Q2323" i="9"/>
  <c r="Q2355" i="9"/>
  <c r="Q2387" i="9"/>
  <c r="Q2419" i="9"/>
  <c r="Q2451" i="9"/>
  <c r="Q2483" i="9"/>
  <c r="D10" i="8" l="1"/>
  <c r="X2491" i="9"/>
  <c r="AB2491" i="9" s="1"/>
  <c r="X2459" i="9"/>
  <c r="AB2459" i="9" s="1"/>
  <c r="X2363" i="9"/>
  <c r="AB2363" i="9" s="1"/>
  <c r="X2331" i="9"/>
  <c r="AB2331" i="9" s="1"/>
  <c r="X2235" i="9"/>
  <c r="AB2235" i="9" s="1"/>
  <c r="X1807" i="9"/>
  <c r="AB1807" i="9" s="1"/>
  <c r="X1683" i="9"/>
  <c r="AB1683" i="9" s="1"/>
  <c r="X1555" i="9"/>
  <c r="AB1555" i="9" s="1"/>
  <c r="X1427" i="9"/>
  <c r="AB1427" i="9" s="1"/>
  <c r="X1295" i="9"/>
  <c r="AB1295" i="9" s="1"/>
  <c r="X1159" i="9"/>
  <c r="AB1159" i="9" s="1"/>
  <c r="X1031" i="9"/>
  <c r="AB1031" i="9" s="1"/>
  <c r="X931" i="9"/>
  <c r="AB931" i="9" s="1"/>
  <c r="X815" i="9"/>
  <c r="X687" i="9"/>
  <c r="AB687" i="9" s="1"/>
  <c r="X527" i="9"/>
  <c r="AB527" i="9" s="1"/>
  <c r="X399" i="9"/>
  <c r="AB399" i="9" s="1"/>
  <c r="X279" i="9"/>
  <c r="AB279" i="9" s="1"/>
  <c r="X99" i="9"/>
  <c r="AB99" i="9" s="1"/>
  <c r="X2502" i="9"/>
  <c r="AB2502" i="9" s="1"/>
  <c r="X2438" i="9"/>
  <c r="AB2438" i="9" s="1"/>
  <c r="X2374" i="9"/>
  <c r="AB2374" i="9" s="1"/>
  <c r="X2310" i="9"/>
  <c r="AB2310" i="9" s="1"/>
  <c r="X2246" i="9"/>
  <c r="X2182" i="9"/>
  <c r="AB2182" i="9" s="1"/>
  <c r="X2118" i="9"/>
  <c r="AB2118" i="9" s="1"/>
  <c r="X2054" i="9"/>
  <c r="AB2054" i="9" s="1"/>
  <c r="X1990" i="9"/>
  <c r="AB1990" i="9" s="1"/>
  <c r="X1926" i="9"/>
  <c r="AB1926" i="9" s="1"/>
  <c r="X1862" i="9"/>
  <c r="AB1862" i="9" s="1"/>
  <c r="X1798" i="9"/>
  <c r="AB1798" i="9" s="1"/>
  <c r="X1734" i="9"/>
  <c r="AB1734" i="9" s="1"/>
  <c r="X1670" i="9"/>
  <c r="AB1670" i="9" s="1"/>
  <c r="X1606" i="9"/>
  <c r="AB1606" i="9" s="1"/>
  <c r="X1542" i="9"/>
  <c r="AB1542" i="9" s="1"/>
  <c r="X1478" i="9"/>
  <c r="AB1478" i="9" s="1"/>
  <c r="X1414" i="9"/>
  <c r="AB1414" i="9" s="1"/>
  <c r="X1350" i="9"/>
  <c r="AB1350" i="9" s="1"/>
  <c r="X1286" i="9"/>
  <c r="AB1286" i="9" s="1"/>
  <c r="X1214" i="9"/>
  <c r="AB1214" i="9" s="1"/>
  <c r="X1150" i="9"/>
  <c r="AB1150" i="9" s="1"/>
  <c r="X1086" i="9"/>
  <c r="AB1086" i="9" s="1"/>
  <c r="X1022" i="9"/>
  <c r="AB1022" i="9" s="1"/>
  <c r="X958" i="9"/>
  <c r="AB958" i="9" s="1"/>
  <c r="X894" i="9"/>
  <c r="AB894" i="9" s="1"/>
  <c r="X830" i="9"/>
  <c r="AB830" i="9" s="1"/>
  <c r="X766" i="9"/>
  <c r="AB766" i="9" s="1"/>
  <c r="X702" i="9"/>
  <c r="AB702" i="9" s="1"/>
  <c r="X650" i="9"/>
  <c r="AB650" i="9" s="1"/>
  <c r="X586" i="9"/>
  <c r="AB586" i="9" s="1"/>
  <c r="X522" i="9"/>
  <c r="AB522" i="9" s="1"/>
  <c r="X458" i="9"/>
  <c r="AB458" i="9" s="1"/>
  <c r="X394" i="9"/>
  <c r="AB394" i="9" s="1"/>
  <c r="X330" i="9"/>
  <c r="AB330" i="9" s="1"/>
  <c r="X258" i="9"/>
  <c r="AB258" i="9" s="1"/>
  <c r="X194" i="9"/>
  <c r="AB194" i="9" s="1"/>
  <c r="X130" i="9"/>
  <c r="AB130" i="9" s="1"/>
  <c r="X66" i="9"/>
  <c r="AB66" i="9" s="1"/>
  <c r="X14" i="9"/>
  <c r="AB14" i="9" s="1"/>
  <c r="X1771" i="9"/>
  <c r="AB1771" i="9" s="1"/>
  <c r="X1695" i="9"/>
  <c r="AB1695" i="9" s="1"/>
  <c r="X1631" i="9"/>
  <c r="AB1631" i="9" s="1"/>
  <c r="X1567" i="9"/>
  <c r="AB1567" i="9" s="1"/>
  <c r="X1503" i="9"/>
  <c r="AB1503" i="9" s="1"/>
  <c r="X1415" i="9"/>
  <c r="AB1415" i="9" s="1"/>
  <c r="X1323" i="9"/>
  <c r="AB1323" i="9" s="1"/>
  <c r="X1195" i="9"/>
  <c r="AB1195" i="9" s="1"/>
  <c r="X1179" i="9"/>
  <c r="AB1179" i="9" s="1"/>
  <c r="X1131" i="9"/>
  <c r="AB1131" i="9" s="1"/>
  <c r="X1115" i="9"/>
  <c r="AB1115" i="9" s="1"/>
  <c r="X1035" i="9"/>
  <c r="AB1035" i="9" s="1"/>
  <c r="X983" i="9"/>
  <c r="AB983" i="9" s="1"/>
  <c r="X851" i="9"/>
  <c r="AB851" i="9" s="1"/>
  <c r="X723" i="9"/>
  <c r="AB723" i="9" s="1"/>
  <c r="X515" i="9"/>
  <c r="AB515" i="9" s="1"/>
  <c r="X419" i="9"/>
  <c r="AB419" i="9" s="1"/>
  <c r="X299" i="9"/>
  <c r="AB299" i="9" s="1"/>
  <c r="X127" i="9"/>
  <c r="AB127" i="9" s="1"/>
  <c r="X2481" i="9"/>
  <c r="AB2481" i="9" s="1"/>
  <c r="X2417" i="9"/>
  <c r="AB2417" i="9" s="1"/>
  <c r="X2353" i="9"/>
  <c r="AB2353" i="9" s="1"/>
  <c r="X2289" i="9"/>
  <c r="AB2289" i="9" s="1"/>
  <c r="X2225" i="9"/>
  <c r="AB2225" i="9" s="1"/>
  <c r="X2161" i="9"/>
  <c r="AB2161" i="9" s="1"/>
  <c r="X2097" i="9"/>
  <c r="AB2097" i="9" s="1"/>
  <c r="X2033" i="9"/>
  <c r="X1969" i="9"/>
  <c r="AB1969" i="9" s="1"/>
  <c r="X1905" i="9"/>
  <c r="AB1905" i="9" s="1"/>
  <c r="X1841" i="9"/>
  <c r="AB1841" i="9" s="1"/>
  <c r="X1777" i="9"/>
  <c r="AB1777" i="9" s="1"/>
  <c r="X1713" i="9"/>
  <c r="AB1713" i="9" s="1"/>
  <c r="X1649" i="9"/>
  <c r="AB1649" i="9" s="1"/>
  <c r="X1585" i="9"/>
  <c r="AB1585" i="9" s="1"/>
  <c r="X1521" i="9"/>
  <c r="AB1521" i="9" s="1"/>
  <c r="X1457" i="9"/>
  <c r="AB1457" i="9" s="1"/>
  <c r="X1393" i="9"/>
  <c r="AB1393" i="9" s="1"/>
  <c r="X1329" i="9"/>
  <c r="AB1329" i="9" s="1"/>
  <c r="X1265" i="9"/>
  <c r="AB1265" i="9" s="1"/>
  <c r="X1217" i="9"/>
  <c r="AB1217" i="9" s="1"/>
  <c r="X1185" i="9"/>
  <c r="AB1185" i="9" s="1"/>
  <c r="X1153" i="9"/>
  <c r="AB1153" i="9" s="1"/>
  <c r="X1121" i="9"/>
  <c r="AB1121" i="9" s="1"/>
  <c r="X1089" i="9"/>
  <c r="AB1089" i="9" s="1"/>
  <c r="X1057" i="9"/>
  <c r="AB1057" i="9" s="1"/>
  <c r="X1025" i="9"/>
  <c r="AB1025" i="9" s="1"/>
  <c r="X993" i="9"/>
  <c r="AB993" i="9" s="1"/>
  <c r="X961" i="9"/>
  <c r="AB961" i="9" s="1"/>
  <c r="X929" i="9"/>
  <c r="AB929" i="9" s="1"/>
  <c r="X897" i="9"/>
  <c r="AB897" i="9" s="1"/>
  <c r="X865" i="9"/>
  <c r="AB865" i="9" s="1"/>
  <c r="X833" i="9"/>
  <c r="AB833" i="9" s="1"/>
  <c r="X801" i="9"/>
  <c r="AB801" i="9" s="1"/>
  <c r="X769" i="9"/>
  <c r="AB769" i="9" s="1"/>
  <c r="X733" i="9"/>
  <c r="AB733" i="9" s="1"/>
  <c r="X669" i="9"/>
  <c r="AB669" i="9" s="1"/>
  <c r="X605" i="9"/>
  <c r="AB605" i="9" s="1"/>
  <c r="X541" i="9"/>
  <c r="AB541" i="9" s="1"/>
  <c r="X477" i="9"/>
  <c r="X413" i="9"/>
  <c r="AB413" i="9" s="1"/>
  <c r="X349" i="9"/>
  <c r="AB349" i="9" s="1"/>
  <c r="X285" i="9"/>
  <c r="AB285" i="9" s="1"/>
  <c r="X221" i="9"/>
  <c r="AB221" i="9" s="1"/>
  <c r="X157" i="9"/>
  <c r="AB157" i="9" s="1"/>
  <c r="X93" i="9"/>
  <c r="AB93" i="9" s="1"/>
  <c r="X29" i="9"/>
  <c r="AB29" i="9" s="1"/>
  <c r="X2476" i="9"/>
  <c r="AB2476" i="9" s="1"/>
  <c r="X2444" i="9"/>
  <c r="AB2444" i="9" s="1"/>
  <c r="X2400" i="9"/>
  <c r="AB2400" i="9" s="1"/>
  <c r="X2368" i="9"/>
  <c r="AB2368" i="9" s="1"/>
  <c r="X2332" i="9"/>
  <c r="AB2332" i="9" s="1"/>
  <c r="X2288" i="9"/>
  <c r="AB2288" i="9" s="1"/>
  <c r="X2256" i="9"/>
  <c r="AB2256" i="9" s="1"/>
  <c r="X2220" i="9"/>
  <c r="AB2220" i="9" s="1"/>
  <c r="X2188" i="9"/>
  <c r="AB2188" i="9" s="1"/>
  <c r="X2144" i="9"/>
  <c r="AB2144" i="9" s="1"/>
  <c r="X2112" i="9"/>
  <c r="AB2112" i="9" s="1"/>
  <c r="X2076" i="9"/>
  <c r="AB2076" i="9" s="1"/>
  <c r="X2032" i="9"/>
  <c r="AB2032" i="9" s="1"/>
  <c r="X2000" i="9"/>
  <c r="AB2000" i="9" s="1"/>
  <c r="X1964" i="9"/>
  <c r="AB1964" i="9" s="1"/>
  <c r="X1932" i="9"/>
  <c r="AB1932" i="9" s="1"/>
  <c r="X1888" i="9"/>
  <c r="AB1888" i="9" s="1"/>
  <c r="X1856" i="9"/>
  <c r="AB1856" i="9" s="1"/>
  <c r="X1820" i="9"/>
  <c r="AB1820" i="9" s="1"/>
  <c r="X1776" i="9"/>
  <c r="AB1776" i="9" s="1"/>
  <c r="X1744" i="9"/>
  <c r="AB1744" i="9" s="1"/>
  <c r="X1708" i="9"/>
  <c r="AB1708" i="9" s="1"/>
  <c r="X1676" i="9"/>
  <c r="AB1676" i="9" s="1"/>
  <c r="X1632" i="9"/>
  <c r="AB1632" i="9" s="1"/>
  <c r="X1600" i="9"/>
  <c r="X1564" i="9"/>
  <c r="AB1564" i="9" s="1"/>
  <c r="X1520" i="9"/>
  <c r="AB1520" i="9" s="1"/>
  <c r="X1488" i="9"/>
  <c r="AB1488" i="9" s="1"/>
  <c r="X1452" i="9"/>
  <c r="AB1452" i="9" s="1"/>
  <c r="X1420" i="9"/>
  <c r="AB1420" i="9" s="1"/>
  <c r="X1376" i="9"/>
  <c r="AB1376" i="9" s="1"/>
  <c r="X1344" i="9"/>
  <c r="AB1344" i="9" s="1"/>
  <c r="X1308" i="9"/>
  <c r="AB1308" i="9" s="1"/>
  <c r="X1264" i="9"/>
  <c r="AB1264" i="9" s="1"/>
  <c r="X1228" i="9"/>
  <c r="AB1228" i="9" s="1"/>
  <c r="X1164" i="9"/>
  <c r="AB1164" i="9" s="1"/>
  <c r="X1100" i="9"/>
  <c r="AB1100" i="9" s="1"/>
  <c r="X1036" i="9"/>
  <c r="AB1036" i="9" s="1"/>
  <c r="X972" i="9"/>
  <c r="AB972" i="9" s="1"/>
  <c r="X908" i="9"/>
  <c r="AB908" i="9" s="1"/>
  <c r="X844" i="9"/>
  <c r="AB844" i="9" s="1"/>
  <c r="X780" i="9"/>
  <c r="AB780" i="9" s="1"/>
  <c r="X1176" i="9"/>
  <c r="AB1176" i="9" s="1"/>
  <c r="X952" i="9"/>
  <c r="AB952" i="9" s="1"/>
  <c r="X776" i="9"/>
  <c r="AB776" i="9" s="1"/>
  <c r="X584" i="9"/>
  <c r="AB584" i="9" s="1"/>
  <c r="X524" i="9"/>
  <c r="AB524" i="9" s="1"/>
  <c r="X380" i="9"/>
  <c r="AB380" i="9" s="1"/>
  <c r="X300" i="9"/>
  <c r="AB300" i="9" s="1"/>
  <c r="X216" i="9"/>
  <c r="AB216" i="9" s="1"/>
  <c r="X120" i="9"/>
  <c r="AB120" i="9" s="1"/>
  <c r="X24" i="9"/>
  <c r="AB24" i="9" s="1"/>
  <c r="X2435" i="9"/>
  <c r="AB2435" i="9" s="1"/>
  <c r="X2307" i="9"/>
  <c r="AB2307" i="9" s="1"/>
  <c r="X2147" i="9"/>
  <c r="AB2147" i="9" s="1"/>
  <c r="X2019" i="9"/>
  <c r="AB2019" i="9" s="1"/>
  <c r="X1891" i="9"/>
  <c r="X1783" i="9"/>
  <c r="AB1783" i="9" s="1"/>
  <c r="X1659" i="9"/>
  <c r="AB1659" i="9" s="1"/>
  <c r="X1627" i="9"/>
  <c r="AB1627" i="9" s="1"/>
  <c r="X1531" i="9"/>
  <c r="AB1531" i="9" s="1"/>
  <c r="X1499" i="9"/>
  <c r="AB1499" i="9" s="1"/>
  <c r="X1403" i="9"/>
  <c r="AB1403" i="9" s="1"/>
  <c r="X1371" i="9"/>
  <c r="AB1371" i="9" s="1"/>
  <c r="X1303" i="9"/>
  <c r="AB1303" i="9" s="1"/>
  <c r="X1199" i="9"/>
  <c r="AB1199" i="9" s="1"/>
  <c r="X1071" i="9"/>
  <c r="AB1071" i="9" s="1"/>
  <c r="X947" i="9"/>
  <c r="AB947" i="9" s="1"/>
  <c r="X823" i="9"/>
  <c r="AB823" i="9" s="1"/>
  <c r="X695" i="9"/>
  <c r="AB695" i="9" s="1"/>
  <c r="X567" i="9"/>
  <c r="AB567" i="9" s="1"/>
  <c r="X439" i="9"/>
  <c r="AB439" i="9" s="1"/>
  <c r="X363" i="9"/>
  <c r="AB363" i="9" s="1"/>
  <c r="X255" i="9"/>
  <c r="AB255" i="9" s="1"/>
  <c r="X171" i="9"/>
  <c r="AB171" i="9" s="1"/>
  <c r="X2474" i="9"/>
  <c r="AB2474" i="9" s="1"/>
  <c r="X2410" i="9"/>
  <c r="AB2410" i="9" s="1"/>
  <c r="X2346" i="9"/>
  <c r="AB2346" i="9" s="1"/>
  <c r="X2282" i="9"/>
  <c r="AB2282" i="9" s="1"/>
  <c r="X2218" i="9"/>
  <c r="AB2218" i="9" s="1"/>
  <c r="X2154" i="9"/>
  <c r="AB2154" i="9" s="1"/>
  <c r="X2090" i="9"/>
  <c r="AB2090" i="9" s="1"/>
  <c r="X2026" i="9"/>
  <c r="AB2026" i="9" s="1"/>
  <c r="X1962" i="9"/>
  <c r="AB1962" i="9" s="1"/>
  <c r="X1898" i="9"/>
  <c r="AB1898" i="9" s="1"/>
  <c r="X1834" i="9"/>
  <c r="AB1834" i="9" s="1"/>
  <c r="X1770" i="9"/>
  <c r="AB1770" i="9" s="1"/>
  <c r="X1706" i="9"/>
  <c r="AB1706" i="9" s="1"/>
  <c r="X1642" i="9"/>
  <c r="X1578" i="9"/>
  <c r="AB1578" i="9" s="1"/>
  <c r="X1514" i="9"/>
  <c r="AB1514" i="9" s="1"/>
  <c r="X1450" i="9"/>
  <c r="AB1450" i="9" s="1"/>
  <c r="X1386" i="9"/>
  <c r="AB1386" i="9" s="1"/>
  <c r="X1322" i="9"/>
  <c r="AB1322" i="9" s="1"/>
  <c r="X1258" i="9"/>
  <c r="AB1258" i="9" s="1"/>
  <c r="X1202" i="9"/>
  <c r="AB1202" i="9" s="1"/>
  <c r="X1138" i="9"/>
  <c r="AB1138" i="9" s="1"/>
  <c r="X1074" i="9"/>
  <c r="AB1074" i="9" s="1"/>
  <c r="X1010" i="9"/>
  <c r="AB1010" i="9" s="1"/>
  <c r="X946" i="9"/>
  <c r="AB946" i="9" s="1"/>
  <c r="X882" i="9"/>
  <c r="AB882" i="9" s="1"/>
  <c r="X818" i="9"/>
  <c r="AB818" i="9" s="1"/>
  <c r="X754" i="9"/>
  <c r="AB754" i="9" s="1"/>
  <c r="X690" i="9"/>
  <c r="AB690" i="9" s="1"/>
  <c r="X622" i="9"/>
  <c r="AB622" i="9" s="1"/>
  <c r="X558" i="9"/>
  <c r="AB558" i="9" s="1"/>
  <c r="X494" i="9"/>
  <c r="AB494" i="9" s="1"/>
  <c r="X430" i="9"/>
  <c r="AB430" i="9" s="1"/>
  <c r="X366" i="9"/>
  <c r="AB366" i="9" s="1"/>
  <c r="X302" i="9"/>
  <c r="AB302" i="9" s="1"/>
  <c r="X238" i="9"/>
  <c r="AB238" i="9" s="1"/>
  <c r="X174" i="9"/>
  <c r="AB174" i="9" s="1"/>
  <c r="X110" i="9"/>
  <c r="AB110" i="9" s="1"/>
  <c r="X46" i="9"/>
  <c r="AB46" i="9" s="1"/>
  <c r="X2471" i="9"/>
  <c r="AB2471" i="9" s="1"/>
  <c r="X2407" i="9"/>
  <c r="AB2407" i="9" s="1"/>
  <c r="X2343" i="9"/>
  <c r="AB2343" i="9" s="1"/>
  <c r="X2271" i="9"/>
  <c r="AB2271" i="9" s="1"/>
  <c r="X2183" i="9"/>
  <c r="AB2183" i="9" s="1"/>
  <c r="X2119" i="9"/>
  <c r="AB2119" i="9" s="1"/>
  <c r="X2055" i="9"/>
  <c r="X1983" i="9"/>
  <c r="AB1983" i="9" s="1"/>
  <c r="X1919" i="9"/>
  <c r="AB1919" i="9" s="1"/>
  <c r="X1811" i="9"/>
  <c r="AB1811" i="9" s="1"/>
  <c r="X1679" i="9"/>
  <c r="AB1679" i="9" s="1"/>
  <c r="X1551" i="9"/>
  <c r="AB1551" i="9" s="1"/>
  <c r="X1455" i="9"/>
  <c r="AB1455" i="9" s="1"/>
  <c r="X1363" i="9"/>
  <c r="AB1363" i="9" s="1"/>
  <c r="X1227" i="9"/>
  <c r="AB1227" i="9" s="1"/>
  <c r="X1123" i="9"/>
  <c r="AB1123" i="9" s="1"/>
  <c r="X1099" i="9"/>
  <c r="AB1099" i="9" s="1"/>
  <c r="X1027" i="9"/>
  <c r="AB1027" i="9" s="1"/>
  <c r="X895" i="9"/>
  <c r="AB895" i="9" s="1"/>
  <c r="X659" i="9"/>
  <c r="AB659" i="9" s="1"/>
  <c r="X359" i="9"/>
  <c r="AB359" i="9" s="1"/>
  <c r="X275" i="9"/>
  <c r="AB275" i="9" s="1"/>
  <c r="X167" i="9"/>
  <c r="AB167" i="9" s="1"/>
  <c r="X2485" i="9"/>
  <c r="AB2485" i="9" s="1"/>
  <c r="X2421" i="9"/>
  <c r="AB2421" i="9" s="1"/>
  <c r="X2357" i="9"/>
  <c r="AB2357" i="9" s="1"/>
  <c r="X2293" i="9"/>
  <c r="AB2293" i="9" s="1"/>
  <c r="X2229" i="9"/>
  <c r="AB2229" i="9" s="1"/>
  <c r="X2165" i="9"/>
  <c r="AB2165" i="9" s="1"/>
  <c r="X2101" i="9"/>
  <c r="AB2101" i="9" s="1"/>
  <c r="X2037" i="9"/>
  <c r="AB2037" i="9" s="1"/>
  <c r="X1973" i="9"/>
  <c r="AB1973" i="9" s="1"/>
  <c r="X1909" i="9"/>
  <c r="AB1909" i="9" s="1"/>
  <c r="X1845" i="9"/>
  <c r="AB1845" i="9" s="1"/>
  <c r="X1781" i="9"/>
  <c r="AB1781" i="9" s="1"/>
  <c r="X1717" i="9"/>
  <c r="AB1717" i="9" s="1"/>
  <c r="X1653" i="9"/>
  <c r="AB1653" i="9" s="1"/>
  <c r="X1589" i="9"/>
  <c r="AB1589" i="9" s="1"/>
  <c r="X1525" i="9"/>
  <c r="X1461" i="9"/>
  <c r="AB1461" i="9" s="1"/>
  <c r="X1397" i="9"/>
  <c r="AB1397" i="9" s="1"/>
  <c r="X1333" i="9"/>
  <c r="AB1333" i="9" s="1"/>
  <c r="X1269" i="9"/>
  <c r="AB1269" i="9" s="1"/>
  <c r="X705" i="9"/>
  <c r="AB705" i="9" s="1"/>
  <c r="X641" i="9"/>
  <c r="AB641" i="9" s="1"/>
  <c r="X577" i="9"/>
  <c r="AB577" i="9" s="1"/>
  <c r="X513" i="9"/>
  <c r="AB513" i="9" s="1"/>
  <c r="X449" i="9"/>
  <c r="AB449" i="9" s="1"/>
  <c r="X385" i="9"/>
  <c r="AB385" i="9" s="1"/>
  <c r="X321" i="9"/>
  <c r="AB321" i="9" s="1"/>
  <c r="X257" i="9"/>
  <c r="AB257" i="9" s="1"/>
  <c r="X193" i="9"/>
  <c r="AB193" i="9" s="1"/>
  <c r="X129" i="9"/>
  <c r="AB129" i="9" s="1"/>
  <c r="X65" i="9"/>
  <c r="AB65" i="9" s="1"/>
  <c r="X2500" i="9"/>
  <c r="AB2500" i="9" s="1"/>
  <c r="X2452" i="9"/>
  <c r="AB2452" i="9" s="1"/>
  <c r="X2404" i="9"/>
  <c r="AB2404" i="9" s="1"/>
  <c r="X2356" i="9"/>
  <c r="AB2356" i="9" s="1"/>
  <c r="X2300" i="9"/>
  <c r="AB2300" i="9" s="1"/>
  <c r="X2244" i="9"/>
  <c r="AB2244" i="9" s="1"/>
  <c r="X2196" i="9"/>
  <c r="AB2196" i="9" s="1"/>
  <c r="X2148" i="9"/>
  <c r="AB2148" i="9" s="1"/>
  <c r="X2100" i="9"/>
  <c r="AB2100" i="9" s="1"/>
  <c r="X2044" i="9"/>
  <c r="AB2044" i="9" s="1"/>
  <c r="X1988" i="9"/>
  <c r="AB1988" i="9" s="1"/>
  <c r="X1940" i="9"/>
  <c r="AB1940" i="9" s="1"/>
  <c r="X1892" i="9"/>
  <c r="AB1892" i="9" s="1"/>
  <c r="X1844" i="9"/>
  <c r="AB1844" i="9" s="1"/>
  <c r="X1788" i="9"/>
  <c r="AB1788" i="9" s="1"/>
  <c r="X1732" i="9"/>
  <c r="AB1732" i="9" s="1"/>
  <c r="X1684" i="9"/>
  <c r="X1636" i="9"/>
  <c r="AB1636" i="9" s="1"/>
  <c r="X1588" i="9"/>
  <c r="AB1588" i="9" s="1"/>
  <c r="X1532" i="9"/>
  <c r="AB1532" i="9" s="1"/>
  <c r="X1476" i="9"/>
  <c r="AB1476" i="9" s="1"/>
  <c r="X1428" i="9"/>
  <c r="AB1428" i="9" s="1"/>
  <c r="X1380" i="9"/>
  <c r="AB1380" i="9" s="1"/>
  <c r="X1332" i="9"/>
  <c r="AB1332" i="9" s="1"/>
  <c r="X1276" i="9"/>
  <c r="AB1276" i="9" s="1"/>
  <c r="X1216" i="9"/>
  <c r="AB1216" i="9" s="1"/>
  <c r="X1152" i="9"/>
  <c r="AB1152" i="9" s="1"/>
  <c r="X1088" i="9"/>
  <c r="AB1088" i="9" s="1"/>
  <c r="X1024" i="9"/>
  <c r="AB1024" i="9" s="1"/>
  <c r="X960" i="9"/>
  <c r="AB960" i="9" s="1"/>
  <c r="X896" i="9"/>
  <c r="AB896" i="9" s="1"/>
  <c r="X832" i="9"/>
  <c r="AB832" i="9" s="1"/>
  <c r="X768" i="9"/>
  <c r="AB768" i="9" s="1"/>
  <c r="X704" i="9"/>
  <c r="AB704" i="9" s="1"/>
  <c r="X640" i="9"/>
  <c r="AB640" i="9" s="1"/>
  <c r="X576" i="9"/>
  <c r="AB576" i="9" s="1"/>
  <c r="X512" i="9"/>
  <c r="AB512" i="9" s="1"/>
  <c r="X448" i="9"/>
  <c r="AB448" i="9" s="1"/>
  <c r="X384" i="9"/>
  <c r="AB384" i="9" s="1"/>
  <c r="X320" i="9"/>
  <c r="AB320" i="9" s="1"/>
  <c r="X272" i="9"/>
  <c r="AB272" i="9" s="1"/>
  <c r="X240" i="9"/>
  <c r="AB240" i="9" s="1"/>
  <c r="X208" i="9"/>
  <c r="AB208" i="9" s="1"/>
  <c r="X176" i="9"/>
  <c r="AB176" i="9" s="1"/>
  <c r="X144" i="9"/>
  <c r="AB144" i="9" s="1"/>
  <c r="X112" i="9"/>
  <c r="AB112" i="9" s="1"/>
  <c r="X80" i="9"/>
  <c r="AB80" i="9" s="1"/>
  <c r="X48" i="9"/>
  <c r="AB48" i="9" s="1"/>
  <c r="X16" i="9"/>
  <c r="X1112" i="9"/>
  <c r="AB1112" i="9" s="1"/>
  <c r="X984" i="9"/>
  <c r="AB984" i="9" s="1"/>
  <c r="X716" i="9"/>
  <c r="AB716" i="9" s="1"/>
  <c r="X668" i="9"/>
  <c r="AB668" i="9" s="1"/>
  <c r="X552" i="9"/>
  <c r="AB552" i="9" s="1"/>
  <c r="X488" i="9"/>
  <c r="AB488" i="9" s="1"/>
  <c r="X408" i="9"/>
  <c r="AB408" i="9" s="1"/>
  <c r="X312" i="9"/>
  <c r="AB312" i="9" s="1"/>
  <c r="X188" i="9"/>
  <c r="AB188" i="9" s="1"/>
  <c r="X40" i="9"/>
  <c r="D2535" i="9"/>
  <c r="AB4" i="9"/>
  <c r="X2411" i="9"/>
  <c r="X2283" i="9"/>
  <c r="AB2283" i="9" s="1"/>
  <c r="X2207" i="9"/>
  <c r="X2187" i="9"/>
  <c r="AB2187" i="9" s="1"/>
  <c r="X2059" i="9"/>
  <c r="AB2059" i="9" s="1"/>
  <c r="X1931" i="9"/>
  <c r="AB1931" i="9" s="1"/>
  <c r="X1635" i="9"/>
  <c r="AB1635" i="9" s="1"/>
  <c r="X1507" i="9"/>
  <c r="AB1507" i="9" s="1"/>
  <c r="X1379" i="9"/>
  <c r="AB1379" i="9" s="1"/>
  <c r="X1143" i="9"/>
  <c r="AB1143" i="9" s="1"/>
  <c r="X1015" i="9"/>
  <c r="X987" i="9"/>
  <c r="AB987" i="9" s="1"/>
  <c r="X875" i="9"/>
  <c r="AB875" i="9" s="1"/>
  <c r="X747" i="9"/>
  <c r="AB747" i="9" s="1"/>
  <c r="X663" i="9"/>
  <c r="AB663" i="9" s="1"/>
  <c r="X543" i="9"/>
  <c r="AB543" i="9" s="1"/>
  <c r="X415" i="9"/>
  <c r="AB415" i="9" s="1"/>
  <c r="X295" i="9"/>
  <c r="AB295" i="9" s="1"/>
  <c r="X199" i="9"/>
  <c r="X83" i="9"/>
  <c r="AB83" i="9" s="1"/>
  <c r="X2462" i="9"/>
  <c r="AB2462" i="9" s="1"/>
  <c r="X2398" i="9"/>
  <c r="AB2398" i="9" s="1"/>
  <c r="X2334" i="9"/>
  <c r="AB2334" i="9" s="1"/>
  <c r="X2270" i="9"/>
  <c r="AB2270" i="9" s="1"/>
  <c r="X2206" i="9"/>
  <c r="AB2206" i="9" s="1"/>
  <c r="X2142" i="9"/>
  <c r="AB2142" i="9" s="1"/>
  <c r="X2078" i="9"/>
  <c r="X2014" i="9"/>
  <c r="AB2014" i="9" s="1"/>
  <c r="X1950" i="9"/>
  <c r="X1886" i="9"/>
  <c r="AB1886" i="9" s="1"/>
  <c r="X1822" i="9"/>
  <c r="AB1822" i="9" s="1"/>
  <c r="X1758" i="9"/>
  <c r="AB1758" i="9" s="1"/>
  <c r="X1694" i="9"/>
  <c r="AB1694" i="9" s="1"/>
  <c r="X1630" i="9"/>
  <c r="AB1630" i="9" s="1"/>
  <c r="X1566" i="9"/>
  <c r="AB1566" i="9" s="1"/>
  <c r="X1502" i="9"/>
  <c r="AB1502" i="9" s="1"/>
  <c r="X1438" i="9"/>
  <c r="AB1438" i="9" s="1"/>
  <c r="X1374" i="9"/>
  <c r="AB1374" i="9" s="1"/>
  <c r="X1310" i="9"/>
  <c r="AB1310" i="9" s="1"/>
  <c r="X1246" i="9"/>
  <c r="AB1246" i="9" s="1"/>
  <c r="X1210" i="9"/>
  <c r="AB1210" i="9" s="1"/>
  <c r="X1178" i="9"/>
  <c r="AB1178" i="9" s="1"/>
  <c r="X1146" i="9"/>
  <c r="AB1146" i="9" s="1"/>
  <c r="X1114" i="9"/>
  <c r="AB1114" i="9" s="1"/>
  <c r="X1082" i="9"/>
  <c r="AB1082" i="9" s="1"/>
  <c r="X1050" i="9"/>
  <c r="AB1050" i="9" s="1"/>
  <c r="X1018" i="9"/>
  <c r="AB1018" i="9" s="1"/>
  <c r="X986" i="9"/>
  <c r="AB986" i="9" s="1"/>
  <c r="X954" i="9"/>
  <c r="AB954" i="9" s="1"/>
  <c r="X922" i="9"/>
  <c r="AB922" i="9" s="1"/>
  <c r="X890" i="9"/>
  <c r="AB890" i="9" s="1"/>
  <c r="X858" i="9"/>
  <c r="AB858" i="9" s="1"/>
  <c r="X826" i="9"/>
  <c r="AB826" i="9" s="1"/>
  <c r="X794" i="9"/>
  <c r="AB794" i="9" s="1"/>
  <c r="X762" i="9"/>
  <c r="AB762" i="9" s="1"/>
  <c r="X726" i="9"/>
  <c r="AB726" i="9" s="1"/>
  <c r="X658" i="9"/>
  <c r="AB658" i="9" s="1"/>
  <c r="X594" i="9"/>
  <c r="AB594" i="9" s="1"/>
  <c r="X530" i="9"/>
  <c r="AB530" i="9" s="1"/>
  <c r="X466" i="9"/>
  <c r="AB466" i="9" s="1"/>
  <c r="X402" i="9"/>
  <c r="AB402" i="9" s="1"/>
  <c r="X338" i="9"/>
  <c r="AB338" i="9" s="1"/>
  <c r="X282" i="9"/>
  <c r="AB282" i="9" s="1"/>
  <c r="X218" i="9"/>
  <c r="AB218" i="9" s="1"/>
  <c r="X154" i="9"/>
  <c r="AB154" i="9" s="1"/>
  <c r="X90" i="9"/>
  <c r="AB90" i="9" s="1"/>
  <c r="X26" i="9"/>
  <c r="AB26" i="9" s="1"/>
  <c r="X10" i="9"/>
  <c r="AB10" i="9" s="1"/>
  <c r="X2415" i="9"/>
  <c r="AB2415" i="9" s="1"/>
  <c r="X2287" i="9"/>
  <c r="AB2287" i="9" s="1"/>
  <c r="X2127" i="9"/>
  <c r="AB2127" i="9" s="1"/>
  <c r="X1999" i="9"/>
  <c r="AB1999" i="9" s="1"/>
  <c r="X1871" i="9"/>
  <c r="AB1871" i="9" s="1"/>
  <c r="X1623" i="9"/>
  <c r="AB1623" i="9" s="1"/>
  <c r="X1495" i="9"/>
  <c r="AB1495" i="9" s="1"/>
  <c r="X1339" i="9"/>
  <c r="AB1339" i="9" s="1"/>
  <c r="X967" i="9"/>
  <c r="AB967" i="9" s="1"/>
  <c r="X827" i="9"/>
  <c r="AB827" i="9" s="1"/>
  <c r="X699" i="9"/>
  <c r="AB699" i="9" s="1"/>
  <c r="X635" i="9"/>
  <c r="AB635" i="9" s="1"/>
  <c r="X531" i="9"/>
  <c r="AB531" i="9" s="1"/>
  <c r="X403" i="9"/>
  <c r="AB403" i="9" s="1"/>
  <c r="X239" i="9"/>
  <c r="AB239" i="9" s="1"/>
  <c r="X143" i="9"/>
  <c r="AB143" i="9" s="1"/>
  <c r="X67" i="9"/>
  <c r="AB67" i="9" s="1"/>
  <c r="X2473" i="9"/>
  <c r="AB2473" i="9" s="1"/>
  <c r="X2409" i="9"/>
  <c r="AB2409" i="9" s="1"/>
  <c r="X2345" i="9"/>
  <c r="AB2345" i="9" s="1"/>
  <c r="X2281" i="9"/>
  <c r="AB2281" i="9" s="1"/>
  <c r="X2217" i="9"/>
  <c r="AB2217" i="9" s="1"/>
  <c r="X2153" i="9"/>
  <c r="AB2153" i="9" s="1"/>
  <c r="X2089" i="9"/>
  <c r="AB2089" i="9" s="1"/>
  <c r="X2025" i="9"/>
  <c r="AB2025" i="9" s="1"/>
  <c r="X1961" i="9"/>
  <c r="AB1961" i="9" s="1"/>
  <c r="X1897" i="9"/>
  <c r="AB1897" i="9" s="1"/>
  <c r="X1833" i="9"/>
  <c r="AB1833" i="9" s="1"/>
  <c r="X1769" i="9"/>
  <c r="AB1769" i="9" s="1"/>
  <c r="X1705" i="9"/>
  <c r="AB1705" i="9" s="1"/>
  <c r="X1641" i="9"/>
  <c r="AB1641" i="9" s="1"/>
  <c r="X1577" i="9"/>
  <c r="AB1577" i="9" s="1"/>
  <c r="X1513" i="9"/>
  <c r="AB1513" i="9" s="1"/>
  <c r="X1449" i="9"/>
  <c r="AB1449" i="9" s="1"/>
  <c r="X1385" i="9"/>
  <c r="AB1385" i="9" s="1"/>
  <c r="X1321" i="9"/>
  <c r="AB1321" i="9" s="1"/>
  <c r="X1257" i="9"/>
  <c r="AB1257" i="9" s="1"/>
  <c r="X1221" i="9"/>
  <c r="AB1221" i="9" s="1"/>
  <c r="X1189" i="9"/>
  <c r="AB1189" i="9" s="1"/>
  <c r="X1157" i="9"/>
  <c r="AB1157" i="9" s="1"/>
  <c r="X1125" i="9"/>
  <c r="AB1125" i="9" s="1"/>
  <c r="X1093" i="9"/>
  <c r="AB1093" i="9" s="1"/>
  <c r="X1061" i="9"/>
  <c r="AB1061" i="9" s="1"/>
  <c r="X1029" i="9"/>
  <c r="AB1029" i="9" s="1"/>
  <c r="X997" i="9"/>
  <c r="AB997" i="9" s="1"/>
  <c r="X965" i="9"/>
  <c r="AB965" i="9" s="1"/>
  <c r="X933" i="9"/>
  <c r="AB933" i="9" s="1"/>
  <c r="X901" i="9"/>
  <c r="AB901" i="9" s="1"/>
  <c r="X869" i="9"/>
  <c r="AB869" i="9" s="1"/>
  <c r="X837" i="9"/>
  <c r="AB837" i="9" s="1"/>
  <c r="X805" i="9"/>
  <c r="AB805" i="9" s="1"/>
  <c r="X773" i="9"/>
  <c r="AB773" i="9" s="1"/>
  <c r="X741" i="9"/>
  <c r="AB741" i="9" s="1"/>
  <c r="X697" i="9"/>
  <c r="AB697" i="9" s="1"/>
  <c r="X661" i="9"/>
  <c r="AB661" i="9" s="1"/>
  <c r="X613" i="9"/>
  <c r="AB613" i="9" s="1"/>
  <c r="X569" i="9"/>
  <c r="AB569" i="9" s="1"/>
  <c r="X533" i="9"/>
  <c r="AB533" i="9" s="1"/>
  <c r="X485" i="9"/>
  <c r="AB485" i="9" s="1"/>
  <c r="X441" i="9"/>
  <c r="AB441" i="9" s="1"/>
  <c r="X405" i="9"/>
  <c r="AB405" i="9" s="1"/>
  <c r="X357" i="9"/>
  <c r="AB357" i="9" s="1"/>
  <c r="X313" i="9"/>
  <c r="AB313" i="9" s="1"/>
  <c r="X277" i="9"/>
  <c r="AB277" i="9" s="1"/>
  <c r="X245" i="9"/>
  <c r="AB245" i="9" s="1"/>
  <c r="X213" i="9"/>
  <c r="AB213" i="9" s="1"/>
  <c r="X181" i="9"/>
  <c r="AB181" i="9" s="1"/>
  <c r="X149" i="9"/>
  <c r="AB149" i="9" s="1"/>
  <c r="X117" i="9"/>
  <c r="AB117" i="9" s="1"/>
  <c r="X85" i="9"/>
  <c r="AB85" i="9" s="1"/>
  <c r="X53" i="9"/>
  <c r="AB53" i="9" s="1"/>
  <c r="X21" i="9"/>
  <c r="AB21" i="9" s="1"/>
  <c r="D11" i="8"/>
  <c r="X2472" i="9"/>
  <c r="AB2472" i="9" s="1"/>
  <c r="X2408" i="9"/>
  <c r="X2344" i="9"/>
  <c r="AB2344" i="9" s="1"/>
  <c r="X2280" i="9"/>
  <c r="X2216" i="9"/>
  <c r="AB2216" i="9" s="1"/>
  <c r="X2152" i="9"/>
  <c r="X2088" i="9"/>
  <c r="X2024" i="9"/>
  <c r="X1960" i="9"/>
  <c r="X1896" i="9"/>
  <c r="X1832" i="9"/>
  <c r="AB1832" i="9" s="1"/>
  <c r="X1768" i="9"/>
  <c r="X1704" i="9"/>
  <c r="AB1704" i="9" s="1"/>
  <c r="X1640" i="9"/>
  <c r="X1576" i="9"/>
  <c r="X1512" i="9"/>
  <c r="X1448" i="9"/>
  <c r="AB1448" i="9" s="1"/>
  <c r="X1384" i="9"/>
  <c r="X1320" i="9"/>
  <c r="AB1320" i="9" s="1"/>
  <c r="X1256" i="9"/>
  <c r="X1204" i="9"/>
  <c r="AB1204" i="9" s="1"/>
  <c r="X1140" i="9"/>
  <c r="X1076" i="9"/>
  <c r="X1012" i="9"/>
  <c r="X948" i="9"/>
  <c r="X884" i="9"/>
  <c r="X820" i="9"/>
  <c r="AB820" i="9" s="1"/>
  <c r="X756" i="9"/>
  <c r="X692" i="9"/>
  <c r="AB692" i="9" s="1"/>
  <c r="X628" i="9"/>
  <c r="X564" i="9"/>
  <c r="X500" i="9"/>
  <c r="X436" i="9"/>
  <c r="AB436" i="9" s="1"/>
  <c r="X372" i="9"/>
  <c r="X308" i="9"/>
  <c r="AB308" i="9" s="1"/>
  <c r="X1128" i="9"/>
  <c r="X904" i="9"/>
  <c r="AB904" i="9" s="1"/>
  <c r="X760" i="9"/>
  <c r="X684" i="9"/>
  <c r="X588" i="9"/>
  <c r="X456" i="9"/>
  <c r="X392" i="9"/>
  <c r="X268" i="9"/>
  <c r="AB268" i="9" s="1"/>
  <c r="X200" i="9"/>
  <c r="X124" i="9"/>
  <c r="AB124" i="9" s="1"/>
  <c r="X44" i="9"/>
  <c r="X2451" i="9"/>
  <c r="X2323" i="9"/>
  <c r="X2223" i="9"/>
  <c r="AB2223" i="9" s="1"/>
  <c r="X2099" i="9"/>
  <c r="X1971" i="9"/>
  <c r="AB1971" i="9" s="1"/>
  <c r="X1863" i="9"/>
  <c r="X1799" i="9"/>
  <c r="AB1799" i="9" s="1"/>
  <c r="X1727" i="9"/>
  <c r="X1579" i="9"/>
  <c r="X1451" i="9"/>
  <c r="X1351" i="9"/>
  <c r="X1343" i="9"/>
  <c r="X1287" i="9"/>
  <c r="AB1287" i="9" s="1"/>
  <c r="X1183" i="9"/>
  <c r="X1055" i="9"/>
  <c r="AB1055" i="9" s="1"/>
  <c r="X923" i="9"/>
  <c r="X807" i="9"/>
  <c r="X639" i="9"/>
  <c r="X551" i="9"/>
  <c r="AB551" i="9" s="1"/>
  <c r="X423" i="9"/>
  <c r="X207" i="9"/>
  <c r="AB207" i="9" s="1"/>
  <c r="X71" i="9"/>
  <c r="X2498" i="9"/>
  <c r="AB2498" i="9" s="1"/>
  <c r="X2434" i="9"/>
  <c r="X2370" i="9"/>
  <c r="X2306" i="9"/>
  <c r="X2242" i="9"/>
  <c r="X2178" i="9"/>
  <c r="X2114" i="9"/>
  <c r="AB2114" i="9" s="1"/>
  <c r="X2050" i="9"/>
  <c r="X1986" i="9"/>
  <c r="AB1986" i="9" s="1"/>
  <c r="X1922" i="9"/>
  <c r="X1858" i="9"/>
  <c r="AB1858" i="9" s="1"/>
  <c r="X1794" i="9"/>
  <c r="X1730" i="9"/>
  <c r="AB1730" i="9" s="1"/>
  <c r="X1666" i="9"/>
  <c r="X1602" i="9"/>
  <c r="AB1602" i="9" s="1"/>
  <c r="X1538" i="9"/>
  <c r="X1474" i="9"/>
  <c r="AB1474" i="9" s="1"/>
  <c r="X1410" i="9"/>
  <c r="X1346" i="9"/>
  <c r="AB1346" i="9" s="1"/>
  <c r="X1282" i="9"/>
  <c r="X714" i="9"/>
  <c r="AB714" i="9" s="1"/>
  <c r="X646" i="9"/>
  <c r="AB646" i="9" s="1"/>
  <c r="X582" i="9"/>
  <c r="AB582" i="9" s="1"/>
  <c r="X518" i="9"/>
  <c r="X454" i="9"/>
  <c r="AB454" i="9" s="1"/>
  <c r="X390" i="9"/>
  <c r="AB390" i="9" s="1"/>
  <c r="X326" i="9"/>
  <c r="AB326" i="9" s="1"/>
  <c r="X262" i="9"/>
  <c r="AB262" i="9" s="1"/>
  <c r="X198" i="9"/>
  <c r="AB198" i="9" s="1"/>
  <c r="X134" i="9"/>
  <c r="X70" i="9"/>
  <c r="AB70" i="9" s="1"/>
  <c r="X2487" i="9"/>
  <c r="X2359" i="9"/>
  <c r="AB2359" i="9" s="1"/>
  <c r="X2263" i="9"/>
  <c r="AB2263" i="9" s="1"/>
  <c r="X2167" i="9"/>
  <c r="AB2167" i="9" s="1"/>
  <c r="X2047" i="9"/>
  <c r="AB2047" i="9" s="1"/>
  <c r="X1943" i="9"/>
  <c r="AB1943" i="9" s="1"/>
  <c r="X1827" i="9"/>
  <c r="AB1827" i="9" s="1"/>
  <c r="X1699" i="9"/>
  <c r="AB1699" i="9" s="1"/>
  <c r="X1251" i="9"/>
  <c r="X1139" i="9"/>
  <c r="AB1139" i="9" s="1"/>
  <c r="X1011" i="9"/>
  <c r="AB1011" i="9" s="1"/>
  <c r="X879" i="9"/>
  <c r="AB879" i="9" s="1"/>
  <c r="X775" i="9"/>
  <c r="AB775" i="9" s="1"/>
  <c r="X707" i="9"/>
  <c r="AB707" i="9" s="1"/>
  <c r="X571" i="9"/>
  <c r="AB571" i="9" s="1"/>
  <c r="X507" i="9"/>
  <c r="AB507" i="9" s="1"/>
  <c r="X427" i="9"/>
  <c r="X307" i="9"/>
  <c r="AB307" i="9" s="1"/>
  <c r="X151" i="9"/>
  <c r="AB151" i="9" s="1"/>
  <c r="X43" i="9"/>
  <c r="AB43" i="9" s="1"/>
  <c r="X2477" i="9"/>
  <c r="AB2477" i="9" s="1"/>
  <c r="X2413" i="9"/>
  <c r="AB2413" i="9" s="1"/>
  <c r="X2349" i="9"/>
  <c r="X2285" i="9"/>
  <c r="AB2285" i="9" s="1"/>
  <c r="X2221" i="9"/>
  <c r="X2157" i="9"/>
  <c r="AB2157" i="9" s="1"/>
  <c r="X2093" i="9"/>
  <c r="X2029" i="9"/>
  <c r="AB2029" i="9" s="1"/>
  <c r="X1965" i="9"/>
  <c r="AB1965" i="9" s="1"/>
  <c r="X1901" i="9"/>
  <c r="AB1901" i="9" s="1"/>
  <c r="X1837" i="9"/>
  <c r="AB1837" i="9" s="1"/>
  <c r="X1773" i="9"/>
  <c r="AB1773" i="9" s="1"/>
  <c r="X1709" i="9"/>
  <c r="X1645" i="9"/>
  <c r="AB1645" i="9" s="1"/>
  <c r="X1581" i="9"/>
  <c r="AB1581" i="9" s="1"/>
  <c r="X1517" i="9"/>
  <c r="AB1517" i="9" s="1"/>
  <c r="X1453" i="9"/>
  <c r="AB1453" i="9" s="1"/>
  <c r="X1389" i="9"/>
  <c r="AB1389" i="9" s="1"/>
  <c r="X1325" i="9"/>
  <c r="X1261" i="9"/>
  <c r="AB1261" i="9" s="1"/>
  <c r="X649" i="9"/>
  <c r="X521" i="9"/>
  <c r="AB521" i="9" s="1"/>
  <c r="X393" i="9"/>
  <c r="AB393" i="9" s="1"/>
  <c r="X2107" i="9"/>
  <c r="AB2107" i="9" s="1"/>
  <c r="X2075" i="9"/>
  <c r="X1979" i="9"/>
  <c r="AB1979" i="9" s="1"/>
  <c r="X1947" i="9"/>
  <c r="AB1947" i="9" s="1"/>
  <c r="X1839" i="9"/>
  <c r="AB1839" i="9" s="1"/>
  <c r="X1711" i="9"/>
  <c r="X1587" i="9"/>
  <c r="AB1587" i="9" s="1"/>
  <c r="X1459" i="9"/>
  <c r="X1327" i="9"/>
  <c r="AB1327" i="9" s="1"/>
  <c r="X1191" i="9"/>
  <c r="AB1191" i="9" s="1"/>
  <c r="X1063" i="9"/>
  <c r="AB1063" i="9" s="1"/>
  <c r="X963" i="9"/>
  <c r="AB963" i="9" s="1"/>
  <c r="X847" i="9"/>
  <c r="AB847" i="9" s="1"/>
  <c r="X719" i="9"/>
  <c r="X559" i="9"/>
  <c r="AB559" i="9" s="1"/>
  <c r="X431" i="9"/>
  <c r="AB431" i="9" s="1"/>
  <c r="X311" i="9"/>
  <c r="AB311" i="9" s="1"/>
  <c r="X131" i="9"/>
  <c r="AB131" i="9" s="1"/>
  <c r="X27" i="9"/>
  <c r="AB27" i="9" s="1"/>
  <c r="X2454" i="9"/>
  <c r="X2390" i="9"/>
  <c r="AB2390" i="9" s="1"/>
  <c r="X2326" i="9"/>
  <c r="X2262" i="9"/>
  <c r="AB2262" i="9" s="1"/>
  <c r="X2198" i="9"/>
  <c r="AB2198" i="9" s="1"/>
  <c r="X2134" i="9"/>
  <c r="AB2134" i="9" s="1"/>
  <c r="X2070" i="9"/>
  <c r="X2006" i="9"/>
  <c r="AB2006" i="9" s="1"/>
  <c r="X1942" i="9"/>
  <c r="AB1942" i="9" s="1"/>
  <c r="X1878" i="9"/>
  <c r="AB1878" i="9" s="1"/>
  <c r="X1814" i="9"/>
  <c r="X1750" i="9"/>
  <c r="AB1750" i="9" s="1"/>
  <c r="X1686" i="9"/>
  <c r="AB1686" i="9" s="1"/>
  <c r="X1622" i="9"/>
  <c r="AB1622" i="9" s="1"/>
  <c r="X1558" i="9"/>
  <c r="AB1558" i="9" s="1"/>
  <c r="X1494" i="9"/>
  <c r="AB1494" i="9" s="1"/>
  <c r="X1430" i="9"/>
  <c r="X1366" i="9"/>
  <c r="AB1366" i="9" s="1"/>
  <c r="X1302" i="9"/>
  <c r="X1230" i="9"/>
  <c r="AB1230" i="9" s="1"/>
  <c r="X1166" i="9"/>
  <c r="AB1166" i="9" s="1"/>
  <c r="X1102" i="9"/>
  <c r="AB1102" i="9" s="1"/>
  <c r="X1038" i="9"/>
  <c r="AB1038" i="9" s="1"/>
  <c r="X974" i="9"/>
  <c r="AB974" i="9" s="1"/>
  <c r="X910" i="9"/>
  <c r="X846" i="9"/>
  <c r="AB846" i="9" s="1"/>
  <c r="X782" i="9"/>
  <c r="X718" i="9"/>
  <c r="AB718" i="9" s="1"/>
  <c r="X666" i="9"/>
  <c r="AB666" i="9" s="1"/>
  <c r="X602" i="9"/>
  <c r="AB602" i="9" s="1"/>
  <c r="X538" i="9"/>
  <c r="AB538" i="9" s="1"/>
  <c r="X474" i="9"/>
  <c r="AB474" i="9" s="1"/>
  <c r="X410" i="9"/>
  <c r="AB410" i="9" s="1"/>
  <c r="X346" i="9"/>
  <c r="AB346" i="9" s="1"/>
  <c r="X274" i="9"/>
  <c r="X210" i="9"/>
  <c r="AB210" i="9" s="1"/>
  <c r="X146" i="9"/>
  <c r="AB146" i="9" s="1"/>
  <c r="X82" i="9"/>
  <c r="AB82" i="9" s="1"/>
  <c r="X18" i="9"/>
  <c r="AB18" i="9" s="1"/>
  <c r="X1803" i="9"/>
  <c r="AB1803" i="9" s="1"/>
  <c r="X1639" i="9"/>
  <c r="X1575" i="9"/>
  <c r="AB1575" i="9" s="1"/>
  <c r="X1511" i="9"/>
  <c r="X1439" i="9"/>
  <c r="AB1439" i="9" s="1"/>
  <c r="X1355" i="9"/>
  <c r="X1211" i="9"/>
  <c r="AB1211" i="9" s="1"/>
  <c r="X1147" i="9"/>
  <c r="X1067" i="9"/>
  <c r="AB1067" i="9" s="1"/>
  <c r="X1051" i="9"/>
  <c r="AB1051" i="9" s="1"/>
  <c r="X1003" i="9"/>
  <c r="AB1003" i="9" s="1"/>
  <c r="X887" i="9"/>
  <c r="X751" i="9"/>
  <c r="AB751" i="9" s="1"/>
  <c r="X547" i="9"/>
  <c r="X451" i="9"/>
  <c r="AB451" i="9" s="1"/>
  <c r="X315" i="9"/>
  <c r="X159" i="9"/>
  <c r="AB159" i="9" s="1"/>
  <c r="X2497" i="9"/>
  <c r="AB2497" i="9" s="1"/>
  <c r="X2433" i="9"/>
  <c r="AB2433" i="9" s="1"/>
  <c r="X2369" i="9"/>
  <c r="X2305" i="9"/>
  <c r="AB2305" i="9" s="1"/>
  <c r="X2241" i="9"/>
  <c r="AB2241" i="9" s="1"/>
  <c r="X2177" i="9"/>
  <c r="AB2177" i="9" s="1"/>
  <c r="X2113" i="9"/>
  <c r="AB2113" i="9" s="1"/>
  <c r="X2049" i="9"/>
  <c r="AB2049" i="9" s="1"/>
  <c r="X1985" i="9"/>
  <c r="X1921" i="9"/>
  <c r="AB1921" i="9" s="1"/>
  <c r="X1857" i="9"/>
  <c r="X1793" i="9"/>
  <c r="AB1793" i="9" s="1"/>
  <c r="X1729" i="9"/>
  <c r="AB1729" i="9" s="1"/>
  <c r="X1665" i="9"/>
  <c r="AB1665" i="9" s="1"/>
  <c r="X1601" i="9"/>
  <c r="AB1601" i="9" s="1"/>
  <c r="X1537" i="9"/>
  <c r="AB1537" i="9" s="1"/>
  <c r="X1473" i="9"/>
  <c r="AB1473" i="9" s="1"/>
  <c r="X1409" i="9"/>
  <c r="AB1409" i="9" s="1"/>
  <c r="X1345" i="9"/>
  <c r="AB1345" i="9" s="1"/>
  <c r="X1281" i="9"/>
  <c r="AB1281" i="9" s="1"/>
  <c r="X1229" i="9"/>
  <c r="AB1229" i="9" s="1"/>
  <c r="X1197" i="9"/>
  <c r="AB1197" i="9" s="1"/>
  <c r="X1165" i="9"/>
  <c r="AB1165" i="9" s="1"/>
  <c r="X1133" i="9"/>
  <c r="AB1133" i="9" s="1"/>
  <c r="X1101" i="9"/>
  <c r="AB1101" i="9" s="1"/>
  <c r="X1069" i="9"/>
  <c r="AB1069" i="9" s="1"/>
  <c r="X1037" i="9"/>
  <c r="X1005" i="9"/>
  <c r="AB1005" i="9" s="1"/>
  <c r="X973" i="9"/>
  <c r="AB973" i="9" s="1"/>
  <c r="X941" i="9"/>
  <c r="AB941" i="9" s="1"/>
  <c r="X909" i="9"/>
  <c r="AB909" i="9" s="1"/>
  <c r="X877" i="9"/>
  <c r="AB877" i="9" s="1"/>
  <c r="X845" i="9"/>
  <c r="X813" i="9"/>
  <c r="AB813" i="9" s="1"/>
  <c r="X781" i="9"/>
  <c r="AB781" i="9" s="1"/>
  <c r="X749" i="9"/>
  <c r="AB749" i="9" s="1"/>
  <c r="X685" i="9"/>
  <c r="AB685" i="9" s="1"/>
  <c r="X621" i="9"/>
  <c r="AB621" i="9" s="1"/>
  <c r="X557" i="9"/>
  <c r="X493" i="9"/>
  <c r="AB493" i="9" s="1"/>
  <c r="X429" i="9"/>
  <c r="AB429" i="9" s="1"/>
  <c r="X365" i="9"/>
  <c r="AB365" i="9" s="1"/>
  <c r="X301" i="9"/>
  <c r="AB301" i="9" s="1"/>
  <c r="X237" i="9"/>
  <c r="AB237" i="9" s="1"/>
  <c r="X173" i="9"/>
  <c r="AB173" i="9" s="1"/>
  <c r="X109" i="9"/>
  <c r="AB109" i="9" s="1"/>
  <c r="X45" i="9"/>
  <c r="X2480" i="9"/>
  <c r="AB2480" i="9" s="1"/>
  <c r="X2448" i="9"/>
  <c r="AB2448" i="9" s="1"/>
  <c r="X2412" i="9"/>
  <c r="AB2412" i="9" s="1"/>
  <c r="X2380" i="9"/>
  <c r="AB2380" i="9" s="1"/>
  <c r="X2336" i="9"/>
  <c r="AB2336" i="9" s="1"/>
  <c r="X2304" i="9"/>
  <c r="AB2304" i="9" s="1"/>
  <c r="X2268" i="9"/>
  <c r="AB2268" i="9" s="1"/>
  <c r="X2224" i="9"/>
  <c r="AB2224" i="9" s="1"/>
  <c r="X2192" i="9"/>
  <c r="AB2192" i="9" s="1"/>
  <c r="X2156" i="9"/>
  <c r="X2124" i="9"/>
  <c r="AB2124" i="9" s="1"/>
  <c r="X2080" i="9"/>
  <c r="X2048" i="9"/>
  <c r="AB2048" i="9" s="1"/>
  <c r="X2012" i="9"/>
  <c r="AB2012" i="9" s="1"/>
  <c r="X1968" i="9"/>
  <c r="AB1968" i="9" s="1"/>
  <c r="X1936" i="9"/>
  <c r="AB1936" i="9" s="1"/>
  <c r="X1900" i="9"/>
  <c r="AB1900" i="9" s="1"/>
  <c r="X1868" i="9"/>
  <c r="X1824" i="9"/>
  <c r="AB1824" i="9" s="1"/>
  <c r="X1792" i="9"/>
  <c r="X1756" i="9"/>
  <c r="AB1756" i="9" s="1"/>
  <c r="X1712" i="9"/>
  <c r="AB1712" i="9" s="1"/>
  <c r="X1680" i="9"/>
  <c r="AB1680" i="9" s="1"/>
  <c r="X1644" i="9"/>
  <c r="X1612" i="9"/>
  <c r="AB1612" i="9" s="1"/>
  <c r="X1568" i="9"/>
  <c r="AB1568" i="9" s="1"/>
  <c r="X1536" i="9"/>
  <c r="AB1536" i="9" s="1"/>
  <c r="X1500" i="9"/>
  <c r="AB1500" i="9" s="1"/>
  <c r="X1456" i="9"/>
  <c r="AB1456" i="9" s="1"/>
  <c r="X1424" i="9"/>
  <c r="AB1424" i="9" s="1"/>
  <c r="X1388" i="9"/>
  <c r="AB1388" i="9" s="1"/>
  <c r="X1356" i="9"/>
  <c r="AB1356" i="9" s="1"/>
  <c r="X1312" i="9"/>
  <c r="AB1312" i="9" s="1"/>
  <c r="X1280" i="9"/>
  <c r="AB1280" i="9" s="1"/>
  <c r="X1244" i="9"/>
  <c r="AB1244" i="9" s="1"/>
  <c r="X1180" i="9"/>
  <c r="AB1180" i="9" s="1"/>
  <c r="X1116" i="9"/>
  <c r="AB1116" i="9" s="1"/>
  <c r="X1052" i="9"/>
  <c r="AB1052" i="9" s="1"/>
  <c r="X988" i="9"/>
  <c r="AB988" i="9" s="1"/>
  <c r="X924" i="9"/>
  <c r="AB924" i="9" s="1"/>
  <c r="X860" i="9"/>
  <c r="AB860" i="9" s="1"/>
  <c r="X796" i="9"/>
  <c r="AB796" i="9" s="1"/>
  <c r="X1208" i="9"/>
  <c r="AB1208" i="9" s="1"/>
  <c r="X1032" i="9"/>
  <c r="X808" i="9"/>
  <c r="AB808" i="9" s="1"/>
  <c r="X600" i="9"/>
  <c r="AB600" i="9" s="1"/>
  <c r="X540" i="9"/>
  <c r="AB540" i="9" s="1"/>
  <c r="X396" i="9"/>
  <c r="AB396" i="9" s="1"/>
  <c r="X316" i="9"/>
  <c r="AB316" i="9" s="1"/>
  <c r="X232" i="9"/>
  <c r="X140" i="9"/>
  <c r="AB140" i="9" s="1"/>
  <c r="X56" i="9"/>
  <c r="AB56" i="9" s="1"/>
  <c r="X2467" i="9"/>
  <c r="AB2467" i="9" s="1"/>
  <c r="X2339" i="9"/>
  <c r="AB2339" i="9" s="1"/>
  <c r="X2179" i="9"/>
  <c r="AB2179" i="9" s="1"/>
  <c r="X2051" i="9"/>
  <c r="X1923" i="9"/>
  <c r="AB1923" i="9" s="1"/>
  <c r="X1791" i="9"/>
  <c r="AB1791" i="9" s="1"/>
  <c r="X1335" i="9"/>
  <c r="AB1335" i="9" s="1"/>
  <c r="X1231" i="9"/>
  <c r="AB1231" i="9" s="1"/>
  <c r="X1103" i="9"/>
  <c r="AB1103" i="9" s="1"/>
  <c r="X979" i="9"/>
  <c r="AB979" i="9" s="1"/>
  <c r="X855" i="9"/>
  <c r="AB855" i="9" s="1"/>
  <c r="X727" i="9"/>
  <c r="X595" i="9"/>
  <c r="AB595" i="9" s="1"/>
  <c r="X471" i="9"/>
  <c r="AB471" i="9" s="1"/>
  <c r="X379" i="9"/>
  <c r="AB379" i="9" s="1"/>
  <c r="X287" i="9"/>
  <c r="AB287" i="9" s="1"/>
  <c r="X191" i="9"/>
  <c r="AB191" i="9" s="1"/>
  <c r="X2490" i="9"/>
  <c r="AB2490" i="9" s="1"/>
  <c r="X2426" i="9"/>
  <c r="AB2426" i="9" s="1"/>
  <c r="X2362" i="9"/>
  <c r="AB2362" i="9" s="1"/>
  <c r="X2298" i="9"/>
  <c r="AB2298" i="9" s="1"/>
  <c r="X2234" i="9"/>
  <c r="X2170" i="9"/>
  <c r="AB2170" i="9" s="1"/>
  <c r="X2106" i="9"/>
  <c r="X2042" i="9"/>
  <c r="AB2042" i="9" s="1"/>
  <c r="X1978" i="9"/>
  <c r="AB1978" i="9" s="1"/>
  <c r="X1914" i="9"/>
  <c r="AB1914" i="9" s="1"/>
  <c r="X1850" i="9"/>
  <c r="AB1850" i="9" s="1"/>
  <c r="X1786" i="9"/>
  <c r="AB1786" i="9" s="1"/>
  <c r="X1722" i="9"/>
  <c r="X1658" i="9"/>
  <c r="AB1658" i="9" s="1"/>
  <c r="X1594" i="9"/>
  <c r="X1530" i="9"/>
  <c r="AB1530" i="9" s="1"/>
  <c r="X1466" i="9"/>
  <c r="AB1466" i="9" s="1"/>
  <c r="X1402" i="9"/>
  <c r="AB1402" i="9" s="1"/>
  <c r="X1338" i="9"/>
  <c r="X1274" i="9"/>
  <c r="AB1274" i="9" s="1"/>
  <c r="X1218" i="9"/>
  <c r="AB1218" i="9" s="1"/>
  <c r="X1154" i="9"/>
  <c r="AB1154" i="9" s="1"/>
  <c r="X1090" i="9"/>
  <c r="AB1090" i="9" s="1"/>
  <c r="X1026" i="9"/>
  <c r="AB1026" i="9" s="1"/>
  <c r="X962" i="9"/>
  <c r="AB962" i="9" s="1"/>
  <c r="X898" i="9"/>
  <c r="AB898" i="9" s="1"/>
  <c r="X834" i="9"/>
  <c r="AB834" i="9" s="1"/>
  <c r="X770" i="9"/>
  <c r="AB770" i="9" s="1"/>
  <c r="X706" i="9"/>
  <c r="AB706" i="9" s="1"/>
  <c r="X638" i="9"/>
  <c r="AB638" i="9" s="1"/>
  <c r="X574" i="9"/>
  <c r="AB574" i="9" s="1"/>
  <c r="X510" i="9"/>
  <c r="AB510" i="9" s="1"/>
  <c r="X446" i="9"/>
  <c r="AB446" i="9" s="1"/>
  <c r="X382" i="9"/>
  <c r="AB382" i="9" s="1"/>
  <c r="X318" i="9"/>
  <c r="AB318" i="9" s="1"/>
  <c r="X254" i="9"/>
  <c r="AB254" i="9" s="1"/>
  <c r="X190" i="9"/>
  <c r="AB190" i="9" s="1"/>
  <c r="X126" i="9"/>
  <c r="AB126" i="9" s="1"/>
  <c r="X62" i="9"/>
  <c r="X2495" i="9"/>
  <c r="AB2495" i="9" s="1"/>
  <c r="X2431" i="9"/>
  <c r="AB2431" i="9" s="1"/>
  <c r="X2367" i="9"/>
  <c r="AB2367" i="9" s="1"/>
  <c r="X2279" i="9"/>
  <c r="AB2279" i="9" s="1"/>
  <c r="X2143" i="9"/>
  <c r="AB2143" i="9" s="1"/>
  <c r="X2079" i="9"/>
  <c r="X1991" i="9"/>
  <c r="AB1991" i="9" s="1"/>
  <c r="X1927" i="9"/>
  <c r="AB1927" i="9" s="1"/>
  <c r="X1843" i="9"/>
  <c r="AB1843" i="9" s="1"/>
  <c r="X1715" i="9"/>
  <c r="AB1715" i="9" s="1"/>
  <c r="X1583" i="9"/>
  <c r="AB1583" i="9" s="1"/>
  <c r="X1471" i="9"/>
  <c r="X1391" i="9"/>
  <c r="AB1391" i="9" s="1"/>
  <c r="X1267" i="9"/>
  <c r="AB1267" i="9" s="1"/>
  <c r="X1155" i="9"/>
  <c r="AB1155" i="9" s="1"/>
  <c r="X1059" i="9"/>
  <c r="AB1059" i="9" s="1"/>
  <c r="X927" i="9"/>
  <c r="AB927" i="9" s="1"/>
  <c r="X759" i="9"/>
  <c r="AB759" i="9" s="1"/>
  <c r="X391" i="9"/>
  <c r="AB391" i="9" s="1"/>
  <c r="X291" i="9"/>
  <c r="X183" i="9"/>
  <c r="AB183" i="9" s="1"/>
  <c r="X2501" i="9"/>
  <c r="AB2501" i="9" s="1"/>
  <c r="X2437" i="9"/>
  <c r="AB2437" i="9" s="1"/>
  <c r="X2373" i="9"/>
  <c r="AB2373" i="9" s="1"/>
  <c r="X2309" i="9"/>
  <c r="AB2309" i="9" s="1"/>
  <c r="X2245" i="9"/>
  <c r="AB2245" i="9" s="1"/>
  <c r="X2181" i="9"/>
  <c r="AB2181" i="9" s="1"/>
  <c r="X2117" i="9"/>
  <c r="AB2117" i="9" s="1"/>
  <c r="X2053" i="9"/>
  <c r="AB2053" i="9" s="1"/>
  <c r="X1989" i="9"/>
  <c r="X1925" i="9"/>
  <c r="AB1925" i="9" s="1"/>
  <c r="X1861" i="9"/>
  <c r="X1797" i="9"/>
  <c r="AB1797" i="9" s="1"/>
  <c r="X1733" i="9"/>
  <c r="AB1733" i="9" s="1"/>
  <c r="X1669" i="9"/>
  <c r="AB1669" i="9" s="1"/>
  <c r="X1605" i="9"/>
  <c r="AB1605" i="9" s="1"/>
  <c r="X1541" i="9"/>
  <c r="AB1541" i="9" s="1"/>
  <c r="X1477" i="9"/>
  <c r="X1413" i="9"/>
  <c r="AB1413" i="9" s="1"/>
  <c r="X1349" i="9"/>
  <c r="X1285" i="9"/>
  <c r="AB1285" i="9" s="1"/>
  <c r="X721" i="9"/>
  <c r="AB721" i="9" s="1"/>
  <c r="X657" i="9"/>
  <c r="AB657" i="9" s="1"/>
  <c r="X593" i="9"/>
  <c r="X529" i="9"/>
  <c r="AB529" i="9" s="1"/>
  <c r="X465" i="9"/>
  <c r="AB465" i="9" s="1"/>
  <c r="X401" i="9"/>
  <c r="AB401" i="9" s="1"/>
  <c r="X337" i="9"/>
  <c r="AB337" i="9" s="1"/>
  <c r="X273" i="9"/>
  <c r="AB273" i="9" s="1"/>
  <c r="X209" i="9"/>
  <c r="AB209" i="9" s="1"/>
  <c r="X145" i="9"/>
  <c r="AB145" i="9" s="1"/>
  <c r="X81" i="9"/>
  <c r="AB81" i="9" s="1"/>
  <c r="X17" i="9"/>
  <c r="AB17" i="9" s="1"/>
  <c r="X2468" i="9"/>
  <c r="AB2468" i="9" s="1"/>
  <c r="X2420" i="9"/>
  <c r="AB2420" i="9" s="1"/>
  <c r="X2364" i="9"/>
  <c r="AB2364" i="9" s="1"/>
  <c r="X2308" i="9"/>
  <c r="AB2308" i="9" s="1"/>
  <c r="X2260" i="9"/>
  <c r="AB2260" i="9" s="1"/>
  <c r="X2212" i="9"/>
  <c r="AB2212" i="9" s="1"/>
  <c r="X2164" i="9"/>
  <c r="AB2164" i="9" s="1"/>
  <c r="X2108" i="9"/>
  <c r="AB2108" i="9" s="1"/>
  <c r="X2052" i="9"/>
  <c r="AB2052" i="9" s="1"/>
  <c r="X2004" i="9"/>
  <c r="AB2004" i="9" s="1"/>
  <c r="X1956" i="9"/>
  <c r="X1908" i="9"/>
  <c r="AB1908" i="9" s="1"/>
  <c r="X1852" i="9"/>
  <c r="AB1852" i="9" s="1"/>
  <c r="X1796" i="9"/>
  <c r="AB1796" i="9" s="1"/>
  <c r="X1748" i="9"/>
  <c r="AB1748" i="9" s="1"/>
  <c r="X1700" i="9"/>
  <c r="AB1700" i="9" s="1"/>
  <c r="X1652" i="9"/>
  <c r="X1596" i="9"/>
  <c r="AB1596" i="9" s="1"/>
  <c r="X1540" i="9"/>
  <c r="AB1540" i="9" s="1"/>
  <c r="X1492" i="9"/>
  <c r="AB1492" i="9" s="1"/>
  <c r="X1444" i="9"/>
  <c r="AB1444" i="9" s="1"/>
  <c r="X1396" i="9"/>
  <c r="AB1396" i="9" s="1"/>
  <c r="X1340" i="9"/>
  <c r="X1284" i="9"/>
  <c r="AB1284" i="9" s="1"/>
  <c r="X1232" i="9"/>
  <c r="AB1232" i="9" s="1"/>
  <c r="X1168" i="9"/>
  <c r="AB1168" i="9" s="1"/>
  <c r="X1104" i="9"/>
  <c r="X1040" i="9"/>
  <c r="AB1040" i="9" s="1"/>
  <c r="X976" i="9"/>
  <c r="AB976" i="9" s="1"/>
  <c r="X912" i="9"/>
  <c r="AB912" i="9" s="1"/>
  <c r="X848" i="9"/>
  <c r="X784" i="9"/>
  <c r="AB784" i="9" s="1"/>
  <c r="X720" i="9"/>
  <c r="X656" i="9"/>
  <c r="AB656" i="9" s="1"/>
  <c r="X592" i="9"/>
  <c r="AB592" i="9" s="1"/>
  <c r="X528" i="9"/>
  <c r="AB528" i="9" s="1"/>
  <c r="X464" i="9"/>
  <c r="AB464" i="9" s="1"/>
  <c r="X400" i="9"/>
  <c r="AB400" i="9" s="1"/>
  <c r="X336" i="9"/>
  <c r="X276" i="9"/>
  <c r="AB276" i="9" s="1"/>
  <c r="X244" i="9"/>
  <c r="X212" i="9"/>
  <c r="AB212" i="9" s="1"/>
  <c r="X180" i="9"/>
  <c r="X148" i="9"/>
  <c r="AB148" i="9" s="1"/>
  <c r="X116" i="9"/>
  <c r="AB116" i="9" s="1"/>
  <c r="X84" i="9"/>
  <c r="AB84" i="9" s="1"/>
  <c r="X52" i="9"/>
  <c r="AB52" i="9" s="1"/>
  <c r="X20" i="9"/>
  <c r="AB20" i="9" s="1"/>
  <c r="X1224" i="9"/>
  <c r="X1000" i="9"/>
  <c r="AB1000" i="9" s="1"/>
  <c r="X744" i="9"/>
  <c r="X680" i="9"/>
  <c r="AB680" i="9" s="1"/>
  <c r="X604" i="9"/>
  <c r="AB604" i="9" s="1"/>
  <c r="X504" i="9"/>
  <c r="AB504" i="9" s="1"/>
  <c r="X440" i="9"/>
  <c r="X328" i="9"/>
  <c r="AB328" i="9" s="1"/>
  <c r="X236" i="9"/>
  <c r="AB236" i="9" s="1"/>
  <c r="X60" i="9"/>
  <c r="AB60" i="9" s="1"/>
  <c r="X2443" i="9"/>
  <c r="X2315" i="9"/>
  <c r="AB2315" i="9" s="1"/>
  <c r="X2215" i="9"/>
  <c r="AB2215" i="9" s="1"/>
  <c r="X2091" i="9"/>
  <c r="AB2091" i="9" s="1"/>
  <c r="X1963" i="9"/>
  <c r="AB1963" i="9" s="1"/>
  <c r="X1667" i="9"/>
  <c r="AB1667" i="9" s="1"/>
  <c r="X1539" i="9"/>
  <c r="X1411" i="9"/>
  <c r="AB1411" i="9" s="1"/>
  <c r="X1175" i="9"/>
  <c r="AB1175" i="9" s="1"/>
  <c r="X1047" i="9"/>
  <c r="AB1047" i="9" s="1"/>
  <c r="X907" i="9"/>
  <c r="AB907" i="9" s="1"/>
  <c r="X763" i="9"/>
  <c r="AB763" i="9" s="1"/>
  <c r="X671" i="9"/>
  <c r="X575" i="9"/>
  <c r="AB575" i="9" s="1"/>
  <c r="X447" i="9"/>
  <c r="AB447" i="9" s="1"/>
  <c r="X327" i="9"/>
  <c r="AB327" i="9" s="1"/>
  <c r="X231" i="9"/>
  <c r="X115" i="9"/>
  <c r="AB115" i="9" s="1"/>
  <c r="X2478" i="9"/>
  <c r="AB2478" i="9" s="1"/>
  <c r="X2414" i="9"/>
  <c r="AB2414" i="9" s="1"/>
  <c r="X2350" i="9"/>
  <c r="AB2350" i="9" s="1"/>
  <c r="X2286" i="9"/>
  <c r="AB2286" i="9" s="1"/>
  <c r="X2222" i="9"/>
  <c r="X2158" i="9"/>
  <c r="AB2158" i="9" s="1"/>
  <c r="X2094" i="9"/>
  <c r="AB2094" i="9" s="1"/>
  <c r="X2030" i="9"/>
  <c r="AB2030" i="9" s="1"/>
  <c r="X1966" i="9"/>
  <c r="AB1966" i="9" s="1"/>
  <c r="X1902" i="9"/>
  <c r="AB1902" i="9" s="1"/>
  <c r="X1838" i="9"/>
  <c r="X1774" i="9"/>
  <c r="AB1774" i="9" s="1"/>
  <c r="X1710" i="9"/>
  <c r="AB1710" i="9" s="1"/>
  <c r="X1646" i="9"/>
  <c r="AB1646" i="9" s="1"/>
  <c r="X1582" i="9"/>
  <c r="X1518" i="9"/>
  <c r="AB1518" i="9" s="1"/>
  <c r="X1454" i="9"/>
  <c r="AB1454" i="9" s="1"/>
  <c r="X1390" i="9"/>
  <c r="AB1390" i="9" s="1"/>
  <c r="X1326" i="9"/>
  <c r="X1262" i="9"/>
  <c r="AB1262" i="9" s="1"/>
  <c r="X1222" i="9"/>
  <c r="X1190" i="9"/>
  <c r="AB1190" i="9" s="1"/>
  <c r="X1158" i="9"/>
  <c r="AB1158" i="9" s="1"/>
  <c r="X1126" i="9"/>
  <c r="AB1126" i="9" s="1"/>
  <c r="X1094" i="9"/>
  <c r="AB1094" i="9" s="1"/>
  <c r="X1062" i="9"/>
  <c r="AB1062" i="9" s="1"/>
  <c r="X1030" i="9"/>
  <c r="X998" i="9"/>
  <c r="AB998" i="9" s="1"/>
  <c r="X966" i="9"/>
  <c r="X934" i="9"/>
  <c r="AB934" i="9" s="1"/>
  <c r="X902" i="9"/>
  <c r="X870" i="9"/>
  <c r="AB870" i="9" s="1"/>
  <c r="X838" i="9"/>
  <c r="AB838" i="9" s="1"/>
  <c r="X806" i="9"/>
  <c r="AB806" i="9" s="1"/>
  <c r="X774" i="9"/>
  <c r="AB774" i="9" s="1"/>
  <c r="X742" i="9"/>
  <c r="AB742" i="9" s="1"/>
  <c r="X678" i="9"/>
  <c r="X610" i="9"/>
  <c r="AB610" i="9" s="1"/>
  <c r="X546" i="9"/>
  <c r="X482" i="9"/>
  <c r="AB482" i="9" s="1"/>
  <c r="X418" i="9"/>
  <c r="AB418" i="9" s="1"/>
  <c r="X354" i="9"/>
  <c r="AB354" i="9" s="1"/>
  <c r="X290" i="9"/>
  <c r="X234" i="9"/>
  <c r="AB234" i="9" s="1"/>
  <c r="X170" i="9"/>
  <c r="AB170" i="9" s="1"/>
  <c r="X106" i="9"/>
  <c r="AB106" i="9" s="1"/>
  <c r="X42" i="9"/>
  <c r="X2447" i="9"/>
  <c r="AB2447" i="9" s="1"/>
  <c r="X2319" i="9"/>
  <c r="X2159" i="9"/>
  <c r="AB2159" i="9" s="1"/>
  <c r="X2031" i="9"/>
  <c r="AB2031" i="9" s="1"/>
  <c r="X1903" i="9"/>
  <c r="AB1903" i="9" s="1"/>
  <c r="X1787" i="9"/>
  <c r="X1755" i="9"/>
  <c r="AB1755" i="9" s="1"/>
  <c r="X1655" i="9"/>
  <c r="AB1655" i="9" s="1"/>
  <c r="X1527" i="9"/>
  <c r="AB1527" i="9" s="1"/>
  <c r="X1399" i="9"/>
  <c r="X871" i="9"/>
  <c r="AB871" i="9" s="1"/>
  <c r="X731" i="9"/>
  <c r="X651" i="9"/>
  <c r="AB651" i="9" s="1"/>
  <c r="X563" i="9"/>
  <c r="AB563" i="9" s="1"/>
  <c r="X435" i="9"/>
  <c r="AB435" i="9" s="1"/>
  <c r="X251" i="9"/>
  <c r="X175" i="9"/>
  <c r="AB175" i="9" s="1"/>
  <c r="X79" i="9"/>
  <c r="X2489" i="9"/>
  <c r="AB2489" i="9" s="1"/>
  <c r="X2425" i="9"/>
  <c r="AB2425" i="9" s="1"/>
  <c r="X2361" i="9"/>
  <c r="AB2361" i="9" s="1"/>
  <c r="X2297" i="9"/>
  <c r="X2233" i="9"/>
  <c r="AB2233" i="9" s="1"/>
  <c r="X2169" i="9"/>
  <c r="AB2169" i="9" s="1"/>
  <c r="X2105" i="9"/>
  <c r="AB2105" i="9" s="1"/>
  <c r="X2041" i="9"/>
  <c r="X1977" i="9"/>
  <c r="AB1977" i="9" s="1"/>
  <c r="X1913" i="9"/>
  <c r="X1849" i="9"/>
  <c r="AB1849" i="9" s="1"/>
  <c r="X1785" i="9"/>
  <c r="AB1785" i="9" s="1"/>
  <c r="X1721" i="9"/>
  <c r="AB1721" i="9" s="1"/>
  <c r="X1657" i="9"/>
  <c r="X1593" i="9"/>
  <c r="AB1593" i="9" s="1"/>
  <c r="X1529" i="9"/>
  <c r="X1465" i="9"/>
  <c r="AB1465" i="9" s="1"/>
  <c r="X1401" i="9"/>
  <c r="X1337" i="9"/>
  <c r="AB1337" i="9" s="1"/>
  <c r="X1273" i="9"/>
  <c r="X1225" i="9"/>
  <c r="AB1225" i="9" s="1"/>
  <c r="X1193" i="9"/>
  <c r="AB1193" i="9" s="1"/>
  <c r="X1161" i="9"/>
  <c r="AB1161" i="9" s="1"/>
  <c r="X1129" i="9"/>
  <c r="X1097" i="9"/>
  <c r="AB1097" i="9" s="1"/>
  <c r="X1065" i="9"/>
  <c r="X1033" i="9"/>
  <c r="AB1033" i="9" s="1"/>
  <c r="X1001" i="9"/>
  <c r="X969" i="9"/>
  <c r="AB969" i="9" s="1"/>
  <c r="X937" i="9"/>
  <c r="X905" i="9"/>
  <c r="AB905" i="9" s="1"/>
  <c r="X873" i="9"/>
  <c r="X841" i="9"/>
  <c r="AB841" i="9" s="1"/>
  <c r="X809" i="9"/>
  <c r="AB809" i="9" s="1"/>
  <c r="X777" i="9"/>
  <c r="AB777" i="9" s="1"/>
  <c r="X745" i="9"/>
  <c r="X709" i="9"/>
  <c r="AB709" i="9" s="1"/>
  <c r="X665" i="9"/>
  <c r="X629" i="9"/>
  <c r="AB629" i="9" s="1"/>
  <c r="X581" i="9"/>
  <c r="X537" i="9"/>
  <c r="AB537" i="9" s="1"/>
  <c r="X501" i="9"/>
  <c r="X453" i="9"/>
  <c r="AB453" i="9" s="1"/>
  <c r="X409" i="9"/>
  <c r="AB409" i="9" s="1"/>
  <c r="X373" i="9"/>
  <c r="AB373" i="9" s="1"/>
  <c r="X325" i="9"/>
  <c r="X281" i="9"/>
  <c r="AB281" i="9" s="1"/>
  <c r="X249" i="9"/>
  <c r="X217" i="9"/>
  <c r="AB217" i="9" s="1"/>
  <c r="X185" i="9"/>
  <c r="AB185" i="9" s="1"/>
  <c r="X153" i="9"/>
  <c r="AB153" i="9" s="1"/>
  <c r="X121" i="9"/>
  <c r="X89" i="9"/>
  <c r="AB89" i="9" s="1"/>
  <c r="X57" i="9"/>
  <c r="AB57" i="9" s="1"/>
  <c r="X25" i="9"/>
  <c r="AB25" i="9" s="1"/>
  <c r="X2488" i="9"/>
  <c r="X2424" i="9"/>
  <c r="AB2424" i="9" s="1"/>
  <c r="X2360" i="9"/>
  <c r="X2296" i="9"/>
  <c r="AB2296" i="9" s="1"/>
  <c r="X2232" i="9"/>
  <c r="AB2232" i="9" s="1"/>
  <c r="X2168" i="9"/>
  <c r="AB2168" i="9" s="1"/>
  <c r="X2104" i="9"/>
  <c r="X2040" i="9"/>
  <c r="AB2040" i="9" s="1"/>
  <c r="X1976" i="9"/>
  <c r="X1912" i="9"/>
  <c r="AB1912" i="9" s="1"/>
  <c r="X1848" i="9"/>
  <c r="AB1848" i="9" s="1"/>
  <c r="X1784" i="9"/>
  <c r="AB1784" i="9" s="1"/>
  <c r="X1720" i="9"/>
  <c r="X1656" i="9"/>
  <c r="AB1656" i="9" s="1"/>
  <c r="X1592" i="9"/>
  <c r="AB1592" i="9" s="1"/>
  <c r="X1528" i="9"/>
  <c r="AB1528" i="9" s="1"/>
  <c r="X1464" i="9"/>
  <c r="X1400" i="9"/>
  <c r="AB1400" i="9" s="1"/>
  <c r="X1336" i="9"/>
  <c r="X1272" i="9"/>
  <c r="AB1272" i="9" s="1"/>
  <c r="X1220" i="9"/>
  <c r="AB1220" i="9" s="1"/>
  <c r="X1156" i="9"/>
  <c r="AB1156" i="9" s="1"/>
  <c r="X1092" i="9"/>
  <c r="X1028" i="9"/>
  <c r="AB1028" i="9" s="1"/>
  <c r="X964" i="9"/>
  <c r="X900" i="9"/>
  <c r="AB900" i="9" s="1"/>
  <c r="X836" i="9"/>
  <c r="X772" i="9"/>
  <c r="AB772" i="9" s="1"/>
  <c r="X708" i="9"/>
  <c r="X644" i="9"/>
  <c r="AB644" i="9" s="1"/>
  <c r="X580" i="9"/>
  <c r="AB580" i="9" s="1"/>
  <c r="X516" i="9"/>
  <c r="AB516" i="9" s="1"/>
  <c r="X452" i="9"/>
  <c r="X388" i="9"/>
  <c r="AB388" i="9" s="1"/>
  <c r="X324" i="9"/>
  <c r="X1144" i="9"/>
  <c r="AB1144" i="9" s="1"/>
  <c r="X936" i="9"/>
  <c r="X792" i="9"/>
  <c r="AB792" i="9" s="1"/>
  <c r="X712" i="9"/>
  <c r="X632" i="9"/>
  <c r="AB632" i="9" s="1"/>
  <c r="X476" i="9"/>
  <c r="X412" i="9"/>
  <c r="AB412" i="9" s="1"/>
  <c r="X296" i="9"/>
  <c r="AB296" i="9" s="1"/>
  <c r="X204" i="9"/>
  <c r="AB204" i="9" s="1"/>
  <c r="X152" i="9"/>
  <c r="X88" i="9"/>
  <c r="AB88" i="9" s="1"/>
  <c r="X2483" i="9"/>
  <c r="X2355" i="9"/>
  <c r="AB2355" i="9" s="1"/>
  <c r="X2227" i="9"/>
  <c r="X2131" i="9"/>
  <c r="AB2131" i="9" s="1"/>
  <c r="X2003" i="9"/>
  <c r="X1875" i="9"/>
  <c r="AB1875" i="9" s="1"/>
  <c r="X1823" i="9"/>
  <c r="AB1823" i="9" s="1"/>
  <c r="X1735" i="9"/>
  <c r="AB1735" i="9" s="1"/>
  <c r="X1611" i="9"/>
  <c r="X1483" i="9"/>
  <c r="AB1483" i="9" s="1"/>
  <c r="X1311" i="9"/>
  <c r="X1215" i="9"/>
  <c r="AB1215" i="9" s="1"/>
  <c r="X1087" i="9"/>
  <c r="AB1087" i="9" s="1"/>
  <c r="X955" i="9"/>
  <c r="AB955" i="9" s="1"/>
  <c r="X839" i="9"/>
  <c r="X679" i="9"/>
  <c r="AB679" i="9" s="1"/>
  <c r="X579" i="9"/>
  <c r="AB579" i="9" s="1"/>
  <c r="X455" i="9"/>
  <c r="AB455" i="9" s="1"/>
  <c r="X271" i="9"/>
  <c r="X91" i="9"/>
  <c r="AB91" i="9" s="1"/>
  <c r="X19" i="9"/>
  <c r="X2450" i="9"/>
  <c r="AB2450" i="9" s="1"/>
  <c r="X2386" i="9"/>
  <c r="AB2386" i="9" s="1"/>
  <c r="X2322" i="9"/>
  <c r="AB2322" i="9" s="1"/>
  <c r="X2258" i="9"/>
  <c r="X2194" i="9"/>
  <c r="AB2194" i="9" s="1"/>
  <c r="X2130" i="9"/>
  <c r="X2066" i="9"/>
  <c r="AB2066" i="9" s="1"/>
  <c r="X2002" i="9"/>
  <c r="AB2002" i="9" s="1"/>
  <c r="X1938" i="9"/>
  <c r="AB1938" i="9" s="1"/>
  <c r="X1874" i="9"/>
  <c r="X1810" i="9"/>
  <c r="AB1810" i="9" s="1"/>
  <c r="X1746" i="9"/>
  <c r="AB1746" i="9" s="1"/>
  <c r="X1682" i="9"/>
  <c r="AB1682" i="9" s="1"/>
  <c r="X1618" i="9"/>
  <c r="X1554" i="9"/>
  <c r="AB1554" i="9" s="1"/>
  <c r="X1490" i="9"/>
  <c r="X1426" i="9"/>
  <c r="AB1426" i="9" s="1"/>
  <c r="X1362" i="9"/>
  <c r="AB1362" i="9" s="1"/>
  <c r="X1298" i="9"/>
  <c r="AB1298" i="9" s="1"/>
  <c r="X730" i="9"/>
  <c r="X662" i="9"/>
  <c r="AB662" i="9" s="1"/>
  <c r="X598" i="9"/>
  <c r="X534" i="9"/>
  <c r="AB534" i="9" s="1"/>
  <c r="X470" i="9"/>
  <c r="X406" i="9"/>
  <c r="AB406" i="9" s="1"/>
  <c r="X342" i="9"/>
  <c r="X278" i="9"/>
  <c r="AB278" i="9" s="1"/>
  <c r="X214" i="9"/>
  <c r="AB214" i="9" s="1"/>
  <c r="X150" i="9"/>
  <c r="AB150" i="9" s="1"/>
  <c r="X86" i="9"/>
  <c r="X22" i="9"/>
  <c r="AB22" i="9" s="1"/>
  <c r="X2391" i="9"/>
  <c r="AB2391" i="9" s="1"/>
  <c r="X2295" i="9"/>
  <c r="AB2295" i="9" s="1"/>
  <c r="X2199" i="9"/>
  <c r="X2071" i="9"/>
  <c r="AB2071" i="9" s="1"/>
  <c r="X1975" i="9"/>
  <c r="AB1975" i="9" s="1"/>
  <c r="X1859" i="9"/>
  <c r="AB1859" i="9" s="1"/>
  <c r="X1731" i="9"/>
  <c r="X1283" i="9"/>
  <c r="AB1283" i="9" s="1"/>
  <c r="X1171" i="9"/>
  <c r="X1043" i="9"/>
  <c r="AB1043" i="9" s="1"/>
  <c r="X911" i="9"/>
  <c r="AB911" i="9" s="1"/>
  <c r="X803" i="9"/>
  <c r="AB803" i="9" s="1"/>
  <c r="X715" i="9"/>
  <c r="AB715" i="9" s="1"/>
  <c r="X611" i="9"/>
  <c r="AB611" i="9" s="1"/>
  <c r="X523" i="9"/>
  <c r="X443" i="9"/>
  <c r="AB443" i="9" s="1"/>
  <c r="X339" i="9"/>
  <c r="AB339" i="9" s="1"/>
  <c r="X195" i="9"/>
  <c r="AB195" i="9" s="1"/>
  <c r="X63" i="9"/>
  <c r="X2493" i="9"/>
  <c r="AB2493" i="9" s="1"/>
  <c r="X2429" i="9"/>
  <c r="X2365" i="9"/>
  <c r="AB2365" i="9" s="1"/>
  <c r="X2301" i="9"/>
  <c r="X2237" i="9"/>
  <c r="AB2237" i="9" s="1"/>
  <c r="X2173" i="9"/>
  <c r="X2109" i="9"/>
  <c r="AB2109" i="9" s="1"/>
  <c r="X2045" i="9"/>
  <c r="AB2045" i="9" s="1"/>
  <c r="X1981" i="9"/>
  <c r="AB1981" i="9" s="1"/>
  <c r="X1917" i="9"/>
  <c r="AB1917" i="9" s="1"/>
  <c r="X1853" i="9"/>
  <c r="AB1853" i="9" s="1"/>
  <c r="X1789" i="9"/>
  <c r="X1725" i="9"/>
  <c r="AB1725" i="9" s="1"/>
  <c r="X1661" i="9"/>
  <c r="AB1661" i="9" s="1"/>
  <c r="X1597" i="9"/>
  <c r="AB1597" i="9" s="1"/>
  <c r="X1533" i="9"/>
  <c r="X1469" i="9"/>
  <c r="AB1469" i="9" s="1"/>
  <c r="X1405" i="9"/>
  <c r="AB1405" i="9" s="1"/>
  <c r="X1341" i="9"/>
  <c r="AB1341" i="9" s="1"/>
  <c r="X1277" i="9"/>
  <c r="X681" i="9"/>
  <c r="AB681" i="9" s="1"/>
  <c r="X553" i="9"/>
  <c r="X425" i="9"/>
  <c r="AB425" i="9" s="1"/>
  <c r="X297" i="9"/>
  <c r="AB297" i="9" s="1"/>
  <c r="X2427" i="9"/>
  <c r="AB2427" i="9" s="1"/>
  <c r="X2395" i="9"/>
  <c r="AB2395" i="9" s="1"/>
  <c r="X2299" i="9"/>
  <c r="AB2299" i="9" s="1"/>
  <c r="X2267" i="9"/>
  <c r="X1743" i="9"/>
  <c r="AB1743" i="9" s="1"/>
  <c r="X1619" i="9"/>
  <c r="AB1619" i="9" s="1"/>
  <c r="X1491" i="9"/>
  <c r="AB1491" i="9" s="1"/>
  <c r="X1359" i="9"/>
  <c r="X1223" i="9"/>
  <c r="AB1223" i="9" s="1"/>
  <c r="X1095" i="9"/>
  <c r="X971" i="9"/>
  <c r="AB971" i="9" s="1"/>
  <c r="X867" i="9"/>
  <c r="X755" i="9"/>
  <c r="AB755" i="9" s="1"/>
  <c r="X615" i="9"/>
  <c r="X463" i="9"/>
  <c r="AB463" i="9" s="1"/>
  <c r="X343" i="9"/>
  <c r="AB343" i="9" s="1"/>
  <c r="X163" i="9"/>
  <c r="AB163" i="9" s="1"/>
  <c r="X47" i="9"/>
  <c r="AB47" i="9" s="1"/>
  <c r="X2470" i="9"/>
  <c r="AB2470" i="9" s="1"/>
  <c r="X2406" i="9"/>
  <c r="X2342" i="9"/>
  <c r="AB2342" i="9" s="1"/>
  <c r="X2278" i="9"/>
  <c r="AB2278" i="9" s="1"/>
  <c r="X2214" i="9"/>
  <c r="AB2214" i="9" s="1"/>
  <c r="X2150" i="9"/>
  <c r="X2086" i="9"/>
  <c r="AB2086" i="9" s="1"/>
  <c r="X2022" i="9"/>
  <c r="AB2022" i="9" s="1"/>
  <c r="X1958" i="9"/>
  <c r="AB1958" i="9" s="1"/>
  <c r="X1894" i="9"/>
  <c r="X1830" i="9"/>
  <c r="AB1830" i="9" s="1"/>
  <c r="X1766" i="9"/>
  <c r="X1702" i="9"/>
  <c r="AB1702" i="9" s="1"/>
  <c r="X1638" i="9"/>
  <c r="AB1638" i="9" s="1"/>
  <c r="X1574" i="9"/>
  <c r="AB1574" i="9" s="1"/>
  <c r="X1510" i="9"/>
  <c r="AB1510" i="9" s="1"/>
  <c r="X1446" i="9"/>
  <c r="AB1446" i="9" s="1"/>
  <c r="X1382" i="9"/>
  <c r="AB1382" i="9" s="1"/>
  <c r="X1318" i="9"/>
  <c r="AB1318" i="9" s="1"/>
  <c r="X1254" i="9"/>
  <c r="X1182" i="9"/>
  <c r="AB1182" i="9" s="1"/>
  <c r="X1118" i="9"/>
  <c r="AB1118" i="9" s="1"/>
  <c r="X1054" i="9"/>
  <c r="AB1054" i="9" s="1"/>
  <c r="X990" i="9"/>
  <c r="X926" i="9"/>
  <c r="AB926" i="9" s="1"/>
  <c r="X862" i="9"/>
  <c r="AB862" i="9" s="1"/>
  <c r="X798" i="9"/>
  <c r="AB798" i="9" s="1"/>
  <c r="X734" i="9"/>
  <c r="X670" i="9"/>
  <c r="AB670" i="9" s="1"/>
  <c r="X618" i="9"/>
  <c r="AB618" i="9" s="1"/>
  <c r="X554" i="9"/>
  <c r="AB554" i="9" s="1"/>
  <c r="X490" i="9"/>
  <c r="AB490" i="9" s="1"/>
  <c r="X426" i="9"/>
  <c r="AB426" i="9" s="1"/>
  <c r="X362" i="9"/>
  <c r="AB362" i="9" s="1"/>
  <c r="X298" i="9"/>
  <c r="AB298" i="9" s="1"/>
  <c r="X226" i="9"/>
  <c r="X162" i="9"/>
  <c r="AB162" i="9" s="1"/>
  <c r="X98" i="9"/>
  <c r="AB98" i="9" s="1"/>
  <c r="X34" i="9"/>
  <c r="AB34" i="9" s="1"/>
  <c r="X1835" i="9"/>
  <c r="AB1835" i="9" s="1"/>
  <c r="X1707" i="9"/>
  <c r="AB1707" i="9" s="1"/>
  <c r="X1663" i="9"/>
  <c r="AB1663" i="9" s="1"/>
  <c r="X1599" i="9"/>
  <c r="AB1599" i="9" s="1"/>
  <c r="X1535" i="9"/>
  <c r="X1447" i="9"/>
  <c r="AB1447" i="9" s="1"/>
  <c r="X1375" i="9"/>
  <c r="AB1375" i="9" s="1"/>
  <c r="X1259" i="9"/>
  <c r="AB1259" i="9" s="1"/>
  <c r="X1163" i="9"/>
  <c r="AB1163" i="9" s="1"/>
  <c r="X1083" i="9"/>
  <c r="AB1083" i="9" s="1"/>
  <c r="X1019" i="9"/>
  <c r="AB1019" i="9" s="1"/>
  <c r="X919" i="9"/>
  <c r="AB919" i="9" s="1"/>
  <c r="X787" i="9"/>
  <c r="X583" i="9"/>
  <c r="AB583" i="9" s="1"/>
  <c r="X459" i="9"/>
  <c r="AB459" i="9" s="1"/>
  <c r="X347" i="9"/>
  <c r="AB347" i="9" s="1"/>
  <c r="X203" i="9"/>
  <c r="X55" i="9"/>
  <c r="AB55" i="9" s="1"/>
  <c r="X2449" i="9"/>
  <c r="AB2449" i="9" s="1"/>
  <c r="X2385" i="9"/>
  <c r="AB2385" i="9" s="1"/>
  <c r="X2321" i="9"/>
  <c r="X2257" i="9"/>
  <c r="AB2257" i="9" s="1"/>
  <c r="X2193" i="9"/>
  <c r="AB2193" i="9" s="1"/>
  <c r="X2129" i="9"/>
  <c r="AB2129" i="9" s="1"/>
  <c r="X2065" i="9"/>
  <c r="AB2065" i="9" s="1"/>
  <c r="X2001" i="9"/>
  <c r="AB2001" i="9" s="1"/>
  <c r="X1937" i="9"/>
  <c r="AB1937" i="9" s="1"/>
  <c r="X1873" i="9"/>
  <c r="AB1873" i="9" s="1"/>
  <c r="X1809" i="9"/>
  <c r="AB1809" i="9" s="1"/>
  <c r="X1745" i="9"/>
  <c r="AB1745" i="9" s="1"/>
  <c r="X1681" i="9"/>
  <c r="AB1681" i="9" s="1"/>
  <c r="X1617" i="9"/>
  <c r="AB1617" i="9" s="1"/>
  <c r="X1553" i="9"/>
  <c r="AB1553" i="9" s="1"/>
  <c r="X1489" i="9"/>
  <c r="AB1489" i="9" s="1"/>
  <c r="X1425" i="9"/>
  <c r="AB1425" i="9" s="1"/>
  <c r="X1361" i="9"/>
  <c r="AB1361" i="9" s="1"/>
  <c r="X1297" i="9"/>
  <c r="X1233" i="9"/>
  <c r="AB1233" i="9" s="1"/>
  <c r="X1201" i="9"/>
  <c r="AB1201" i="9" s="1"/>
  <c r="X1169" i="9"/>
  <c r="AB1169" i="9" s="1"/>
  <c r="X1137" i="9"/>
  <c r="X1105" i="9"/>
  <c r="AB1105" i="9" s="1"/>
  <c r="X1073" i="9"/>
  <c r="AB1073" i="9" s="1"/>
  <c r="X1041" i="9"/>
  <c r="AB1041" i="9" s="1"/>
  <c r="X1009" i="9"/>
  <c r="X977" i="9"/>
  <c r="AB977" i="9" s="1"/>
  <c r="X945" i="9"/>
  <c r="AB945" i="9" s="1"/>
  <c r="X913" i="9"/>
  <c r="AB913" i="9" s="1"/>
  <c r="X881" i="9"/>
  <c r="AB881" i="9" s="1"/>
  <c r="X849" i="9"/>
  <c r="AB849" i="9" s="1"/>
  <c r="X817" i="9"/>
  <c r="AB817" i="9" s="1"/>
  <c r="X785" i="9"/>
  <c r="AB785" i="9" s="1"/>
  <c r="X753" i="9"/>
  <c r="AB753" i="9" s="1"/>
  <c r="X701" i="9"/>
  <c r="AB701" i="9" s="1"/>
  <c r="X637" i="9"/>
  <c r="AB637" i="9" s="1"/>
  <c r="X573" i="9"/>
  <c r="AB573" i="9" s="1"/>
  <c r="X509" i="9"/>
  <c r="X445" i="9"/>
  <c r="AB445" i="9" s="1"/>
  <c r="X381" i="9"/>
  <c r="AB381" i="9" s="1"/>
  <c r="X317" i="9"/>
  <c r="AB317" i="9" s="1"/>
  <c r="X253" i="9"/>
  <c r="AB253" i="9" s="1"/>
  <c r="X189" i="9"/>
  <c r="AB189" i="9" s="1"/>
  <c r="X125" i="9"/>
  <c r="AB125" i="9" s="1"/>
  <c r="X61" i="9"/>
  <c r="AB61" i="9" s="1"/>
  <c r="X2496" i="9"/>
  <c r="AB2496" i="9" s="1"/>
  <c r="X2460" i="9"/>
  <c r="AB2460" i="9" s="1"/>
  <c r="X2416" i="9"/>
  <c r="AB2416" i="9" s="1"/>
  <c r="X2384" i="9"/>
  <c r="AB2384" i="9" s="1"/>
  <c r="X2348" i="9"/>
  <c r="X2316" i="9"/>
  <c r="AB2316" i="9" s="1"/>
  <c r="X2272" i="9"/>
  <c r="AB2272" i="9" s="1"/>
  <c r="X2240" i="9"/>
  <c r="AB2240" i="9" s="1"/>
  <c r="X2204" i="9"/>
  <c r="X2160" i="9"/>
  <c r="AB2160" i="9" s="1"/>
  <c r="X2128" i="9"/>
  <c r="AB2128" i="9" s="1"/>
  <c r="X2092" i="9"/>
  <c r="AB2092" i="9" s="1"/>
  <c r="X2060" i="9"/>
  <c r="AB2060" i="9" s="1"/>
  <c r="X2016" i="9"/>
  <c r="AB2016" i="9" s="1"/>
  <c r="X1984" i="9"/>
  <c r="AB1984" i="9" s="1"/>
  <c r="X1948" i="9"/>
  <c r="AB1948" i="9" s="1"/>
  <c r="X1904" i="9"/>
  <c r="AB1904" i="9" s="1"/>
  <c r="X1872" i="9"/>
  <c r="AB1872" i="9" s="1"/>
  <c r="X1836" i="9"/>
  <c r="AB1836" i="9" s="1"/>
  <c r="X1804" i="9"/>
  <c r="AB1804" i="9" s="1"/>
  <c r="X1760" i="9"/>
  <c r="AB1760" i="9" s="1"/>
  <c r="X1728" i="9"/>
  <c r="AB1728" i="9" s="1"/>
  <c r="X1692" i="9"/>
  <c r="AB1692" i="9" s="1"/>
  <c r="X1648" i="9"/>
  <c r="AB1648" i="9" s="1"/>
  <c r="X1616" i="9"/>
  <c r="X1580" i="9"/>
  <c r="AB1580" i="9" s="1"/>
  <c r="X1548" i="9"/>
  <c r="AB1548" i="9" s="1"/>
  <c r="X1504" i="9"/>
  <c r="AB1504" i="9" s="1"/>
  <c r="X1472" i="9"/>
  <c r="AB1472" i="9" s="1"/>
  <c r="X1436" i="9"/>
  <c r="AB1436" i="9" s="1"/>
  <c r="X1392" i="9"/>
  <c r="AB1392" i="9" s="1"/>
  <c r="X1360" i="9"/>
  <c r="AB1360" i="9" s="1"/>
  <c r="X1324" i="9"/>
  <c r="AB1324" i="9" s="1"/>
  <c r="X1292" i="9"/>
  <c r="AB1292" i="9" s="1"/>
  <c r="X1248" i="9"/>
  <c r="AB1248" i="9" s="1"/>
  <c r="X1196" i="9"/>
  <c r="AB1196" i="9" s="1"/>
  <c r="X1132" i="9"/>
  <c r="X1068" i="9"/>
  <c r="AB1068" i="9" s="1"/>
  <c r="X1004" i="9"/>
  <c r="AB1004" i="9" s="1"/>
  <c r="X940" i="9"/>
  <c r="AB940" i="9" s="1"/>
  <c r="X876" i="9"/>
  <c r="X812" i="9"/>
  <c r="AB812" i="9" s="1"/>
  <c r="X748" i="9"/>
  <c r="AB748" i="9" s="1"/>
  <c r="X1064" i="9"/>
  <c r="AB1064" i="9" s="1"/>
  <c r="X888" i="9"/>
  <c r="AB888" i="9" s="1"/>
  <c r="X616" i="9"/>
  <c r="AB616" i="9" s="1"/>
  <c r="X556" i="9"/>
  <c r="AB556" i="9" s="1"/>
  <c r="X424" i="9"/>
  <c r="AB424" i="9" s="1"/>
  <c r="X332" i="9"/>
  <c r="AB332" i="9" s="1"/>
  <c r="X248" i="9"/>
  <c r="AB248" i="9" s="1"/>
  <c r="X168" i="9"/>
  <c r="AB168" i="9" s="1"/>
  <c r="X76" i="9"/>
  <c r="AB76" i="9" s="1"/>
  <c r="X2499" i="9"/>
  <c r="AB2499" i="9" s="1"/>
  <c r="X2371" i="9"/>
  <c r="AB2371" i="9" s="1"/>
  <c r="X2243" i="9"/>
  <c r="AB2243" i="9" s="1"/>
  <c r="X2083" i="9"/>
  <c r="AB2083" i="9" s="1"/>
  <c r="X1955" i="9"/>
  <c r="X1815" i="9"/>
  <c r="AB1815" i="9" s="1"/>
  <c r="X1719" i="9"/>
  <c r="AB1719" i="9" s="1"/>
  <c r="X1691" i="9"/>
  <c r="AB1691" i="9" s="1"/>
  <c r="X1595" i="9"/>
  <c r="AB1595" i="9" s="1"/>
  <c r="X1563" i="9"/>
  <c r="AB1563" i="9" s="1"/>
  <c r="X1467" i="9"/>
  <c r="AB1467" i="9" s="1"/>
  <c r="X1435" i="9"/>
  <c r="AB1435" i="9" s="1"/>
  <c r="X1367" i="9"/>
  <c r="AB1367" i="9" s="1"/>
  <c r="X1239" i="9"/>
  <c r="AB1239" i="9" s="1"/>
  <c r="X1135" i="9"/>
  <c r="AB1135" i="9" s="1"/>
  <c r="X1007" i="9"/>
  <c r="AB1007" i="9" s="1"/>
  <c r="X883" i="9"/>
  <c r="X779" i="9"/>
  <c r="AB779" i="9" s="1"/>
  <c r="X623" i="9"/>
  <c r="AB623" i="9" s="1"/>
  <c r="X503" i="9"/>
  <c r="AB503" i="9" s="1"/>
  <c r="X395" i="9"/>
  <c r="X319" i="9"/>
  <c r="AB319" i="9" s="1"/>
  <c r="X223" i="9"/>
  <c r="AB223" i="9" s="1"/>
  <c r="X107" i="9"/>
  <c r="AB107" i="9" s="1"/>
  <c r="X2442" i="9"/>
  <c r="AB2442" i="9" s="1"/>
  <c r="X2378" i="9"/>
  <c r="AB2378" i="9" s="1"/>
  <c r="X2314" i="9"/>
  <c r="AB2314" i="9" s="1"/>
  <c r="X2250" i="9"/>
  <c r="AB2250" i="9" s="1"/>
  <c r="X2186" i="9"/>
  <c r="AB2186" i="9" s="1"/>
  <c r="X2122" i="9"/>
  <c r="AB2122" i="9" s="1"/>
  <c r="X2058" i="9"/>
  <c r="AB2058" i="9" s="1"/>
  <c r="X1994" i="9"/>
  <c r="AB1994" i="9" s="1"/>
  <c r="X1930" i="9"/>
  <c r="AB1930" i="9" s="1"/>
  <c r="X1866" i="9"/>
  <c r="AB1866" i="9" s="1"/>
  <c r="X1802" i="9"/>
  <c r="AB1802" i="9" s="1"/>
  <c r="X1738" i="9"/>
  <c r="AB1738" i="9" s="1"/>
  <c r="X1674" i="9"/>
  <c r="X1610" i="9"/>
  <c r="AB1610" i="9" s="1"/>
  <c r="X1546" i="9"/>
  <c r="AB1546" i="9" s="1"/>
  <c r="X1482" i="9"/>
  <c r="AB1482" i="9" s="1"/>
  <c r="X1418" i="9"/>
  <c r="AB1418" i="9" s="1"/>
  <c r="X1354" i="9"/>
  <c r="AB1354" i="9" s="1"/>
  <c r="X1290" i="9"/>
  <c r="AB1290" i="9" s="1"/>
  <c r="X1234" i="9"/>
  <c r="AB1234" i="9" s="1"/>
  <c r="X1170" i="9"/>
  <c r="AB1170" i="9" s="1"/>
  <c r="X1106" i="9"/>
  <c r="AB1106" i="9" s="1"/>
  <c r="X1042" i="9"/>
  <c r="AB1042" i="9" s="1"/>
  <c r="X978" i="9"/>
  <c r="AB978" i="9" s="1"/>
  <c r="X914" i="9"/>
  <c r="X850" i="9"/>
  <c r="AB850" i="9" s="1"/>
  <c r="X786" i="9"/>
  <c r="AB786" i="9" s="1"/>
  <c r="X722" i="9"/>
  <c r="AB722" i="9" s="1"/>
  <c r="X654" i="9"/>
  <c r="X590" i="9"/>
  <c r="AB590" i="9" s="1"/>
  <c r="X526" i="9"/>
  <c r="AB526" i="9" s="1"/>
  <c r="X462" i="9"/>
  <c r="AB462" i="9" s="1"/>
  <c r="X398" i="9"/>
  <c r="AB398" i="9" s="1"/>
  <c r="X334" i="9"/>
  <c r="AB334" i="9" s="1"/>
  <c r="X270" i="9"/>
  <c r="AB270" i="9" s="1"/>
  <c r="X206" i="9"/>
  <c r="AB206" i="9" s="1"/>
  <c r="X142" i="9"/>
  <c r="AB142" i="9" s="1"/>
  <c r="X78" i="9"/>
  <c r="AB78" i="9" s="1"/>
  <c r="X6" i="9"/>
  <c r="AB6" i="9" s="1"/>
  <c r="X2439" i="9"/>
  <c r="AB2439" i="9" s="1"/>
  <c r="X2375" i="9"/>
  <c r="AB2375" i="9" s="1"/>
  <c r="X2311" i="9"/>
  <c r="AB2311" i="9" s="1"/>
  <c r="X2239" i="9"/>
  <c r="AB2239" i="9" s="1"/>
  <c r="X2219" i="9"/>
  <c r="AB2219" i="9" s="1"/>
  <c r="X2151" i="9"/>
  <c r="X2087" i="9"/>
  <c r="AB2087" i="9" s="1"/>
  <c r="X2015" i="9"/>
  <c r="AB2015" i="9" s="1"/>
  <c r="X1951" i="9"/>
  <c r="AB1951" i="9" s="1"/>
  <c r="X1887" i="9"/>
  <c r="AB1887" i="9" s="1"/>
  <c r="X1747" i="9"/>
  <c r="AB1747" i="9" s="1"/>
  <c r="X1615" i="9"/>
  <c r="AB1615" i="9" s="1"/>
  <c r="X1487" i="9"/>
  <c r="AB1487" i="9" s="1"/>
  <c r="X1407" i="9"/>
  <c r="AB1407" i="9" s="1"/>
  <c r="X1299" i="9"/>
  <c r="AB1299" i="9" s="1"/>
  <c r="X1187" i="9"/>
  <c r="AB1187" i="9" s="1"/>
  <c r="X1091" i="9"/>
  <c r="AB1091" i="9" s="1"/>
  <c r="X959" i="9"/>
  <c r="X811" i="9"/>
  <c r="AB811" i="9" s="1"/>
  <c r="X591" i="9"/>
  <c r="AB591" i="9" s="1"/>
  <c r="X323" i="9"/>
  <c r="AB323" i="9" s="1"/>
  <c r="X211" i="9"/>
  <c r="X103" i="9"/>
  <c r="AB103" i="9" s="1"/>
  <c r="X2453" i="9"/>
  <c r="AB2453" i="9" s="1"/>
  <c r="X2389" i="9"/>
  <c r="AB2389" i="9" s="1"/>
  <c r="X2325" i="9"/>
  <c r="AB2325" i="9" s="1"/>
  <c r="X2261" i="9"/>
  <c r="AB2261" i="9" s="1"/>
  <c r="X2197" i="9"/>
  <c r="AB2197" i="9" s="1"/>
  <c r="X2133" i="9"/>
  <c r="AB2133" i="9" s="1"/>
  <c r="X2069" i="9"/>
  <c r="AB2069" i="9" s="1"/>
  <c r="X2005" i="9"/>
  <c r="AB2005" i="9" s="1"/>
  <c r="X1941" i="9"/>
  <c r="AB1941" i="9" s="1"/>
  <c r="X1877" i="9"/>
  <c r="AB1877" i="9" s="1"/>
  <c r="X1813" i="9"/>
  <c r="AB1813" i="9" s="1"/>
  <c r="X1749" i="9"/>
  <c r="AB1749" i="9" s="1"/>
  <c r="X1685" i="9"/>
  <c r="AB1685" i="9" s="1"/>
  <c r="X1621" i="9"/>
  <c r="AB1621" i="9" s="1"/>
  <c r="X1557" i="9"/>
  <c r="X1493" i="9"/>
  <c r="AB1493" i="9" s="1"/>
  <c r="X1429" i="9"/>
  <c r="AB1429" i="9" s="1"/>
  <c r="X1365" i="9"/>
  <c r="AB1365" i="9" s="1"/>
  <c r="X1301" i="9"/>
  <c r="AB1301" i="9" s="1"/>
  <c r="X737" i="9"/>
  <c r="AB737" i="9" s="1"/>
  <c r="X673" i="9"/>
  <c r="AB673" i="9" s="1"/>
  <c r="X609" i="9"/>
  <c r="AB609" i="9" s="1"/>
  <c r="X545" i="9"/>
  <c r="AB545" i="9" s="1"/>
  <c r="X481" i="9"/>
  <c r="AB481" i="9" s="1"/>
  <c r="X417" i="9"/>
  <c r="AB417" i="9" s="1"/>
  <c r="X353" i="9"/>
  <c r="AB353" i="9" s="1"/>
  <c r="X289" i="9"/>
  <c r="X225" i="9"/>
  <c r="AB225" i="9" s="1"/>
  <c r="X161" i="9"/>
  <c r="AB161" i="9" s="1"/>
  <c r="X97" i="9"/>
  <c r="AB97" i="9" s="1"/>
  <c r="X33" i="9"/>
  <c r="X2484" i="9"/>
  <c r="AB2484" i="9" s="1"/>
  <c r="X2428" i="9"/>
  <c r="AB2428" i="9" s="1"/>
  <c r="X2372" i="9"/>
  <c r="AB2372" i="9" s="1"/>
  <c r="X2324" i="9"/>
  <c r="AB2324" i="9" s="1"/>
  <c r="X2276" i="9"/>
  <c r="AB2276" i="9" s="1"/>
  <c r="X2228" i="9"/>
  <c r="AB2228" i="9" s="1"/>
  <c r="X2172" i="9"/>
  <c r="AB2172" i="9" s="1"/>
  <c r="X2116" i="9"/>
  <c r="AB2116" i="9" s="1"/>
  <c r="X2068" i="9"/>
  <c r="AB2068" i="9" s="1"/>
  <c r="X2020" i="9"/>
  <c r="AB2020" i="9" s="1"/>
  <c r="X1972" i="9"/>
  <c r="AB1972" i="9" s="1"/>
  <c r="X1916" i="9"/>
  <c r="AB1916" i="9" s="1"/>
  <c r="X1860" i="9"/>
  <c r="AB1860" i="9" s="1"/>
  <c r="X1812" i="9"/>
  <c r="AB1812" i="9" s="1"/>
  <c r="X1764" i="9"/>
  <c r="AB1764" i="9" s="1"/>
  <c r="X1716" i="9"/>
  <c r="X1660" i="9"/>
  <c r="AB1660" i="9" s="1"/>
  <c r="X1604" i="9"/>
  <c r="AB1604" i="9" s="1"/>
  <c r="X1556" i="9"/>
  <c r="AB1556" i="9" s="1"/>
  <c r="X1508" i="9"/>
  <c r="AB1508" i="9" s="1"/>
  <c r="X1460" i="9"/>
  <c r="AB1460" i="9" s="1"/>
  <c r="X1404" i="9"/>
  <c r="AB1404" i="9" s="1"/>
  <c r="X1348" i="9"/>
  <c r="AB1348" i="9" s="1"/>
  <c r="X1300" i="9"/>
  <c r="AB1300" i="9" s="1"/>
  <c r="X1252" i="9"/>
  <c r="AB1252" i="9" s="1"/>
  <c r="X1184" i="9"/>
  <c r="AB1184" i="9" s="1"/>
  <c r="X1120" i="9"/>
  <c r="AB1120" i="9" s="1"/>
  <c r="X1056" i="9"/>
  <c r="X992" i="9"/>
  <c r="AB992" i="9" s="1"/>
  <c r="X928" i="9"/>
  <c r="AB928" i="9" s="1"/>
  <c r="X864" i="9"/>
  <c r="AB864" i="9" s="1"/>
  <c r="X800" i="9"/>
  <c r="X736" i="9"/>
  <c r="AB736" i="9" s="1"/>
  <c r="X672" i="9"/>
  <c r="AB672" i="9" s="1"/>
  <c r="X608" i="9"/>
  <c r="AB608" i="9" s="1"/>
  <c r="X544" i="9"/>
  <c r="AB544" i="9" s="1"/>
  <c r="X480" i="9"/>
  <c r="AB480" i="9" s="1"/>
  <c r="X416" i="9"/>
  <c r="AB416" i="9" s="1"/>
  <c r="X352" i="9"/>
  <c r="AB352" i="9" s="1"/>
  <c r="X288" i="9"/>
  <c r="AB288" i="9" s="1"/>
  <c r="X256" i="9"/>
  <c r="AB256" i="9" s="1"/>
  <c r="X224" i="9"/>
  <c r="AB224" i="9" s="1"/>
  <c r="X192" i="9"/>
  <c r="AB192" i="9" s="1"/>
  <c r="X160" i="9"/>
  <c r="AB160" i="9" s="1"/>
  <c r="X128" i="9"/>
  <c r="AB128" i="9" s="1"/>
  <c r="X96" i="9"/>
  <c r="AB96" i="9" s="1"/>
  <c r="X64" i="9"/>
  <c r="AB64" i="9" s="1"/>
  <c r="X32" i="9"/>
  <c r="X15" i="9"/>
  <c r="AB15" i="9" s="1"/>
  <c r="X1016" i="9"/>
  <c r="AB1016" i="9" s="1"/>
  <c r="X824" i="9"/>
  <c r="AB824" i="9" s="1"/>
  <c r="X696" i="9"/>
  <c r="AB696" i="9" s="1"/>
  <c r="X636" i="9"/>
  <c r="AB636" i="9" s="1"/>
  <c r="X520" i="9"/>
  <c r="AB520" i="9" s="1"/>
  <c r="X460" i="9"/>
  <c r="AB460" i="9" s="1"/>
  <c r="X360" i="9"/>
  <c r="AB360" i="9" s="1"/>
  <c r="X252" i="9"/>
  <c r="AB252" i="9" s="1"/>
  <c r="X72" i="9"/>
  <c r="AB72" i="9" s="1"/>
  <c r="X2475" i="9"/>
  <c r="AB2475" i="9" s="1"/>
  <c r="X2347" i="9"/>
  <c r="X2123" i="9"/>
  <c r="AB2123" i="9" s="1"/>
  <c r="X1995" i="9"/>
  <c r="AB1995" i="9" s="1"/>
  <c r="X1571" i="9"/>
  <c r="AB1571" i="9" s="1"/>
  <c r="X1443" i="9"/>
  <c r="X1207" i="9"/>
  <c r="AB1207" i="9" s="1"/>
  <c r="X1079" i="9"/>
  <c r="AB1079" i="9" s="1"/>
  <c r="X939" i="9"/>
  <c r="AB939" i="9" s="1"/>
  <c r="X799" i="9"/>
  <c r="AB799" i="9" s="1"/>
  <c r="X703" i="9"/>
  <c r="AB703" i="9" s="1"/>
  <c r="X603" i="9"/>
  <c r="AB603" i="9" s="1"/>
  <c r="X479" i="9"/>
  <c r="AB479" i="9" s="1"/>
  <c r="X355" i="9"/>
  <c r="AB355" i="9" s="1"/>
  <c r="X243" i="9"/>
  <c r="AB243" i="9" s="1"/>
  <c r="X147" i="9"/>
  <c r="AB147" i="9" s="1"/>
  <c r="X2494" i="9"/>
  <c r="AB2494" i="9" s="1"/>
  <c r="X2430" i="9"/>
  <c r="AB2430" i="9" s="1"/>
  <c r="X2366" i="9"/>
  <c r="AB2366" i="9" s="1"/>
  <c r="X2302" i="9"/>
  <c r="AB2302" i="9" s="1"/>
  <c r="X2238" i="9"/>
  <c r="AB2238" i="9" s="1"/>
  <c r="X2174" i="9"/>
  <c r="X2110" i="9"/>
  <c r="AB2110" i="9" s="1"/>
  <c r="X2046" i="9"/>
  <c r="AB2046" i="9" s="1"/>
  <c r="X1982" i="9"/>
  <c r="AB1982" i="9" s="1"/>
  <c r="X1918" i="9"/>
  <c r="AB1918" i="9" s="1"/>
  <c r="X1854" i="9"/>
  <c r="AB1854" i="9" s="1"/>
  <c r="X1790" i="9"/>
  <c r="AB1790" i="9" s="1"/>
  <c r="X1726" i="9"/>
  <c r="AB1726" i="9" s="1"/>
  <c r="X1662" i="9"/>
  <c r="AB1662" i="9" s="1"/>
  <c r="X1598" i="9"/>
  <c r="AB1598" i="9" s="1"/>
  <c r="X1534" i="9"/>
  <c r="AB1534" i="9" s="1"/>
  <c r="X1470" i="9"/>
  <c r="AB1470" i="9" s="1"/>
  <c r="X1406" i="9"/>
  <c r="X1342" i="9"/>
  <c r="AB1342" i="9" s="1"/>
  <c r="X1278" i="9"/>
  <c r="AB1278" i="9" s="1"/>
  <c r="X1226" i="9"/>
  <c r="AB1226" i="9" s="1"/>
  <c r="X1194" i="9"/>
  <c r="X1162" i="9"/>
  <c r="AB1162" i="9" s="1"/>
  <c r="X1130" i="9"/>
  <c r="AB1130" i="9" s="1"/>
  <c r="X1098" i="9"/>
  <c r="AB1098" i="9" s="1"/>
  <c r="X1066" i="9"/>
  <c r="AB1066" i="9" s="1"/>
  <c r="X1034" i="9"/>
  <c r="AB1034" i="9" s="1"/>
  <c r="X1002" i="9"/>
  <c r="AB1002" i="9" s="1"/>
  <c r="X970" i="9"/>
  <c r="AB970" i="9" s="1"/>
  <c r="X938" i="9"/>
  <c r="AB938" i="9" s="1"/>
  <c r="X906" i="9"/>
  <c r="AB906" i="9" s="1"/>
  <c r="X874" i="9"/>
  <c r="AB874" i="9" s="1"/>
  <c r="X842" i="9"/>
  <c r="AB842" i="9" s="1"/>
  <c r="X810" i="9"/>
  <c r="AB810" i="9" s="1"/>
  <c r="X778" i="9"/>
  <c r="AB778" i="9" s="1"/>
  <c r="X746" i="9"/>
  <c r="AB746" i="9" s="1"/>
  <c r="X694" i="9"/>
  <c r="AB694" i="9" s="1"/>
  <c r="X626" i="9"/>
  <c r="X562" i="9"/>
  <c r="AB562" i="9" s="1"/>
  <c r="X498" i="9"/>
  <c r="AB498" i="9" s="1"/>
  <c r="X434" i="9"/>
  <c r="AB434" i="9" s="1"/>
  <c r="X370" i="9"/>
  <c r="AB370" i="9" s="1"/>
  <c r="X306" i="9"/>
  <c r="AB306" i="9" s="1"/>
  <c r="X250" i="9"/>
  <c r="AB250" i="9" s="1"/>
  <c r="X186" i="9"/>
  <c r="AB186" i="9" s="1"/>
  <c r="X122" i="9"/>
  <c r="AB122" i="9" s="1"/>
  <c r="X58" i="9"/>
  <c r="AB58" i="9" s="1"/>
  <c r="X2479" i="9"/>
  <c r="AB2479" i="9" s="1"/>
  <c r="X2351" i="9"/>
  <c r="AB2351" i="9" s="1"/>
  <c r="X2191" i="9"/>
  <c r="X2063" i="9"/>
  <c r="AB2063" i="9" s="1"/>
  <c r="X1935" i="9"/>
  <c r="AB1935" i="9" s="1"/>
  <c r="X1687" i="9"/>
  <c r="AB1687" i="9" s="1"/>
  <c r="X1559" i="9"/>
  <c r="X1431" i="9"/>
  <c r="AB1431" i="9" s="1"/>
  <c r="X1275" i="9"/>
  <c r="AB1275" i="9" s="1"/>
  <c r="X1243" i="9"/>
  <c r="AB1243" i="9" s="1"/>
  <c r="X903" i="9"/>
  <c r="AB903" i="9" s="1"/>
  <c r="X767" i="9"/>
  <c r="AB767" i="9" s="1"/>
  <c r="X667" i="9"/>
  <c r="AB667" i="9" s="1"/>
  <c r="X599" i="9"/>
  <c r="AB599" i="9" s="1"/>
  <c r="X467" i="9"/>
  <c r="AB467" i="9" s="1"/>
  <c r="X283" i="9"/>
  <c r="AB283" i="9" s="1"/>
  <c r="X187" i="9"/>
  <c r="AB187" i="9" s="1"/>
  <c r="X111" i="9"/>
  <c r="AB111" i="9" s="1"/>
  <c r="X23" i="9"/>
  <c r="AB23" i="9" s="1"/>
  <c r="X2441" i="9"/>
  <c r="AB2441" i="9" s="1"/>
  <c r="X2377" i="9"/>
  <c r="AB2377" i="9" s="1"/>
  <c r="X2313" i="9"/>
  <c r="AB2313" i="9" s="1"/>
  <c r="X2249" i="9"/>
  <c r="X2185" i="9"/>
  <c r="AB2185" i="9" s="1"/>
  <c r="X2121" i="9"/>
  <c r="AB2121" i="9" s="1"/>
  <c r="X2057" i="9"/>
  <c r="AB2057" i="9" s="1"/>
  <c r="X1993" i="9"/>
  <c r="AB1993" i="9" s="1"/>
  <c r="X1929" i="9"/>
  <c r="AB1929" i="9" s="1"/>
  <c r="X1865" i="9"/>
  <c r="AB1865" i="9" s="1"/>
  <c r="X1801" i="9"/>
  <c r="AB1801" i="9" s="1"/>
  <c r="X1737" i="9"/>
  <c r="AB1737" i="9" s="1"/>
  <c r="X1673" i="9"/>
  <c r="AB1673" i="9" s="1"/>
  <c r="X1609" i="9"/>
  <c r="AB1609" i="9" s="1"/>
  <c r="X1545" i="9"/>
  <c r="AB1545" i="9" s="1"/>
  <c r="X1481" i="9"/>
  <c r="X1417" i="9"/>
  <c r="AB1417" i="9" s="1"/>
  <c r="X1353" i="9"/>
  <c r="AB1353" i="9" s="1"/>
  <c r="X1289" i="9"/>
  <c r="AB1289" i="9" s="1"/>
  <c r="X1237" i="9"/>
  <c r="X1205" i="9"/>
  <c r="AB1205" i="9" s="1"/>
  <c r="X1173" i="9"/>
  <c r="AB1173" i="9" s="1"/>
  <c r="X1141" i="9"/>
  <c r="AB1141" i="9" s="1"/>
  <c r="X1109" i="9"/>
  <c r="AB1109" i="9" s="1"/>
  <c r="X1077" i="9"/>
  <c r="AB1077" i="9" s="1"/>
  <c r="X1045" i="9"/>
  <c r="AB1045" i="9" s="1"/>
  <c r="X1013" i="9"/>
  <c r="AB1013" i="9" s="1"/>
  <c r="X981" i="9"/>
  <c r="AB981" i="9" s="1"/>
  <c r="X949" i="9"/>
  <c r="AB949" i="9" s="1"/>
  <c r="X917" i="9"/>
  <c r="AB917" i="9" s="1"/>
  <c r="X885" i="9"/>
  <c r="AB885" i="9" s="1"/>
  <c r="X853" i="9"/>
  <c r="AB853" i="9" s="1"/>
  <c r="X821" i="9"/>
  <c r="AB821" i="9" s="1"/>
  <c r="X789" i="9"/>
  <c r="AB789" i="9" s="1"/>
  <c r="X757" i="9"/>
  <c r="AB757" i="9" s="1"/>
  <c r="X725" i="9"/>
  <c r="X677" i="9"/>
  <c r="AB677" i="9" s="1"/>
  <c r="X633" i="9"/>
  <c r="AB633" i="9" s="1"/>
  <c r="X597" i="9"/>
  <c r="AB597" i="9" s="1"/>
  <c r="X549" i="9"/>
  <c r="AB549" i="9" s="1"/>
  <c r="X505" i="9"/>
  <c r="AB505" i="9" s="1"/>
  <c r="X469" i="9"/>
  <c r="AB469" i="9" s="1"/>
  <c r="X421" i="9"/>
  <c r="AB421" i="9" s="1"/>
  <c r="X377" i="9"/>
  <c r="AB377" i="9" s="1"/>
  <c r="X341" i="9"/>
  <c r="AB341" i="9" s="1"/>
  <c r="X293" i="9"/>
  <c r="AB293" i="9" s="1"/>
  <c r="X261" i="9"/>
  <c r="AB261" i="9" s="1"/>
  <c r="X229" i="9"/>
  <c r="X197" i="9"/>
  <c r="AB197" i="9" s="1"/>
  <c r="X165" i="9"/>
  <c r="AB165" i="9" s="1"/>
  <c r="X133" i="9"/>
  <c r="AB133" i="9" s="1"/>
  <c r="X101" i="9"/>
  <c r="X69" i="9"/>
  <c r="AB69" i="9" s="1"/>
  <c r="X37" i="9"/>
  <c r="AB37" i="9" s="1"/>
  <c r="X5" i="9"/>
  <c r="AB5" i="9" s="1"/>
  <c r="X2440" i="9"/>
  <c r="AB2440" i="9" s="1"/>
  <c r="X2376" i="9"/>
  <c r="AB2376" i="9" s="1"/>
  <c r="X2312" i="9"/>
  <c r="AB2312" i="9" s="1"/>
  <c r="X2248" i="9"/>
  <c r="AB2248" i="9" s="1"/>
  <c r="X2184" i="9"/>
  <c r="AB2184" i="9" s="1"/>
  <c r="X2120" i="9"/>
  <c r="AB2120" i="9" s="1"/>
  <c r="X2056" i="9"/>
  <c r="AB2056" i="9" s="1"/>
  <c r="X1992" i="9"/>
  <c r="AB1992" i="9" s="1"/>
  <c r="X1928" i="9"/>
  <c r="AB1928" i="9" s="1"/>
  <c r="X1864" i="9"/>
  <c r="AB1864" i="9" s="1"/>
  <c r="X1800" i="9"/>
  <c r="AB1800" i="9" s="1"/>
  <c r="X1736" i="9"/>
  <c r="AB1736" i="9" s="1"/>
  <c r="X1672" i="9"/>
  <c r="X1608" i="9"/>
  <c r="AB1608" i="9" s="1"/>
  <c r="X1544" i="9"/>
  <c r="AB1544" i="9" s="1"/>
  <c r="X1480" i="9"/>
  <c r="AB1480" i="9" s="1"/>
  <c r="X1416" i="9"/>
  <c r="AB1416" i="9" s="1"/>
  <c r="X1352" i="9"/>
  <c r="AB1352" i="9" s="1"/>
  <c r="X1288" i="9"/>
  <c r="AB1288" i="9" s="1"/>
  <c r="X1236" i="9"/>
  <c r="AB1236" i="9" s="1"/>
  <c r="X1172" i="9"/>
  <c r="AB1172" i="9" s="1"/>
  <c r="X1108" i="9"/>
  <c r="AB1108" i="9" s="1"/>
  <c r="X1044" i="9"/>
  <c r="AB1044" i="9" s="1"/>
  <c r="X980" i="9"/>
  <c r="AB980" i="9" s="1"/>
  <c r="X916" i="9"/>
  <c r="X852" i="9"/>
  <c r="AB852" i="9" s="1"/>
  <c r="X788" i="9"/>
  <c r="AB788" i="9" s="1"/>
  <c r="X724" i="9"/>
  <c r="AB724" i="9" s="1"/>
  <c r="X660" i="9"/>
  <c r="X596" i="9"/>
  <c r="AB596" i="9" s="1"/>
  <c r="X532" i="9"/>
  <c r="AB532" i="9" s="1"/>
  <c r="X468" i="9"/>
  <c r="AB468" i="9" s="1"/>
  <c r="X404" i="9"/>
  <c r="AB404" i="9" s="1"/>
  <c r="X340" i="9"/>
  <c r="AB340" i="9" s="1"/>
  <c r="X1160" i="9"/>
  <c r="AB1160" i="9" s="1"/>
  <c r="X968" i="9"/>
  <c r="AB968" i="9" s="1"/>
  <c r="X840" i="9"/>
  <c r="AB840" i="9" s="1"/>
  <c r="X728" i="9"/>
  <c r="AB728" i="9" s="1"/>
  <c r="X652" i="9"/>
  <c r="AB652" i="9" s="1"/>
  <c r="X492" i="9"/>
  <c r="AB492" i="9" s="1"/>
  <c r="X428" i="9"/>
  <c r="AB428" i="9" s="1"/>
  <c r="X344" i="9"/>
  <c r="AB344" i="9" s="1"/>
  <c r="X220" i="9"/>
  <c r="AB220" i="9" s="1"/>
  <c r="X156" i="9"/>
  <c r="AB156" i="9" s="1"/>
  <c r="X92" i="9"/>
  <c r="X8" i="9"/>
  <c r="AB8" i="9" s="1"/>
  <c r="X2387" i="9"/>
  <c r="AB2387" i="9" s="1"/>
  <c r="X2259" i="9"/>
  <c r="AB2259" i="9" s="1"/>
  <c r="X2163" i="9"/>
  <c r="AB2163" i="9" s="1"/>
  <c r="X2035" i="9"/>
  <c r="AB2035" i="9" s="1"/>
  <c r="X1907" i="9"/>
  <c r="AB1907" i="9" s="1"/>
  <c r="X1831" i="9"/>
  <c r="AB1831" i="9" s="1"/>
  <c r="X1759" i="9"/>
  <c r="AB1759" i="9" s="1"/>
  <c r="X1643" i="9"/>
  <c r="AB1643" i="9" s="1"/>
  <c r="X1515" i="9"/>
  <c r="AB1515" i="9" s="1"/>
  <c r="X1387" i="9"/>
  <c r="AB1387" i="9" s="1"/>
  <c r="X1319" i="9"/>
  <c r="X1247" i="9"/>
  <c r="AB1247" i="9" s="1"/>
  <c r="X1119" i="9"/>
  <c r="AB1119" i="9" s="1"/>
  <c r="X991" i="9"/>
  <c r="AB991" i="9" s="1"/>
  <c r="X859" i="9"/>
  <c r="X711" i="9"/>
  <c r="AB711" i="9" s="1"/>
  <c r="X587" i="9"/>
  <c r="X487" i="9"/>
  <c r="AB487" i="9" s="1"/>
  <c r="X303" i="9"/>
  <c r="AB303" i="9" s="1"/>
  <c r="X123" i="9"/>
  <c r="AB123" i="9" s="1"/>
  <c r="X39" i="9"/>
  <c r="X2466" i="9"/>
  <c r="AB2466" i="9" s="1"/>
  <c r="X2402" i="9"/>
  <c r="AB2402" i="9" s="1"/>
  <c r="X2338" i="9"/>
  <c r="AB2338" i="9" s="1"/>
  <c r="X2274" i="9"/>
  <c r="X2210" i="9"/>
  <c r="AB2210" i="9" s="1"/>
  <c r="X2146" i="9"/>
  <c r="AB2146" i="9" s="1"/>
  <c r="X2082" i="9"/>
  <c r="AB2082" i="9" s="1"/>
  <c r="X2018" i="9"/>
  <c r="X1954" i="9"/>
  <c r="AB1954" i="9" s="1"/>
  <c r="X1890" i="9"/>
  <c r="X1826" i="9"/>
  <c r="AB1826" i="9" s="1"/>
  <c r="X1762" i="9"/>
  <c r="X1698" i="9"/>
  <c r="AB1698" i="9" s="1"/>
  <c r="X1634" i="9"/>
  <c r="AB1634" i="9" s="1"/>
  <c r="X1570" i="9"/>
  <c r="AB1570" i="9" s="1"/>
  <c r="X1506" i="9"/>
  <c r="X1442" i="9"/>
  <c r="AB1442" i="9" s="1"/>
  <c r="X1378" i="9"/>
  <c r="X1314" i="9"/>
  <c r="AB1314" i="9" s="1"/>
  <c r="X1250" i="9"/>
  <c r="X682" i="9"/>
  <c r="AB682" i="9" s="1"/>
  <c r="X614" i="9"/>
  <c r="AB614" i="9" s="1"/>
  <c r="X550" i="9"/>
  <c r="AB550" i="9" s="1"/>
  <c r="X486" i="9"/>
  <c r="X422" i="9"/>
  <c r="AB422" i="9" s="1"/>
  <c r="X358" i="9"/>
  <c r="X294" i="9"/>
  <c r="AB294" i="9" s="1"/>
  <c r="X230" i="9"/>
  <c r="X166" i="9"/>
  <c r="AB166" i="9" s="1"/>
  <c r="X102" i="9"/>
  <c r="AB102" i="9" s="1"/>
  <c r="X38" i="9"/>
  <c r="AB38" i="9" s="1"/>
  <c r="X2423" i="9"/>
  <c r="X2303" i="9"/>
  <c r="AB2303" i="9" s="1"/>
  <c r="X2103" i="9"/>
  <c r="AB2103" i="9" s="1"/>
  <c r="X2007" i="9"/>
  <c r="AB2007" i="9" s="1"/>
  <c r="X1879" i="9"/>
  <c r="X1763" i="9"/>
  <c r="AB1763" i="9" s="1"/>
  <c r="X1315" i="9"/>
  <c r="X1203" i="9"/>
  <c r="AB1203" i="9" s="1"/>
  <c r="X1075" i="9"/>
  <c r="X943" i="9"/>
  <c r="AB943" i="9" s="1"/>
  <c r="X835" i="9"/>
  <c r="X739" i="9"/>
  <c r="AB739" i="9" s="1"/>
  <c r="X643" i="9"/>
  <c r="X539" i="9"/>
  <c r="AB539" i="9" s="1"/>
  <c r="X475" i="9"/>
  <c r="AB475" i="9" s="1"/>
  <c r="X375" i="9"/>
  <c r="AB375" i="9" s="1"/>
  <c r="X227" i="9"/>
  <c r="X75" i="9"/>
  <c r="AB75" i="9" s="1"/>
  <c r="X11" i="9"/>
  <c r="AB11" i="9" s="1"/>
  <c r="X2445" i="9"/>
  <c r="AB2445" i="9" s="1"/>
  <c r="X2381" i="9"/>
  <c r="X2317" i="9"/>
  <c r="AB2317" i="9" s="1"/>
  <c r="X2253" i="9"/>
  <c r="AB2253" i="9" s="1"/>
  <c r="X2189" i="9"/>
  <c r="AB2189" i="9" s="1"/>
  <c r="X2125" i="9"/>
  <c r="X2061" i="9"/>
  <c r="AB2061" i="9" s="1"/>
  <c r="X1997" i="9"/>
  <c r="X1933" i="9"/>
  <c r="AB1933" i="9" s="1"/>
  <c r="X1869" i="9"/>
  <c r="X1805" i="9"/>
  <c r="AB1805" i="9" s="1"/>
  <c r="X1741" i="9"/>
  <c r="X1677" i="9"/>
  <c r="AB1677" i="9" s="1"/>
  <c r="X1613" i="9"/>
  <c r="X1549" i="9"/>
  <c r="AB1549" i="9" s="1"/>
  <c r="X1485" i="9"/>
  <c r="AB1485" i="9" s="1"/>
  <c r="X1421" i="9"/>
  <c r="AB1421" i="9" s="1"/>
  <c r="X1357" i="9"/>
  <c r="X1293" i="9"/>
  <c r="AB1293" i="9" s="1"/>
  <c r="X713" i="9"/>
  <c r="AB713" i="9" s="1"/>
  <c r="X585" i="9"/>
  <c r="AB585" i="9" s="1"/>
  <c r="X457" i="9"/>
  <c r="X329" i="9"/>
  <c r="AB329" i="9" s="1"/>
  <c r="X2171" i="9"/>
  <c r="X2139" i="9"/>
  <c r="AB2139" i="9" s="1"/>
  <c r="X2043" i="9"/>
  <c r="X2011" i="9"/>
  <c r="AB2011" i="9" s="1"/>
  <c r="X1915" i="9"/>
  <c r="AB1915" i="9" s="1"/>
  <c r="X1883" i="9"/>
  <c r="AB1883" i="9" s="1"/>
  <c r="X1775" i="9"/>
  <c r="X1651" i="9"/>
  <c r="AB1651" i="9" s="1"/>
  <c r="X1523" i="9"/>
  <c r="X1395" i="9"/>
  <c r="AB1395" i="9" s="1"/>
  <c r="X1263" i="9"/>
  <c r="X1127" i="9"/>
  <c r="AB1127" i="9" s="1"/>
  <c r="X999" i="9"/>
  <c r="AB999" i="9" s="1"/>
  <c r="X899" i="9"/>
  <c r="AB899" i="9" s="1"/>
  <c r="X783" i="9"/>
  <c r="X647" i="9"/>
  <c r="AB647" i="9" s="1"/>
  <c r="X495" i="9"/>
  <c r="X371" i="9"/>
  <c r="AB371" i="9" s="1"/>
  <c r="X215" i="9"/>
  <c r="X59" i="9"/>
  <c r="AB59" i="9" s="1"/>
  <c r="X2486" i="9"/>
  <c r="AB2486" i="9" s="1"/>
  <c r="X2422" i="9"/>
  <c r="AB2422" i="9" s="1"/>
  <c r="X2358" i="9"/>
  <c r="X2294" i="9"/>
  <c r="AB2294" i="9" s="1"/>
  <c r="X2230" i="9"/>
  <c r="AB2230" i="9" s="1"/>
  <c r="X2166" i="9"/>
  <c r="AB2166" i="9" s="1"/>
  <c r="X2102" i="9"/>
  <c r="AB2102" i="9" s="1"/>
  <c r="X2038" i="9"/>
  <c r="AB2038" i="9" s="1"/>
  <c r="X1974" i="9"/>
  <c r="AB1974" i="9" s="1"/>
  <c r="X1910" i="9"/>
  <c r="AB1910" i="9" s="1"/>
  <c r="X1846" i="9"/>
  <c r="AB1846" i="9" s="1"/>
  <c r="X1782" i="9"/>
  <c r="AB1782" i="9" s="1"/>
  <c r="X1718" i="9"/>
  <c r="X1654" i="9"/>
  <c r="AB1654" i="9" s="1"/>
  <c r="X1590" i="9"/>
  <c r="AB1590" i="9" s="1"/>
  <c r="X1526" i="9"/>
  <c r="AB1526" i="9" s="1"/>
  <c r="X1462" i="9"/>
  <c r="AB1462" i="9" s="1"/>
  <c r="X1398" i="9"/>
  <c r="AB1398" i="9" s="1"/>
  <c r="X1334" i="9"/>
  <c r="AB1334" i="9" s="1"/>
  <c r="X1270" i="9"/>
  <c r="AB1270" i="9" s="1"/>
  <c r="X1198" i="9"/>
  <c r="AB1198" i="9" s="1"/>
  <c r="X1134" i="9"/>
  <c r="AB1134" i="9" s="1"/>
  <c r="X1070" i="9"/>
  <c r="AB1070" i="9" s="1"/>
  <c r="X1006" i="9"/>
  <c r="AB1006" i="9" s="1"/>
  <c r="X942" i="9"/>
  <c r="AB942" i="9" s="1"/>
  <c r="X878" i="9"/>
  <c r="AB878" i="9" s="1"/>
  <c r="X814" i="9"/>
  <c r="AB814" i="9" s="1"/>
  <c r="X750" i="9"/>
  <c r="AB750" i="9" s="1"/>
  <c r="X686" i="9"/>
  <c r="X634" i="9"/>
  <c r="AB634" i="9" s="1"/>
  <c r="X570" i="9"/>
  <c r="AB570" i="9" s="1"/>
  <c r="X506" i="9"/>
  <c r="AB506" i="9" s="1"/>
  <c r="X442" i="9"/>
  <c r="AB442" i="9" s="1"/>
  <c r="X378" i="9"/>
  <c r="AB378" i="9" s="1"/>
  <c r="X314" i="9"/>
  <c r="AB314" i="9" s="1"/>
  <c r="X242" i="9"/>
  <c r="AB242" i="9" s="1"/>
  <c r="X178" i="9"/>
  <c r="AB178" i="9" s="1"/>
  <c r="X114" i="9"/>
  <c r="AB114" i="9" s="1"/>
  <c r="X50" i="9"/>
  <c r="AB50" i="9" s="1"/>
  <c r="X2211" i="9"/>
  <c r="AB2211" i="9" s="1"/>
  <c r="X1867" i="9"/>
  <c r="AB1867" i="9" s="1"/>
  <c r="X1739" i="9"/>
  <c r="AB1739" i="9" s="1"/>
  <c r="X1671" i="9"/>
  <c r="X1607" i="9"/>
  <c r="AB1607" i="9" s="1"/>
  <c r="X1543" i="9"/>
  <c r="X1479" i="9"/>
  <c r="AB1479" i="9" s="1"/>
  <c r="X1383" i="9"/>
  <c r="AB1383" i="9" s="1"/>
  <c r="X1291" i="9"/>
  <c r="AB1291" i="9" s="1"/>
  <c r="X951" i="9"/>
  <c r="AB951" i="9" s="1"/>
  <c r="X819" i="9"/>
  <c r="AB819" i="9" s="1"/>
  <c r="X691" i="9"/>
  <c r="AB691" i="9" s="1"/>
  <c r="X483" i="9"/>
  <c r="AB483" i="9" s="1"/>
  <c r="X383" i="9"/>
  <c r="X267" i="9"/>
  <c r="AB267" i="9" s="1"/>
  <c r="X95" i="9"/>
  <c r="AB95" i="9" s="1"/>
  <c r="X2465" i="9"/>
  <c r="AB2465" i="9" s="1"/>
  <c r="X2401" i="9"/>
  <c r="AB2401" i="9" s="1"/>
  <c r="X2337" i="9"/>
  <c r="AB2337" i="9" s="1"/>
  <c r="X2273" i="9"/>
  <c r="AB2273" i="9" s="1"/>
  <c r="X2209" i="9"/>
  <c r="AB2209" i="9" s="1"/>
  <c r="X2145" i="9"/>
  <c r="X2081" i="9"/>
  <c r="AB2081" i="9" s="1"/>
  <c r="X2017" i="9"/>
  <c r="AB2017" i="9" s="1"/>
  <c r="X1953" i="9"/>
  <c r="AB1953" i="9" s="1"/>
  <c r="X1889" i="9"/>
  <c r="AB1889" i="9" s="1"/>
  <c r="X1825" i="9"/>
  <c r="AB1825" i="9" s="1"/>
  <c r="X1761" i="9"/>
  <c r="X1697" i="9"/>
  <c r="AB1697" i="9" s="1"/>
  <c r="X1633" i="9"/>
  <c r="AB1633" i="9" s="1"/>
  <c r="X1569" i="9"/>
  <c r="AB1569" i="9" s="1"/>
  <c r="X1505" i="9"/>
  <c r="AB1505" i="9" s="1"/>
  <c r="X1441" i="9"/>
  <c r="AB1441" i="9" s="1"/>
  <c r="X1377" i="9"/>
  <c r="AB1377" i="9" s="1"/>
  <c r="X1313" i="9"/>
  <c r="AB1313" i="9" s="1"/>
  <c r="X1249" i="9"/>
  <c r="AB1249" i="9" s="1"/>
  <c r="X1213" i="9"/>
  <c r="AB1213" i="9" s="1"/>
  <c r="X1181" i="9"/>
  <c r="X1149" i="9"/>
  <c r="AB1149" i="9" s="1"/>
  <c r="X1117" i="9"/>
  <c r="AB1117" i="9" s="1"/>
  <c r="X1085" i="9"/>
  <c r="AB1085" i="9" s="1"/>
  <c r="X1053" i="9"/>
  <c r="AB1053" i="9" s="1"/>
  <c r="X1021" i="9"/>
  <c r="AB1021" i="9" s="1"/>
  <c r="X989" i="9"/>
  <c r="AB989" i="9" s="1"/>
  <c r="X957" i="9"/>
  <c r="AB957" i="9" s="1"/>
  <c r="X925" i="9"/>
  <c r="AB925" i="9" s="1"/>
  <c r="X893" i="9"/>
  <c r="AB893" i="9" s="1"/>
  <c r="X861" i="9"/>
  <c r="AB861" i="9" s="1"/>
  <c r="X829" i="9"/>
  <c r="AB829" i="9" s="1"/>
  <c r="X797" i="9"/>
  <c r="AB797" i="9" s="1"/>
  <c r="X765" i="9"/>
  <c r="AB765" i="9" s="1"/>
  <c r="X717" i="9"/>
  <c r="AB717" i="9" s="1"/>
  <c r="X653" i="9"/>
  <c r="AB653" i="9" s="1"/>
  <c r="X589" i="9"/>
  <c r="X525" i="9"/>
  <c r="AB525" i="9" s="1"/>
  <c r="X461" i="9"/>
  <c r="AB461" i="9" s="1"/>
  <c r="X397" i="9"/>
  <c r="AB397" i="9" s="1"/>
  <c r="X333" i="9"/>
  <c r="AB333" i="9" s="1"/>
  <c r="X269" i="9"/>
  <c r="AB269" i="9" s="1"/>
  <c r="X205" i="9"/>
  <c r="AB205" i="9" s="1"/>
  <c r="X141" i="9"/>
  <c r="AB141" i="9" s="1"/>
  <c r="X77" i="9"/>
  <c r="AB77" i="9" s="1"/>
  <c r="X13" i="9"/>
  <c r="AB13" i="9" s="1"/>
  <c r="X2464" i="9"/>
  <c r="AB2464" i="9" s="1"/>
  <c r="X2432" i="9"/>
  <c r="AB2432" i="9" s="1"/>
  <c r="X2396" i="9"/>
  <c r="AB2396" i="9" s="1"/>
  <c r="X2352" i="9"/>
  <c r="AB2352" i="9" s="1"/>
  <c r="X2320" i="9"/>
  <c r="X2284" i="9"/>
  <c r="AB2284" i="9" s="1"/>
  <c r="X2252" i="9"/>
  <c r="X2208" i="9"/>
  <c r="AB2208" i="9" s="1"/>
  <c r="X2176" i="9"/>
  <c r="AB2176" i="9" s="1"/>
  <c r="X2140" i="9"/>
  <c r="AB2140" i="9" s="1"/>
  <c r="X2096" i="9"/>
  <c r="AB2096" i="9" s="1"/>
  <c r="X2064" i="9"/>
  <c r="AB2064" i="9" s="1"/>
  <c r="X2028" i="9"/>
  <c r="AB2028" i="9" s="1"/>
  <c r="X1996" i="9"/>
  <c r="AB1996" i="9" s="1"/>
  <c r="X1952" i="9"/>
  <c r="X1920" i="9"/>
  <c r="AB1920" i="9" s="1"/>
  <c r="X1884" i="9"/>
  <c r="AB1884" i="9" s="1"/>
  <c r="X1840" i="9"/>
  <c r="AB1840" i="9" s="1"/>
  <c r="X1808" i="9"/>
  <c r="AB1808" i="9" s="1"/>
  <c r="X1772" i="9"/>
  <c r="AB1772" i="9" s="1"/>
  <c r="X1740" i="9"/>
  <c r="AB1740" i="9" s="1"/>
  <c r="X1696" i="9"/>
  <c r="AB1696" i="9" s="1"/>
  <c r="X1664" i="9"/>
  <c r="X1628" i="9"/>
  <c r="AB1628" i="9" s="1"/>
  <c r="X1584" i="9"/>
  <c r="AB1584" i="9" s="1"/>
  <c r="X1552" i="9"/>
  <c r="AB1552" i="9" s="1"/>
  <c r="X1516" i="9"/>
  <c r="AB1516" i="9" s="1"/>
  <c r="X1484" i="9"/>
  <c r="AB1484" i="9" s="1"/>
  <c r="X1440" i="9"/>
  <c r="X1408" i="9"/>
  <c r="AB1408" i="9" s="1"/>
  <c r="X1372" i="9"/>
  <c r="AB1372" i="9" s="1"/>
  <c r="X1328" i="9"/>
  <c r="AB1328" i="9" s="1"/>
  <c r="X1296" i="9"/>
  <c r="AB1296" i="9" s="1"/>
  <c r="X1260" i="9"/>
  <c r="AB1260" i="9" s="1"/>
  <c r="X1212" i="9"/>
  <c r="AB1212" i="9" s="1"/>
  <c r="X1148" i="9"/>
  <c r="AB1148" i="9" s="1"/>
  <c r="X1084" i="9"/>
  <c r="AB1084" i="9" s="1"/>
  <c r="X1020" i="9"/>
  <c r="AB1020" i="9" s="1"/>
  <c r="X956" i="9"/>
  <c r="X892" i="9"/>
  <c r="AB892" i="9" s="1"/>
  <c r="X828" i="9"/>
  <c r="AB828" i="9" s="1"/>
  <c r="X764" i="9"/>
  <c r="AB764" i="9" s="1"/>
  <c r="X1080" i="9"/>
  <c r="AB1080" i="9" s="1"/>
  <c r="X920" i="9"/>
  <c r="AB920" i="9" s="1"/>
  <c r="X620" i="9"/>
  <c r="AB620" i="9" s="1"/>
  <c r="X568" i="9"/>
  <c r="AB568" i="9" s="1"/>
  <c r="X508" i="9"/>
  <c r="AB508" i="9" s="1"/>
  <c r="X348" i="9"/>
  <c r="AB348" i="9" s="1"/>
  <c r="X284" i="9"/>
  <c r="AB284" i="9" s="1"/>
  <c r="X184" i="9"/>
  <c r="AB184" i="9" s="1"/>
  <c r="X108" i="9"/>
  <c r="AB108" i="9" s="1"/>
  <c r="X12" i="9"/>
  <c r="AB12" i="9" s="1"/>
  <c r="X2403" i="9"/>
  <c r="AB2403" i="9" s="1"/>
  <c r="X2275" i="9"/>
  <c r="AB2275" i="9" s="1"/>
  <c r="X2115" i="9"/>
  <c r="X1987" i="9"/>
  <c r="AB1987" i="9" s="1"/>
  <c r="X1847" i="9"/>
  <c r="AB1847" i="9" s="1"/>
  <c r="X1751" i="9"/>
  <c r="AB1751" i="9" s="1"/>
  <c r="X1271" i="9"/>
  <c r="AB1271" i="9" s="1"/>
  <c r="X1167" i="9"/>
  <c r="AB1167" i="9" s="1"/>
  <c r="X1039" i="9"/>
  <c r="AB1039" i="9" s="1"/>
  <c r="X915" i="9"/>
  <c r="AB915" i="9" s="1"/>
  <c r="X791" i="9"/>
  <c r="AB791" i="9" s="1"/>
  <c r="X655" i="9"/>
  <c r="AB655" i="9" s="1"/>
  <c r="X535" i="9"/>
  <c r="AB535" i="9" s="1"/>
  <c r="X407" i="9"/>
  <c r="AB407" i="9" s="1"/>
  <c r="X351" i="9"/>
  <c r="AB351" i="9" s="1"/>
  <c r="X235" i="9"/>
  <c r="AB235" i="9" s="1"/>
  <c r="X139" i="9"/>
  <c r="X2458" i="9"/>
  <c r="AB2458" i="9" s="1"/>
  <c r="X2394" i="9"/>
  <c r="X2330" i="9"/>
  <c r="AB2330" i="9" s="1"/>
  <c r="X2266" i="9"/>
  <c r="AB2266" i="9" s="1"/>
  <c r="X2202" i="9"/>
  <c r="AB2202" i="9" s="1"/>
  <c r="X2138" i="9"/>
  <c r="AB2138" i="9" s="1"/>
  <c r="X2074" i="9"/>
  <c r="AB2074" i="9" s="1"/>
  <c r="X2010" i="9"/>
  <c r="AB2010" i="9" s="1"/>
  <c r="X1946" i="9"/>
  <c r="AB1946" i="9" s="1"/>
  <c r="X1882" i="9"/>
  <c r="X1818" i="9"/>
  <c r="AB1818" i="9" s="1"/>
  <c r="X1754" i="9"/>
  <c r="AB1754" i="9" s="1"/>
  <c r="X1690" i="9"/>
  <c r="AB1690" i="9" s="1"/>
  <c r="X1626" i="9"/>
  <c r="AB1626" i="9" s="1"/>
  <c r="X1562" i="9"/>
  <c r="AB1562" i="9" s="1"/>
  <c r="X1498" i="9"/>
  <c r="AB1498" i="9" s="1"/>
  <c r="X1434" i="9"/>
  <c r="AB1434" i="9" s="1"/>
  <c r="X1370" i="9"/>
  <c r="X1306" i="9"/>
  <c r="AB1306" i="9" s="1"/>
  <c r="X1242" i="9"/>
  <c r="AB1242" i="9" s="1"/>
  <c r="X1186" i="9"/>
  <c r="AB1186" i="9" s="1"/>
  <c r="X1122" i="9"/>
  <c r="AB1122" i="9" s="1"/>
  <c r="X1058" i="9"/>
  <c r="AB1058" i="9" s="1"/>
  <c r="X994" i="9"/>
  <c r="X930" i="9"/>
  <c r="AB930" i="9" s="1"/>
  <c r="X866" i="9"/>
  <c r="AB866" i="9" s="1"/>
  <c r="X802" i="9"/>
  <c r="AB802" i="9" s="1"/>
  <c r="X738" i="9"/>
  <c r="AB738" i="9" s="1"/>
  <c r="X674" i="9"/>
  <c r="AB674" i="9" s="1"/>
  <c r="X606" i="9"/>
  <c r="AB606" i="9" s="1"/>
  <c r="X542" i="9"/>
  <c r="AB542" i="9" s="1"/>
  <c r="X478" i="9"/>
  <c r="AB478" i="9" s="1"/>
  <c r="X414" i="9"/>
  <c r="AB414" i="9" s="1"/>
  <c r="X350" i="9"/>
  <c r="X286" i="9"/>
  <c r="AB286" i="9" s="1"/>
  <c r="X222" i="9"/>
  <c r="AB222" i="9" s="1"/>
  <c r="X158" i="9"/>
  <c r="AB158" i="9" s="1"/>
  <c r="X94" i="9"/>
  <c r="AB94" i="9" s="1"/>
  <c r="X30" i="9"/>
  <c r="AB30" i="9" s="1"/>
  <c r="X2463" i="9"/>
  <c r="AB2463" i="9" s="1"/>
  <c r="X2399" i="9"/>
  <c r="AB2399" i="9" s="1"/>
  <c r="X2335" i="9"/>
  <c r="AB2335" i="9" s="1"/>
  <c r="X2247" i="9"/>
  <c r="AB2247" i="9" s="1"/>
  <c r="X2175" i="9"/>
  <c r="AB2175" i="9" s="1"/>
  <c r="X2111" i="9"/>
  <c r="AB2111" i="9" s="1"/>
  <c r="X2023" i="9"/>
  <c r="AB2023" i="9" s="1"/>
  <c r="X1959" i="9"/>
  <c r="AB1959" i="9" s="1"/>
  <c r="X1895" i="9"/>
  <c r="AB1895" i="9" s="1"/>
  <c r="X1779" i="9"/>
  <c r="AB1779" i="9" s="1"/>
  <c r="X1647" i="9"/>
  <c r="X1519" i="9"/>
  <c r="AB1519" i="9" s="1"/>
  <c r="X1423" i="9"/>
  <c r="AB1423" i="9" s="1"/>
  <c r="X1331" i="9"/>
  <c r="AB1331" i="9" s="1"/>
  <c r="X1219" i="9"/>
  <c r="AB1219" i="9" s="1"/>
  <c r="X995" i="9"/>
  <c r="AB995" i="9" s="1"/>
  <c r="X863" i="9"/>
  <c r="X627" i="9"/>
  <c r="AB627" i="9" s="1"/>
  <c r="X331" i="9"/>
  <c r="AB331" i="9" s="1"/>
  <c r="X247" i="9"/>
  <c r="AB247" i="9" s="1"/>
  <c r="X135" i="9"/>
  <c r="AB135" i="9" s="1"/>
  <c r="X2469" i="9"/>
  <c r="AB2469" i="9" s="1"/>
  <c r="X2405" i="9"/>
  <c r="AB2405" i="9" s="1"/>
  <c r="X2341" i="9"/>
  <c r="AB2341" i="9" s="1"/>
  <c r="X2277" i="9"/>
  <c r="X2213" i="9"/>
  <c r="AB2213" i="9" s="1"/>
  <c r="X2149" i="9"/>
  <c r="X2085" i="9"/>
  <c r="AB2085" i="9" s="1"/>
  <c r="X2021" i="9"/>
  <c r="AB2021" i="9" s="1"/>
  <c r="X1957" i="9"/>
  <c r="AB1957" i="9" s="1"/>
  <c r="X1893" i="9"/>
  <c r="AB1893" i="9" s="1"/>
  <c r="X1829" i="9"/>
  <c r="AB1829" i="9" s="1"/>
  <c r="X1765" i="9"/>
  <c r="AB1765" i="9" s="1"/>
  <c r="X1701" i="9"/>
  <c r="AB1701" i="9" s="1"/>
  <c r="X1637" i="9"/>
  <c r="X1573" i="9"/>
  <c r="AB1573" i="9" s="1"/>
  <c r="X1509" i="9"/>
  <c r="AB1509" i="9" s="1"/>
  <c r="X1445" i="9"/>
  <c r="AB1445" i="9" s="1"/>
  <c r="X1381" i="9"/>
  <c r="AB1381" i="9" s="1"/>
  <c r="X1317" i="9"/>
  <c r="AB1317" i="9" s="1"/>
  <c r="X1253" i="9"/>
  <c r="AB1253" i="9" s="1"/>
  <c r="X689" i="9"/>
  <c r="AB689" i="9" s="1"/>
  <c r="X625" i="9"/>
  <c r="X561" i="9"/>
  <c r="AB561" i="9" s="1"/>
  <c r="X497" i="9"/>
  <c r="AB497" i="9" s="1"/>
  <c r="X433" i="9"/>
  <c r="AB433" i="9" s="1"/>
  <c r="X369" i="9"/>
  <c r="AB369" i="9" s="1"/>
  <c r="X305" i="9"/>
  <c r="AB305" i="9" s="1"/>
  <c r="X241" i="9"/>
  <c r="X177" i="9"/>
  <c r="AB177" i="9" s="1"/>
  <c r="X113" i="9"/>
  <c r="AB113" i="9" s="1"/>
  <c r="X49" i="9"/>
  <c r="AB49" i="9" s="1"/>
  <c r="X2492" i="9"/>
  <c r="AB2492" i="9" s="1"/>
  <c r="X2436" i="9"/>
  <c r="AB2436" i="9" s="1"/>
  <c r="X2388" i="9"/>
  <c r="AB2388" i="9" s="1"/>
  <c r="X2340" i="9"/>
  <c r="AB2340" i="9" s="1"/>
  <c r="X2292" i="9"/>
  <c r="X2236" i="9"/>
  <c r="AB2236" i="9" s="1"/>
  <c r="X2180" i="9"/>
  <c r="X2132" i="9"/>
  <c r="AB2132" i="9" s="1"/>
  <c r="X2084" i="9"/>
  <c r="AB2084" i="9" s="1"/>
  <c r="X2036" i="9"/>
  <c r="AB2036" i="9" s="1"/>
  <c r="X1980" i="9"/>
  <c r="AB1980" i="9" s="1"/>
  <c r="X1924" i="9"/>
  <c r="AB1924" i="9" s="1"/>
  <c r="X1876" i="9"/>
  <c r="AB1876" i="9" s="1"/>
  <c r="X1828" i="9"/>
  <c r="AB1828" i="9" s="1"/>
  <c r="X1780" i="9"/>
  <c r="X1724" i="9"/>
  <c r="AB1724" i="9" s="1"/>
  <c r="X1668" i="9"/>
  <c r="AB1668" i="9" s="1"/>
  <c r="X1620" i="9"/>
  <c r="AB1620" i="9" s="1"/>
  <c r="X1572" i="9"/>
  <c r="AB1572" i="9" s="1"/>
  <c r="X1524" i="9"/>
  <c r="AB1524" i="9" s="1"/>
  <c r="X1468" i="9"/>
  <c r="AB1468" i="9" s="1"/>
  <c r="X1412" i="9"/>
  <c r="AB1412" i="9" s="1"/>
  <c r="X1364" i="9"/>
  <c r="X1316" i="9"/>
  <c r="AB1316" i="9" s="1"/>
  <c r="X1268" i="9"/>
  <c r="AB1268" i="9" s="1"/>
  <c r="X1200" i="9"/>
  <c r="AB1200" i="9" s="1"/>
  <c r="X1136" i="9"/>
  <c r="AB1136" i="9" s="1"/>
  <c r="X1072" i="9"/>
  <c r="AB1072" i="9" s="1"/>
  <c r="X1008" i="9"/>
  <c r="X944" i="9"/>
  <c r="AB944" i="9" s="1"/>
  <c r="X880" i="9"/>
  <c r="AB880" i="9" s="1"/>
  <c r="X816" i="9"/>
  <c r="AB816" i="9" s="1"/>
  <c r="X752" i="9"/>
  <c r="AB752" i="9" s="1"/>
  <c r="X688" i="9"/>
  <c r="AB688" i="9" s="1"/>
  <c r="X624" i="9"/>
  <c r="AB624" i="9" s="1"/>
  <c r="X560" i="9"/>
  <c r="AB560" i="9" s="1"/>
  <c r="X496" i="9"/>
  <c r="X432" i="9"/>
  <c r="AB432" i="9" s="1"/>
  <c r="X368" i="9"/>
  <c r="X304" i="9"/>
  <c r="AB304" i="9" s="1"/>
  <c r="X260" i="9"/>
  <c r="AB260" i="9" s="1"/>
  <c r="X228" i="9"/>
  <c r="AB228" i="9" s="1"/>
  <c r="X196" i="9"/>
  <c r="AB196" i="9" s="1"/>
  <c r="X164" i="9"/>
  <c r="AB164" i="9" s="1"/>
  <c r="X132" i="9"/>
  <c r="AB132" i="9" s="1"/>
  <c r="X100" i="9"/>
  <c r="AB100" i="9" s="1"/>
  <c r="X68" i="9"/>
  <c r="X36" i="9"/>
  <c r="AB36" i="9" s="1"/>
  <c r="X2503" i="9"/>
  <c r="AB2503" i="9" s="1"/>
  <c r="X1048" i="9"/>
  <c r="AB1048" i="9" s="1"/>
  <c r="X856" i="9"/>
  <c r="AB856" i="9" s="1"/>
  <c r="X700" i="9"/>
  <c r="AB700" i="9" s="1"/>
  <c r="X648" i="9"/>
  <c r="AB648" i="9" s="1"/>
  <c r="X536" i="9"/>
  <c r="AB536" i="9" s="1"/>
  <c r="X472" i="9"/>
  <c r="X376" i="9"/>
  <c r="AB376" i="9" s="1"/>
  <c r="X280" i="9"/>
  <c r="AB280" i="9" s="1"/>
  <c r="X136" i="9"/>
  <c r="AB136" i="9" s="1"/>
  <c r="Z4" i="9"/>
  <c r="X2379" i="9"/>
  <c r="AB2379" i="9" s="1"/>
  <c r="X2251" i="9"/>
  <c r="X2155" i="9"/>
  <c r="AB2155" i="9" s="1"/>
  <c r="X2027" i="9"/>
  <c r="AB2027" i="9" s="1"/>
  <c r="X1899" i="9"/>
  <c r="AB1899" i="9" s="1"/>
  <c r="X1603" i="9"/>
  <c r="X1475" i="9"/>
  <c r="AB1475" i="9" s="1"/>
  <c r="X1279" i="9"/>
  <c r="X1111" i="9"/>
  <c r="AB1111" i="9" s="1"/>
  <c r="X831" i="9"/>
  <c r="AB831" i="9" s="1"/>
  <c r="X735" i="9"/>
  <c r="AB735" i="9" s="1"/>
  <c r="X631" i="9"/>
  <c r="X511" i="9"/>
  <c r="AB511" i="9" s="1"/>
  <c r="X387" i="9"/>
  <c r="AB387" i="9" s="1"/>
  <c r="X263" i="9"/>
  <c r="AB263" i="9" s="1"/>
  <c r="X179" i="9"/>
  <c r="X7" i="9"/>
  <c r="AB7" i="9" s="1"/>
  <c r="X2446" i="9"/>
  <c r="X2382" i="9"/>
  <c r="AB2382" i="9" s="1"/>
  <c r="X2318" i="9"/>
  <c r="AB2318" i="9" s="1"/>
  <c r="X2254" i="9"/>
  <c r="AB2254" i="9" s="1"/>
  <c r="X2190" i="9"/>
  <c r="AB2190" i="9" s="1"/>
  <c r="X2126" i="9"/>
  <c r="AB2126" i="9" s="1"/>
  <c r="X2062" i="9"/>
  <c r="X1998" i="9"/>
  <c r="AB1998" i="9" s="1"/>
  <c r="X1934" i="9"/>
  <c r="AB1934" i="9" s="1"/>
  <c r="X1870" i="9"/>
  <c r="AB1870" i="9" s="1"/>
  <c r="X1806" i="9"/>
  <c r="AB1806" i="9" s="1"/>
  <c r="X1742" i="9"/>
  <c r="AB1742" i="9" s="1"/>
  <c r="X1678" i="9"/>
  <c r="AB1678" i="9" s="1"/>
  <c r="X1614" i="9"/>
  <c r="AB1614" i="9" s="1"/>
  <c r="X1550" i="9"/>
  <c r="X1486" i="9"/>
  <c r="AB1486" i="9" s="1"/>
  <c r="X1422" i="9"/>
  <c r="AB1422" i="9" s="1"/>
  <c r="X1358" i="9"/>
  <c r="AB1358" i="9" s="1"/>
  <c r="X1294" i="9"/>
  <c r="AB1294" i="9" s="1"/>
  <c r="X1238" i="9"/>
  <c r="AB1238" i="9" s="1"/>
  <c r="X1206" i="9"/>
  <c r="X1174" i="9"/>
  <c r="AB1174" i="9" s="1"/>
  <c r="X1142" i="9"/>
  <c r="X1110" i="9"/>
  <c r="AB1110" i="9" s="1"/>
  <c r="X1078" i="9"/>
  <c r="AB1078" i="9" s="1"/>
  <c r="X1046" i="9"/>
  <c r="AB1046" i="9" s="1"/>
  <c r="X1014" i="9"/>
  <c r="X982" i="9"/>
  <c r="AB982" i="9" s="1"/>
  <c r="X950" i="9"/>
  <c r="AB950" i="9" s="1"/>
  <c r="X918" i="9"/>
  <c r="AB918" i="9" s="1"/>
  <c r="X886" i="9"/>
  <c r="X854" i="9"/>
  <c r="AB854" i="9" s="1"/>
  <c r="X822" i="9"/>
  <c r="X790" i="9"/>
  <c r="AB790" i="9" s="1"/>
  <c r="X758" i="9"/>
  <c r="AB758" i="9" s="1"/>
  <c r="X710" i="9"/>
  <c r="AB710" i="9" s="1"/>
  <c r="X642" i="9"/>
  <c r="AB642" i="9" s="1"/>
  <c r="X578" i="9"/>
  <c r="AB578" i="9" s="1"/>
  <c r="X514" i="9"/>
  <c r="X450" i="9"/>
  <c r="AB450" i="9" s="1"/>
  <c r="X386" i="9"/>
  <c r="AB386" i="9" s="1"/>
  <c r="X322" i="9"/>
  <c r="AB322" i="9" s="1"/>
  <c r="X266" i="9"/>
  <c r="AB266" i="9" s="1"/>
  <c r="X202" i="9"/>
  <c r="X138" i="9"/>
  <c r="AB138" i="9" s="1"/>
  <c r="X74" i="9"/>
  <c r="X2383" i="9"/>
  <c r="X2255" i="9"/>
  <c r="X2095" i="9"/>
  <c r="AB2095" i="9" s="1"/>
  <c r="X1967" i="9"/>
  <c r="X1851" i="9"/>
  <c r="AB1851" i="9" s="1"/>
  <c r="X1819" i="9"/>
  <c r="X1723" i="9"/>
  <c r="X1591" i="9"/>
  <c r="X1463" i="9"/>
  <c r="AB1463" i="9" s="1"/>
  <c r="X1307" i="9"/>
  <c r="X935" i="9"/>
  <c r="AB935" i="9" s="1"/>
  <c r="X795" i="9"/>
  <c r="X683" i="9"/>
  <c r="AB683" i="9" s="1"/>
  <c r="X619" i="9"/>
  <c r="X499" i="9"/>
  <c r="AB499" i="9" s="1"/>
  <c r="X367" i="9"/>
  <c r="X219" i="9"/>
  <c r="AB219" i="9" s="1"/>
  <c r="X119" i="9"/>
  <c r="X35" i="9"/>
  <c r="X2457" i="9"/>
  <c r="X2393" i="9"/>
  <c r="AB2393" i="9" s="1"/>
  <c r="X2329" i="9"/>
  <c r="X2265" i="9"/>
  <c r="AB2265" i="9" s="1"/>
  <c r="X2201" i="9"/>
  <c r="X2137" i="9"/>
  <c r="AB2137" i="9" s="1"/>
  <c r="X2073" i="9"/>
  <c r="X2009" i="9"/>
  <c r="X1945" i="9"/>
  <c r="X1881" i="9"/>
  <c r="AB1881" i="9" s="1"/>
  <c r="X1817" i="9"/>
  <c r="X1753" i="9"/>
  <c r="AB1753" i="9" s="1"/>
  <c r="X1689" i="9"/>
  <c r="X1625" i="9"/>
  <c r="AB1625" i="9" s="1"/>
  <c r="X1561" i="9"/>
  <c r="X1497" i="9"/>
  <c r="X1433" i="9"/>
  <c r="X1369" i="9"/>
  <c r="AB1369" i="9" s="1"/>
  <c r="X1305" i="9"/>
  <c r="X1241" i="9"/>
  <c r="AB1241" i="9" s="1"/>
  <c r="X1209" i="9"/>
  <c r="X1177" i="9"/>
  <c r="AB1177" i="9" s="1"/>
  <c r="X1145" i="9"/>
  <c r="X1113" i="9"/>
  <c r="AB1113" i="9" s="1"/>
  <c r="X1081" i="9"/>
  <c r="X1049" i="9"/>
  <c r="AB1049" i="9" s="1"/>
  <c r="X1017" i="9"/>
  <c r="X985" i="9"/>
  <c r="X953" i="9"/>
  <c r="X921" i="9"/>
  <c r="AB921" i="9" s="1"/>
  <c r="X889" i="9"/>
  <c r="X857" i="9"/>
  <c r="X825" i="9"/>
  <c r="X793" i="9"/>
  <c r="AB793" i="9" s="1"/>
  <c r="X761" i="9"/>
  <c r="X729" i="9"/>
  <c r="AB729" i="9" s="1"/>
  <c r="X693" i="9"/>
  <c r="X645" i="9"/>
  <c r="AB645" i="9" s="1"/>
  <c r="X601" i="9"/>
  <c r="X565" i="9"/>
  <c r="AB565" i="9" s="1"/>
  <c r="X517" i="9"/>
  <c r="X473" i="9"/>
  <c r="AB473" i="9" s="1"/>
  <c r="X437" i="9"/>
  <c r="X389" i="9"/>
  <c r="AB389" i="9" s="1"/>
  <c r="X345" i="9"/>
  <c r="X309" i="9"/>
  <c r="AB309" i="9" s="1"/>
  <c r="X265" i="9"/>
  <c r="X233" i="9"/>
  <c r="X201" i="9"/>
  <c r="X169" i="9"/>
  <c r="AB169" i="9" s="1"/>
  <c r="X137" i="9"/>
  <c r="X105" i="9"/>
  <c r="X73" i="9"/>
  <c r="X41" i="9"/>
  <c r="AB41" i="9" s="1"/>
  <c r="X9" i="9"/>
  <c r="X2456" i="9"/>
  <c r="AB2456" i="9" s="1"/>
  <c r="X2392" i="9"/>
  <c r="X2328" i="9"/>
  <c r="AB2328" i="9" s="1"/>
  <c r="X2264" i="9"/>
  <c r="X2200" i="9"/>
  <c r="AB2200" i="9" s="1"/>
  <c r="X2136" i="9"/>
  <c r="X2072" i="9"/>
  <c r="AB2072" i="9" s="1"/>
  <c r="X2008" i="9"/>
  <c r="X1944" i="9"/>
  <c r="X1880" i="9"/>
  <c r="X1816" i="9"/>
  <c r="AB1816" i="9" s="1"/>
  <c r="X1752" i="9"/>
  <c r="X1688" i="9"/>
  <c r="AB1688" i="9" s="1"/>
  <c r="X1624" i="9"/>
  <c r="X1560" i="9"/>
  <c r="AB1560" i="9" s="1"/>
  <c r="X1496" i="9"/>
  <c r="X1432" i="9"/>
  <c r="X1368" i="9"/>
  <c r="X1304" i="9"/>
  <c r="AB1304" i="9" s="1"/>
  <c r="X1240" i="9"/>
  <c r="X1188" i="9"/>
  <c r="AB1188" i="9" s="1"/>
  <c r="X1124" i="9"/>
  <c r="X1060" i="9"/>
  <c r="AB1060" i="9" s="1"/>
  <c r="X996" i="9"/>
  <c r="X932" i="9"/>
  <c r="X868" i="9"/>
  <c r="X804" i="9"/>
  <c r="AB804" i="9" s="1"/>
  <c r="X740" i="9"/>
  <c r="X676" i="9"/>
  <c r="AB676" i="9" s="1"/>
  <c r="X612" i="9"/>
  <c r="X548" i="9"/>
  <c r="AB548" i="9" s="1"/>
  <c r="X484" i="9"/>
  <c r="X420" i="9"/>
  <c r="AB420" i="9" s="1"/>
  <c r="X356" i="9"/>
  <c r="X292" i="9"/>
  <c r="AB292" i="9" s="1"/>
  <c r="X1192" i="9"/>
  <c r="X1096" i="9"/>
  <c r="X872" i="9"/>
  <c r="X732" i="9"/>
  <c r="AB732" i="9" s="1"/>
  <c r="X664" i="9"/>
  <c r="X572" i="9"/>
  <c r="X444" i="9"/>
  <c r="X364" i="9"/>
  <c r="AB364" i="9" s="1"/>
  <c r="X264" i="9"/>
  <c r="X172" i="9"/>
  <c r="AB172" i="9" s="1"/>
  <c r="X104" i="9"/>
  <c r="X28" i="9"/>
  <c r="AB28" i="9" s="1"/>
  <c r="X2419" i="9"/>
  <c r="X2291" i="9"/>
  <c r="AB2291" i="9" s="1"/>
  <c r="X2195" i="9"/>
  <c r="X2067" i="9"/>
  <c r="AB2067" i="9" s="1"/>
  <c r="X1939" i="9"/>
  <c r="X1855" i="9"/>
  <c r="AB1855" i="9" s="1"/>
  <c r="X1767" i="9"/>
  <c r="X1703" i="9"/>
  <c r="AB1703" i="9" s="1"/>
  <c r="X1675" i="9"/>
  <c r="X1547" i="9"/>
  <c r="X1419" i="9"/>
  <c r="X1255" i="9"/>
  <c r="AB1255" i="9" s="1"/>
  <c r="X1151" i="9"/>
  <c r="X1023" i="9"/>
  <c r="X891" i="9"/>
  <c r="X771" i="9"/>
  <c r="AB771" i="9" s="1"/>
  <c r="X607" i="9"/>
  <c r="X519" i="9"/>
  <c r="AB519" i="9" s="1"/>
  <c r="X335" i="9"/>
  <c r="X155" i="9"/>
  <c r="AB155" i="9" s="1"/>
  <c r="X51" i="9"/>
  <c r="X2482" i="9"/>
  <c r="AB2482" i="9" s="1"/>
  <c r="X2418" i="9"/>
  <c r="X2354" i="9"/>
  <c r="AB2354" i="9" s="1"/>
  <c r="X2290" i="9"/>
  <c r="X2226" i="9"/>
  <c r="X2162" i="9"/>
  <c r="X2098" i="9"/>
  <c r="AB2098" i="9" s="1"/>
  <c r="X2034" i="9"/>
  <c r="X1970" i="9"/>
  <c r="AB1970" i="9" s="1"/>
  <c r="X1906" i="9"/>
  <c r="X1842" i="9"/>
  <c r="AB1842" i="9" s="1"/>
  <c r="X1778" i="9"/>
  <c r="X1714" i="9"/>
  <c r="X1650" i="9"/>
  <c r="X1586" i="9"/>
  <c r="AB1586" i="9" s="1"/>
  <c r="X1522" i="9"/>
  <c r="X1458" i="9"/>
  <c r="AB1458" i="9" s="1"/>
  <c r="X1394" i="9"/>
  <c r="X1330" i="9"/>
  <c r="AB1330" i="9" s="1"/>
  <c r="X1266" i="9"/>
  <c r="X698" i="9"/>
  <c r="X630" i="9"/>
  <c r="X566" i="9"/>
  <c r="AB566" i="9" s="1"/>
  <c r="X502" i="9"/>
  <c r="X438" i="9"/>
  <c r="AB438" i="9" s="1"/>
  <c r="X374" i="9"/>
  <c r="X310" i="9"/>
  <c r="AB310" i="9" s="1"/>
  <c r="X246" i="9"/>
  <c r="X182" i="9"/>
  <c r="AB182" i="9" s="1"/>
  <c r="X118" i="9"/>
  <c r="X54" i="9"/>
  <c r="AB54" i="9" s="1"/>
  <c r="X2455" i="9"/>
  <c r="X2327" i="9"/>
  <c r="X2231" i="9"/>
  <c r="X2203" i="9"/>
  <c r="AB2203" i="9" s="1"/>
  <c r="X2135" i="9"/>
  <c r="X2039" i="9"/>
  <c r="X1911" i="9"/>
  <c r="X1795" i="9"/>
  <c r="AB1795" i="9" s="1"/>
  <c r="X1347" i="9"/>
  <c r="X1235" i="9"/>
  <c r="AB1235" i="9" s="1"/>
  <c r="X1107" i="9"/>
  <c r="X975" i="9"/>
  <c r="AB975" i="9" s="1"/>
  <c r="X843" i="9"/>
  <c r="X743" i="9"/>
  <c r="AB743" i="9" s="1"/>
  <c r="X675" i="9"/>
  <c r="X555" i="9"/>
  <c r="AB555" i="9" s="1"/>
  <c r="X491" i="9"/>
  <c r="X411" i="9"/>
  <c r="AB411" i="9" s="1"/>
  <c r="X259" i="9"/>
  <c r="X87" i="9"/>
  <c r="AB87" i="9" s="1"/>
  <c r="X31" i="9"/>
  <c r="AB31" i="9" s="1"/>
  <c r="X2461" i="9"/>
  <c r="AB2461" i="9" s="1"/>
  <c r="X2397" i="9"/>
  <c r="AB2397" i="9" s="1"/>
  <c r="X2333" i="9"/>
  <c r="AB2333" i="9" s="1"/>
  <c r="X2269" i="9"/>
  <c r="AB2269" i="9" s="1"/>
  <c r="X2205" i="9"/>
  <c r="AB2205" i="9" s="1"/>
  <c r="X2141" i="9"/>
  <c r="AB2141" i="9" s="1"/>
  <c r="X2077" i="9"/>
  <c r="AB2077" i="9" s="1"/>
  <c r="X2013" i="9"/>
  <c r="AB2013" i="9" s="1"/>
  <c r="X1949" i="9"/>
  <c r="AB1949" i="9" s="1"/>
  <c r="X1885" i="9"/>
  <c r="AB1885" i="9" s="1"/>
  <c r="X1821" i="9"/>
  <c r="AB1821" i="9" s="1"/>
  <c r="X1757" i="9"/>
  <c r="AB1757" i="9" s="1"/>
  <c r="X1693" i="9"/>
  <c r="AB1693" i="9" s="1"/>
  <c r="X1629" i="9"/>
  <c r="AB1629" i="9" s="1"/>
  <c r="X1565" i="9"/>
  <c r="AB1565" i="9" s="1"/>
  <c r="X1501" i="9"/>
  <c r="AB1501" i="9" s="1"/>
  <c r="X1437" i="9"/>
  <c r="AB1437" i="9" s="1"/>
  <c r="X1373" i="9"/>
  <c r="AB1373" i="9" s="1"/>
  <c r="X1309" i="9"/>
  <c r="AB1309" i="9" s="1"/>
  <c r="X1245" i="9"/>
  <c r="AB1245" i="9" s="1"/>
  <c r="X617" i="9"/>
  <c r="AB617" i="9" s="1"/>
  <c r="X489" i="9"/>
  <c r="AB489" i="9" s="1"/>
  <c r="X361" i="9"/>
  <c r="AB361" i="9" s="1"/>
  <c r="Z1101" i="9" l="1"/>
  <c r="Z1294" i="9"/>
  <c r="Z1887" i="9"/>
  <c r="Z2403" i="9"/>
  <c r="Z2031" i="9"/>
  <c r="Z1458" i="9"/>
  <c r="Z834" i="9"/>
  <c r="Z1634" i="9"/>
  <c r="Z729" i="9"/>
  <c r="Z253" i="9"/>
  <c r="Z2216" i="9"/>
  <c r="Z663" i="9"/>
  <c r="Z2154" i="9"/>
  <c r="Z2395" i="9"/>
  <c r="Z1765" i="9"/>
  <c r="Z2047" i="9"/>
  <c r="Z2498" i="9"/>
  <c r="Z1379" i="9"/>
  <c r="Z2291" i="9"/>
  <c r="Z1851" i="9"/>
  <c r="Z132" i="9"/>
  <c r="Z866" i="9"/>
  <c r="Z2273" i="9"/>
  <c r="Z1918" i="9"/>
  <c r="Z185" i="9"/>
  <c r="Z447" i="9"/>
  <c r="Z1356" i="9"/>
  <c r="Z2100" i="9"/>
  <c r="Z194" i="9"/>
  <c r="Z2456" i="9"/>
  <c r="Z950" i="9"/>
  <c r="Z2010" i="9"/>
  <c r="Z1372" i="9"/>
  <c r="Z1416" i="9"/>
  <c r="Z1418" i="9"/>
  <c r="Z1975" i="9"/>
  <c r="Z563" i="9"/>
  <c r="Z774" i="9"/>
  <c r="Z110" i="9"/>
  <c r="Z1862" i="9"/>
  <c r="Z519" i="9"/>
  <c r="Z1241" i="9"/>
  <c r="Z2190" i="9"/>
  <c r="Z113" i="9"/>
  <c r="Z1895" i="9"/>
  <c r="Z2253" i="9"/>
  <c r="Z696" i="9"/>
  <c r="Z1553" i="9"/>
  <c r="Z52" i="9"/>
  <c r="Z796" i="9"/>
  <c r="Z1936" i="9"/>
  <c r="Z1947" i="9"/>
  <c r="Z1448" i="9"/>
  <c r="Z875" i="9"/>
  <c r="Z1635" i="9"/>
  <c r="Z272" i="9"/>
  <c r="Z865" i="9"/>
  <c r="Z127" i="9"/>
  <c r="Z1214" i="9"/>
  <c r="Z743" i="9"/>
  <c r="Z676" i="9"/>
  <c r="Z499" i="9"/>
  <c r="Z1678" i="9"/>
  <c r="Z2027" i="9"/>
  <c r="Z1468" i="9"/>
  <c r="Z989" i="9"/>
  <c r="Z2230" i="9"/>
  <c r="Z1993" i="9"/>
  <c r="Z1508" i="9"/>
  <c r="Z1595" i="9"/>
  <c r="Z1163" i="9"/>
  <c r="Z1087" i="9"/>
  <c r="Z2232" i="9"/>
  <c r="Z809" i="9"/>
  <c r="Z81" i="9"/>
  <c r="Z190" i="9"/>
  <c r="Z1850" i="9"/>
  <c r="Z666" i="9"/>
  <c r="Z571" i="9"/>
  <c r="Z2223" i="9"/>
  <c r="Z2500" i="9"/>
  <c r="Z300" i="9"/>
  <c r="Z370" i="9"/>
  <c r="Z1301" i="9"/>
  <c r="Z1472" i="9"/>
  <c r="Z1510" i="9"/>
  <c r="Z296" i="9"/>
  <c r="Z1963" i="9"/>
  <c r="Z2052" i="9"/>
  <c r="Z1605" i="9"/>
  <c r="Z1601" i="9"/>
  <c r="Z1686" i="9"/>
  <c r="Z1453" i="9"/>
  <c r="Z904" i="9"/>
  <c r="Z2037" i="9"/>
  <c r="Z1888" i="9"/>
  <c r="Z551" i="9"/>
  <c r="Z436" i="9"/>
  <c r="Z2472" i="9"/>
  <c r="Z622" i="9"/>
  <c r="Z844" i="9"/>
  <c r="Z1121" i="9"/>
  <c r="Z830" i="9"/>
  <c r="Z1478" i="9"/>
  <c r="Z1235" i="9"/>
  <c r="Z1855" i="9"/>
  <c r="Z1188" i="9"/>
  <c r="Z1113" i="9"/>
  <c r="Z935" i="9"/>
  <c r="Z1078" i="9"/>
  <c r="Z648" i="9"/>
  <c r="Z880" i="9"/>
  <c r="Z1876" i="9"/>
  <c r="Z1498" i="9"/>
  <c r="Z791" i="9"/>
  <c r="Z620" i="9"/>
  <c r="Z2103" i="9"/>
  <c r="Z549" i="9"/>
  <c r="Z810" i="9"/>
  <c r="Z160" i="9"/>
  <c r="Z1813" i="9"/>
  <c r="Z1930" i="9"/>
  <c r="Z1760" i="9"/>
  <c r="Z1809" i="9"/>
  <c r="Z2022" i="9"/>
  <c r="Z579" i="9"/>
  <c r="Z1823" i="9"/>
  <c r="Z1592" i="9"/>
  <c r="Z1655" i="9"/>
  <c r="Z170" i="9"/>
  <c r="Z2094" i="9"/>
  <c r="Z2364" i="9"/>
  <c r="Z465" i="9"/>
  <c r="Z1927" i="9"/>
  <c r="Z1180" i="9"/>
  <c r="Z1568" i="9"/>
  <c r="Z781" i="9"/>
  <c r="Z1191" i="9"/>
  <c r="Z393" i="9"/>
  <c r="Z390" i="9"/>
  <c r="Z1799" i="9"/>
  <c r="Z1204" i="9"/>
  <c r="Z2462" i="9"/>
  <c r="Z488" i="9"/>
  <c r="Z768" i="9"/>
  <c r="Z167" i="9"/>
  <c r="Z363" i="9"/>
  <c r="Z2188" i="9"/>
  <c r="Z1115" i="9"/>
  <c r="Z2502" i="9"/>
  <c r="Z1970" i="9"/>
  <c r="Z172" i="9"/>
  <c r="Z389" i="9"/>
  <c r="Z1753" i="9"/>
  <c r="Z138" i="9"/>
  <c r="Z1422" i="9"/>
  <c r="Z1806" i="9"/>
  <c r="Z831" i="9"/>
  <c r="Z1253" i="9"/>
  <c r="Z331" i="9"/>
  <c r="Z2463" i="9"/>
  <c r="Z1740" i="9"/>
  <c r="Z1633" i="9"/>
  <c r="Z1334" i="9"/>
  <c r="Z1915" i="9"/>
  <c r="Z2163" i="9"/>
  <c r="Z23" i="9"/>
  <c r="Z2430" i="9"/>
  <c r="Z1916" i="9"/>
  <c r="Z2375" i="9"/>
  <c r="Z2499" i="9"/>
  <c r="Z753" i="9"/>
  <c r="Z1835" i="9"/>
  <c r="Z715" i="9"/>
  <c r="Z57" i="9"/>
  <c r="Z409" i="9"/>
  <c r="Z2169" i="9"/>
  <c r="Z1175" i="9"/>
  <c r="Z236" i="9"/>
  <c r="Z1540" i="9"/>
  <c r="Z574" i="9"/>
  <c r="Z1218" i="9"/>
  <c r="Z56" i="9"/>
  <c r="Z1345" i="9"/>
  <c r="Z2241" i="9"/>
  <c r="Z1038" i="9"/>
  <c r="AB1023" i="9"/>
  <c r="Z1023" i="9"/>
  <c r="AB985" i="9"/>
  <c r="Z985" i="9"/>
  <c r="AB1014" i="9"/>
  <c r="Z1014" i="9"/>
  <c r="AB1603" i="9"/>
  <c r="Z1603" i="9"/>
  <c r="AB68" i="9"/>
  <c r="Z68" i="9"/>
  <c r="AB1008" i="9"/>
  <c r="Z1008" i="9"/>
  <c r="AB1882" i="9"/>
  <c r="Z1882" i="9"/>
  <c r="AB2320" i="9"/>
  <c r="Z2320" i="9"/>
  <c r="AB1741" i="9"/>
  <c r="Z1741" i="9"/>
  <c r="AB916" i="9"/>
  <c r="Z916" i="9"/>
  <c r="AB2191" i="9"/>
  <c r="Z2191" i="9"/>
  <c r="AB2347" i="9"/>
  <c r="Z2347" i="9"/>
  <c r="AB289" i="9"/>
  <c r="Z289" i="9"/>
  <c r="AB914" i="9"/>
  <c r="Z914" i="9"/>
  <c r="AB1132" i="9"/>
  <c r="Z1132" i="9"/>
  <c r="AB1009" i="9"/>
  <c r="Z1009" i="9"/>
  <c r="AB990" i="9"/>
  <c r="Z990" i="9"/>
  <c r="AB2483" i="9"/>
  <c r="Z2483" i="9"/>
  <c r="AB546" i="9"/>
  <c r="Z546" i="9"/>
  <c r="AB1349" i="9"/>
  <c r="Z1349" i="9"/>
  <c r="AB1792" i="9"/>
  <c r="Z1792" i="9"/>
  <c r="AB1355" i="9"/>
  <c r="Z1355" i="9"/>
  <c r="AB1282" i="9"/>
  <c r="Z1282" i="9"/>
  <c r="AB1714" i="9"/>
  <c r="Z1714" i="9"/>
  <c r="AB105" i="9"/>
  <c r="Z105" i="9"/>
  <c r="AB822" i="9"/>
  <c r="Z822" i="9"/>
  <c r="AB631" i="9"/>
  <c r="Z631" i="9"/>
  <c r="AB2251" i="9"/>
  <c r="Z2251" i="9"/>
  <c r="AB2277" i="9"/>
  <c r="Z2277" i="9"/>
  <c r="AB994" i="9"/>
  <c r="Z994" i="9"/>
  <c r="AB383" i="9"/>
  <c r="Z383" i="9"/>
  <c r="AB1315" i="9"/>
  <c r="Z1315" i="9"/>
  <c r="AB229" i="9"/>
  <c r="Z229" i="9"/>
  <c r="AB470" i="9"/>
  <c r="Z470" i="9"/>
  <c r="AB836" i="9"/>
  <c r="Z836" i="9"/>
  <c r="AB1001" i="9"/>
  <c r="Z1001" i="9"/>
  <c r="AB1326" i="9"/>
  <c r="Z1326" i="9"/>
  <c r="AB244" i="9"/>
  <c r="Z244" i="9"/>
  <c r="AB291" i="9"/>
  <c r="Z291" i="9"/>
  <c r="AB2234" i="9"/>
  <c r="Z2234" i="9"/>
  <c r="AB45" i="9"/>
  <c r="Z45" i="9"/>
  <c r="AB2070" i="9"/>
  <c r="Z2070" i="9"/>
  <c r="AB1351" i="9"/>
  <c r="Z1351" i="9"/>
  <c r="AB948" i="9"/>
  <c r="Z948" i="9"/>
  <c r="AB16" i="9"/>
  <c r="Z16" i="9"/>
  <c r="AB1525" i="9"/>
  <c r="Z1525" i="9"/>
  <c r="AB1642" i="9"/>
  <c r="Z1642" i="9"/>
  <c r="AB1600" i="9"/>
  <c r="Z1600" i="9"/>
  <c r="AB2033" i="9"/>
  <c r="Z2033" i="9"/>
  <c r="AB815" i="9"/>
  <c r="Z815" i="9"/>
  <c r="AB2327" i="9"/>
  <c r="Z2327" i="9"/>
  <c r="Z182" i="9"/>
  <c r="Z2482" i="9"/>
  <c r="AB1432" i="9"/>
  <c r="Z1432" i="9"/>
  <c r="Z1688" i="9"/>
  <c r="Z565" i="9"/>
  <c r="AB1723" i="9"/>
  <c r="Z1723" i="9"/>
  <c r="Z386" i="9"/>
  <c r="Z758" i="9"/>
  <c r="AB2446" i="9"/>
  <c r="Z2446" i="9"/>
  <c r="Z387" i="9"/>
  <c r="AB2292" i="9"/>
  <c r="Z2292" i="9"/>
  <c r="AB1637" i="9"/>
  <c r="Z1637" i="9"/>
  <c r="AB863" i="9"/>
  <c r="Z863" i="9"/>
  <c r="AB1952" i="9"/>
  <c r="Z1952" i="9"/>
  <c r="AB1761" i="9"/>
  <c r="Z1761" i="9"/>
  <c r="AB1378" i="9"/>
  <c r="Z1378" i="9"/>
  <c r="AB1481" i="9"/>
  <c r="Z1481" i="9"/>
  <c r="AB1406" i="9"/>
  <c r="Z1406" i="9"/>
  <c r="AB1056" i="9"/>
  <c r="Z1056" i="9"/>
  <c r="AB959" i="9"/>
  <c r="Z959" i="9"/>
  <c r="AB883" i="9"/>
  <c r="Z883" i="9"/>
  <c r="AB2348" i="9"/>
  <c r="Z2348" i="9"/>
  <c r="AB203" i="9"/>
  <c r="Z203" i="9"/>
  <c r="AB1095" i="9"/>
  <c r="Z1095" i="9"/>
  <c r="AB665" i="9"/>
  <c r="Z665" i="9"/>
  <c r="AB744" i="9"/>
  <c r="Z744" i="9"/>
  <c r="AB1594" i="9"/>
  <c r="Z1594" i="9"/>
  <c r="AB315" i="9"/>
  <c r="Z315" i="9"/>
  <c r="AB1430" i="9"/>
  <c r="Z1430" i="9"/>
  <c r="AB1950" i="9"/>
  <c r="Z1950" i="9"/>
  <c r="AB40" i="9"/>
  <c r="Z40" i="9"/>
  <c r="AB2246" i="9"/>
  <c r="Z2246" i="9"/>
  <c r="Z411" i="9"/>
  <c r="Z438" i="9"/>
  <c r="AB1096" i="9"/>
  <c r="Z1096" i="9"/>
  <c r="Z420" i="9"/>
  <c r="Z2200" i="9"/>
  <c r="AB2009" i="9"/>
  <c r="Z2009" i="9"/>
  <c r="Z2265" i="9"/>
  <c r="Z2095" i="9"/>
  <c r="Z266" i="9"/>
  <c r="Z642" i="9"/>
  <c r="AB1206" i="9"/>
  <c r="Z1206" i="9"/>
  <c r="Z1934" i="9"/>
  <c r="Z2318" i="9"/>
  <c r="AB496" i="9"/>
  <c r="Z496" i="9"/>
  <c r="AB1780" i="9"/>
  <c r="Z1780" i="9"/>
  <c r="AB241" i="9"/>
  <c r="Z241" i="9"/>
  <c r="AB139" i="9"/>
  <c r="Z139" i="9"/>
  <c r="AB1440" i="9"/>
  <c r="Z1440" i="9"/>
  <c r="AB1671" i="9"/>
  <c r="Z1671" i="9"/>
  <c r="AB1523" i="9"/>
  <c r="Z1523" i="9"/>
  <c r="AB1319" i="9"/>
  <c r="Z1319" i="9"/>
  <c r="AB2429" i="9"/>
  <c r="Z2429" i="9"/>
  <c r="AB936" i="9"/>
  <c r="Z936" i="9"/>
  <c r="AB1401" i="9"/>
  <c r="Z1401" i="9"/>
  <c r="AB966" i="9"/>
  <c r="Z966" i="9"/>
  <c r="AB848" i="9"/>
  <c r="Z848" i="9"/>
  <c r="AB1989" i="9"/>
  <c r="Z1989" i="9"/>
  <c r="AB727" i="9"/>
  <c r="Z727" i="9"/>
  <c r="AB2156" i="9"/>
  <c r="Z2156" i="9"/>
  <c r="AB2093" i="9"/>
  <c r="Z2093" i="9"/>
  <c r="AB2242" i="9"/>
  <c r="Z2242" i="9"/>
  <c r="AB456" i="9"/>
  <c r="Z456" i="9"/>
  <c r="AB1960" i="9"/>
  <c r="Z1960" i="9"/>
  <c r="AB2411" i="9"/>
  <c r="Z2411" i="9"/>
  <c r="AB1684" i="9"/>
  <c r="Z1684" i="9"/>
  <c r="AB2055" i="9"/>
  <c r="Z2055" i="9"/>
  <c r="AB1891" i="9"/>
  <c r="Z1891" i="9"/>
  <c r="AB477" i="9"/>
  <c r="Z477" i="9"/>
  <c r="Z2335" i="9"/>
  <c r="Z478" i="9"/>
  <c r="Z1039" i="9"/>
  <c r="Z508" i="9"/>
  <c r="Z1084" i="9"/>
  <c r="Z205" i="9"/>
  <c r="Z925" i="9"/>
  <c r="Z1249" i="9"/>
  <c r="Z314" i="9"/>
  <c r="Z1198" i="9"/>
  <c r="Z1846" i="9"/>
  <c r="Z2486" i="9"/>
  <c r="Z713" i="9"/>
  <c r="Z11" i="9"/>
  <c r="Z102" i="9"/>
  <c r="Z2146" i="9"/>
  <c r="Z428" i="9"/>
  <c r="Z1928" i="9"/>
  <c r="Z853" i="9"/>
  <c r="Z1405" i="9"/>
  <c r="Z1746" i="9"/>
  <c r="Z2386" i="9"/>
  <c r="Z2028" i="9"/>
  <c r="Z77" i="9"/>
  <c r="Z717" i="9"/>
  <c r="Z691" i="9"/>
  <c r="Z178" i="9"/>
  <c r="Z814" i="9"/>
  <c r="Z999" i="9"/>
  <c r="Z1485" i="9"/>
  <c r="Z475" i="9"/>
  <c r="Z614" i="9"/>
  <c r="Z303" i="9"/>
  <c r="Z404" i="9"/>
  <c r="Z2440" i="9"/>
  <c r="Z1109" i="9"/>
  <c r="Z903" i="9"/>
  <c r="Z1066" i="9"/>
  <c r="Z799" i="9"/>
  <c r="Z544" i="9"/>
  <c r="Z2324" i="9"/>
  <c r="Z2325" i="9"/>
  <c r="Z398" i="9"/>
  <c r="Z2442" i="9"/>
  <c r="Z888" i="9"/>
  <c r="Z2060" i="9"/>
  <c r="Z881" i="9"/>
  <c r="Z2065" i="9"/>
  <c r="Z490" i="9"/>
  <c r="Z47" i="9"/>
  <c r="Z1917" i="9"/>
  <c r="Z214" i="9"/>
  <c r="Z1362" i="9"/>
  <c r="Z2002" i="9"/>
  <c r="Z580" i="9"/>
  <c r="Z1220" i="9"/>
  <c r="Z1848" i="9"/>
  <c r="Z1193" i="9"/>
  <c r="Z1785" i="9"/>
  <c r="Z2425" i="9"/>
  <c r="Z1158" i="9"/>
  <c r="Z1710" i="9"/>
  <c r="Z2350" i="9"/>
  <c r="Z592" i="9"/>
  <c r="Z1232" i="9"/>
  <c r="Z1748" i="9"/>
  <c r="Z2373" i="9"/>
  <c r="Z1267" i="9"/>
  <c r="Z2279" i="9"/>
  <c r="Z287" i="9"/>
  <c r="Z1791" i="9"/>
  <c r="Z396" i="9"/>
  <c r="Z2380" i="9"/>
  <c r="Z429" i="9"/>
  <c r="Z909" i="9"/>
  <c r="Z1051" i="9"/>
  <c r="Z18" i="9"/>
  <c r="Z431" i="9"/>
  <c r="Z2477" i="9"/>
  <c r="Z1011" i="9"/>
  <c r="Z1055" i="9"/>
  <c r="Z124" i="9"/>
  <c r="Z692" i="9"/>
  <c r="Z1704" i="9"/>
  <c r="Z2334" i="9"/>
  <c r="Z415" i="9"/>
  <c r="Z1276" i="9"/>
  <c r="Z513" i="9"/>
  <c r="Z1227" i="9"/>
  <c r="Z1138" i="9"/>
  <c r="Z1303" i="9"/>
  <c r="Z1308" i="9"/>
  <c r="Z2476" i="9"/>
  <c r="Z1521" i="9"/>
  <c r="Z1631" i="9"/>
  <c r="Z458" i="9"/>
  <c r="Z1555" i="9"/>
  <c r="AB1497" i="9"/>
  <c r="Z1497" i="9"/>
  <c r="AB1137" i="9"/>
  <c r="Z1137" i="9"/>
  <c r="AB1533" i="9"/>
  <c r="Z1533" i="9"/>
  <c r="AB2199" i="9"/>
  <c r="Z2199" i="9"/>
  <c r="AB730" i="9"/>
  <c r="Z730" i="9"/>
  <c r="AB1874" i="9"/>
  <c r="Z1874" i="9"/>
  <c r="AB1092" i="9"/>
  <c r="Z1092" i="9"/>
  <c r="AB1720" i="9"/>
  <c r="Z1720" i="9"/>
  <c r="AB2360" i="9"/>
  <c r="Z2360" i="9"/>
  <c r="AB1657" i="9"/>
  <c r="Z1657" i="9"/>
  <c r="AB2297" i="9"/>
  <c r="Z2297" i="9"/>
  <c r="AB731" i="9"/>
  <c r="Z731" i="9"/>
  <c r="AB1582" i="9"/>
  <c r="Z1582" i="9"/>
  <c r="AB2222" i="9"/>
  <c r="Z2222" i="9"/>
  <c r="AB671" i="9"/>
  <c r="Z671" i="9"/>
  <c r="AB1104" i="9"/>
  <c r="Z1104" i="9"/>
  <c r="AB1652" i="9"/>
  <c r="Z1652" i="9"/>
  <c r="AB2079" i="9"/>
  <c r="Z2079" i="9"/>
  <c r="AB232" i="9"/>
  <c r="Z232" i="9"/>
  <c r="AB845" i="9"/>
  <c r="Z845" i="9"/>
  <c r="AB1985" i="9"/>
  <c r="Z1985" i="9"/>
  <c r="AB1639" i="9"/>
  <c r="Z1639" i="9"/>
  <c r="AB698" i="9"/>
  <c r="Z698" i="9"/>
  <c r="AB886" i="9"/>
  <c r="Z886" i="9"/>
  <c r="AB1364" i="9"/>
  <c r="Z1364" i="9"/>
  <c r="AB2115" i="9"/>
  <c r="Z2115" i="9"/>
  <c r="AB589" i="9"/>
  <c r="Z589" i="9"/>
  <c r="AB1297" i="9"/>
  <c r="Z1297" i="9"/>
  <c r="AB1254" i="9"/>
  <c r="Z1254" i="9"/>
  <c r="AB2039" i="9"/>
  <c r="Z2039" i="9"/>
  <c r="AB572" i="9"/>
  <c r="Z572" i="9"/>
  <c r="AB857" i="9"/>
  <c r="Z857" i="9"/>
  <c r="AB514" i="9"/>
  <c r="Z514" i="9"/>
  <c r="AB2062" i="9"/>
  <c r="Z2062" i="9"/>
  <c r="AB368" i="9"/>
  <c r="Z368" i="9"/>
  <c r="AB2149" i="9"/>
  <c r="Z2149" i="9"/>
  <c r="AB2394" i="9"/>
  <c r="Z2394" i="9"/>
  <c r="AB2252" i="9"/>
  <c r="Z2252" i="9"/>
  <c r="AB1543" i="9"/>
  <c r="Z1543" i="9"/>
  <c r="AB2171" i="9"/>
  <c r="Z2171" i="9"/>
  <c r="AB1890" i="9"/>
  <c r="Z1890" i="9"/>
  <c r="AB92" i="9"/>
  <c r="Z92" i="9"/>
  <c r="AB1672" i="9"/>
  <c r="Z1672" i="9"/>
  <c r="AB725" i="9"/>
  <c r="Z725" i="9"/>
  <c r="AB2249" i="9"/>
  <c r="Z2249" i="9"/>
  <c r="AB626" i="9"/>
  <c r="Z626" i="9"/>
  <c r="AB2174" i="9"/>
  <c r="Z2174" i="9"/>
  <c r="AB32" i="9"/>
  <c r="Z32" i="9"/>
  <c r="AB1716" i="9"/>
  <c r="Z1716" i="9"/>
  <c r="AB1557" i="9"/>
  <c r="Z1557" i="9"/>
  <c r="AB2151" i="9"/>
  <c r="Z2151" i="9"/>
  <c r="AB1674" i="9"/>
  <c r="Z1674" i="9"/>
  <c r="AB1955" i="9"/>
  <c r="Z1955" i="9"/>
  <c r="AB1616" i="9"/>
  <c r="Z1616" i="9"/>
  <c r="AB509" i="9"/>
  <c r="Z509" i="9"/>
  <c r="AB686" i="9"/>
  <c r="Z686" i="9"/>
  <c r="AB787" i="9"/>
  <c r="Z787" i="9"/>
  <c r="AB1547" i="9"/>
  <c r="Z1547" i="9"/>
  <c r="AB233" i="9"/>
  <c r="Z233" i="9"/>
  <c r="AB2383" i="9"/>
  <c r="Z2383" i="9"/>
  <c r="AB1550" i="9"/>
  <c r="Z1550" i="9"/>
  <c r="AB472" i="9"/>
  <c r="Z472" i="9"/>
  <c r="AB625" i="9"/>
  <c r="Z625" i="9"/>
  <c r="AB1370" i="9"/>
  <c r="Z1370" i="9"/>
  <c r="AB1664" i="9"/>
  <c r="Z1664" i="9"/>
  <c r="AB2145" i="9"/>
  <c r="Z2145" i="9"/>
  <c r="AB495" i="9"/>
  <c r="Z495" i="9"/>
  <c r="AB358" i="9"/>
  <c r="Z358" i="9"/>
  <c r="AB932" i="9"/>
  <c r="Z932" i="9"/>
  <c r="AB179" i="9"/>
  <c r="Z179" i="9"/>
  <c r="AB1647" i="9"/>
  <c r="Z1647" i="9"/>
  <c r="AB1997" i="9"/>
  <c r="Z1997" i="9"/>
  <c r="AB2150" i="9"/>
  <c r="Z2150" i="9"/>
  <c r="AB19" i="9"/>
  <c r="Z19" i="9"/>
  <c r="AB2226" i="9"/>
  <c r="Z2226" i="9"/>
  <c r="AB1944" i="9"/>
  <c r="Z1944" i="9"/>
  <c r="AB35" i="9"/>
  <c r="Z35" i="9"/>
  <c r="AB1142" i="9"/>
  <c r="Z1142" i="9"/>
  <c r="AB1279" i="9"/>
  <c r="Z1279" i="9"/>
  <c r="AB2180" i="9"/>
  <c r="Z2180" i="9"/>
  <c r="AB350" i="9"/>
  <c r="Z350" i="9"/>
  <c r="AB956" i="9"/>
  <c r="Z956" i="9"/>
  <c r="AB1181" i="9"/>
  <c r="Z1181" i="9"/>
  <c r="AB1718" i="9"/>
  <c r="Z1718" i="9"/>
  <c r="AB835" i="9"/>
  <c r="Z835" i="9"/>
  <c r="AB859" i="9"/>
  <c r="Z859" i="9"/>
  <c r="AB660" i="9"/>
  <c r="Z660" i="9"/>
  <c r="AB101" i="9"/>
  <c r="Z101" i="9"/>
  <c r="AB1237" i="9"/>
  <c r="Z1237" i="9"/>
  <c r="AB1559" i="9"/>
  <c r="Z1559" i="9"/>
  <c r="AB1194" i="9"/>
  <c r="Z1194" i="9"/>
  <c r="AB1443" i="9"/>
  <c r="Z1443" i="9"/>
  <c r="AB800" i="9"/>
  <c r="Z800" i="9"/>
  <c r="AB33" i="9"/>
  <c r="Z33" i="9"/>
  <c r="AB211" i="9"/>
  <c r="Z211" i="9"/>
  <c r="AB654" i="9"/>
  <c r="Z654" i="9"/>
  <c r="AB395" i="9"/>
  <c r="Z395" i="9"/>
  <c r="AB876" i="9"/>
  <c r="Z876" i="9"/>
  <c r="AB2204" i="9"/>
  <c r="Z2204" i="9"/>
  <c r="AB2349" i="9"/>
  <c r="Z2349" i="9"/>
  <c r="AB2050" i="9"/>
  <c r="Z2050" i="9"/>
  <c r="AB2451" i="9"/>
  <c r="Z2451" i="9"/>
  <c r="AB564" i="9"/>
  <c r="Z564" i="9"/>
  <c r="AB1576" i="9"/>
  <c r="Z1576" i="9"/>
  <c r="Z2402" i="9"/>
  <c r="Z1759" i="9"/>
  <c r="Z840" i="9"/>
  <c r="Z1172" i="9"/>
  <c r="Z2184" i="9"/>
  <c r="Z377" i="9"/>
  <c r="Z981" i="9"/>
  <c r="Z1737" i="9"/>
  <c r="Z467" i="9"/>
  <c r="Z122" i="9"/>
  <c r="Z938" i="9"/>
  <c r="Z1662" i="9"/>
  <c r="Z355" i="9"/>
  <c r="Z360" i="9"/>
  <c r="Z288" i="9"/>
  <c r="Z1300" i="9"/>
  <c r="Z2116" i="9"/>
  <c r="Z545" i="9"/>
  <c r="Z2069" i="9"/>
  <c r="Z1407" i="9"/>
  <c r="Z142" i="9"/>
  <c r="Z1170" i="9"/>
  <c r="Z2186" i="9"/>
  <c r="Z1367" i="9"/>
  <c r="Z332" i="9"/>
  <c r="Z1324" i="9"/>
  <c r="Z1904" i="9"/>
  <c r="Z2496" i="9"/>
  <c r="AB1535" i="9"/>
  <c r="Z1535" i="9"/>
  <c r="AB1766" i="9"/>
  <c r="Z1766" i="9"/>
  <c r="AB553" i="9"/>
  <c r="Z553" i="9"/>
  <c r="AB1171" i="9"/>
  <c r="Z1171" i="9"/>
  <c r="AB342" i="9"/>
  <c r="Z342" i="9"/>
  <c r="AB1490" i="9"/>
  <c r="Z1490" i="9"/>
  <c r="AB712" i="9"/>
  <c r="Z712" i="9"/>
  <c r="AB708" i="9"/>
  <c r="Z708" i="9"/>
  <c r="AB1336" i="9"/>
  <c r="Z1336" i="9"/>
  <c r="AB937" i="9"/>
  <c r="Z937" i="9"/>
  <c r="AB1273" i="9"/>
  <c r="Z1273" i="9"/>
  <c r="AB1913" i="9"/>
  <c r="Z1913" i="9"/>
  <c r="AB902" i="9"/>
  <c r="Z902" i="9"/>
  <c r="AB1222" i="9"/>
  <c r="Z1222" i="9"/>
  <c r="AB1838" i="9"/>
  <c r="Z1838" i="9"/>
  <c r="AB180" i="9"/>
  <c r="Z180" i="9"/>
  <c r="AB720" i="9"/>
  <c r="Z720" i="9"/>
  <c r="AB1340" i="9"/>
  <c r="Z1340" i="9"/>
  <c r="AB1861" i="9"/>
  <c r="Z1861" i="9"/>
  <c r="AB1471" i="9"/>
  <c r="Z1471" i="9"/>
  <c r="AB2106" i="9"/>
  <c r="Z2106" i="9"/>
  <c r="AB2051" i="9"/>
  <c r="Z2051" i="9"/>
  <c r="AB2080" i="9"/>
  <c r="Z2080" i="9"/>
  <c r="AB557" i="9"/>
  <c r="Z557" i="9"/>
  <c r="AB1147" i="9"/>
  <c r="Z1147" i="9"/>
  <c r="AB226" i="9"/>
  <c r="Z226" i="9"/>
  <c r="AB1359" i="9"/>
  <c r="Z1359" i="9"/>
  <c r="AB63" i="9"/>
  <c r="Z63" i="9"/>
  <c r="AB1611" i="9"/>
  <c r="Z1611" i="9"/>
  <c r="AB152" i="9"/>
  <c r="Z152" i="9"/>
  <c r="AB324" i="9"/>
  <c r="Z324" i="9"/>
  <c r="AB325" i="9"/>
  <c r="Z325" i="9"/>
  <c r="AB745" i="9"/>
  <c r="Z745" i="9"/>
  <c r="AB1065" i="9"/>
  <c r="Z1065" i="9"/>
  <c r="AB42" i="9"/>
  <c r="Z42" i="9"/>
  <c r="AB678" i="9"/>
  <c r="Z678" i="9"/>
  <c r="AB1030" i="9"/>
  <c r="Z1030" i="9"/>
  <c r="AB2443" i="9"/>
  <c r="Z2443" i="9"/>
  <c r="AB1224" i="9"/>
  <c r="Z1224" i="9"/>
  <c r="AB336" i="9"/>
  <c r="Z336" i="9"/>
  <c r="AB1477" i="9"/>
  <c r="Z1477" i="9"/>
  <c r="AB1722" i="9"/>
  <c r="Z1722" i="9"/>
  <c r="AB1868" i="9"/>
  <c r="Z1868" i="9"/>
  <c r="AB547" i="9"/>
  <c r="Z547" i="9"/>
  <c r="AB910" i="9"/>
  <c r="Z910" i="9"/>
  <c r="AB2454" i="9"/>
  <c r="Z2454" i="9"/>
  <c r="AB1325" i="9"/>
  <c r="Z1325" i="9"/>
  <c r="AB1410" i="9"/>
  <c r="Z1410" i="9"/>
  <c r="AB1666" i="9"/>
  <c r="Z1666" i="9"/>
  <c r="AB1922" i="9"/>
  <c r="Z1922" i="9"/>
  <c r="AB2370" i="9"/>
  <c r="Z2370" i="9"/>
  <c r="AB1579" i="9"/>
  <c r="Z1579" i="9"/>
  <c r="AB684" i="9"/>
  <c r="Z684" i="9"/>
  <c r="AB1076" i="9"/>
  <c r="Z1076" i="9"/>
  <c r="AB2088" i="9"/>
  <c r="Z2088" i="9"/>
  <c r="AB1459" i="9"/>
  <c r="Z1459" i="9"/>
  <c r="AB134" i="9"/>
  <c r="Z134" i="9"/>
  <c r="AB1538" i="9"/>
  <c r="Z1538" i="9"/>
  <c r="AB1794" i="9"/>
  <c r="Z1794" i="9"/>
  <c r="AB807" i="9"/>
  <c r="Z807" i="9"/>
  <c r="AB2321" i="9"/>
  <c r="Z2321" i="9"/>
  <c r="AB734" i="9"/>
  <c r="Z734" i="9"/>
  <c r="AB615" i="9"/>
  <c r="Z615" i="9"/>
  <c r="AB2173" i="9"/>
  <c r="Z2173" i="9"/>
  <c r="AB2258" i="9"/>
  <c r="Z2258" i="9"/>
  <c r="AB839" i="9"/>
  <c r="Z839" i="9"/>
  <c r="AB2003" i="9"/>
  <c r="Z2003" i="9"/>
  <c r="AB2104" i="9"/>
  <c r="Z2104" i="9"/>
  <c r="AB121" i="9"/>
  <c r="Z121" i="9"/>
  <c r="AB501" i="9"/>
  <c r="Z501" i="9"/>
  <c r="AB251" i="9"/>
  <c r="Z251" i="9"/>
  <c r="AB1787" i="9"/>
  <c r="Z1787" i="9"/>
  <c r="AB290" i="9"/>
  <c r="Z290" i="9"/>
  <c r="AB231" i="9"/>
  <c r="Z231" i="9"/>
  <c r="AB1539" i="9"/>
  <c r="Z1539" i="9"/>
  <c r="AB440" i="9"/>
  <c r="Z440" i="9"/>
  <c r="AB1956" i="9"/>
  <c r="Z1956" i="9"/>
  <c r="AB593" i="9"/>
  <c r="Z593" i="9"/>
  <c r="AB62" i="9"/>
  <c r="Z62" i="9"/>
  <c r="AB1338" i="9"/>
  <c r="Z1338" i="9"/>
  <c r="AB1032" i="9"/>
  <c r="Z1032" i="9"/>
  <c r="AB1644" i="9"/>
  <c r="Z1644" i="9"/>
  <c r="AB1037" i="9"/>
  <c r="Z1037" i="9"/>
  <c r="AB2075" i="9"/>
  <c r="Z2075" i="9"/>
  <c r="Z208" i="9"/>
  <c r="Z1152" i="9"/>
  <c r="Z1988" i="9"/>
  <c r="Z385" i="9"/>
  <c r="Z1909" i="9"/>
  <c r="Z1099" i="9"/>
  <c r="Z2471" i="9"/>
  <c r="Z1010" i="9"/>
  <c r="Z2026" i="9"/>
  <c r="Z1071" i="9"/>
  <c r="Z120" i="9"/>
  <c r="Z1228" i="9"/>
  <c r="Z1820" i="9"/>
  <c r="Z2400" i="9"/>
  <c r="Z801" i="9"/>
  <c r="Z1393" i="9"/>
  <c r="Z2417" i="9"/>
  <c r="Z1503" i="9"/>
  <c r="Z958" i="9"/>
  <c r="Z1350" i="9"/>
  <c r="Z1734" i="9"/>
  <c r="Z1031" i="9"/>
  <c r="Z1822" i="9"/>
  <c r="Z2206" i="9"/>
  <c r="Z2059" i="9"/>
  <c r="Z312" i="9"/>
  <c r="Z984" i="9"/>
  <c r="Z640" i="9"/>
  <c r="Z1588" i="9"/>
  <c r="Z2404" i="9"/>
  <c r="Z1397" i="9"/>
  <c r="Z2421" i="9"/>
  <c r="Z1919" i="9"/>
  <c r="Z494" i="9"/>
  <c r="Z1514" i="9"/>
  <c r="Z171" i="9"/>
  <c r="Z1659" i="9"/>
  <c r="Z1176" i="9"/>
  <c r="Z1520" i="9"/>
  <c r="Z2112" i="9"/>
  <c r="Z349" i="9"/>
  <c r="Z1057" i="9"/>
  <c r="Z1905" i="9"/>
  <c r="Z983" i="9"/>
  <c r="Z1771" i="9"/>
  <c r="Z330" i="9"/>
  <c r="Z702" i="9"/>
  <c r="Z1990" i="9"/>
  <c r="Z2374" i="9"/>
  <c r="Z527" i="9"/>
  <c r="Z2331" i="9"/>
  <c r="Z2164" i="9"/>
  <c r="Z2468" i="9"/>
  <c r="Z337" i="9"/>
  <c r="Z2117" i="9"/>
  <c r="Z2501" i="9"/>
  <c r="Z1059" i="9"/>
  <c r="Z318" i="9"/>
  <c r="Z706" i="9"/>
  <c r="Z1090" i="9"/>
  <c r="Z2362" i="9"/>
  <c r="Z471" i="9"/>
  <c r="Z1231" i="9"/>
  <c r="Z924" i="9"/>
  <c r="Z1280" i="9"/>
  <c r="Z1500" i="9"/>
  <c r="Z2224" i="9"/>
  <c r="Z2448" i="9"/>
  <c r="Z301" i="9"/>
  <c r="Z1165" i="9"/>
  <c r="Z1473" i="9"/>
  <c r="Z2497" i="9"/>
  <c r="Z410" i="9"/>
  <c r="Z1166" i="9"/>
  <c r="Z1558" i="9"/>
  <c r="Z1942" i="9"/>
  <c r="Z963" i="9"/>
  <c r="Z1837" i="9"/>
  <c r="Z151" i="9"/>
  <c r="Z775" i="9"/>
  <c r="Z1827" i="9"/>
  <c r="Z646" i="9"/>
  <c r="Z1474" i="9"/>
  <c r="Z1602" i="9"/>
  <c r="Z1730" i="9"/>
  <c r="Z1858" i="9"/>
  <c r="Z1986" i="9"/>
  <c r="Z2114" i="9"/>
  <c r="Z207" i="9"/>
  <c r="Z1287" i="9"/>
  <c r="Z1971" i="9"/>
  <c r="Z268" i="9"/>
  <c r="Z308" i="9"/>
  <c r="Z820" i="9"/>
  <c r="Z1320" i="9"/>
  <c r="Z1832" i="9"/>
  <c r="Z2344" i="9"/>
  <c r="D14" i="8"/>
  <c r="AB843" i="9"/>
  <c r="Z843" i="9"/>
  <c r="AB1266" i="9"/>
  <c r="Z1266" i="9"/>
  <c r="AB1778" i="9"/>
  <c r="Z1778" i="9"/>
  <c r="AB2290" i="9"/>
  <c r="Z2290" i="9"/>
  <c r="AB607" i="9"/>
  <c r="Z607" i="9"/>
  <c r="AB1675" i="9"/>
  <c r="Z1675" i="9"/>
  <c r="AB2419" i="9"/>
  <c r="Z2419" i="9"/>
  <c r="AB664" i="9"/>
  <c r="Z664" i="9"/>
  <c r="AB484" i="9"/>
  <c r="Z484" i="9"/>
  <c r="AB996" i="9"/>
  <c r="Z996" i="9"/>
  <c r="AB1496" i="9"/>
  <c r="Z1496" i="9"/>
  <c r="AB2008" i="9"/>
  <c r="Z2008" i="9"/>
  <c r="AB9" i="9"/>
  <c r="Z9" i="9"/>
  <c r="AB265" i="9"/>
  <c r="Z265" i="9"/>
  <c r="AB601" i="9"/>
  <c r="Z601" i="9"/>
  <c r="AB889" i="9"/>
  <c r="Z889" i="9"/>
  <c r="AB1145" i="9"/>
  <c r="Z1145" i="9"/>
  <c r="AB1561" i="9"/>
  <c r="Z1561" i="9"/>
  <c r="AB2073" i="9"/>
  <c r="Z2073" i="9"/>
  <c r="AB119" i="9"/>
  <c r="Z119" i="9"/>
  <c r="AB1307" i="9"/>
  <c r="Z1307" i="9"/>
  <c r="AB1967" i="9"/>
  <c r="Z1967" i="9"/>
  <c r="AB2135" i="9"/>
  <c r="Z2135" i="9"/>
  <c r="AB246" i="9"/>
  <c r="Z246" i="9"/>
  <c r="Z361" i="9"/>
  <c r="Z617" i="9"/>
  <c r="Z1309" i="9"/>
  <c r="Z1437" i="9"/>
  <c r="Z1565" i="9"/>
  <c r="Z1693" i="9"/>
  <c r="Z1821" i="9"/>
  <c r="Z1949" i="9"/>
  <c r="Z2077" i="9"/>
  <c r="Z2205" i="9"/>
  <c r="Z2333" i="9"/>
  <c r="Z2461" i="9"/>
  <c r="Z87" i="9"/>
  <c r="AB675" i="9"/>
  <c r="Z675" i="9"/>
  <c r="Z975" i="9"/>
  <c r="AB1911" i="9"/>
  <c r="Z1911" i="9"/>
  <c r="Z2203" i="9"/>
  <c r="AB118" i="9"/>
  <c r="Z118" i="9"/>
  <c r="Z310" i="9"/>
  <c r="AB630" i="9"/>
  <c r="Z630" i="9"/>
  <c r="Z1330" i="9"/>
  <c r="AB1650" i="9"/>
  <c r="Z1650" i="9"/>
  <c r="Z1842" i="9"/>
  <c r="AB2162" i="9"/>
  <c r="Z2162" i="9"/>
  <c r="Z2354" i="9"/>
  <c r="AB335" i="9"/>
  <c r="Z335" i="9"/>
  <c r="Z771" i="9"/>
  <c r="AB1419" i="9"/>
  <c r="Z1419" i="9"/>
  <c r="Z1703" i="9"/>
  <c r="AB2195" i="9"/>
  <c r="Z2195" i="9"/>
  <c r="Z28" i="9"/>
  <c r="AB444" i="9"/>
  <c r="Z444" i="9"/>
  <c r="Z732" i="9"/>
  <c r="AB356" i="9"/>
  <c r="Z356" i="9"/>
  <c r="Z548" i="9"/>
  <c r="AB868" i="9"/>
  <c r="Z868" i="9"/>
  <c r="Z1060" i="9"/>
  <c r="AB1368" i="9"/>
  <c r="Z1368" i="9"/>
  <c r="Z1560" i="9"/>
  <c r="AB1880" i="9"/>
  <c r="Z1880" i="9"/>
  <c r="Z2072" i="9"/>
  <c r="AB2392" i="9"/>
  <c r="Z2392" i="9"/>
  <c r="Z41" i="9"/>
  <c r="AB201" i="9"/>
  <c r="Z201" i="9"/>
  <c r="Z309" i="9"/>
  <c r="AB517" i="9"/>
  <c r="Z517" i="9"/>
  <c r="Z645" i="9"/>
  <c r="AB825" i="9"/>
  <c r="Z825" i="9"/>
  <c r="Z921" i="9"/>
  <c r="AB1081" i="9"/>
  <c r="Z1081" i="9"/>
  <c r="Z1177" i="9"/>
  <c r="AB1433" i="9"/>
  <c r="Z1433" i="9"/>
  <c r="Z1625" i="9"/>
  <c r="AB1945" i="9"/>
  <c r="Z1945" i="9"/>
  <c r="Z2137" i="9"/>
  <c r="AB2457" i="9"/>
  <c r="Z2457" i="9"/>
  <c r="Z219" i="9"/>
  <c r="AB795" i="9"/>
  <c r="Z795" i="9"/>
  <c r="AB1819" i="9"/>
  <c r="Z1819" i="9"/>
  <c r="AB202" i="9"/>
  <c r="Z202" i="9"/>
  <c r="AB1347" i="9"/>
  <c r="Z1347" i="9"/>
  <c r="AB2455" i="9"/>
  <c r="Z2455" i="9"/>
  <c r="AB502" i="9"/>
  <c r="Z502" i="9"/>
  <c r="AB1522" i="9"/>
  <c r="Z1522" i="9"/>
  <c r="AB2034" i="9"/>
  <c r="Z2034" i="9"/>
  <c r="AB51" i="9"/>
  <c r="Z51" i="9"/>
  <c r="AB1151" i="9"/>
  <c r="Z1151" i="9"/>
  <c r="AB1939" i="9"/>
  <c r="Z1939" i="9"/>
  <c r="AB264" i="9"/>
  <c r="Z264" i="9"/>
  <c r="AB1192" i="9"/>
  <c r="Z1192" i="9"/>
  <c r="AB740" i="9"/>
  <c r="Z740" i="9"/>
  <c r="AB1240" i="9"/>
  <c r="Z1240" i="9"/>
  <c r="AB1752" i="9"/>
  <c r="Z1752" i="9"/>
  <c r="AB2264" i="9"/>
  <c r="Z2264" i="9"/>
  <c r="AB137" i="9"/>
  <c r="Z137" i="9"/>
  <c r="AB437" i="9"/>
  <c r="Z437" i="9"/>
  <c r="AB761" i="9"/>
  <c r="Z761" i="9"/>
  <c r="AB1017" i="9"/>
  <c r="Z1017" i="9"/>
  <c r="AB1305" i="9"/>
  <c r="Z1305" i="9"/>
  <c r="AB1817" i="9"/>
  <c r="Z1817" i="9"/>
  <c r="AB2329" i="9"/>
  <c r="Z2329" i="9"/>
  <c r="AB619" i="9"/>
  <c r="Z619" i="9"/>
  <c r="AB1591" i="9"/>
  <c r="Z1591" i="9"/>
  <c r="AB74" i="9"/>
  <c r="Z74" i="9"/>
  <c r="AB491" i="9"/>
  <c r="Z491" i="9"/>
  <c r="Z489" i="9"/>
  <c r="Z1245" i="9"/>
  <c r="Z1373" i="9"/>
  <c r="Z1501" i="9"/>
  <c r="Z1629" i="9"/>
  <c r="Z1757" i="9"/>
  <c r="Z1885" i="9"/>
  <c r="Z2013" i="9"/>
  <c r="Z2141" i="9"/>
  <c r="Z2269" i="9"/>
  <c r="Z2397" i="9"/>
  <c r="Z31" i="9"/>
  <c r="AB259" i="9"/>
  <c r="Z259" i="9"/>
  <c r="Z555" i="9"/>
  <c r="AB1107" i="9"/>
  <c r="Z1107" i="9"/>
  <c r="Z1795" i="9"/>
  <c r="AB2231" i="9"/>
  <c r="Z2231" i="9"/>
  <c r="Z54" i="9"/>
  <c r="AB374" i="9"/>
  <c r="Z374" i="9"/>
  <c r="Z566" i="9"/>
  <c r="AB1394" i="9"/>
  <c r="Z1394" i="9"/>
  <c r="Z1586" i="9"/>
  <c r="AB1906" i="9"/>
  <c r="Z1906" i="9"/>
  <c r="Z2098" i="9"/>
  <c r="AB2418" i="9"/>
  <c r="Z2418" i="9"/>
  <c r="Z155" i="9"/>
  <c r="AB891" i="9"/>
  <c r="Z891" i="9"/>
  <c r="Z1255" i="9"/>
  <c r="AB1767" i="9"/>
  <c r="Z1767" i="9"/>
  <c r="Z2067" i="9"/>
  <c r="AB104" i="9"/>
  <c r="Z104" i="9"/>
  <c r="Z364" i="9"/>
  <c r="AB872" i="9"/>
  <c r="Z872" i="9"/>
  <c r="Z292" i="9"/>
  <c r="AB612" i="9"/>
  <c r="Z612" i="9"/>
  <c r="Z804" i="9"/>
  <c r="AB1124" i="9"/>
  <c r="Z1124" i="9"/>
  <c r="Z1304" i="9"/>
  <c r="AB1624" i="9"/>
  <c r="Z1624" i="9"/>
  <c r="Z1816" i="9"/>
  <c r="AB2136" i="9"/>
  <c r="Z2136" i="9"/>
  <c r="Z2328" i="9"/>
  <c r="AB73" i="9"/>
  <c r="Z73" i="9"/>
  <c r="Z169" i="9"/>
  <c r="AB345" i="9"/>
  <c r="Z345" i="9"/>
  <c r="Z473" i="9"/>
  <c r="AB693" i="9"/>
  <c r="Z693" i="9"/>
  <c r="Z793" i="9"/>
  <c r="AB953" i="9"/>
  <c r="Z953" i="9"/>
  <c r="Z1049" i="9"/>
  <c r="AB1209" i="9"/>
  <c r="Z1209" i="9"/>
  <c r="Z1369" i="9"/>
  <c r="AB1689" i="9"/>
  <c r="Z1689" i="9"/>
  <c r="Z1881" i="9"/>
  <c r="AB2201" i="9"/>
  <c r="Z2201" i="9"/>
  <c r="Z2393" i="9"/>
  <c r="AB367" i="9"/>
  <c r="Z367" i="9"/>
  <c r="Z683" i="9"/>
  <c r="AB2255" i="9"/>
  <c r="Z2255" i="9"/>
  <c r="Z856" i="9"/>
  <c r="Z196" i="9"/>
  <c r="Z624" i="9"/>
  <c r="Z1136" i="9"/>
  <c r="Z1572" i="9"/>
  <c r="Z1980" i="9"/>
  <c r="Z2388" i="9"/>
  <c r="Z369" i="9"/>
  <c r="Z1381" i="9"/>
  <c r="Z1893" i="9"/>
  <c r="Z2405" i="9"/>
  <c r="Z1219" i="9"/>
  <c r="Z2023" i="9"/>
  <c r="Z94" i="9"/>
  <c r="Z606" i="9"/>
  <c r="Z1122" i="9"/>
  <c r="Z1626" i="9"/>
  <c r="Z2138" i="9"/>
  <c r="Z351" i="9"/>
  <c r="Z1271" i="9"/>
  <c r="Z108" i="9"/>
  <c r="Z1080" i="9"/>
  <c r="Z1212" i="9"/>
  <c r="Z1516" i="9"/>
  <c r="Z1808" i="9"/>
  <c r="Z2096" i="9"/>
  <c r="Z2396" i="9"/>
  <c r="Z333" i="9"/>
  <c r="Z797" i="9"/>
  <c r="Z1053" i="9"/>
  <c r="Z1377" i="9"/>
  <c r="Z1889" i="9"/>
  <c r="Z2401" i="9"/>
  <c r="Z951" i="9"/>
  <c r="Z1867" i="9"/>
  <c r="Z442" i="9"/>
  <c r="Z942" i="9"/>
  <c r="Z1462" i="9"/>
  <c r="Z1974" i="9"/>
  <c r="AB1263" i="9"/>
  <c r="Z1263" i="9"/>
  <c r="AB1357" i="9"/>
  <c r="Z1357" i="9"/>
  <c r="AB2381" i="9"/>
  <c r="Z2381" i="9"/>
  <c r="AB1879" i="9"/>
  <c r="Z1879" i="9"/>
  <c r="AB1250" i="9"/>
  <c r="Z1250" i="9"/>
  <c r="AB2274" i="9"/>
  <c r="Z2274" i="9"/>
  <c r="Z1463" i="9"/>
  <c r="AB2358" i="9"/>
  <c r="Z2358" i="9"/>
  <c r="AB1775" i="9"/>
  <c r="Z1775" i="9"/>
  <c r="AB1613" i="9"/>
  <c r="Z1613" i="9"/>
  <c r="AB227" i="9"/>
  <c r="Z227" i="9"/>
  <c r="AB2423" i="9"/>
  <c r="Z2423" i="9"/>
  <c r="AB1506" i="9"/>
  <c r="Z1506" i="9"/>
  <c r="AB39" i="9"/>
  <c r="Z39" i="9"/>
  <c r="AB215" i="9"/>
  <c r="Z215" i="9"/>
  <c r="AB2043" i="9"/>
  <c r="Z2043" i="9"/>
  <c r="AB1869" i="9"/>
  <c r="Z1869" i="9"/>
  <c r="AB643" i="9"/>
  <c r="Z643" i="9"/>
  <c r="AB230" i="9"/>
  <c r="Z230" i="9"/>
  <c r="AB1762" i="9"/>
  <c r="Z1762" i="9"/>
  <c r="AB587" i="9"/>
  <c r="Z587" i="9"/>
  <c r="Z322" i="9"/>
  <c r="Z450" i="9"/>
  <c r="Z578" i="9"/>
  <c r="Z710" i="9"/>
  <c r="Z790" i="9"/>
  <c r="Z854" i="9"/>
  <c r="Z918" i="9"/>
  <c r="Z982" i="9"/>
  <c r="Z1046" i="9"/>
  <c r="Z1110" i="9"/>
  <c r="Z1174" i="9"/>
  <c r="Z1238" i="9"/>
  <c r="Z1358" i="9"/>
  <c r="Z1486" i="9"/>
  <c r="Z1614" i="9"/>
  <c r="Z1742" i="9"/>
  <c r="Z1870" i="9"/>
  <c r="Z1998" i="9"/>
  <c r="Z2126" i="9"/>
  <c r="Z2254" i="9"/>
  <c r="Z2382" i="9"/>
  <c r="Z7" i="9"/>
  <c r="Z263" i="9"/>
  <c r="Z511" i="9"/>
  <c r="Z735" i="9"/>
  <c r="Z1111" i="9"/>
  <c r="Z1475" i="9"/>
  <c r="Z1899" i="9"/>
  <c r="Z2155" i="9"/>
  <c r="Z2379" i="9"/>
  <c r="Z280" i="9"/>
  <c r="Z2503" i="9"/>
  <c r="Z260" i="9"/>
  <c r="Z752" i="9"/>
  <c r="Z1268" i="9"/>
  <c r="Z1668" i="9"/>
  <c r="Z2084" i="9"/>
  <c r="Z2492" i="9"/>
  <c r="Z497" i="9"/>
  <c r="Z1509" i="9"/>
  <c r="Z2021" i="9"/>
  <c r="Z135" i="9"/>
  <c r="Z1423" i="9"/>
  <c r="Z2175" i="9"/>
  <c r="Z222" i="9"/>
  <c r="Z738" i="9"/>
  <c r="Z1242" i="9"/>
  <c r="Z1754" i="9"/>
  <c r="Z2266" i="9"/>
  <c r="Z535" i="9"/>
  <c r="Z1847" i="9"/>
  <c r="Z284" i="9"/>
  <c r="Z828" i="9"/>
  <c r="Z1296" i="9"/>
  <c r="Z1584" i="9"/>
  <c r="Z1884" i="9"/>
  <c r="Z2176" i="9"/>
  <c r="Z2464" i="9"/>
  <c r="Z461" i="9"/>
  <c r="Z861" i="9"/>
  <c r="Z1117" i="9"/>
  <c r="Z1505" i="9"/>
  <c r="Z2017" i="9"/>
  <c r="Z95" i="9"/>
  <c r="Z1383" i="9"/>
  <c r="Z50" i="9"/>
  <c r="Z570" i="9"/>
  <c r="Z1070" i="9"/>
  <c r="Z1590" i="9"/>
  <c r="Z2102" i="9"/>
  <c r="AB783" i="9"/>
  <c r="Z783" i="9"/>
  <c r="AB457" i="9"/>
  <c r="Z457" i="9"/>
  <c r="AB2125" i="9"/>
  <c r="Z2125" i="9"/>
  <c r="AB1075" i="9"/>
  <c r="Z1075" i="9"/>
  <c r="AB486" i="9"/>
  <c r="Z486" i="9"/>
  <c r="AB2018" i="9"/>
  <c r="Z2018" i="9"/>
  <c r="AB2267" i="9"/>
  <c r="Z2267" i="9"/>
  <c r="AB523" i="9"/>
  <c r="Z523" i="9"/>
  <c r="AB1618" i="9"/>
  <c r="Z1618" i="9"/>
  <c r="AB2227" i="9"/>
  <c r="Z2227" i="9"/>
  <c r="AB1464" i="9"/>
  <c r="Z1464" i="9"/>
  <c r="AB581" i="9"/>
  <c r="Z581" i="9"/>
  <c r="AB2041" i="9"/>
  <c r="Z2041" i="9"/>
  <c r="Z1119" i="9"/>
  <c r="Z1907" i="9"/>
  <c r="Z220" i="9"/>
  <c r="Z1160" i="9"/>
  <c r="Z788" i="9"/>
  <c r="Z1288" i="9"/>
  <c r="Z1800" i="9"/>
  <c r="Z2312" i="9"/>
  <c r="Z165" i="9"/>
  <c r="Z469" i="9"/>
  <c r="Z789" i="9"/>
  <c r="Z1045" i="9"/>
  <c r="Z1353" i="9"/>
  <c r="Z1865" i="9"/>
  <c r="Z2377" i="9"/>
  <c r="Z667" i="9"/>
  <c r="Z1935" i="9"/>
  <c r="Z250" i="9"/>
  <c r="Z746" i="9"/>
  <c r="Z1002" i="9"/>
  <c r="Z1278" i="9"/>
  <c r="Z1790" i="9"/>
  <c r="Z2302" i="9"/>
  <c r="Z603" i="9"/>
  <c r="Z1995" i="9"/>
  <c r="Z520" i="9"/>
  <c r="Z96" i="9"/>
  <c r="Z416" i="9"/>
  <c r="Z928" i="9"/>
  <c r="Z1404" i="9"/>
  <c r="Z1812" i="9"/>
  <c r="Z2228" i="9"/>
  <c r="Z161" i="9"/>
  <c r="Z673" i="9"/>
  <c r="Z1685" i="9"/>
  <c r="Z2197" i="9"/>
  <c r="Z591" i="9"/>
  <c r="Z1615" i="9"/>
  <c r="Z2239" i="9"/>
  <c r="Z270" i="9"/>
  <c r="Z786" i="9"/>
  <c r="Z1290" i="9"/>
  <c r="Z1802" i="9"/>
  <c r="Z2314" i="9"/>
  <c r="Z623" i="9"/>
  <c r="Z1467" i="9"/>
  <c r="Z2243" i="9"/>
  <c r="Z556" i="9"/>
  <c r="Z1004" i="9"/>
  <c r="Z1392" i="9"/>
  <c r="Z1692" i="9"/>
  <c r="Z1984" i="9"/>
  <c r="Z2272" i="9"/>
  <c r="Z125" i="9"/>
  <c r="Z637" i="9"/>
  <c r="Z945" i="9"/>
  <c r="Z1201" i="9"/>
  <c r="Z1681" i="9"/>
  <c r="Z2193" i="9"/>
  <c r="Z459" i="9"/>
  <c r="Z1375" i="9"/>
  <c r="Z98" i="9"/>
  <c r="Z618" i="9"/>
  <c r="Z1118" i="9"/>
  <c r="Z1638" i="9"/>
  <c r="AB867" i="9"/>
  <c r="Z867" i="9"/>
  <c r="Z1619" i="9"/>
  <c r="Z297" i="9"/>
  <c r="AB2301" i="9"/>
  <c r="Z2301" i="9"/>
  <c r="Z339" i="9"/>
  <c r="Z911" i="9"/>
  <c r="AB598" i="9"/>
  <c r="Z598" i="9"/>
  <c r="AB1311" i="9"/>
  <c r="Z1311" i="9"/>
  <c r="AB964" i="9"/>
  <c r="Z964" i="9"/>
  <c r="AB249" i="9"/>
  <c r="Z249" i="9"/>
  <c r="AB1529" i="9"/>
  <c r="Z1529" i="9"/>
  <c r="AB2319" i="9"/>
  <c r="Z2319" i="9"/>
  <c r="AB2406" i="9"/>
  <c r="Z2406" i="9"/>
  <c r="AB1789" i="9"/>
  <c r="Z1789" i="9"/>
  <c r="AB86" i="9"/>
  <c r="Z86" i="9"/>
  <c r="AB271" i="9"/>
  <c r="Z271" i="9"/>
  <c r="AB452" i="9"/>
  <c r="Z452" i="9"/>
  <c r="AB2488" i="9"/>
  <c r="Z2488" i="9"/>
  <c r="AB1129" i="9"/>
  <c r="Z1129" i="9"/>
  <c r="AB1399" i="9"/>
  <c r="Z1399" i="9"/>
  <c r="Z1515" i="9"/>
  <c r="Z2387" i="9"/>
  <c r="Z652" i="9"/>
  <c r="Z532" i="9"/>
  <c r="Z1044" i="9"/>
  <c r="Z1544" i="9"/>
  <c r="Z2056" i="9"/>
  <c r="Z37" i="9"/>
  <c r="Z293" i="9"/>
  <c r="Z633" i="9"/>
  <c r="Z917" i="9"/>
  <c r="Z1173" i="9"/>
  <c r="Z1609" i="9"/>
  <c r="Z2121" i="9"/>
  <c r="Z187" i="9"/>
  <c r="Z1275" i="9"/>
  <c r="Z2479" i="9"/>
  <c r="Z498" i="9"/>
  <c r="Z874" i="9"/>
  <c r="Z1130" i="9"/>
  <c r="Z1534" i="9"/>
  <c r="Z2046" i="9"/>
  <c r="Z147" i="9"/>
  <c r="Z1079" i="9"/>
  <c r="Z72" i="9"/>
  <c r="Z1016" i="9"/>
  <c r="Z224" i="9"/>
  <c r="Z672" i="9"/>
  <c r="Z1184" i="9"/>
  <c r="Z1604" i="9"/>
  <c r="Z2020" i="9"/>
  <c r="Z2428" i="9"/>
  <c r="Z417" i="9"/>
  <c r="Z1429" i="9"/>
  <c r="Z1941" i="9"/>
  <c r="Z2453" i="9"/>
  <c r="Z1187" i="9"/>
  <c r="Z2015" i="9"/>
  <c r="Z6" i="9"/>
  <c r="Z526" i="9"/>
  <c r="Z1042" i="9"/>
  <c r="Z1546" i="9"/>
  <c r="Z2058" i="9"/>
  <c r="Z223" i="9"/>
  <c r="Z1135" i="9"/>
  <c r="Z1719" i="9"/>
  <c r="Z168" i="9"/>
  <c r="Z748" i="9"/>
  <c r="Z1248" i="9"/>
  <c r="Z1548" i="9"/>
  <c r="Z1836" i="9"/>
  <c r="Z2128" i="9"/>
  <c r="Z2416" i="9"/>
  <c r="Z381" i="9"/>
  <c r="Z817" i="9"/>
  <c r="Z1073" i="9"/>
  <c r="Z1425" i="9"/>
  <c r="Z1937" i="9"/>
  <c r="Z2449" i="9"/>
  <c r="Z1019" i="9"/>
  <c r="Z1663" i="9"/>
  <c r="Z362" i="9"/>
  <c r="Z862" i="9"/>
  <c r="Z1382" i="9"/>
  <c r="AB1894" i="9"/>
  <c r="Z1894" i="9"/>
  <c r="Z2278" i="9"/>
  <c r="Z343" i="9"/>
  <c r="AB1277" i="9"/>
  <c r="Z1277" i="9"/>
  <c r="Z1661" i="9"/>
  <c r="Z2045" i="9"/>
  <c r="AB1731" i="9"/>
  <c r="Z1731" i="9"/>
  <c r="Z2391" i="9"/>
  <c r="AB2130" i="9"/>
  <c r="Z2130" i="9"/>
  <c r="AB476" i="9"/>
  <c r="Z476" i="9"/>
  <c r="AB1976" i="9"/>
  <c r="Z1976" i="9"/>
  <c r="AB873" i="9"/>
  <c r="Z873" i="9"/>
  <c r="AB79" i="9"/>
  <c r="Z79" i="9"/>
  <c r="AB887" i="9"/>
  <c r="Z887" i="9"/>
  <c r="AB1302" i="9"/>
  <c r="Z1302" i="9"/>
  <c r="AB1711" i="9"/>
  <c r="Z1711" i="9"/>
  <c r="AB427" i="9"/>
  <c r="Z427" i="9"/>
  <c r="AB2306" i="9"/>
  <c r="Z2306" i="9"/>
  <c r="AB639" i="9"/>
  <c r="Z639" i="9"/>
  <c r="AB1451" i="9"/>
  <c r="Z1451" i="9"/>
  <c r="AB2323" i="9"/>
  <c r="Z2323" i="9"/>
  <c r="AB588" i="9"/>
  <c r="Z588" i="9"/>
  <c r="AB500" i="9"/>
  <c r="Z500" i="9"/>
  <c r="AB1012" i="9"/>
  <c r="Z1012" i="9"/>
  <c r="AB1512" i="9"/>
  <c r="Z1512" i="9"/>
  <c r="AB2024" i="9"/>
  <c r="Z2024" i="9"/>
  <c r="AB2078" i="9"/>
  <c r="Z2078" i="9"/>
  <c r="AB2369" i="9"/>
  <c r="Z2369" i="9"/>
  <c r="AB782" i="9"/>
  <c r="Z782" i="9"/>
  <c r="AB719" i="9"/>
  <c r="Z719" i="9"/>
  <c r="AB2221" i="9"/>
  <c r="Z2221" i="9"/>
  <c r="AB518" i="9"/>
  <c r="Z518" i="9"/>
  <c r="AB2178" i="9"/>
  <c r="Z2178" i="9"/>
  <c r="AB423" i="9"/>
  <c r="Z423" i="9"/>
  <c r="AB1343" i="9"/>
  <c r="Z1343" i="9"/>
  <c r="AB2099" i="9"/>
  <c r="Z2099" i="9"/>
  <c r="AB392" i="9"/>
  <c r="Z392" i="9"/>
  <c r="AB372" i="9"/>
  <c r="Z372" i="9"/>
  <c r="AB884" i="9"/>
  <c r="Z884" i="9"/>
  <c r="AB1384" i="9"/>
  <c r="Z1384" i="9"/>
  <c r="AB1896" i="9"/>
  <c r="Z1896" i="9"/>
  <c r="AB2408" i="9"/>
  <c r="Z2408" i="9"/>
  <c r="AB2207" i="9"/>
  <c r="Z2207" i="9"/>
  <c r="AB1857" i="9"/>
  <c r="Z1857" i="9"/>
  <c r="AB274" i="9"/>
  <c r="Z274" i="9"/>
  <c r="AB2326" i="9"/>
  <c r="Z2326" i="9"/>
  <c r="AB1709" i="9"/>
  <c r="Z1709" i="9"/>
  <c r="AB2487" i="9"/>
  <c r="Z2487" i="9"/>
  <c r="AB71" i="9"/>
  <c r="Z71" i="9"/>
  <c r="AB1183" i="9"/>
  <c r="Z1183" i="9"/>
  <c r="AB1863" i="9"/>
  <c r="Z1863" i="9"/>
  <c r="AB200" i="9"/>
  <c r="Z200" i="9"/>
  <c r="AB1128" i="9"/>
  <c r="Z1128" i="9"/>
  <c r="AB756" i="9"/>
  <c r="Z756" i="9"/>
  <c r="AB1256" i="9"/>
  <c r="Z1256" i="9"/>
  <c r="AB1768" i="9"/>
  <c r="Z1768" i="9"/>
  <c r="AB2280" i="9"/>
  <c r="Z2280" i="9"/>
  <c r="AB1015" i="9"/>
  <c r="Z1015" i="9"/>
  <c r="Z418" i="9"/>
  <c r="Z838" i="9"/>
  <c r="Z1094" i="9"/>
  <c r="Z1454" i="9"/>
  <c r="Z1966" i="9"/>
  <c r="Z2478" i="9"/>
  <c r="Z907" i="9"/>
  <c r="Z2215" i="9"/>
  <c r="Z604" i="9"/>
  <c r="Z116" i="9"/>
  <c r="Z464" i="9"/>
  <c r="Z976" i="9"/>
  <c r="Z1444" i="9"/>
  <c r="Z1852" i="9"/>
  <c r="Z2260" i="9"/>
  <c r="Z209" i="9"/>
  <c r="Z721" i="9"/>
  <c r="Z1733" i="9"/>
  <c r="Z2245" i="9"/>
  <c r="Z759" i="9"/>
  <c r="Z1715" i="9"/>
  <c r="Z2431" i="9"/>
  <c r="Z446" i="9"/>
  <c r="Z962" i="9"/>
  <c r="Z1466" i="9"/>
  <c r="Z1978" i="9"/>
  <c r="Z2490" i="9"/>
  <c r="Z979" i="9"/>
  <c r="Z2339" i="9"/>
  <c r="Z600" i="9"/>
  <c r="Z1052" i="9"/>
  <c r="Z1424" i="9"/>
  <c r="Z1712" i="9"/>
  <c r="Z2012" i="9"/>
  <c r="Z2304" i="9"/>
  <c r="Z173" i="9"/>
  <c r="Z685" i="9"/>
  <c r="Z973" i="9"/>
  <c r="Z1229" i="9"/>
  <c r="Z1729" i="9"/>
  <c r="Z2113" i="9"/>
  <c r="AB1511" i="9"/>
  <c r="Z1511" i="9"/>
  <c r="Z146" i="9"/>
  <c r="Z538" i="9"/>
  <c r="AB1814" i="9"/>
  <c r="Z1814" i="9"/>
  <c r="Z2198" i="9"/>
  <c r="Z131" i="9"/>
  <c r="AB649" i="9"/>
  <c r="Z649" i="9"/>
  <c r="Z1581" i="9"/>
  <c r="Z1965" i="9"/>
  <c r="AB1251" i="9"/>
  <c r="Z1251" i="9"/>
  <c r="Z2263" i="9"/>
  <c r="Z262" i="9"/>
  <c r="AB2434" i="9"/>
  <c r="Z2434" i="9"/>
  <c r="AB923" i="9"/>
  <c r="Z923" i="9"/>
  <c r="AB1727" i="9"/>
  <c r="Z1727" i="9"/>
  <c r="AB44" i="9"/>
  <c r="Z44" i="9"/>
  <c r="AB760" i="9"/>
  <c r="Z760" i="9"/>
  <c r="AB628" i="9"/>
  <c r="Z628" i="9"/>
  <c r="AB1140" i="9"/>
  <c r="Z1140" i="9"/>
  <c r="AB1640" i="9"/>
  <c r="Z1640" i="9"/>
  <c r="AB2152" i="9"/>
  <c r="Z2152" i="9"/>
  <c r="AB199" i="9"/>
  <c r="Z199" i="9"/>
  <c r="Z668" i="9"/>
  <c r="Z144" i="9"/>
  <c r="Z512" i="9"/>
  <c r="Z1024" i="9"/>
  <c r="Z1476" i="9"/>
  <c r="Z1892" i="9"/>
  <c r="Z2300" i="9"/>
  <c r="Z257" i="9"/>
  <c r="Z1269" i="9"/>
  <c r="Z1781" i="9"/>
  <c r="Z2293" i="9"/>
  <c r="Z895" i="9"/>
  <c r="Z1679" i="9"/>
  <c r="Z2343" i="9"/>
  <c r="Z366" i="9"/>
  <c r="Z882" i="9"/>
  <c r="Z1386" i="9"/>
  <c r="Z1898" i="9"/>
  <c r="Z2410" i="9"/>
  <c r="Z823" i="9"/>
  <c r="Z1531" i="9"/>
  <c r="Z2435" i="9"/>
  <c r="Z776" i="9"/>
  <c r="Z1100" i="9"/>
  <c r="Z1452" i="9"/>
  <c r="Z1744" i="9"/>
  <c r="Z2032" i="9"/>
  <c r="Z2332" i="9"/>
  <c r="Z221" i="9"/>
  <c r="Z733" i="9"/>
  <c r="Z993" i="9"/>
  <c r="Z1265" i="9"/>
  <c r="Z1777" i="9"/>
  <c r="Z2289" i="9"/>
  <c r="Z723" i="9"/>
  <c r="Z1323" i="9"/>
  <c r="Z66" i="9"/>
  <c r="Z586" i="9"/>
  <c r="Z1086" i="9"/>
  <c r="Z1606" i="9"/>
  <c r="Z2118" i="9"/>
  <c r="Z279" i="9"/>
  <c r="Z1295" i="9"/>
  <c r="Z2459" i="9"/>
  <c r="Z80" i="9"/>
  <c r="Z384" i="9"/>
  <c r="Z896" i="9"/>
  <c r="Z1380" i="9"/>
  <c r="Z1788" i="9"/>
  <c r="Z2196" i="9"/>
  <c r="Z129" i="9"/>
  <c r="Z641" i="9"/>
  <c r="Z1653" i="9"/>
  <c r="Z2165" i="9"/>
  <c r="Z359" i="9"/>
  <c r="Z1455" i="9"/>
  <c r="Z2183" i="9"/>
  <c r="Z238" i="9"/>
  <c r="Z754" i="9"/>
  <c r="Z1258" i="9"/>
  <c r="Z1770" i="9"/>
  <c r="Z2282" i="9"/>
  <c r="Z567" i="9"/>
  <c r="Z1403" i="9"/>
  <c r="Z2147" i="9"/>
  <c r="Z524" i="9"/>
  <c r="Z972" i="9"/>
  <c r="Z1376" i="9"/>
  <c r="Z1676" i="9"/>
  <c r="Z1964" i="9"/>
  <c r="Z2256" i="9"/>
  <c r="Z93" i="9"/>
  <c r="Z605" i="9"/>
  <c r="Z929" i="9"/>
  <c r="Z1185" i="9"/>
  <c r="Z1649" i="9"/>
  <c r="Z2161" i="9"/>
  <c r="Z419" i="9"/>
  <c r="Z1179" i="9"/>
  <c r="Z1807" i="9"/>
  <c r="Z53" i="9"/>
  <c r="Z117" i="9"/>
  <c r="Z181" i="9"/>
  <c r="Z245" i="9"/>
  <c r="Z313" i="9"/>
  <c r="Z405" i="9"/>
  <c r="Z485" i="9"/>
  <c r="Z569" i="9"/>
  <c r="Z661" i="9"/>
  <c r="Z741" i="9"/>
  <c r="Z805" i="9"/>
  <c r="Z869" i="9"/>
  <c r="Z933" i="9"/>
  <c r="Z997" i="9"/>
  <c r="Z1061" i="9"/>
  <c r="Z1125" i="9"/>
  <c r="Z1189" i="9"/>
  <c r="Z1257" i="9"/>
  <c r="Z1385" i="9"/>
  <c r="Z1513" i="9"/>
  <c r="Z1641" i="9"/>
  <c r="Z1769" i="9"/>
  <c r="Z1897" i="9"/>
  <c r="Z2025" i="9"/>
  <c r="Z2153" i="9"/>
  <c r="Z2281" i="9"/>
  <c r="Z2409" i="9"/>
  <c r="Z67" i="9"/>
  <c r="Z239" i="9"/>
  <c r="Z531" i="9"/>
  <c r="Z699" i="9"/>
  <c r="Z967" i="9"/>
  <c r="Z1495" i="9"/>
  <c r="Z1871" i="9"/>
  <c r="Z2127" i="9"/>
  <c r="Z2415" i="9"/>
  <c r="Z26" i="9"/>
  <c r="Z154" i="9"/>
  <c r="Z282" i="9"/>
  <c r="Z402" i="9"/>
  <c r="Z530" i="9"/>
  <c r="Z658" i="9"/>
  <c r="Z762" i="9"/>
  <c r="Z826" i="9"/>
  <c r="Z890" i="9"/>
  <c r="Z954" i="9"/>
  <c r="Z1018" i="9"/>
  <c r="Z1082" i="9"/>
  <c r="Z1146" i="9"/>
  <c r="Z1210" i="9"/>
  <c r="Z1310" i="9"/>
  <c r="Z1438" i="9"/>
  <c r="Z1566" i="9"/>
  <c r="Z1694" i="9"/>
  <c r="Z21" i="9"/>
  <c r="Z85" i="9"/>
  <c r="Z149" i="9"/>
  <c r="Z213" i="9"/>
  <c r="Z277" i="9"/>
  <c r="Z357" i="9"/>
  <c r="Z441" i="9"/>
  <c r="Z533" i="9"/>
  <c r="Z613" i="9"/>
  <c r="Z697" i="9"/>
  <c r="Z773" i="9"/>
  <c r="Z837" i="9"/>
  <c r="Z901" i="9"/>
  <c r="Z965" i="9"/>
  <c r="Z1029" i="9"/>
  <c r="Z1093" i="9"/>
  <c r="Z1157" i="9"/>
  <c r="Z1221" i="9"/>
  <c r="Z1321" i="9"/>
  <c r="Z1449" i="9"/>
  <c r="Z1577" i="9"/>
  <c r="Z1705" i="9"/>
  <c r="Z1833" i="9"/>
  <c r="Z1961" i="9"/>
  <c r="Z2089" i="9"/>
  <c r="Z2217" i="9"/>
  <c r="Z2345" i="9"/>
  <c r="Z2473" i="9"/>
  <c r="Z143" i="9"/>
  <c r="Z403" i="9"/>
  <c r="Z635" i="9"/>
  <c r="Z827" i="9"/>
  <c r="Z1339" i="9"/>
  <c r="Z1623" i="9"/>
  <c r="Z1999" i="9"/>
  <c r="Z2287" i="9"/>
  <c r="Z10" i="9"/>
  <c r="Z90" i="9"/>
  <c r="Z218" i="9"/>
  <c r="Z338" i="9"/>
  <c r="Z466" i="9"/>
  <c r="Z594" i="9"/>
  <c r="Z726" i="9"/>
  <c r="Z794" i="9"/>
  <c r="Z858" i="9"/>
  <c r="Z922" i="9"/>
  <c r="Z986" i="9"/>
  <c r="Z1050" i="9"/>
  <c r="Z1114" i="9"/>
  <c r="Z1178" i="9"/>
  <c r="Z1246" i="9"/>
  <c r="Z1374" i="9"/>
  <c r="Z1502" i="9"/>
  <c r="Z1630" i="9"/>
  <c r="Z1758" i="9"/>
  <c r="Z1886" i="9"/>
  <c r="Z2014" i="9"/>
  <c r="Z2142" i="9"/>
  <c r="Z2270" i="9"/>
  <c r="Z2398" i="9"/>
  <c r="Z83" i="9"/>
  <c r="Z295" i="9"/>
  <c r="Z543" i="9"/>
  <c r="Z747" i="9"/>
  <c r="Z987" i="9"/>
  <c r="Z1143" i="9"/>
  <c r="Z1507" i="9"/>
  <c r="Z1931" i="9"/>
  <c r="Z2187" i="9"/>
  <c r="Z2283" i="9"/>
  <c r="Z188" i="9"/>
  <c r="Z408" i="9"/>
  <c r="Z552" i="9"/>
  <c r="Z716" i="9"/>
  <c r="Z1112" i="9"/>
  <c r="Z48" i="9"/>
  <c r="Z112" i="9"/>
  <c r="Z176" i="9"/>
  <c r="Z240" i="9"/>
  <c r="Z320" i="9"/>
  <c r="Z448" i="9"/>
  <c r="Z576" i="9"/>
  <c r="Z704" i="9"/>
  <c r="Z832" i="9"/>
  <c r="Z960" i="9"/>
  <c r="Z1088" i="9"/>
  <c r="Z1216" i="9"/>
  <c r="Z1332" i="9"/>
  <c r="Z1428" i="9"/>
  <c r="Z1532" i="9"/>
  <c r="Z1636" i="9"/>
  <c r="Z1732" i="9"/>
  <c r="Z1844" i="9"/>
  <c r="Z1940" i="9"/>
  <c r="Z2044" i="9"/>
  <c r="Z2148" i="9"/>
  <c r="Z2244" i="9"/>
  <c r="Z2356" i="9"/>
  <c r="Z2452" i="9"/>
  <c r="Z65" i="9"/>
  <c r="Z193" i="9"/>
  <c r="Z321" i="9"/>
  <c r="Z449" i="9"/>
  <c r="Z577" i="9"/>
  <c r="Z705" i="9"/>
  <c r="Z1333" i="9"/>
  <c r="Z1461" i="9"/>
  <c r="Z1589" i="9"/>
  <c r="Z1717" i="9"/>
  <c r="Z1845" i="9"/>
  <c r="Z1973" i="9"/>
  <c r="Z2101" i="9"/>
  <c r="Z2229" i="9"/>
  <c r="Z2357" i="9"/>
  <c r="Z2485" i="9"/>
  <c r="Z275" i="9"/>
  <c r="Z659" i="9"/>
  <c r="Z1027" i="9"/>
  <c r="Z1123" i="9"/>
  <c r="Z1363" i="9"/>
  <c r="Z1551" i="9"/>
  <c r="Z1811" i="9"/>
  <c r="Z1983" i="9"/>
  <c r="Z2119" i="9"/>
  <c r="Z2271" i="9"/>
  <c r="Z2407" i="9"/>
  <c r="Z46" i="9"/>
  <c r="Z174" i="9"/>
  <c r="Z302" i="9"/>
  <c r="Z430" i="9"/>
  <c r="Z558" i="9"/>
  <c r="Z690" i="9"/>
  <c r="Z818" i="9"/>
  <c r="Z946" i="9"/>
  <c r="Z1074" i="9"/>
  <c r="Z1202" i="9"/>
  <c r="Z1322" i="9"/>
  <c r="Z1450" i="9"/>
  <c r="Z1578" i="9"/>
  <c r="Z1706" i="9"/>
  <c r="Z1834" i="9"/>
  <c r="Z1962" i="9"/>
  <c r="Z2090" i="9"/>
  <c r="Z2218" i="9"/>
  <c r="Z2346" i="9"/>
  <c r="Z2474" i="9"/>
  <c r="Z255" i="9"/>
  <c r="Z439" i="9"/>
  <c r="Z695" i="9"/>
  <c r="Z947" i="9"/>
  <c r="Z1199" i="9"/>
  <c r="Z1371" i="9"/>
  <c r="Z1499" i="9"/>
  <c r="Z1627" i="9"/>
  <c r="Z1783" i="9"/>
  <c r="Z2019" i="9"/>
  <c r="Z2307" i="9"/>
  <c r="Z24" i="9"/>
  <c r="Z216" i="9"/>
  <c r="Z380" i="9"/>
  <c r="Z584" i="9"/>
  <c r="Z952" i="9"/>
  <c r="Z780" i="9"/>
  <c r="Z908" i="9"/>
  <c r="Z1036" i="9"/>
  <c r="Z1164" i="9"/>
  <c r="Z1264" i="9"/>
  <c r="Z1344" i="9"/>
  <c r="Z1420" i="9"/>
  <c r="Z1488" i="9"/>
  <c r="Z1564" i="9"/>
  <c r="Z1632" i="9"/>
  <c r="Z1708" i="9"/>
  <c r="Z1776" i="9"/>
  <c r="Z1856" i="9"/>
  <c r="Z1932" i="9"/>
  <c r="Z2000" i="9"/>
  <c r="Z2076" i="9"/>
  <c r="Z2144" i="9"/>
  <c r="Z2220" i="9"/>
  <c r="Z2288" i="9"/>
  <c r="Z2368" i="9"/>
  <c r="Z2444" i="9"/>
  <c r="Z29" i="9"/>
  <c r="Z157" i="9"/>
  <c r="Z285" i="9"/>
  <c r="Z413" i="9"/>
  <c r="Z541" i="9"/>
  <c r="Z669" i="9"/>
  <c r="Z769" i="9"/>
  <c r="Z833" i="9"/>
  <c r="Z897" i="9"/>
  <c r="Z961" i="9"/>
  <c r="Z1025" i="9"/>
  <c r="Z1089" i="9"/>
  <c r="Z1153" i="9"/>
  <c r="Z1217" i="9"/>
  <c r="Z1329" i="9"/>
  <c r="Z1457" i="9"/>
  <c r="Z1585" i="9"/>
  <c r="Z1713" i="9"/>
  <c r="Z1841" i="9"/>
  <c r="Z1969" i="9"/>
  <c r="Z2097" i="9"/>
  <c r="Z2225" i="9"/>
  <c r="Z2353" i="9"/>
  <c r="Z2481" i="9"/>
  <c r="Z299" i="9"/>
  <c r="Z515" i="9"/>
  <c r="Z851" i="9"/>
  <c r="Z1035" i="9"/>
  <c r="Z1131" i="9"/>
  <c r="Z1195" i="9"/>
  <c r="Z1415" i="9"/>
  <c r="Z1567" i="9"/>
  <c r="Z1695" i="9"/>
  <c r="Z14" i="9"/>
  <c r="Z130" i="9"/>
  <c r="Z258" i="9"/>
  <c r="Z394" i="9"/>
  <c r="Z522" i="9"/>
  <c r="Z650" i="9"/>
  <c r="Z766" i="9"/>
  <c r="Z894" i="9"/>
  <c r="Z1022" i="9"/>
  <c r="Z1150" i="9"/>
  <c r="Z1286" i="9"/>
  <c r="Z1414" i="9"/>
  <c r="Z1542" i="9"/>
  <c r="Z1670" i="9"/>
  <c r="Z1798" i="9"/>
  <c r="Z1926" i="9"/>
  <c r="Z2054" i="9"/>
  <c r="Z2182" i="9"/>
  <c r="Z2310" i="9"/>
  <c r="Z2438" i="9"/>
  <c r="Z99" i="9"/>
  <c r="Z399" i="9"/>
  <c r="Z687" i="9"/>
  <c r="Z931" i="9"/>
  <c r="Z1159" i="9"/>
  <c r="Z1427" i="9"/>
  <c r="Z1683" i="9"/>
  <c r="Z2235" i="9"/>
  <c r="Z2363" i="9"/>
  <c r="Z2491" i="9"/>
  <c r="Z136" i="9"/>
  <c r="Z376" i="9"/>
  <c r="Z536" i="9"/>
  <c r="Z700" i="9"/>
  <c r="Z1048" i="9"/>
  <c r="Z36" i="9"/>
  <c r="Z100" i="9"/>
  <c r="Z164" i="9"/>
  <c r="Z228" i="9"/>
  <c r="Z304" i="9"/>
  <c r="Z432" i="9"/>
  <c r="Z560" i="9"/>
  <c r="Z688" i="9"/>
  <c r="Z816" i="9"/>
  <c r="Z944" i="9"/>
  <c r="Z1072" i="9"/>
  <c r="Z1200" i="9"/>
  <c r="Z1316" i="9"/>
  <c r="Z1412" i="9"/>
  <c r="Z1524" i="9"/>
  <c r="Z1620" i="9"/>
  <c r="Z1724" i="9"/>
  <c r="Z1828" i="9"/>
  <c r="Z1924" i="9"/>
  <c r="Z2036" i="9"/>
  <c r="Z2132" i="9"/>
  <c r="Z2236" i="9"/>
  <c r="Z2340" i="9"/>
  <c r="Z2436" i="9"/>
  <c r="Z49" i="9"/>
  <c r="Z177" i="9"/>
  <c r="Z305" i="9"/>
  <c r="Z433" i="9"/>
  <c r="Z561" i="9"/>
  <c r="Z689" i="9"/>
  <c r="Z1317" i="9"/>
  <c r="Z1445" i="9"/>
  <c r="Z1573" i="9"/>
  <c r="Z1701" i="9"/>
  <c r="Z1829" i="9"/>
  <c r="Z1957" i="9"/>
  <c r="Z2085" i="9"/>
  <c r="Z2213" i="9"/>
  <c r="Z2341" i="9"/>
  <c r="Z2469" i="9"/>
  <c r="Z247" i="9"/>
  <c r="Z627" i="9"/>
  <c r="Z995" i="9"/>
  <c r="Z1331" i="9"/>
  <c r="Z1519" i="9"/>
  <c r="Z1779" i="9"/>
  <c r="Z1959" i="9"/>
  <c r="Z2111" i="9"/>
  <c r="Z2247" i="9"/>
  <c r="Z2399" i="9"/>
  <c r="Z30" i="9"/>
  <c r="Z158" i="9"/>
  <c r="Z286" i="9"/>
  <c r="Z414" i="9"/>
  <c r="Z542" i="9"/>
  <c r="Z674" i="9"/>
  <c r="Z802" i="9"/>
  <c r="Z930" i="9"/>
  <c r="Z1058" i="9"/>
  <c r="Z1186" i="9"/>
  <c r="Z1306" i="9"/>
  <c r="Z1434" i="9"/>
  <c r="Z1562" i="9"/>
  <c r="Z1690" i="9"/>
  <c r="Z1818" i="9"/>
  <c r="Z1946" i="9"/>
  <c r="Z2074" i="9"/>
  <c r="Z2202" i="9"/>
  <c r="Z2330" i="9"/>
  <c r="Z2458" i="9"/>
  <c r="Z235" i="9"/>
  <c r="Z407" i="9"/>
  <c r="Z655" i="9"/>
  <c r="Z915" i="9"/>
  <c r="Z1167" i="9"/>
  <c r="Z1751" i="9"/>
  <c r="Z1987" i="9"/>
  <c r="Z2275" i="9"/>
  <c r="Z12" i="9"/>
  <c r="Z184" i="9"/>
  <c r="Z348" i="9"/>
  <c r="Z568" i="9"/>
  <c r="Z920" i="9"/>
  <c r="Z764" i="9"/>
  <c r="Z892" i="9"/>
  <c r="Z1020" i="9"/>
  <c r="Z1148" i="9"/>
  <c r="Z1260" i="9"/>
  <c r="Z1328" i="9"/>
  <c r="Z1408" i="9"/>
  <c r="Z1484" i="9"/>
  <c r="Z1552" i="9"/>
  <c r="Z1628" i="9"/>
  <c r="Z1696" i="9"/>
  <c r="Z1772" i="9"/>
  <c r="Z1840" i="9"/>
  <c r="Z1920" i="9"/>
  <c r="Z1996" i="9"/>
  <c r="Z2064" i="9"/>
  <c r="Z2140" i="9"/>
  <c r="Z2208" i="9"/>
  <c r="Z2284" i="9"/>
  <c r="Z2352" i="9"/>
  <c r="Z2432" i="9"/>
  <c r="Z13" i="9"/>
  <c r="Z141" i="9"/>
  <c r="Z269" i="9"/>
  <c r="Z397" i="9"/>
  <c r="Z525" i="9"/>
  <c r="Z653" i="9"/>
  <c r="Z765" i="9"/>
  <c r="Z829" i="9"/>
  <c r="Z893" i="9"/>
  <c r="Z957" i="9"/>
  <c r="Z1021" i="9"/>
  <c r="Z1085" i="9"/>
  <c r="Z1149" i="9"/>
  <c r="Z1213" i="9"/>
  <c r="Z1313" i="9"/>
  <c r="Z1441" i="9"/>
  <c r="Z1569" i="9"/>
  <c r="Z1697" i="9"/>
  <c r="Z1825" i="9"/>
  <c r="Z1953" i="9"/>
  <c r="Z2081" i="9"/>
  <c r="Z2209" i="9"/>
  <c r="Z2337" i="9"/>
  <c r="Z2465" i="9"/>
  <c r="Z267" i="9"/>
  <c r="Z483" i="9"/>
  <c r="Z819" i="9"/>
  <c r="Z1291" i="9"/>
  <c r="Z1479" i="9"/>
  <c r="Z1607" i="9"/>
  <c r="Z1739" i="9"/>
  <c r="Z2211" i="9"/>
  <c r="Z114" i="9"/>
  <c r="Z242" i="9"/>
  <c r="Z378" i="9"/>
  <c r="Z506" i="9"/>
  <c r="Z634" i="9"/>
  <c r="Z750" i="9"/>
  <c r="Z878" i="9"/>
  <c r="Z1006" i="9"/>
  <c r="Z1134" i="9"/>
  <c r="Z1270" i="9"/>
  <c r="Z1398" i="9"/>
  <c r="Z1526" i="9"/>
  <c r="Z1654" i="9"/>
  <c r="Z1782" i="9"/>
  <c r="Z1910" i="9"/>
  <c r="Z2038" i="9"/>
  <c r="Z2166" i="9"/>
  <c r="Z2294" i="9"/>
  <c r="Z2422" i="9"/>
  <c r="Z59" i="9"/>
  <c r="Z371" i="9"/>
  <c r="Z647" i="9"/>
  <c r="Z899" i="9"/>
  <c r="Z1127" i="9"/>
  <c r="Z1395" i="9"/>
  <c r="Z1651" i="9"/>
  <c r="Z1883" i="9"/>
  <c r="Z2011" i="9"/>
  <c r="Z2139" i="9"/>
  <c r="Z329" i="9"/>
  <c r="Z585" i="9"/>
  <c r="Z1293" i="9"/>
  <c r="Z1421" i="9"/>
  <c r="Z1549" i="9"/>
  <c r="Z1677" i="9"/>
  <c r="Z1805" i="9"/>
  <c r="Z1933" i="9"/>
  <c r="Z2061" i="9"/>
  <c r="Z2189" i="9"/>
  <c r="Z2317" i="9"/>
  <c r="Z2445" i="9"/>
  <c r="Z75" i="9"/>
  <c r="Z375" i="9"/>
  <c r="Z539" i="9"/>
  <c r="Z739" i="9"/>
  <c r="Z943" i="9"/>
  <c r="Z1203" i="9"/>
  <c r="Z1763" i="9"/>
  <c r="Z2007" i="9"/>
  <c r="Z2303" i="9"/>
  <c r="Z38" i="9"/>
  <c r="Z166" i="9"/>
  <c r="Z294" i="9"/>
  <c r="Z422" i="9"/>
  <c r="Z550" i="9"/>
  <c r="Z682" i="9"/>
  <c r="Z1314" i="9"/>
  <c r="Z1442" i="9"/>
  <c r="Z1570" i="9"/>
  <c r="Z1698" i="9"/>
  <c r="Z1826" i="9"/>
  <c r="Z1954" i="9"/>
  <c r="Z2082" i="9"/>
  <c r="Z2210" i="9"/>
  <c r="Z2338" i="9"/>
  <c r="Z2466" i="9"/>
  <c r="Z123" i="9"/>
  <c r="Z487" i="9"/>
  <c r="Z711" i="9"/>
  <c r="Z991" i="9"/>
  <c r="Z1247" i="9"/>
  <c r="Z1387" i="9"/>
  <c r="Z1643" i="9"/>
  <c r="Z1831" i="9"/>
  <c r="Z2035" i="9"/>
  <c r="Z2259" i="9"/>
  <c r="Z8" i="9"/>
  <c r="Z156" i="9"/>
  <c r="Z344" i="9"/>
  <c r="Z492" i="9"/>
  <c r="Z728" i="9"/>
  <c r="Z968" i="9"/>
  <c r="Z340" i="9"/>
  <c r="Z468" i="9"/>
  <c r="Z596" i="9"/>
  <c r="Z724" i="9"/>
  <c r="Z852" i="9"/>
  <c r="Z980" i="9"/>
  <c r="Z1108" i="9"/>
  <c r="Z1236" i="9"/>
  <c r="Z1352" i="9"/>
  <c r="Z1480" i="9"/>
  <c r="Z1608" i="9"/>
  <c r="Z1736" i="9"/>
  <c r="Z1864" i="9"/>
  <c r="Z1992" i="9"/>
  <c r="Z2120" i="9"/>
  <c r="Z2248" i="9"/>
  <c r="Z2376" i="9"/>
  <c r="Z5" i="9"/>
  <c r="Z69" i="9"/>
  <c r="Z133" i="9"/>
  <c r="Z197" i="9"/>
  <c r="Z261" i="9"/>
  <c r="Z341" i="9"/>
  <c r="Z421" i="9"/>
  <c r="Z505" i="9"/>
  <c r="Z597" i="9"/>
  <c r="Z677" i="9"/>
  <c r="Z757" i="9"/>
  <c r="Z821" i="9"/>
  <c r="Z885" i="9"/>
  <c r="Z949" i="9"/>
  <c r="Z1013" i="9"/>
  <c r="Z1077" i="9"/>
  <c r="Z1141" i="9"/>
  <c r="Z1205" i="9"/>
  <c r="Z1289" i="9"/>
  <c r="Z1417" i="9"/>
  <c r="Z1545" i="9"/>
  <c r="Z1673" i="9"/>
  <c r="Z1801" i="9"/>
  <c r="Z1929" i="9"/>
  <c r="Z2057" i="9"/>
  <c r="Z2185" i="9"/>
  <c r="Z2313" i="9"/>
  <c r="Z2441" i="9"/>
  <c r="Z111" i="9"/>
  <c r="Z283" i="9"/>
  <c r="Z599" i="9"/>
  <c r="Z767" i="9"/>
  <c r="Z1243" i="9"/>
  <c r="Z1431" i="9"/>
  <c r="Z1687" i="9"/>
  <c r="Z2063" i="9"/>
  <c r="Z2351" i="9"/>
  <c r="Z58" i="9"/>
  <c r="Z186" i="9"/>
  <c r="Z306" i="9"/>
  <c r="Z434" i="9"/>
  <c r="Z562" i="9"/>
  <c r="Z694" i="9"/>
  <c r="Z778" i="9"/>
  <c r="Z842" i="9"/>
  <c r="Z906" i="9"/>
  <c r="Z970" i="9"/>
  <c r="Z1034" i="9"/>
  <c r="Z1098" i="9"/>
  <c r="Z1162" i="9"/>
  <c r="Z1226" i="9"/>
  <c r="Z1342" i="9"/>
  <c r="Z1470" i="9"/>
  <c r="Z1598" i="9"/>
  <c r="Z1726" i="9"/>
  <c r="Z1854" i="9"/>
  <c r="Z1982" i="9"/>
  <c r="Z2110" i="9"/>
  <c r="Z2238" i="9"/>
  <c r="Z2366" i="9"/>
  <c r="Z2494" i="9"/>
  <c r="Z243" i="9"/>
  <c r="Z479" i="9"/>
  <c r="Z703" i="9"/>
  <c r="Z939" i="9"/>
  <c r="Z1207" i="9"/>
  <c r="Z1571" i="9"/>
  <c r="Z2123" i="9"/>
  <c r="Z2475" i="9"/>
  <c r="Z252" i="9"/>
  <c r="Z460" i="9"/>
  <c r="Z636" i="9"/>
  <c r="Z824" i="9"/>
  <c r="Z15" i="9"/>
  <c r="Z64" i="9"/>
  <c r="Z128" i="9"/>
  <c r="Z192" i="9"/>
  <c r="Z256" i="9"/>
  <c r="Z352" i="9"/>
  <c r="Z480" i="9"/>
  <c r="Z608" i="9"/>
  <c r="Z736" i="9"/>
  <c r="Z864" i="9"/>
  <c r="Z992" i="9"/>
  <c r="Z1120" i="9"/>
  <c r="Z1252" i="9"/>
  <c r="Z1348" i="9"/>
  <c r="Z1460" i="9"/>
  <c r="Z1556" i="9"/>
  <c r="Z1660" i="9"/>
  <c r="Z1764" i="9"/>
  <c r="Z1860" i="9"/>
  <c r="Z1972" i="9"/>
  <c r="Z2068" i="9"/>
  <c r="Z2172" i="9"/>
  <c r="Z2276" i="9"/>
  <c r="Z2372" i="9"/>
  <c r="Z2484" i="9"/>
  <c r="Z97" i="9"/>
  <c r="Z225" i="9"/>
  <c r="Z353" i="9"/>
  <c r="Z481" i="9"/>
  <c r="Z609" i="9"/>
  <c r="Z737" i="9"/>
  <c r="Z1365" i="9"/>
  <c r="Z1493" i="9"/>
  <c r="Z1621" i="9"/>
  <c r="Z1749" i="9"/>
  <c r="Z1877" i="9"/>
  <c r="Z2005" i="9"/>
  <c r="Z2133" i="9"/>
  <c r="Z2261" i="9"/>
  <c r="Z2389" i="9"/>
  <c r="Z103" i="9"/>
  <c r="Z323" i="9"/>
  <c r="Z811" i="9"/>
  <c r="Z1091" i="9"/>
  <c r="Z1299" i="9"/>
  <c r="Z1487" i="9"/>
  <c r="Z1747" i="9"/>
  <c r="Z1951" i="9"/>
  <c r="Z2087" i="9"/>
  <c r="Z2219" i="9"/>
  <c r="Z2311" i="9"/>
  <c r="Z2439" i="9"/>
  <c r="Z78" i="9"/>
  <c r="Z206" i="9"/>
  <c r="Z334" i="9"/>
  <c r="Z462" i="9"/>
  <c r="Z590" i="9"/>
  <c r="Z722" i="9"/>
  <c r="Z850" i="9"/>
  <c r="Z978" i="9"/>
  <c r="Z1106" i="9"/>
  <c r="Z1234" i="9"/>
  <c r="Z1354" i="9"/>
  <c r="Z1482" i="9"/>
  <c r="Z1610" i="9"/>
  <c r="Z1738" i="9"/>
  <c r="Z1866" i="9"/>
  <c r="Z1994" i="9"/>
  <c r="Z2122" i="9"/>
  <c r="Z2250" i="9"/>
  <c r="Z2378" i="9"/>
  <c r="Z107" i="9"/>
  <c r="Z319" i="9"/>
  <c r="Z503" i="9"/>
  <c r="Z779" i="9"/>
  <c r="Z1007" i="9"/>
  <c r="Z1239" i="9"/>
  <c r="Z1435" i="9"/>
  <c r="Z1563" i="9"/>
  <c r="Z1691" i="9"/>
  <c r="Z1815" i="9"/>
  <c r="Z2083" i="9"/>
  <c r="Z2371" i="9"/>
  <c r="Z76" i="9"/>
  <c r="Z248" i="9"/>
  <c r="Z424" i="9"/>
  <c r="Z616" i="9"/>
  <c r="Z1064" i="9"/>
  <c r="Z812" i="9"/>
  <c r="Z940" i="9"/>
  <c r="Z1068" i="9"/>
  <c r="Z1196" i="9"/>
  <c r="Z1292" i="9"/>
  <c r="Z1360" i="9"/>
  <c r="Z1436" i="9"/>
  <c r="Z1504" i="9"/>
  <c r="Z1580" i="9"/>
  <c r="Z1648" i="9"/>
  <c r="Z1728" i="9"/>
  <c r="Z1804" i="9"/>
  <c r="Z1872" i="9"/>
  <c r="Z1948" i="9"/>
  <c r="Z2016" i="9"/>
  <c r="Z2092" i="9"/>
  <c r="Z2160" i="9"/>
  <c r="Z2240" i="9"/>
  <c r="Z2316" i="9"/>
  <c r="Z2384" i="9"/>
  <c r="Z2460" i="9"/>
  <c r="Z61" i="9"/>
  <c r="Z189" i="9"/>
  <c r="Z317" i="9"/>
  <c r="Z445" i="9"/>
  <c r="Z573" i="9"/>
  <c r="Z701" i="9"/>
  <c r="Z785" i="9"/>
  <c r="Z849" i="9"/>
  <c r="Z913" i="9"/>
  <c r="Z977" i="9"/>
  <c r="Z1041" i="9"/>
  <c r="Z1105" i="9"/>
  <c r="Z1169" i="9"/>
  <c r="Z1233" i="9"/>
  <c r="Z1361" i="9"/>
  <c r="Z1489" i="9"/>
  <c r="Z1617" i="9"/>
  <c r="Z1745" i="9"/>
  <c r="Z1873" i="9"/>
  <c r="Z2001" i="9"/>
  <c r="Z2129" i="9"/>
  <c r="Z2257" i="9"/>
  <c r="Z2385" i="9"/>
  <c r="Z55" i="9"/>
  <c r="Z347" i="9"/>
  <c r="Z583" i="9"/>
  <c r="Z919" i="9"/>
  <c r="Z1083" i="9"/>
  <c r="Z1259" i="9"/>
  <c r="Z1447" i="9"/>
  <c r="Z1599" i="9"/>
  <c r="Z1707" i="9"/>
  <c r="Z34" i="9"/>
  <c r="Z162" i="9"/>
  <c r="Z298" i="9"/>
  <c r="Z426" i="9"/>
  <c r="Z554" i="9"/>
  <c r="Z670" i="9"/>
  <c r="Z798" i="9"/>
  <c r="Z926" i="9"/>
  <c r="Z1054" i="9"/>
  <c r="Z1182" i="9"/>
  <c r="Z1318" i="9"/>
  <c r="Z1446" i="9"/>
  <c r="Z1574" i="9"/>
  <c r="Z1702" i="9"/>
  <c r="Z1830" i="9"/>
  <c r="Z1958" i="9"/>
  <c r="Z2086" i="9"/>
  <c r="Z2214" i="9"/>
  <c r="Z2342" i="9"/>
  <c r="Z2470" i="9"/>
  <c r="Z163" i="9"/>
  <c r="Z463" i="9"/>
  <c r="Z755" i="9"/>
  <c r="Z971" i="9"/>
  <c r="Z1223" i="9"/>
  <c r="Z1491" i="9"/>
  <c r="Z1743" i="9"/>
  <c r="Z2299" i="9"/>
  <c r="Z2427" i="9"/>
  <c r="Z425" i="9"/>
  <c r="Z681" i="9"/>
  <c r="Z1341" i="9"/>
  <c r="Z1469" i="9"/>
  <c r="Z1597" i="9"/>
  <c r="Z1725" i="9"/>
  <c r="Z1853" i="9"/>
  <c r="Z1981" i="9"/>
  <c r="Z2109" i="9"/>
  <c r="Z2237" i="9"/>
  <c r="Z2365" i="9"/>
  <c r="Z2493" i="9"/>
  <c r="Z195" i="9"/>
  <c r="Z443" i="9"/>
  <c r="Z611" i="9"/>
  <c r="Z803" i="9"/>
  <c r="Z1043" i="9"/>
  <c r="Z1283" i="9"/>
  <c r="Z1859" i="9"/>
  <c r="Z2071" i="9"/>
  <c r="Z2295" i="9"/>
  <c r="Z22" i="9"/>
  <c r="Z150" i="9"/>
  <c r="Z278" i="9"/>
  <c r="Z406" i="9"/>
  <c r="Z534" i="9"/>
  <c r="Z662" i="9"/>
  <c r="Z1298" i="9"/>
  <c r="Z1426" i="9"/>
  <c r="Z1554" i="9"/>
  <c r="Z1682" i="9"/>
  <c r="Z1810" i="9"/>
  <c r="Z1938" i="9"/>
  <c r="Z2066" i="9"/>
  <c r="Z2194" i="9"/>
  <c r="Z2322" i="9"/>
  <c r="Z2450" i="9"/>
  <c r="Z91" i="9"/>
  <c r="Z455" i="9"/>
  <c r="Z679" i="9"/>
  <c r="Z955" i="9"/>
  <c r="Z1215" i="9"/>
  <c r="Z1483" i="9"/>
  <c r="Z1735" i="9"/>
  <c r="Z1875" i="9"/>
  <c r="Z2131" i="9"/>
  <c r="Z2355" i="9"/>
  <c r="Z88" i="9"/>
  <c r="Z204" i="9"/>
  <c r="Z412" i="9"/>
  <c r="Z632" i="9"/>
  <c r="Z792" i="9"/>
  <c r="Z1144" i="9"/>
  <c r="Z388" i="9"/>
  <c r="Z516" i="9"/>
  <c r="Z644" i="9"/>
  <c r="Z772" i="9"/>
  <c r="Z900" i="9"/>
  <c r="Z1028" i="9"/>
  <c r="Z1156" i="9"/>
  <c r="Z1272" i="9"/>
  <c r="Z1400" i="9"/>
  <c r="Z1528" i="9"/>
  <c r="Z1656" i="9"/>
  <c r="Z1784" i="9"/>
  <c r="Z1912" i="9"/>
  <c r="Z2040" i="9"/>
  <c r="Z2168" i="9"/>
  <c r="Z2296" i="9"/>
  <c r="Z2424" i="9"/>
  <c r="Z25" i="9"/>
  <c r="Z89" i="9"/>
  <c r="Z153" i="9"/>
  <c r="Z217" i="9"/>
  <c r="Z281" i="9"/>
  <c r="Z373" i="9"/>
  <c r="Z453" i="9"/>
  <c r="Z537" i="9"/>
  <c r="Z629" i="9"/>
  <c r="Z709" i="9"/>
  <c r="Z777" i="9"/>
  <c r="Z841" i="9"/>
  <c r="Z905" i="9"/>
  <c r="Z969" i="9"/>
  <c r="Z1033" i="9"/>
  <c r="Z1097" i="9"/>
  <c r="Z1161" i="9"/>
  <c r="Z1225" i="9"/>
  <c r="Z1337" i="9"/>
  <c r="Z1465" i="9"/>
  <c r="Z1593" i="9"/>
  <c r="Z1721" i="9"/>
  <c r="Z1849" i="9"/>
  <c r="Z1977" i="9"/>
  <c r="Z2105" i="9"/>
  <c r="Z2233" i="9"/>
  <c r="Z2361" i="9"/>
  <c r="Z2489" i="9"/>
  <c r="Z175" i="9"/>
  <c r="Z435" i="9"/>
  <c r="Z651" i="9"/>
  <c r="Z871" i="9"/>
  <c r="Z1527" i="9"/>
  <c r="Z1755" i="9"/>
  <c r="Z1903" i="9"/>
  <c r="Z2159" i="9"/>
  <c r="Z2447" i="9"/>
  <c r="Z106" i="9"/>
  <c r="Z234" i="9"/>
  <c r="Z354" i="9"/>
  <c r="Z482" i="9"/>
  <c r="Z610" i="9"/>
  <c r="Z742" i="9"/>
  <c r="Z806" i="9"/>
  <c r="Z870" i="9"/>
  <c r="Z934" i="9"/>
  <c r="Z998" i="9"/>
  <c r="Z1062" i="9"/>
  <c r="Z1126" i="9"/>
  <c r="Z1190" i="9"/>
  <c r="Z1262" i="9"/>
  <c r="Z1390" i="9"/>
  <c r="Z1518" i="9"/>
  <c r="Z1646" i="9"/>
  <c r="Z1774" i="9"/>
  <c r="Z1902" i="9"/>
  <c r="Z2030" i="9"/>
  <c r="Z2158" i="9"/>
  <c r="Z2286" i="9"/>
  <c r="Z2414" i="9"/>
  <c r="Z115" i="9"/>
  <c r="Z327" i="9"/>
  <c r="Z575" i="9"/>
  <c r="Z763" i="9"/>
  <c r="Z1047" i="9"/>
  <c r="Z1411" i="9"/>
  <c r="Z1667" i="9"/>
  <c r="Z2091" i="9"/>
  <c r="Z2315" i="9"/>
  <c r="Z60" i="9"/>
  <c r="Z328" i="9"/>
  <c r="Z504" i="9"/>
  <c r="Z680" i="9"/>
  <c r="Z1000" i="9"/>
  <c r="Z20" i="9"/>
  <c r="Z84" i="9"/>
  <c r="Z148" i="9"/>
  <c r="Z212" i="9"/>
  <c r="Z276" i="9"/>
  <c r="Z400" i="9"/>
  <c r="Z528" i="9"/>
  <c r="Z656" i="9"/>
  <c r="Z784" i="9"/>
  <c r="Z912" i="9"/>
  <c r="Z1040" i="9"/>
  <c r="Z1168" i="9"/>
  <c r="Z1284" i="9"/>
  <c r="Z1396" i="9"/>
  <c r="Z1492" i="9"/>
  <c r="Z1596" i="9"/>
  <c r="Z1700" i="9"/>
  <c r="Z1796" i="9"/>
  <c r="Z1908" i="9"/>
  <c r="Z2004" i="9"/>
  <c r="Z2108" i="9"/>
  <c r="Z2212" i="9"/>
  <c r="Z2308" i="9"/>
  <c r="Z2420" i="9"/>
  <c r="Z17" i="9"/>
  <c r="Z145" i="9"/>
  <c r="Z273" i="9"/>
  <c r="Z401" i="9"/>
  <c r="Z529" i="9"/>
  <c r="Z657" i="9"/>
  <c r="Z1285" i="9"/>
  <c r="Z1413" i="9"/>
  <c r="Z1541" i="9"/>
  <c r="Z1669" i="9"/>
  <c r="Z1797" i="9"/>
  <c r="Z1925" i="9"/>
  <c r="Z2053" i="9"/>
  <c r="Z2181" i="9"/>
  <c r="Z2309" i="9"/>
  <c r="Z2437" i="9"/>
  <c r="Z183" i="9"/>
  <c r="Z391" i="9"/>
  <c r="Z927" i="9"/>
  <c r="Z1155" i="9"/>
  <c r="Z1391" i="9"/>
  <c r="Z1583" i="9"/>
  <c r="Z1843" i="9"/>
  <c r="Z1991" i="9"/>
  <c r="Z2143" i="9"/>
  <c r="Z2367" i="9"/>
  <c r="Z2495" i="9"/>
  <c r="Z126" i="9"/>
  <c r="Z254" i="9"/>
  <c r="Z382" i="9"/>
  <c r="Z510" i="9"/>
  <c r="Z638" i="9"/>
  <c r="Z770" i="9"/>
  <c r="Z898" i="9"/>
  <c r="Z1026" i="9"/>
  <c r="Z1154" i="9"/>
  <c r="Z1274" i="9"/>
  <c r="Z1402" i="9"/>
  <c r="Z1530" i="9"/>
  <c r="Z1658" i="9"/>
  <c r="Z1786" i="9"/>
  <c r="Z1914" i="9"/>
  <c r="Z2042" i="9"/>
  <c r="Z2170" i="9"/>
  <c r="Z2298" i="9"/>
  <c r="Z2426" i="9"/>
  <c r="Z191" i="9"/>
  <c r="Z379" i="9"/>
  <c r="Z595" i="9"/>
  <c r="Z855" i="9"/>
  <c r="Z1103" i="9"/>
  <c r="Z1335" i="9"/>
  <c r="Z1923" i="9"/>
  <c r="Z2179" i="9"/>
  <c r="Z2467" i="9"/>
  <c r="Z140" i="9"/>
  <c r="Z316" i="9"/>
  <c r="Z540" i="9"/>
  <c r="Z808" i="9"/>
  <c r="Z1208" i="9"/>
  <c r="Z860" i="9"/>
  <c r="Z988" i="9"/>
  <c r="Z1116" i="9"/>
  <c r="Z1244" i="9"/>
  <c r="Z1312" i="9"/>
  <c r="Z1388" i="9"/>
  <c r="Z1456" i="9"/>
  <c r="Z1536" i="9"/>
  <c r="Z1612" i="9"/>
  <c r="Z1680" i="9"/>
  <c r="Z1756" i="9"/>
  <c r="Z1824" i="9"/>
  <c r="Z1900" i="9"/>
  <c r="Z1968" i="9"/>
  <c r="Z2048" i="9"/>
  <c r="Z2124" i="9"/>
  <c r="Z2192" i="9"/>
  <c r="Z2268" i="9"/>
  <c r="Z2336" i="9"/>
  <c r="Z2412" i="9"/>
  <c r="Z2480" i="9"/>
  <c r="Z109" i="9"/>
  <c r="Z237" i="9"/>
  <c r="Z365" i="9"/>
  <c r="Z493" i="9"/>
  <c r="Z621" i="9"/>
  <c r="Z749" i="9"/>
  <c r="Z813" i="9"/>
  <c r="Z877" i="9"/>
  <c r="Z941" i="9"/>
  <c r="Z1005" i="9"/>
  <c r="Z1069" i="9"/>
  <c r="Z1133" i="9"/>
  <c r="Z1197" i="9"/>
  <c r="Z1281" i="9"/>
  <c r="Z1409" i="9"/>
  <c r="Z1537" i="9"/>
  <c r="Z1665" i="9"/>
  <c r="Z1793" i="9"/>
  <c r="Z1921" i="9"/>
  <c r="Z2049" i="9"/>
  <c r="Z2177" i="9"/>
  <c r="Z2305" i="9"/>
  <c r="Z2433" i="9"/>
  <c r="Z159" i="9"/>
  <c r="Z451" i="9"/>
  <c r="Z751" i="9"/>
  <c r="Z1003" i="9"/>
  <c r="Z1067" i="9"/>
  <c r="Z1211" i="9"/>
  <c r="Z1439" i="9"/>
  <c r="Z1575" i="9"/>
  <c r="Z1803" i="9"/>
  <c r="Z82" i="9"/>
  <c r="Z210" i="9"/>
  <c r="Z346" i="9"/>
  <c r="Z474" i="9"/>
  <c r="Z602" i="9"/>
  <c r="Z718" i="9"/>
  <c r="Z846" i="9"/>
  <c r="Z974" i="9"/>
  <c r="Z1102" i="9"/>
  <c r="Z1230" i="9"/>
  <c r="Z1366" i="9"/>
  <c r="Z1494" i="9"/>
  <c r="Z1622" i="9"/>
  <c r="Z1750" i="9"/>
  <c r="Z1878" i="9"/>
  <c r="Z2006" i="9"/>
  <c r="Z2134" i="9"/>
  <c r="Z2262" i="9"/>
  <c r="Z2390" i="9"/>
  <c r="Z27" i="9"/>
  <c r="Z311" i="9"/>
  <c r="Z559" i="9"/>
  <c r="Z847" i="9"/>
  <c r="Z1063" i="9"/>
  <c r="Z1327" i="9"/>
  <c r="Z1587" i="9"/>
  <c r="Z1839" i="9"/>
  <c r="Z1979" i="9"/>
  <c r="Z2107" i="9"/>
  <c r="Z521" i="9"/>
  <c r="Z1261" i="9"/>
  <c r="Z1389" i="9"/>
  <c r="Z1517" i="9"/>
  <c r="Z1645" i="9"/>
  <c r="Z1773" i="9"/>
  <c r="Z1901" i="9"/>
  <c r="Z2029" i="9"/>
  <c r="Z2157" i="9"/>
  <c r="Z2285" i="9"/>
  <c r="Z2413" i="9"/>
  <c r="Z43" i="9"/>
  <c r="Z307" i="9"/>
  <c r="Z507" i="9"/>
  <c r="Z707" i="9"/>
  <c r="Z879" i="9"/>
  <c r="Z1139" i="9"/>
  <c r="Z1699" i="9"/>
  <c r="Z1943" i="9"/>
  <c r="Z2167" i="9"/>
  <c r="Z2359" i="9"/>
  <c r="Z70" i="9"/>
  <c r="Z198" i="9"/>
  <c r="Z326" i="9"/>
  <c r="Z454" i="9"/>
  <c r="Z582" i="9"/>
  <c r="Z714" i="9"/>
  <c r="Z1346" i="9"/>
  <c r="D4" i="8" l="1"/>
  <c r="D12" i="8" s="1"/>
  <c r="D20" i="8"/>
  <c r="D18" i="8"/>
  <c r="D16" i="8" l="1"/>
  <c r="D19" i="8"/>
</calcChain>
</file>

<file path=xl/sharedStrings.xml><?xml version="1.0" encoding="utf-8"?>
<sst xmlns="http://schemas.openxmlformats.org/spreadsheetml/2006/main" count="1959" uniqueCount="972">
  <si>
    <t>Items Table</t>
  </si>
  <si>
    <t>Suppliers Table</t>
  </si>
  <si>
    <t>Orders Table</t>
  </si>
  <si>
    <t>CustID</t>
  </si>
  <si>
    <t>Title</t>
  </si>
  <si>
    <t>FamilyName</t>
  </si>
  <si>
    <t>GivenNames</t>
  </si>
  <si>
    <t>DateofBirth</t>
  </si>
  <si>
    <t>Address</t>
  </si>
  <si>
    <t>City</t>
  </si>
  <si>
    <t>State</t>
  </si>
  <si>
    <t>PostCode</t>
  </si>
  <si>
    <t>FreightDistance</t>
  </si>
  <si>
    <t>MobileNum</t>
  </si>
  <si>
    <t>EmailAddress</t>
  </si>
  <si>
    <t>MailingList</t>
  </si>
  <si>
    <t>Mr</t>
  </si>
  <si>
    <t>Tyrrell</t>
  </si>
  <si>
    <t>Timothy James</t>
  </si>
  <si>
    <t>48 Lambourne Crescent</t>
  </si>
  <si>
    <t>Belford</t>
  </si>
  <si>
    <t>NSW</t>
  </si>
  <si>
    <t>0443 107503</t>
  </si>
  <si>
    <t>tyrrellt@dodo.com.au</t>
  </si>
  <si>
    <t>Yes</t>
  </si>
  <si>
    <t>Ballantyne</t>
  </si>
  <si>
    <t>Barry John</t>
  </si>
  <si>
    <t>14 Bachmann Drive</t>
  </si>
  <si>
    <t>Alleena</t>
  </si>
  <si>
    <t>0428 899575</t>
  </si>
  <si>
    <t>ballantyneb@gmail.com</t>
  </si>
  <si>
    <t>No</t>
  </si>
  <si>
    <t>Mrs</t>
  </si>
  <si>
    <t>Dovey</t>
  </si>
  <si>
    <t>Aisha Jade</t>
  </si>
  <si>
    <t>43 Wilkes Circuit</t>
  </si>
  <si>
    <t>Alfredtown</t>
  </si>
  <si>
    <t>0487 508644</t>
  </si>
  <si>
    <t>doveya@optusmail.com.au</t>
  </si>
  <si>
    <t>Dr</t>
  </si>
  <si>
    <t>Kaur</t>
  </si>
  <si>
    <t>Jasleen</t>
  </si>
  <si>
    <t>7 Hong Road</t>
  </si>
  <si>
    <t>Belconnen</t>
  </si>
  <si>
    <t>ACT</t>
  </si>
  <si>
    <t>0445 901437</t>
  </si>
  <si>
    <t>kaurj@iprimus.com.au</t>
  </si>
  <si>
    <t>Myers</t>
  </si>
  <si>
    <t>Luke Charles</t>
  </si>
  <si>
    <t>25 Penrose Street</t>
  </si>
  <si>
    <t>Black Hills</t>
  </si>
  <si>
    <t>TAS</t>
  </si>
  <si>
    <t>0468 531908</t>
  </si>
  <si>
    <t>myersl@bigpond.com.au</t>
  </si>
  <si>
    <t>Bachmann</t>
  </si>
  <si>
    <t>Aaron</t>
  </si>
  <si>
    <t>3 Csabai Avenue</t>
  </si>
  <si>
    <t>Bridgewater</t>
  </si>
  <si>
    <t>VIC</t>
  </si>
  <si>
    <t>0470 104981</t>
  </si>
  <si>
    <t>bachmanna@internode.on.net</t>
  </si>
  <si>
    <t>Ms</t>
  </si>
  <si>
    <t>Madsen</t>
  </si>
  <si>
    <t>Kim Marie</t>
  </si>
  <si>
    <t>42 Singh Drive</t>
  </si>
  <si>
    <t>Caliph</t>
  </si>
  <si>
    <t>SA</t>
  </si>
  <si>
    <t>0461 936320</t>
  </si>
  <si>
    <t>madsenk@bigpond.com.au</t>
  </si>
  <si>
    <t>Ashford</t>
  </si>
  <si>
    <t>Atkinson</t>
  </si>
  <si>
    <t>Leanne</t>
  </si>
  <si>
    <t>45 Maloney Boulevard</t>
  </si>
  <si>
    <t>Avon Plains</t>
  </si>
  <si>
    <t>0421 100457</t>
  </si>
  <si>
    <t>atkinsonl@bigpond.com.au</t>
  </si>
  <si>
    <t>Bergmann</t>
  </si>
  <si>
    <t>Beau Jay</t>
  </si>
  <si>
    <t>47 McCullough Circuit</t>
  </si>
  <si>
    <t>Breakwater</t>
  </si>
  <si>
    <t>0466 896855</t>
  </si>
  <si>
    <t>bergmannb@dodo.com.au</t>
  </si>
  <si>
    <t>Miss</t>
  </si>
  <si>
    <t>Western</t>
  </si>
  <si>
    <t>Lee Reuben</t>
  </si>
  <si>
    <t>14 Fields Road</t>
  </si>
  <si>
    <t>Airly</t>
  </si>
  <si>
    <t>0419 408640</t>
  </si>
  <si>
    <t>westernl@iinet.com.au</t>
  </si>
  <si>
    <t>Brown</t>
  </si>
  <si>
    <t>Sarah Danielle</t>
  </si>
  <si>
    <t>50 Brieschke Court</t>
  </si>
  <si>
    <t>Bray Park</t>
  </si>
  <si>
    <t>QLD</t>
  </si>
  <si>
    <t>0499 438364</t>
  </si>
  <si>
    <t>browns@bigpond.com.au</t>
  </si>
  <si>
    <t>Taumalolo</t>
  </si>
  <si>
    <t>Latai Fono-Ki-Moana</t>
  </si>
  <si>
    <t>13 Taylor Way</t>
  </si>
  <si>
    <t>Bamboo</t>
  </si>
  <si>
    <t>0446 101534</t>
  </si>
  <si>
    <t>taumalolol@iprimus.com.au</t>
  </si>
  <si>
    <t>Fowler</t>
  </si>
  <si>
    <t>James</t>
  </si>
  <si>
    <t>30 Virk Court</t>
  </si>
  <si>
    <t>0403 160335</t>
  </si>
  <si>
    <t>fowlerj@optusmail.com.au</t>
  </si>
  <si>
    <t>Feeney</t>
  </si>
  <si>
    <t>Jennifer Ruth</t>
  </si>
  <si>
    <t>18 Cook Avenue</t>
  </si>
  <si>
    <t>Nayook</t>
  </si>
  <si>
    <t>0451 108794</t>
  </si>
  <si>
    <t>feeneyj@internode.on.net</t>
  </si>
  <si>
    <t>Azar</t>
  </si>
  <si>
    <t>Hector Antonio</t>
  </si>
  <si>
    <t>38 Hope Avenue</t>
  </si>
  <si>
    <t>Glenfern</t>
  </si>
  <si>
    <t>0491 575314</t>
  </si>
  <si>
    <t>azarh@gmail.com</t>
  </si>
  <si>
    <t>Barton</t>
  </si>
  <si>
    <t>Kimberley</t>
  </si>
  <si>
    <t>9 Decuyper Road</t>
  </si>
  <si>
    <t>0498 660111</t>
  </si>
  <si>
    <t>bartonk@iprimus.com.au</t>
  </si>
  <si>
    <t>Baruwal</t>
  </si>
  <si>
    <t>Pratikshya</t>
  </si>
  <si>
    <t>43 Gilloway Street</t>
  </si>
  <si>
    <t>Iluka</t>
  </si>
  <si>
    <t>0467 585409</t>
  </si>
  <si>
    <t>baruwalp@iprimus.com.au</t>
  </si>
  <si>
    <t>Stewart</t>
  </si>
  <si>
    <t>Jodi Louise</t>
  </si>
  <si>
    <t>33 Abington Court</t>
  </si>
  <si>
    <t>0430 912948</t>
  </si>
  <si>
    <t>stewartj@bigpond.com.au</t>
  </si>
  <si>
    <t>Bishop</t>
  </si>
  <si>
    <t>Katherine Marie</t>
  </si>
  <si>
    <t>19 Whitehorn Circuit</t>
  </si>
  <si>
    <t>0464 107735</t>
  </si>
  <si>
    <t>bishopk@gmail.com</t>
  </si>
  <si>
    <t>Sinclair</t>
  </si>
  <si>
    <t>Travis James Foord</t>
  </si>
  <si>
    <t>25 Leunen Avenue</t>
  </si>
  <si>
    <t>Batlow</t>
  </si>
  <si>
    <t>0440 582815</t>
  </si>
  <si>
    <t>sinclairt@gmail.com</t>
  </si>
  <si>
    <t>Hoolihan</t>
  </si>
  <si>
    <t>Crystal Claire Grace</t>
  </si>
  <si>
    <t>7 Van Riet Avenue</t>
  </si>
  <si>
    <t>Aberfoyle</t>
  </si>
  <si>
    <t>0401 762606</t>
  </si>
  <si>
    <t>hoolihanc@tpg.com.au</t>
  </si>
  <si>
    <t>Johnson</t>
  </si>
  <si>
    <t>Samantha Emily Louise</t>
  </si>
  <si>
    <t>2 Wiggan Avenue</t>
  </si>
  <si>
    <t>Boston</t>
  </si>
  <si>
    <t>0438 730524</t>
  </si>
  <si>
    <t>johnsons@tpg.com.au</t>
  </si>
  <si>
    <t>Aitcheson</t>
  </si>
  <si>
    <t>Ben James</t>
  </si>
  <si>
    <t>32 Evans Avenue</t>
  </si>
  <si>
    <t>0479 354874</t>
  </si>
  <si>
    <t>aitchesonb@iprimus.com.au</t>
  </si>
  <si>
    <t>Temple Morgan</t>
  </si>
  <si>
    <t>Mathew Peter</t>
  </si>
  <si>
    <t>19 Tansky Court</t>
  </si>
  <si>
    <t>0422 589855</t>
  </si>
  <si>
    <t>temple morganm@bigpond.com.au</t>
  </si>
  <si>
    <t>Kussrow</t>
  </si>
  <si>
    <t>Katherine Anne</t>
  </si>
  <si>
    <t>10 Downes Street</t>
  </si>
  <si>
    <t>0496 292075</t>
  </si>
  <si>
    <t>kussrowk@gmail.com</t>
  </si>
  <si>
    <t>Lamshed</t>
  </si>
  <si>
    <t>Laura Clare</t>
  </si>
  <si>
    <t>22 Edser Drive</t>
  </si>
  <si>
    <t>0427 580663</t>
  </si>
  <si>
    <t>lamshedl@optusmail.com.au</t>
  </si>
  <si>
    <t>Mariam</t>
  </si>
  <si>
    <t>26 Osmond Road</t>
  </si>
  <si>
    <t>0496 974206</t>
  </si>
  <si>
    <t>azarm@iinet.com.au</t>
  </si>
  <si>
    <t>Lloyd</t>
  </si>
  <si>
    <t>Ben</t>
  </si>
  <si>
    <t>13 Stark Avenue</t>
  </si>
  <si>
    <t>0489 106408</t>
  </si>
  <si>
    <t>lloydb@tpg.com.au</t>
  </si>
  <si>
    <t>King</t>
  </si>
  <si>
    <t>Leith</t>
  </si>
  <si>
    <t>25 Carbone Court</t>
  </si>
  <si>
    <t>0473 870399</t>
  </si>
  <si>
    <t>kingl@internode.on.net</t>
  </si>
  <si>
    <t>Ward</t>
  </si>
  <si>
    <t>Keiren Nicholas</t>
  </si>
  <si>
    <t>13 Green Crescent</t>
  </si>
  <si>
    <t>0438 792285</t>
  </si>
  <si>
    <t>wardk@dodo.com.au</t>
  </si>
  <si>
    <t>Hubbard</t>
  </si>
  <si>
    <t>Sonya Marie</t>
  </si>
  <si>
    <t>42 Keable Crescent</t>
  </si>
  <si>
    <t>0467 312829</t>
  </si>
  <si>
    <t>hubbards@tpg.com.au</t>
  </si>
  <si>
    <t>Liesegang</t>
  </si>
  <si>
    <t>Darcey Michelle</t>
  </si>
  <si>
    <t>50 McCann Drive</t>
  </si>
  <si>
    <t>Binduli</t>
  </si>
  <si>
    <t>WA</t>
  </si>
  <si>
    <t>0422 889879</t>
  </si>
  <si>
    <t>liesegangd@tpg.com.au</t>
  </si>
  <si>
    <t>McKenzie</t>
  </si>
  <si>
    <t>Melinda Kate</t>
  </si>
  <si>
    <t>49 McKay Way</t>
  </si>
  <si>
    <t>0429 120440</t>
  </si>
  <si>
    <t>mckenziem@gmail.com</t>
  </si>
  <si>
    <t>Selman</t>
  </si>
  <si>
    <t>Jack Ryan</t>
  </si>
  <si>
    <t>17 Van Essen Street</t>
  </si>
  <si>
    <t>0444 344208</t>
  </si>
  <si>
    <t>selmanj@dodo.com.au</t>
  </si>
  <si>
    <t>Martin</t>
  </si>
  <si>
    <t>Damien Roger</t>
  </si>
  <si>
    <t>23 Quennell Way</t>
  </si>
  <si>
    <t>0425 856587</t>
  </si>
  <si>
    <t>martind@internode.on.net</t>
  </si>
  <si>
    <t>Wilson</t>
  </si>
  <si>
    <t>Hayley Lauren</t>
  </si>
  <si>
    <t>3 Ashley Crescent</t>
  </si>
  <si>
    <t>0400 915974</t>
  </si>
  <si>
    <t>wilsonh@bigpond.com.au</t>
  </si>
  <si>
    <t>Pellegrino</t>
  </si>
  <si>
    <t>Samantha</t>
  </si>
  <si>
    <t>38 McKeown Street</t>
  </si>
  <si>
    <t>0434 838541</t>
  </si>
  <si>
    <t>pellegrinos@dodo.com.au</t>
  </si>
  <si>
    <t>Bobonica</t>
  </si>
  <si>
    <t>Claudia</t>
  </si>
  <si>
    <t>47 Klein Way</t>
  </si>
  <si>
    <t>0420 220860</t>
  </si>
  <si>
    <t>bobonicac@iinet.com.au</t>
  </si>
  <si>
    <t>Hurst</t>
  </si>
  <si>
    <t>Ralph Gregory</t>
  </si>
  <si>
    <t>45 Blakeney Road</t>
  </si>
  <si>
    <t>0496 159715</t>
  </si>
  <si>
    <t>hurstr@bigpond.com.au</t>
  </si>
  <si>
    <t>Reibelt</t>
  </si>
  <si>
    <t>Corey James</t>
  </si>
  <si>
    <t>23 Burns Drive</t>
  </si>
  <si>
    <t>0497 725045</t>
  </si>
  <si>
    <t>reibeltc@dodo.com.au</t>
  </si>
  <si>
    <t>Kennedy</t>
  </si>
  <si>
    <t>Joseph Dominic</t>
  </si>
  <si>
    <t>43 Barton Road</t>
  </si>
  <si>
    <t>0435 991705</t>
  </si>
  <si>
    <t>kennedyj@iprimus.com.au</t>
  </si>
  <si>
    <t>Queen</t>
  </si>
  <si>
    <t>Joanne</t>
  </si>
  <si>
    <t>30 Hall Drive</t>
  </si>
  <si>
    <t>0416 388455</t>
  </si>
  <si>
    <t>queenj@gmail.com</t>
  </si>
  <si>
    <t>Moraitis</t>
  </si>
  <si>
    <t>Vikki Sue</t>
  </si>
  <si>
    <t>11 Stuckings Boulevard</t>
  </si>
  <si>
    <t>0482 649791</t>
  </si>
  <si>
    <t>moraitisv@internode.on.net</t>
  </si>
  <si>
    <t>Mohammed</t>
  </si>
  <si>
    <t>Ahmed</t>
  </si>
  <si>
    <t>35 Ridley Avenue</t>
  </si>
  <si>
    <t>0400 701850</t>
  </si>
  <si>
    <t>mohammeda@gmail.com</t>
  </si>
  <si>
    <t>Earl</t>
  </si>
  <si>
    <t>Benn Robert</t>
  </si>
  <si>
    <t>31 Kae Drive</t>
  </si>
  <si>
    <t>0475 931285</t>
  </si>
  <si>
    <t>earlb@gmail.com</t>
  </si>
  <si>
    <t>Daniell</t>
  </si>
  <si>
    <t>Bronte Eliza</t>
  </si>
  <si>
    <t>41 Wilson Boulevard</t>
  </si>
  <si>
    <t>0460 568595</t>
  </si>
  <si>
    <t>daniellb@tpg.com.au</t>
  </si>
  <si>
    <t>Van Essen</t>
  </si>
  <si>
    <t>Bianca Jane</t>
  </si>
  <si>
    <t>47 Ward Circuit</t>
  </si>
  <si>
    <t>0477 662648</t>
  </si>
  <si>
    <t>van essenb@internode.on.net</t>
  </si>
  <si>
    <t>Jooste</t>
  </si>
  <si>
    <t>Nicholas</t>
  </si>
  <si>
    <t>32 Dover Road</t>
  </si>
  <si>
    <t>0490 889988</t>
  </si>
  <si>
    <t>joosten@gmail.com</t>
  </si>
  <si>
    <t>Edwards</t>
  </si>
  <si>
    <t>Luke Russell</t>
  </si>
  <si>
    <t>43 Valusaga Court</t>
  </si>
  <si>
    <t>0448 378169</t>
  </si>
  <si>
    <t>edwardsl@iinet.com.au</t>
  </si>
  <si>
    <t>Winks</t>
  </si>
  <si>
    <t>Lori-Ann</t>
  </si>
  <si>
    <t>40 Lyne Street</t>
  </si>
  <si>
    <t>0490 269392</t>
  </si>
  <si>
    <t>winksl@iprimus.com.au</t>
  </si>
  <si>
    <t>Johnston</t>
  </si>
  <si>
    <t>Karrina</t>
  </si>
  <si>
    <t>11 Bishop Drive</t>
  </si>
  <si>
    <t>0436 710803</t>
  </si>
  <si>
    <t>johnstonk@bigpond.com.au</t>
  </si>
  <si>
    <t>Helmers</t>
  </si>
  <si>
    <t>Kristy-Lee</t>
  </si>
  <si>
    <t>43 Welthagen Court</t>
  </si>
  <si>
    <t>Areegra</t>
  </si>
  <si>
    <t>0403 634252</t>
  </si>
  <si>
    <t>helmersk@dodo.com.au</t>
  </si>
  <si>
    <t>Tharenou</t>
  </si>
  <si>
    <t>Kimberley Jacinta</t>
  </si>
  <si>
    <t>49 Moncada Circuit</t>
  </si>
  <si>
    <t>0412 230546</t>
  </si>
  <si>
    <t>tharenouk@optusmail.com.au</t>
  </si>
  <si>
    <t>Noffke</t>
  </si>
  <si>
    <t>William Thomas</t>
  </si>
  <si>
    <t>20 Tyler Drive</t>
  </si>
  <si>
    <t>0405 195784</t>
  </si>
  <si>
    <t>noffkew@internode.on.net</t>
  </si>
  <si>
    <t>Bradford</t>
  </si>
  <si>
    <t>Haleigh Renae Ann</t>
  </si>
  <si>
    <t>31 Johnston Road</t>
  </si>
  <si>
    <t>0400 102905</t>
  </si>
  <si>
    <t>bradfordh@iprimus.com.au</t>
  </si>
  <si>
    <t>McTaggart</t>
  </si>
  <si>
    <t>Daniel</t>
  </si>
  <si>
    <t>24 Mulholland Avenue</t>
  </si>
  <si>
    <t>0483 453206</t>
  </si>
  <si>
    <t>mctaggartd@iinet.com.au</t>
  </si>
  <si>
    <t>Stanton</t>
  </si>
  <si>
    <t>Sharaze</t>
  </si>
  <si>
    <t>1 Siddons Crescent</t>
  </si>
  <si>
    <t>0422 475135</t>
  </si>
  <si>
    <t>stantons@internode.on.net</t>
  </si>
  <si>
    <t>Radovic</t>
  </si>
  <si>
    <t>Harley Benjamin</t>
  </si>
  <si>
    <t>50 Hocking Way</t>
  </si>
  <si>
    <t>0454 356396</t>
  </si>
  <si>
    <t>radovich@iprimus.com.au</t>
  </si>
  <si>
    <t>Hackett</t>
  </si>
  <si>
    <t>Patrick</t>
  </si>
  <si>
    <t>25 Sweet Drive</t>
  </si>
  <si>
    <t>0449 124774</t>
  </si>
  <si>
    <t>hackettp@iinet.com.au</t>
  </si>
  <si>
    <t>Mendezona</t>
  </si>
  <si>
    <t>Tara Colleen-Mary</t>
  </si>
  <si>
    <t>27 Picone Drive</t>
  </si>
  <si>
    <t>0402 460389</t>
  </si>
  <si>
    <t>mendezonat@optusmail.com.au</t>
  </si>
  <si>
    <t>Sullivan</t>
  </si>
  <si>
    <t>Lawrence Bernard</t>
  </si>
  <si>
    <t>11 Haydon Boulevard</t>
  </si>
  <si>
    <t>0411 843460</t>
  </si>
  <si>
    <t>sullivanl@bigpond.com.au</t>
  </si>
  <si>
    <t>Shortt</t>
  </si>
  <si>
    <t>Rickylee Sidonia</t>
  </si>
  <si>
    <t>4 Hughes Road</t>
  </si>
  <si>
    <t>0401 636583</t>
  </si>
  <si>
    <t>shorttr@optusmail.com.au</t>
  </si>
  <si>
    <t>Allen</t>
  </si>
  <si>
    <t>Morgan</t>
  </si>
  <si>
    <t>15 Winsor Street</t>
  </si>
  <si>
    <t>Appletree Flat</t>
  </si>
  <si>
    <t>0480 280753</t>
  </si>
  <si>
    <t>allenm@gmail.com</t>
  </si>
  <si>
    <t>Mulcahy</t>
  </si>
  <si>
    <t>Jodie Leigh</t>
  </si>
  <si>
    <t>32 Scott Crescent</t>
  </si>
  <si>
    <t>0464 151899</t>
  </si>
  <si>
    <t>mulcahyj@iprimus.com.au</t>
  </si>
  <si>
    <t>Perkins</t>
  </si>
  <si>
    <t>Sarah</t>
  </si>
  <si>
    <t>7 Tengdahl Road</t>
  </si>
  <si>
    <t>0413 142268</t>
  </si>
  <si>
    <t>perkinss@iinet.com.au</t>
  </si>
  <si>
    <t>Byrne</t>
  </si>
  <si>
    <t>Gregory James</t>
  </si>
  <si>
    <t>18 Doroshenko Crescent</t>
  </si>
  <si>
    <t>Abington</t>
  </si>
  <si>
    <t>0427 188354</t>
  </si>
  <si>
    <t>byrneg@iinet.com.au</t>
  </si>
  <si>
    <t>Adams</t>
  </si>
  <si>
    <t>Matthew</t>
  </si>
  <si>
    <t>36 Fenech Avenue</t>
  </si>
  <si>
    <t>0428 375770</t>
  </si>
  <si>
    <t>adamsm@internode.on.net</t>
  </si>
  <si>
    <t>Hollonds</t>
  </si>
  <si>
    <t>Suzan</t>
  </si>
  <si>
    <t>49 Patel Way</t>
  </si>
  <si>
    <t>0482 996656</t>
  </si>
  <si>
    <t>hollondss@dodo.com.au</t>
  </si>
  <si>
    <t>Faatoafe</t>
  </si>
  <si>
    <t>Jasson Iosefa</t>
  </si>
  <si>
    <t>29 Schaffer Boulevard</t>
  </si>
  <si>
    <t>0474 623565</t>
  </si>
  <si>
    <t>faatoafej@dodo.com.au</t>
  </si>
  <si>
    <t>Long</t>
  </si>
  <si>
    <t>Bellinda May</t>
  </si>
  <si>
    <t>5 Hutcheson Avenue</t>
  </si>
  <si>
    <t>0415 916724</t>
  </si>
  <si>
    <t>longb@tpg.com.au</t>
  </si>
  <si>
    <t>Coetzee</t>
  </si>
  <si>
    <t>Riekert</t>
  </si>
  <si>
    <t>5 Western Road</t>
  </si>
  <si>
    <t>0457 272323</t>
  </si>
  <si>
    <t>coetzeer@iprimus.com.au</t>
  </si>
  <si>
    <t>Entriken</t>
  </si>
  <si>
    <t>Gwenda Dawn</t>
  </si>
  <si>
    <t>8 Miljkovic Drive</t>
  </si>
  <si>
    <t>0472 264952</t>
  </si>
  <si>
    <t>entrikeng@internode.on.net</t>
  </si>
  <si>
    <t>McConnell</t>
  </si>
  <si>
    <t>Hannah Clair</t>
  </si>
  <si>
    <t>27 Mccarthy Circuit</t>
  </si>
  <si>
    <t>0449 482682</t>
  </si>
  <si>
    <t>mcconnellh@optusmail.com.au</t>
  </si>
  <si>
    <t>Spinelli</t>
  </si>
  <si>
    <t>Paul Walter</t>
  </si>
  <si>
    <t>35 Azar Drive</t>
  </si>
  <si>
    <t>0462 804047</t>
  </si>
  <si>
    <t>spinellip@tpg.com.au</t>
  </si>
  <si>
    <t>Ashley</t>
  </si>
  <si>
    <t>3 Wagener Crescent</t>
  </si>
  <si>
    <t>0419 102605</t>
  </si>
  <si>
    <t>ashleym@iinet.com.au</t>
  </si>
  <si>
    <t>Bichel</t>
  </si>
  <si>
    <t>Abbey Kate</t>
  </si>
  <si>
    <t>32 Rambau Avenue</t>
  </si>
  <si>
    <t>0424 825844</t>
  </si>
  <si>
    <t>bichela@bigpond.com.au</t>
  </si>
  <si>
    <t>Wittman</t>
  </si>
  <si>
    <t>Nicholas Jackson</t>
  </si>
  <si>
    <t>48 Sheppard-Kadel Way</t>
  </si>
  <si>
    <t>0402 400008</t>
  </si>
  <si>
    <t>wittmann@tpg.com.au</t>
  </si>
  <si>
    <t>Betts</t>
  </si>
  <si>
    <t>Melissa Leigh</t>
  </si>
  <si>
    <t>4 Aitcheson Drive</t>
  </si>
  <si>
    <t>0469 458259</t>
  </si>
  <si>
    <t>bettsm@optusmail.com.au</t>
  </si>
  <si>
    <t>Crispin-Purcell</t>
  </si>
  <si>
    <t>Gabriellen Elizabeth</t>
  </si>
  <si>
    <t>12 Williams Road</t>
  </si>
  <si>
    <t>0494 780810</t>
  </si>
  <si>
    <t>crispin-purcellg@optusmail.com.au</t>
  </si>
  <si>
    <t>Wilkes</t>
  </si>
  <si>
    <t>Harley</t>
  </si>
  <si>
    <t>12 Locke Circuit</t>
  </si>
  <si>
    <t>0493 852824</t>
  </si>
  <si>
    <t>wilkesh@iprimus.com.au</t>
  </si>
  <si>
    <t>Poljak</t>
  </si>
  <si>
    <t>Anthony</t>
  </si>
  <si>
    <t>45 Robertson Boulevard</t>
  </si>
  <si>
    <t>0437 259721</t>
  </si>
  <si>
    <t>poljaka@iinet.com.au</t>
  </si>
  <si>
    <t>Douglas</t>
  </si>
  <si>
    <t>Jason Richard</t>
  </si>
  <si>
    <t>14 Young Crescent</t>
  </si>
  <si>
    <t>0411 665692</t>
  </si>
  <si>
    <t>douglasj@bigpond.com.au</t>
  </si>
  <si>
    <t>Ferjani</t>
  </si>
  <si>
    <t>Rabah</t>
  </si>
  <si>
    <t>2 Codrington Street</t>
  </si>
  <si>
    <t>0424 831032</t>
  </si>
  <si>
    <t>ferjanir@gmail.com</t>
  </si>
  <si>
    <t>Romer</t>
  </si>
  <si>
    <t>Leo Alexander</t>
  </si>
  <si>
    <t>47 Bennett Circuit</t>
  </si>
  <si>
    <t>0439 954381</t>
  </si>
  <si>
    <t>romerl@iinet.com.au</t>
  </si>
  <si>
    <t>Coom</t>
  </si>
  <si>
    <t>Mackenzie Megan</t>
  </si>
  <si>
    <t>2 Tsalikis Road</t>
  </si>
  <si>
    <t>0411 251862</t>
  </si>
  <si>
    <t>coomm@dodo.com.au</t>
  </si>
  <si>
    <t>Talbot</t>
  </si>
  <si>
    <t>Carlie Wenderly</t>
  </si>
  <si>
    <t>31 Somerville Way</t>
  </si>
  <si>
    <t>0480 908409</t>
  </si>
  <si>
    <t>talbotc@optusmail.com.au</t>
  </si>
  <si>
    <t>Whitehorn</t>
  </si>
  <si>
    <t>32 Raubenheimer Circuit</t>
  </si>
  <si>
    <t>0400 241154</t>
  </si>
  <si>
    <t>whitehornj@dodo.com.au</t>
  </si>
  <si>
    <t>Randall</t>
  </si>
  <si>
    <t>Kylee</t>
  </si>
  <si>
    <t>45 Cremasco Avenue</t>
  </si>
  <si>
    <t>0496 925132</t>
  </si>
  <si>
    <t>randallk@internode.on.net</t>
  </si>
  <si>
    <t>Virk</t>
  </si>
  <si>
    <t>Balraj Singh</t>
  </si>
  <si>
    <t>39 Napanje Drive</t>
  </si>
  <si>
    <t>0408 436292</t>
  </si>
  <si>
    <t>virkb@dodo.com.au</t>
  </si>
  <si>
    <t>Hansen</t>
  </si>
  <si>
    <t>Courtney Michelle</t>
  </si>
  <si>
    <t>22 Elliot Crescent</t>
  </si>
  <si>
    <t>0432 979615</t>
  </si>
  <si>
    <t>hansenc@iinet.com.au</t>
  </si>
  <si>
    <t>Carlton</t>
  </si>
  <si>
    <t>Lawrence</t>
  </si>
  <si>
    <t>39 Walsh Way</t>
  </si>
  <si>
    <t>0458 631589</t>
  </si>
  <si>
    <t>carltonl@optusmail.com.au</t>
  </si>
  <si>
    <t>Riordan</t>
  </si>
  <si>
    <t>Brianna Leigh</t>
  </si>
  <si>
    <t>7 Boyd Crescent</t>
  </si>
  <si>
    <t>0477 905619</t>
  </si>
  <si>
    <t>riordanb@tpg.com.au</t>
  </si>
  <si>
    <t>Ottaway</t>
  </si>
  <si>
    <t>Katherine</t>
  </si>
  <si>
    <t>7 Morrison Street</t>
  </si>
  <si>
    <t>0475 522164</t>
  </si>
  <si>
    <t>ottawayk@tpg.com.au</t>
  </si>
  <si>
    <t>Blakeney</t>
  </si>
  <si>
    <t>Hannah</t>
  </si>
  <si>
    <t>31 Sproule Street</t>
  </si>
  <si>
    <t>0401 915892</t>
  </si>
  <si>
    <t>blakeneyh@bigpond.com.au</t>
  </si>
  <si>
    <t>Donaghy</t>
  </si>
  <si>
    <t>Elizabeth Mathilde Jane</t>
  </si>
  <si>
    <t>31 Johnson Boulevard</t>
  </si>
  <si>
    <t>0420 313992</t>
  </si>
  <si>
    <t>donaghye@optusmail.com.au</t>
  </si>
  <si>
    <t>Goodwin</t>
  </si>
  <si>
    <t>Damon Joel</t>
  </si>
  <si>
    <t>40 Powell Boulevard</t>
  </si>
  <si>
    <t>0484 278821</t>
  </si>
  <si>
    <t>goodwind@iprimus.com.au</t>
  </si>
  <si>
    <t>Blair</t>
  </si>
  <si>
    <t>Taylor Ashleigh</t>
  </si>
  <si>
    <t>42 Ward Avenue</t>
  </si>
  <si>
    <t>0467 506917</t>
  </si>
  <si>
    <t>blairt@internode.on.net</t>
  </si>
  <si>
    <t>Smy</t>
  </si>
  <si>
    <t>Corey Alexander</t>
  </si>
  <si>
    <t>47 Lindsay Circuit</t>
  </si>
  <si>
    <t>0411 773593</t>
  </si>
  <si>
    <t>smyc@gmail.com</t>
  </si>
  <si>
    <t>Turner</t>
  </si>
  <si>
    <t>Courtney</t>
  </si>
  <si>
    <t>42 Fearon Avenue</t>
  </si>
  <si>
    <t>0420 104518</t>
  </si>
  <si>
    <t>turnerc@iprimus.com.au</t>
  </si>
  <si>
    <t>Savage</t>
  </si>
  <si>
    <t>Eliza Margaret</t>
  </si>
  <si>
    <t>28 Whisson Crescent</t>
  </si>
  <si>
    <t>0487 738480</t>
  </si>
  <si>
    <t>savagee@iprimus.com.au</t>
  </si>
  <si>
    <t>Schuh</t>
  </si>
  <si>
    <t>Rebecca Anne</t>
  </si>
  <si>
    <t>48 Wilson Court</t>
  </si>
  <si>
    <t>0480 561636</t>
  </si>
  <si>
    <t>schuhr@dodo.com.au</t>
  </si>
  <si>
    <t>Walsh</t>
  </si>
  <si>
    <t>Alana Jane</t>
  </si>
  <si>
    <t>40 Betts Crescent</t>
  </si>
  <si>
    <t>0442 107632</t>
  </si>
  <si>
    <t>walsha@bigpond.com.au</t>
  </si>
  <si>
    <t>Bennett</t>
  </si>
  <si>
    <t>Mikayla Elizabeth</t>
  </si>
  <si>
    <t>35 Khanal Crescent</t>
  </si>
  <si>
    <t>0493 442541</t>
  </si>
  <si>
    <t>bennettm@dodo.com.au</t>
  </si>
  <si>
    <t>McInnes</t>
  </si>
  <si>
    <t>Nina Marie</t>
  </si>
  <si>
    <t>28 Caruss Road</t>
  </si>
  <si>
    <t>0449 933900</t>
  </si>
  <si>
    <t>mcinnesn@tpg.com.au</t>
  </si>
  <si>
    <t>ItemID</t>
  </si>
  <si>
    <t>Type</t>
  </si>
  <si>
    <t xml:space="preserve">Description </t>
  </si>
  <si>
    <t>Size</t>
  </si>
  <si>
    <t>FreightWeight(Kg)</t>
  </si>
  <si>
    <t>SupplierID</t>
  </si>
  <si>
    <t>InStock</t>
  </si>
  <si>
    <t>OnOrder</t>
  </si>
  <si>
    <t>CostPrice(IR)</t>
  </si>
  <si>
    <t>CostPrice(CA)</t>
  </si>
  <si>
    <t>Bobbleheads</t>
  </si>
  <si>
    <t>Doctor Who: Bobblehead: Davros</t>
  </si>
  <si>
    <t>-</t>
  </si>
  <si>
    <t>A50</t>
  </si>
  <si>
    <t>Doctor Who: Bobblehead: Eleventh Doctor</t>
  </si>
  <si>
    <t>A30</t>
  </si>
  <si>
    <t>Doctor Who: Bobblehead: Fourth Doctor</t>
  </si>
  <si>
    <t>A40</t>
  </si>
  <si>
    <t>Doctor Who: Bobblehead: TARDIS (With Sound)</t>
  </si>
  <si>
    <t>Doctor Who: Monitor Mate: 50th Anniversary Original TARDIS</t>
  </si>
  <si>
    <t>A20</t>
  </si>
  <si>
    <t>Clothing and Apparel</t>
  </si>
  <si>
    <t>Doctor Who: 12 Foot Tom Baker Scarf</t>
  </si>
  <si>
    <t>Doctor Who: Dalek Beanie</t>
  </si>
  <si>
    <t>Doctor Who: Fez and Bow Tie</t>
  </si>
  <si>
    <t>Doctor Who: Men's Winter Pyjamas</t>
  </si>
  <si>
    <t>M</t>
  </si>
  <si>
    <t>L</t>
  </si>
  <si>
    <t>A10</t>
  </si>
  <si>
    <t>XL</t>
  </si>
  <si>
    <t>Doctor Who: Tardis Laplander Hat</t>
  </si>
  <si>
    <t xml:space="preserve">Doctor Who: T-Shirts: 4th Doctor Costume </t>
  </si>
  <si>
    <t>S</t>
  </si>
  <si>
    <t xml:space="preserve">Doctor Who: T-Shirts: 5th Doctor Costume </t>
  </si>
  <si>
    <t xml:space="preserve">Doctor Who: T-Shirts: 7th Doctor Costume </t>
  </si>
  <si>
    <t>Doctor Who: Women's Winter Pyjamas</t>
  </si>
  <si>
    <t>Giftware</t>
  </si>
  <si>
    <t>Doctor Who: Adult Watch: TARDIS</t>
  </si>
  <si>
    <t>Doctor Who: Ceramic Cookie Jar: TARDIS</t>
  </si>
  <si>
    <t>Doctor Who: Collectable License Plate: My Other Car Is A TARDIS</t>
  </si>
  <si>
    <t>Doctor Who: Keyring Dalek</t>
  </si>
  <si>
    <t>Doctor Who: Keyring K9</t>
  </si>
  <si>
    <t>Doctor Who: Keyring TARDIS</t>
  </si>
  <si>
    <t>Doctor Who: Salt and Pepper Shakers: TARDIS</t>
  </si>
  <si>
    <t>Doctor Who: Sonic Screwdriver Pen</t>
  </si>
  <si>
    <t>Doctor Who: TARDIS Jewellery Box</t>
  </si>
  <si>
    <t>Doctor Who: Wallpaper: Classic TARDIS Columns</t>
  </si>
  <si>
    <t>Doctor Who: Wallpaper: Classic TARDIS Roundels</t>
  </si>
  <si>
    <t>iPhone Skins</t>
  </si>
  <si>
    <t>Doctor Who: iPhone Skin: Cyberman Delete</t>
  </si>
  <si>
    <t>Doctor Who: iPhone Skin: Dalek To Victory</t>
  </si>
  <si>
    <t>Doctor Who: iPhone Skin: Exploding TARDIS</t>
  </si>
  <si>
    <t>Doctor Who: iPhone Skin: Keep Calm And Don't Blink</t>
  </si>
  <si>
    <t>Doctor Who: iPhone Skin: Keep Calm I'm The Doctor</t>
  </si>
  <si>
    <t>Doctor Who: iPhone Skin: TARDIS Water Colour</t>
  </si>
  <si>
    <t>Mugs</t>
  </si>
  <si>
    <t>Doctor Who: Giant Mug: Logo</t>
  </si>
  <si>
    <t>Doctor Who: Mug: Dalek 2D</t>
  </si>
  <si>
    <t>Doctor Who: Mug: Keep Calm And Don't Blink</t>
  </si>
  <si>
    <t>Doctor Who: Mug: Silver TARDIS</t>
  </si>
  <si>
    <t>Doctor Who: Mug: TARDIS Inside</t>
  </si>
  <si>
    <t>Doctor Who: Mug: TARDIS With Lid</t>
  </si>
  <si>
    <t>Doctor Who: Mug: The Eleventh Doctor</t>
  </si>
  <si>
    <t>Doctor Who: Mug: The Fifth Doctor</t>
  </si>
  <si>
    <t>Doctor Who: Mug: The First Doctor</t>
  </si>
  <si>
    <t>Doctor Who: Mug: The Tenth Doctor</t>
  </si>
  <si>
    <t>Doctor Who: Teapot: Sliver TARDIS</t>
  </si>
  <si>
    <t>Posters, Prints and Standees</t>
  </si>
  <si>
    <t>Doctor Who: 16'x12' Framed Print: Cold War</t>
  </si>
  <si>
    <t>Doctor Who: 16'x12' Framed Print: Exploding TARDIS</t>
  </si>
  <si>
    <t>Doctor Who: 16'x12' Framed Print: Hide</t>
  </si>
  <si>
    <t xml:space="preserve">Doctor Who: 50th Anniversary: Poster: To Victory </t>
  </si>
  <si>
    <t>Doctor Who: Art Print: My Mysterious Doctor</t>
  </si>
  <si>
    <t>Doctor Who: Half Sized Standee: The Master</t>
  </si>
  <si>
    <t>Doctor Who: Half Sized Standee: The TARDIS</t>
  </si>
  <si>
    <t>Doctor Who: Poster: Daleks</t>
  </si>
  <si>
    <t>Doctor Who: Poster: Doctor With Sonic Screwdriver</t>
  </si>
  <si>
    <t>Doctor Who: Poster: Doctor's Enemies</t>
  </si>
  <si>
    <t>Doctor Who: Poster: Ironside Dalek Blueprint</t>
  </si>
  <si>
    <t>Doctor Who: Poster: Metallic TARDIS</t>
  </si>
  <si>
    <t>Doctor Who: Poster: Regenerate</t>
  </si>
  <si>
    <t>Doctor Who: Poster: TARDIS Door Poster</t>
  </si>
  <si>
    <t>Doctor Who: Standee: Supreme Dalek</t>
  </si>
  <si>
    <t>Doctor Who: Standee: The 10th Doctor</t>
  </si>
  <si>
    <t>Props and Replicas</t>
  </si>
  <si>
    <t>Doctor Who: Captain Jack Sonic Blaster</t>
  </si>
  <si>
    <t>Doctor Who: Dalek Death Ray</t>
  </si>
  <si>
    <t>Doctor Who: Eleventh Doctor's Sonic Screwdriver</t>
  </si>
  <si>
    <t>Doctor Who: River Song Squareness Blaster</t>
  </si>
  <si>
    <t>Doctor Who: TARDIS Type 40 Plaque</t>
  </si>
  <si>
    <t>Doctor Who: The Master's Fob Watch</t>
  </si>
  <si>
    <t>Statues and Busts</t>
  </si>
  <si>
    <t>Doctor Who: Helmet: Cyberman Leader</t>
  </si>
  <si>
    <t>Doctor Who: Helmet: Ice Warrior</t>
  </si>
  <si>
    <t>Doctor Who: Helmet: Sontaran Officer Linx</t>
  </si>
  <si>
    <t>Doctor Who: Legends Forever Bust: Jon Pertwee</t>
  </si>
  <si>
    <t>Doctor Who: Legends Forever Bust: Patrick Troughton</t>
  </si>
  <si>
    <t>Doctor Who: Legends Forever Bust: Tom Baker</t>
  </si>
  <si>
    <t>Doctor Who: Legends Forever Bust: William Hartnell</t>
  </si>
  <si>
    <t>Doctor Who: Masterpiece Collection Dalek: Genesis Of The Daleks</t>
  </si>
  <si>
    <t>Doctor Who: Masterpiece Collection Maxi Bust: 10th Doctor</t>
  </si>
  <si>
    <t>Doctor Who: Masterpiece Collection Maxi Bust: 1st Doctor</t>
  </si>
  <si>
    <t>Doctor Who: Masterpiece Collection Maxi Bust: 3rd Doctor</t>
  </si>
  <si>
    <t>Doctor Who: Masterpiece Collection Maxi Bust: 4th Doctor</t>
  </si>
  <si>
    <t>Doctor Who: Masterpiece Collection Maxi Bust: 5th Doctor</t>
  </si>
  <si>
    <t>Doctor Who: Masterpiece Collection Maxi Bust: Amy Pond</t>
  </si>
  <si>
    <t>Doctor Who: Masterpiece Collection Maxi Bust: Dalek: Day Of The Daleks</t>
  </si>
  <si>
    <t>Doctor Who: Masterpiece Collection Maxi Bust: Leela</t>
  </si>
  <si>
    <t>Doctor Who: Masterpiece Collection Maxi Bust: Torchwood Captain Jack Harkness</t>
  </si>
  <si>
    <t>Doctor Who: Mini Bust: Cyberman</t>
  </si>
  <si>
    <t>Doctor Who: Mini Bust: Weeping Angel</t>
  </si>
  <si>
    <t>Doctor Who: Signature Edition Statue: Gallifrey Edition: Matt Smith</t>
  </si>
  <si>
    <t>Doctor Who: Signature Edition Statue: Gallifrey Edition: Patrick Troughton</t>
  </si>
  <si>
    <t>Doctor Who: Signature Edition Statue: Gallifrey Edition: Tom Baker</t>
  </si>
  <si>
    <t>Doctor Who: Statue: Cyber Controller</t>
  </si>
  <si>
    <t>Doctor Who: Statue: Revenge Of The Cybermen Cyberleader</t>
  </si>
  <si>
    <t>Doctor Who: Statue: The Master And Auton</t>
  </si>
  <si>
    <t>Doctor Who: TITANS: The 10th Doctor</t>
  </si>
  <si>
    <t>Doctor Who: TITANS: The 11th Doctor</t>
  </si>
  <si>
    <t>SupplierName</t>
  </si>
  <si>
    <t>Postcode</t>
  </si>
  <si>
    <t>PhoneNum</t>
  </si>
  <si>
    <t>RecommendedMarkUp%</t>
  </si>
  <si>
    <t>Gallifrey International</t>
  </si>
  <si>
    <t>181 Arcadia Street</t>
  </si>
  <si>
    <t>Melbourne</t>
  </si>
  <si>
    <t>(03) 9112 1701</t>
  </si>
  <si>
    <t>Morbius Inc.</t>
  </si>
  <si>
    <t>56 Michael Spice Hwy</t>
  </si>
  <si>
    <t>Sydney</t>
  </si>
  <si>
    <t>(02) 7751 3339</t>
  </si>
  <si>
    <t>Chesterton Enterprises</t>
  </si>
  <si>
    <t>41 William Russell Road</t>
  </si>
  <si>
    <t>(02) 4793 0010</t>
  </si>
  <si>
    <t>Romana Imports</t>
  </si>
  <si>
    <t>17 Lalla Ward Road</t>
  </si>
  <si>
    <t>Brisbane</t>
  </si>
  <si>
    <t>(07) 9455 9133</t>
  </si>
  <si>
    <t>Rassilon Ltd.</t>
  </si>
  <si>
    <t>82 Richard Mathews Road</t>
  </si>
  <si>
    <t>(03) 4793 1258</t>
  </si>
  <si>
    <t>OrderDate</t>
  </si>
  <si>
    <t>DispatchDate</t>
  </si>
  <si>
    <t>OrderQty</t>
  </si>
  <si>
    <t>Dahal</t>
  </si>
  <si>
    <t>Subash</t>
  </si>
  <si>
    <t>Granville</t>
  </si>
  <si>
    <t>121-127 Railway Pde, Granville, NSW 2142</t>
  </si>
  <si>
    <t>u1154285@umail.usq.edu.au</t>
  </si>
  <si>
    <t>0450 357982</t>
  </si>
  <si>
    <t>Index Worksheet</t>
  </si>
  <si>
    <t>File Name:</t>
  </si>
  <si>
    <t>Dahal_Subash_u1154285_CIS5100_Assignment01</t>
  </si>
  <si>
    <t>Author</t>
  </si>
  <si>
    <t xml:space="preserve">Day Created </t>
  </si>
  <si>
    <t xml:space="preserve">SPREADSHEET CONTENTS </t>
  </si>
  <si>
    <t>WORKSHEET</t>
  </si>
  <si>
    <t>DataInput</t>
  </si>
  <si>
    <t>Calculations</t>
  </si>
  <si>
    <t>Report</t>
  </si>
  <si>
    <t>Documentation</t>
  </si>
  <si>
    <t xml:space="preserve">Data Input Worksheet </t>
  </si>
  <si>
    <t xml:space="preserve">Half Year Income </t>
  </si>
  <si>
    <t xml:space="preserve">Total Sales </t>
  </si>
  <si>
    <t xml:space="preserve">Half Year Fixed Expenses </t>
  </si>
  <si>
    <t xml:space="preserve">Total Half Year Fixed Expenses </t>
  </si>
  <si>
    <t xml:space="preserve">Half Year Variable Expenses </t>
  </si>
  <si>
    <t xml:space="preserve">Total Purchases Expenses </t>
  </si>
  <si>
    <t xml:space="preserve">Total Freight Outward Expenses </t>
  </si>
  <si>
    <t xml:space="preserve">Percentage Freight Outwards of Total Sales </t>
  </si>
  <si>
    <t xml:space="preserve">Total Half Year Fixed &amp;Variable Expenses </t>
  </si>
  <si>
    <t xml:space="preserve">Total Profit </t>
  </si>
  <si>
    <t xml:space="preserve">Total Discount for Orders </t>
  </si>
  <si>
    <t xml:space="preserve">Percentage Discount of Total Sales </t>
  </si>
  <si>
    <t xml:space="preserve">No. Orders Discount Applied </t>
  </si>
  <si>
    <t xml:space="preserve">Recommended MarkUp Type </t>
  </si>
  <si>
    <t xml:space="preserve">Recommended Freight Type </t>
  </si>
  <si>
    <t>Store Recommended MarkUp %</t>
  </si>
  <si>
    <t xml:space="preserve">Recommended Exchange Rate Type </t>
  </si>
  <si>
    <t>Half Year Income :</t>
  </si>
  <si>
    <t>Half Year Fixed Expenses :</t>
  </si>
  <si>
    <t xml:space="preserve">Bank Charges </t>
  </si>
  <si>
    <t xml:space="preserve">Electricity Expenses </t>
  </si>
  <si>
    <t xml:space="preserve">Freight Inwards Expenses </t>
  </si>
  <si>
    <t xml:space="preserve">Internet Expenses </t>
  </si>
  <si>
    <t xml:space="preserve">Telephone Expenses </t>
  </si>
  <si>
    <t xml:space="preserve">Wages Expenses </t>
  </si>
  <si>
    <t>Half Year Variable Expenses :</t>
  </si>
  <si>
    <t xml:space="preserve">Total Freight Outwards Expenses </t>
  </si>
  <si>
    <t>Percentage Freight Outwards of Total Sales :</t>
  </si>
  <si>
    <t>Calculations Worksheet</t>
  </si>
  <si>
    <t>Report Worksheet</t>
  </si>
  <si>
    <t>Customer ID</t>
  </si>
  <si>
    <t xml:space="preserve"> Title</t>
  </si>
  <si>
    <t xml:space="preserve"> Family Name</t>
  </si>
  <si>
    <t xml:space="preserve"> Given Names</t>
  </si>
  <si>
    <t xml:space="preserve"> Address</t>
  </si>
  <si>
    <t xml:space="preserve"> City</t>
  </si>
  <si>
    <t xml:space="preserve"> State</t>
  </si>
  <si>
    <t xml:space="preserve"> Postcode</t>
  </si>
  <si>
    <t xml:space="preserve"> Freight Distance (km)</t>
  </si>
  <si>
    <t xml:space="preserve"> Item ID</t>
  </si>
  <si>
    <t xml:space="preserve"> Type</t>
  </si>
  <si>
    <t xml:space="preserve"> Description</t>
  </si>
  <si>
    <t xml:space="preserve"> Size</t>
  </si>
  <si>
    <t xml:space="preserve"> Freight Weight (Kg)</t>
  </si>
  <si>
    <t xml:space="preserve"> Supplier ID</t>
  </si>
  <si>
    <t xml:space="preserve"> Supplier Name</t>
  </si>
  <si>
    <t xml:space="preserve"> Supplier Recommended Markup (%)</t>
  </si>
  <si>
    <t xml:space="preserve"> Order Date</t>
  </si>
  <si>
    <t xml:space="preserve"> Order Qty</t>
  </si>
  <si>
    <t xml:space="preserve"> Cost Price (IR)</t>
  </si>
  <si>
    <t xml:space="preserve"> Cost Price (CA)</t>
  </si>
  <si>
    <t xml:space="preserve"> Cost Price (AU)</t>
  </si>
  <si>
    <t xml:space="preserve"> Selling Price</t>
  </si>
  <si>
    <t xml:space="preserve"> Item Discount</t>
  </si>
  <si>
    <t xml:space="preserve"> Purchases</t>
  </si>
  <si>
    <t xml:space="preserve"> Sales</t>
  </si>
  <si>
    <t xml:space="preserve"> Freight Cost</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</si>
  <si>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</si>
  <si>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</si>
  <si>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</si>
  <si>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</si>
  <si>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</si>
  <si>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</si>
  <si>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</si>
  <si>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</si>
  <si>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</si>
  <si>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</si>
  <si>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</si>
  <si>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</si>
  <si>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</si>
  <si>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</si>
  <si>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</si>
  <si>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</si>
  <si>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</si>
  <si>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</si>
  <si>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</si>
  <si>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</si>
  <si>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</si>
  <si>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</si>
  <si>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</si>
  <si>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</si>
  <si>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</si>
  <si>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</si>
  <si>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</si>
  <si>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</si>
  <si>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Customers Worksheet</t>
  </si>
  <si>
    <t>Changing cells:</t>
  </si>
  <si>
    <t xml:space="preserve">Total Half Year Fixed &amp;  Variable  Expenses </t>
  </si>
  <si>
    <t xml:space="preserve">Total Profit: </t>
  </si>
  <si>
    <t>Total Discount for Orders:</t>
  </si>
  <si>
    <t>Percentage Discount of Total Sales:</t>
  </si>
  <si>
    <t>No.Orders Discount Applied:</t>
  </si>
  <si>
    <t xml:space="preserve">Lethbridge-Stewart Freight </t>
  </si>
  <si>
    <t>IR</t>
  </si>
  <si>
    <t>`</t>
  </si>
  <si>
    <t>Exchange Rate (IR to AU as at  03/31/2023 )</t>
  </si>
  <si>
    <t>Exchange Rate (CA to AU as at 03/31/2023</t>
  </si>
  <si>
    <t>Cost Price (AU)</t>
  </si>
  <si>
    <t>CA</t>
  </si>
  <si>
    <t>Report  TEST Worksheet Cost Price (AU) Nested IF</t>
  </si>
  <si>
    <t>Task 12</t>
  </si>
  <si>
    <t>Task 13</t>
  </si>
  <si>
    <t>Notes for round below</t>
  </si>
  <si>
    <t>Test calculations</t>
  </si>
  <si>
    <t>If</t>
  </si>
  <si>
    <t xml:space="preserve">Storemarkup </t>
  </si>
  <si>
    <t xml:space="preserve">Final Test </t>
  </si>
  <si>
    <t>Store Markup</t>
  </si>
  <si>
    <t>Store Markup tcalculation</t>
  </si>
  <si>
    <t>Final Calcluations</t>
  </si>
  <si>
    <t>Supplier Markup calculation</t>
  </si>
  <si>
    <t>Using round off as well</t>
  </si>
  <si>
    <t>Task 14</t>
  </si>
  <si>
    <t>Tests</t>
  </si>
  <si>
    <t>Task tests</t>
  </si>
  <si>
    <t>IF</t>
  </si>
  <si>
    <t>Item discount formula below:-</t>
  </si>
  <si>
    <t>=</t>
  </si>
  <si>
    <t>Task 15 formulas to calculate Purchases, Sales and Order Discount.</t>
  </si>
  <si>
    <t xml:space="preserve">Purchases </t>
  </si>
  <si>
    <t>Cost Price (AU) x Order Qty</t>
  </si>
  <si>
    <t>Sales</t>
  </si>
  <si>
    <t>(Selling Price – Item Discount) x Order Qty</t>
  </si>
  <si>
    <t xml:space="preserve">Order Discount </t>
  </si>
  <si>
    <t>Item Discount x Order Qty</t>
  </si>
  <si>
    <t xml:space="preserve">Task 16  Formula </t>
  </si>
  <si>
    <t>Check value of Frieght type</t>
  </si>
  <si>
    <t>Tasks</t>
  </si>
  <si>
    <t>Using round</t>
  </si>
  <si>
    <t xml:space="preserve">Davros Transport </t>
  </si>
  <si>
    <t xml:space="preserve">Task 18: Calculations Worksheet Formulas </t>
  </si>
  <si>
    <t>Final</t>
  </si>
  <si>
    <t>Column29</t>
  </si>
  <si>
    <t xml:space="preserve"> Order Discount</t>
  </si>
  <si>
    <t xml:space="preserve">Using Nested if </t>
  </si>
  <si>
    <t>AUD</t>
  </si>
  <si>
    <t>Supplier Markup</t>
  </si>
  <si>
    <t>Davros Transport</t>
  </si>
  <si>
    <t>Scenario 1</t>
  </si>
  <si>
    <t>Scenario 2</t>
  </si>
  <si>
    <t>Scenario 4</t>
  </si>
  <si>
    <t>Scenario 5</t>
  </si>
  <si>
    <t>Scenario 6</t>
  </si>
  <si>
    <t>Scenario 7</t>
  </si>
  <si>
    <t>Scenario 8</t>
  </si>
  <si>
    <t>Scenraio 3</t>
  </si>
  <si>
    <t>FreightType</t>
  </si>
  <si>
    <t>ExchRateType</t>
  </si>
  <si>
    <t>MarkupType</t>
  </si>
  <si>
    <t>Scenario Summary</t>
  </si>
  <si>
    <t>Changing Cells:</t>
  </si>
  <si>
    <t>Current Values:</t>
  </si>
  <si>
    <t>Result Cells:</t>
  </si>
  <si>
    <t>Notes:  Current Values column represents values of changing cells at</t>
  </si>
  <si>
    <t>time Scenario Summary Report was created.  Changing cells for each</t>
  </si>
  <si>
    <t>scenario are highlighted in gray.</t>
  </si>
  <si>
    <t>Scenario check Task 21</t>
  </si>
  <si>
    <t>TotalSales</t>
  </si>
  <si>
    <t>HalfYearExpenses</t>
  </si>
  <si>
    <t>TotalPurchaseExpenses</t>
  </si>
  <si>
    <t>FreightOutwardExpenses</t>
  </si>
  <si>
    <t>PercentageFreightOutward_Sales</t>
  </si>
  <si>
    <t>Fixed_and_Varaible_expenses</t>
  </si>
  <si>
    <t>Total_Profit</t>
  </si>
  <si>
    <t>Total_discount_for_Orders</t>
  </si>
  <si>
    <t>TOtal_sales_discount_Percentage</t>
  </si>
  <si>
    <t>Total_Number_of_Order_discount</t>
  </si>
  <si>
    <t xml:space="preserve">Documentation worksheet </t>
  </si>
  <si>
    <t>Created by Author on 4/12/2023
Modified by Author on 4/18/2023
Modified by Author on 4/18/2023
Modified by Author on 4/18/2023
Modified by Author on 4/21/2023</t>
  </si>
  <si>
    <t>Created by Author on 4/21/2023</t>
  </si>
  <si>
    <t>Scenario next</t>
  </si>
  <si>
    <t>Supplier  Markup</t>
  </si>
  <si>
    <t>Task 23: Visualisation of the DSS Data</t>
  </si>
  <si>
    <t>s</t>
  </si>
  <si>
    <t xml:space="preserve">CHART 1 . Bar chart analysis </t>
  </si>
  <si>
    <t>Chart 2</t>
  </si>
  <si>
    <t>Created by Author on 4/12/2023
Modified by Author on 4/18/2023
Modified by Author on 4/21/2023
Modified by Author on 4/21/2023
Modified by Author on 4/21/2023</t>
  </si>
  <si>
    <t>Created by Author on 4/12/2023
Modified by Author on 4/21/2023</t>
  </si>
  <si>
    <t>Created by Author on 4/12/2023
Modified by Author on 4/12/2023
Modified by Author on 4/21/2023</t>
  </si>
  <si>
    <t>Line Chart Analysis</t>
  </si>
  <si>
    <t xml:space="preserve">Stacked Column Chart </t>
  </si>
  <si>
    <t xml:space="preserve">Waterfall Chart Diagram
</t>
  </si>
  <si>
    <t>DATE LAST REVISED</t>
  </si>
  <si>
    <t>Subash Dahal</t>
  </si>
  <si>
    <t>Chart 3</t>
  </si>
  <si>
    <t>Chart 1</t>
  </si>
  <si>
    <t>S.N</t>
  </si>
  <si>
    <t>Index</t>
  </si>
  <si>
    <t>Customers Table</t>
  </si>
  <si>
    <t>Index!A1</t>
  </si>
  <si>
    <t>DataInput!A1</t>
  </si>
  <si>
    <t>Calculations!A1</t>
  </si>
  <si>
    <t>Report!A1</t>
  </si>
  <si>
    <t>Scenario Summary '!A1</t>
  </si>
  <si>
    <t>Chart 1'!A1</t>
  </si>
  <si>
    <t>Chart 2'!A1</t>
  </si>
  <si>
    <t>Chart 3'!A1</t>
  </si>
  <si>
    <t>CustomersTable!A1</t>
  </si>
  <si>
    <t>ItemsTable!A1</t>
  </si>
  <si>
    <t>OrdersTable!A1</t>
  </si>
  <si>
    <t>SuppliersTable!A1</t>
  </si>
  <si>
    <t>Documentation '!A1</t>
  </si>
  <si>
    <t>RANGE NAMES / Hyperlink</t>
  </si>
  <si>
    <t xml:space="preserve">Scenario summary </t>
  </si>
  <si>
    <t>3/27/2023 to 04/21/2023</t>
  </si>
  <si>
    <t>1) Builders Notes</t>
  </si>
  <si>
    <t>3) Calculations Notes.</t>
  </si>
  <si>
    <t xml:space="preserve">2) User Notes </t>
  </si>
  <si>
    <t>[Who was the Information Systems developed for].</t>
  </si>
  <si>
    <t>List ALL worksheets used in the project]</t>
  </si>
  <si>
    <t>[Insert list of worksheets to be fully protected and explain why]</t>
  </si>
  <si>
    <t>[Insert list of worksheets to be partially protected, what sections specific section(s), and explain why</t>
  </si>
  <si>
    <t>[Insert list of worksheets that do not need to be protected and explain why]</t>
  </si>
  <si>
    <t>VLOOKUP</t>
  </si>
  <si>
    <t>SUM IF :</t>
  </si>
  <si>
    <t>COUNT IF :</t>
  </si>
  <si>
    <t>Name</t>
  </si>
  <si>
    <t>Date Last Modified</t>
  </si>
  <si>
    <t>Microsoft Excel  Version 2016</t>
  </si>
  <si>
    <t>Protecting worksheets is important to prevent accidental or intentional modifications that may affect the accuracy and integrity of the data and calculations. By protecting the worksheets in this list, you can ensure that only authorized users with the password can make changes or view the data, while preventing accidental deletion, overwriting, or unauthorized modifications. Additionally, protecting the worksheets can help maintain the structure and formatting of the workbook, and ensure consistency across different users or devices. The specific actions that users are allowed to perform on the protected sheets can be customized based on the level of access and permission they require.</t>
  </si>
  <si>
    <t>Answers</t>
  </si>
  <si>
    <t>Questions</t>
  </si>
  <si>
    <t>Question</t>
  </si>
  <si>
    <t>The list of worksheets that can be partially protected are :- a) DataInput B) Customers Table, Items Table, Orders Table, and Suppliers Table and C) Documentation</t>
  </si>
  <si>
    <t xml:space="preserve">DataInput: Need to  protect only the formulas or calculations in some cells while allowing users to enter data in other cells. 
Customers Table, Items Table, Orders Table, and Suppliers Table: Need to prevent accidental changes or deletions of important data in these tables while still allowing users to view or edit some cells. 
Documentation: Need to hide or protect some parts of the documentation sheet, such as confidential or sensitive information, while still allowing users to view or edit other parts. </t>
  </si>
  <si>
    <t xml:space="preserve">This report outlines the progress made in the development of a Decision Support System (DSS).The DSS is designed to help the business make informed decisions about sales trends, future courses of action, and potential scenarios related to discounts and free freight delivery. </t>
  </si>
  <si>
    <t>Moslty all of the documents to  be fully protected from the worksheet like                                                   datainput, calculations , report , sceanrio sumamry .</t>
  </si>
  <si>
    <t xml:space="preserve">Index: This worksheet typically contains only links or references to the other worksheets and does not contain any sensitive or critical data.
Scenario Summary: This worksheet usually displays a summary of the scenarios or assumptions used in the calculations .
Chart 1, Chart 2, Chart 3: These worksheets typically contain only the charts or graphs generated from the data.
</t>
  </si>
  <si>
    <t xml:space="preserve">the following worksheets may not require protection: 1. Index:  2. Scenario Summary:  3.Chart 1, Chart 2, Chart 3: </t>
  </si>
  <si>
    <t xml:space="preserve"> The project was developed for  Whovian Pandorica , the business owner, who contracted K-Nine Technologies to develop the DSS.</t>
  </si>
  <si>
    <t>3. Worksheet Protection</t>
  </si>
  <si>
    <r>
      <t>[Name and version of Software]</t>
    </r>
    <r>
      <rPr>
        <sz val="12"/>
        <color rgb="FF1E1E1E"/>
        <rFont val="Calibri"/>
        <family val="2"/>
        <scheme val="minor"/>
      </rPr>
      <t>.</t>
    </r>
  </si>
  <si>
    <r>
      <t>[What is the purpose of developing this Information System] </t>
    </r>
    <r>
      <rPr>
        <sz val="12"/>
        <color rgb="FF333333"/>
        <rFont val="Calibri"/>
        <family val="2"/>
        <scheme val="minor"/>
      </rPr>
      <t>and </t>
    </r>
  </si>
  <si>
    <r>
      <t>[Provide a brief statement of each Formulas and Functions used on each worksheet]</t>
    </r>
    <r>
      <rPr>
        <sz val="12"/>
        <color rgb="FF1E1E1E"/>
        <rFont val="Calibri"/>
        <family val="2"/>
        <scheme val="minor"/>
      </rPr>
      <t>.</t>
    </r>
  </si>
  <si>
    <r>
      <t>VLOOKUP stands for Vertical Lookup. As the name specifies, VLOOKUP is </t>
    </r>
    <r>
      <rPr>
        <sz val="15"/>
        <color rgb="FF040C28"/>
        <rFont val="Calibri"/>
        <family val="2"/>
        <scheme val="minor"/>
      </rPr>
      <t>a built-in Excel function</t>
    </r>
    <r>
      <rPr>
        <sz val="15"/>
        <color rgb="FF202124"/>
        <rFont val="Calibri"/>
        <family val="2"/>
        <scheme val="minor"/>
      </rPr>
      <t> that helps you look for a specified value by searching for it vertically across the sheet.</t>
    </r>
  </si>
  <si>
    <r>
      <t>SUM</t>
    </r>
    <r>
      <rPr>
        <sz val="11"/>
        <color theme="1"/>
        <rFont val="Calibri"/>
        <family val="2"/>
        <scheme val="minor"/>
      </rPr>
      <t>: Used to sum up financial data from different sources to create an overall financial picture for the business.</t>
    </r>
    <r>
      <rPr>
        <sz val="15"/>
        <color rgb="FF040C28"/>
        <rFont val="Calibri"/>
        <family val="2"/>
        <scheme val="minor"/>
      </rPr>
      <t xml:space="preserve"> </t>
    </r>
    <r>
      <rPr>
        <sz val="11"/>
        <color theme="1"/>
        <rFont val="Calibri"/>
        <family val="2"/>
        <scheme val="minor"/>
      </rPr>
      <t>The SUM function adds values. You can add individual values, cell references or ranges or a mix of all three.</t>
    </r>
  </si>
  <si>
    <r>
      <t>The SUMIF function is </t>
    </r>
    <r>
      <rPr>
        <sz val="15"/>
        <color rgb="FF040C28"/>
        <rFont val="Calibri"/>
        <family val="2"/>
        <scheme val="minor"/>
      </rPr>
      <t>a premade function</t>
    </r>
    <r>
      <rPr>
        <sz val="15"/>
        <color rgb="FF202124"/>
        <rFont val="Calibri"/>
        <family val="2"/>
        <scheme val="minor"/>
      </rPr>
      <t> in Excel, which calculates the sum of values in a range based on a true or false condition. </t>
    </r>
  </si>
  <si>
    <r>
      <t>The COUNTIF function is </t>
    </r>
    <r>
      <rPr>
        <sz val="15"/>
        <color rgb="FF040C28"/>
        <rFont val="Calibri"/>
        <family val="2"/>
        <scheme val="minor"/>
      </rPr>
      <t>a premade function</t>
    </r>
    <r>
      <rPr>
        <sz val="15"/>
        <color rgb="FF202124"/>
        <rFont val="Calibri"/>
        <family val="2"/>
        <scheme val="minor"/>
      </rPr>
      <t> in Excel, which counts cells as specified. </t>
    </r>
  </si>
  <si>
    <r>
      <t>Nested IF:-</t>
    </r>
    <r>
      <rPr>
        <sz val="15"/>
        <color rgb="FF202124"/>
        <rFont val="Calibri"/>
        <family val="2"/>
        <scheme val="minor"/>
      </rPr>
      <t xml:space="preserve"> Nested IF functions, meaning </t>
    </r>
    <r>
      <rPr>
        <sz val="15"/>
        <color rgb="FF040C28"/>
        <rFont val="Calibri"/>
        <family val="2"/>
        <scheme val="minor"/>
      </rPr>
      <t>one IF function inside of another</t>
    </r>
    <r>
      <rPr>
        <sz val="15"/>
        <color rgb="FF202124"/>
        <rFont val="Calibri"/>
        <family val="2"/>
        <scheme val="minor"/>
      </rPr>
      <t>, allows you to test multiple criteria and increases the number of possible outcomes.</t>
    </r>
  </si>
  <si>
    <r>
      <t>Various other simple formulas like SUM, COUNT , AVERAGE,</t>
    </r>
    <r>
      <rPr>
        <sz val="11"/>
        <color rgb="FF202124"/>
        <rFont val="Calibri"/>
        <family val="2"/>
        <scheme val="minor"/>
      </rPr>
      <t xml:space="preserve"> and CONCATENATE</t>
    </r>
    <r>
      <rPr>
        <sz val="11"/>
        <color theme="1"/>
        <rFont val="Calibri"/>
        <family val="2"/>
        <scheme val="minor"/>
      </rPr>
      <t xml:space="preserve"> has also been also used during the worksheet calculations .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</si>
</sst>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8" formatCode="&quot;$&quot;#,##0.00_);[Red]\(&quot;$&quot;#,##0.00\)"/>
  </numFmts>
  <fonts count="21" x14ac:knownFonts="1">
    <font>
      <sz val="11"/>
      <color theme="1"/>
      <name val="Calibri"/>
      <family val="2"/>
      <scheme val="minor"/>
    </font>
    <font>
      <sz val="11"/>
      <color rgb="FFFF0000"/>
      <name val="Calibri"/>
      <family val="2"/>
      <scheme val="minor"/>
    </font>
    <font>
      <b/>
      <sz val="11"/>
      <color rgb="FFFF0000"/>
      <name val="Calibri"/>
      <family val="2"/>
      <scheme val="minor"/>
    </font>
    <font>
      <u/>
      <sz val="11"/>
      <color theme="10"/>
      <name val="Calibri"/>
      <family val="2"/>
      <scheme val="minor"/>
    </font>
    <font>
      <sz val="11"/>
      <color theme="1"/>
      <name val="Calibri"/>
      <scheme val="minor"/>
    </font>
    <font>
      <b/>
      <u/>
      <sz val="14"/>
      <color theme="1"/>
      <name val="Calibri"/>
      <family val="2"/>
      <scheme val="minor"/>
    </font>
    <font>
      <b/>
      <sz val="11"/>
      <color theme="1"/>
      <name val="Calibri"/>
      <family val="2"/>
      <scheme val="minor"/>
    </font>
    <font>
      <b/>
      <u/>
      <sz val="11"/>
      <color theme="1"/>
      <name val="Calibri"/>
      <family val="2"/>
      <scheme val="minor"/>
    </font>
    <font>
      <sz val="10"/>
      <color indexed="9"/>
      <name val="Calibri"/>
      <family val="2"/>
      <scheme val="minor"/>
    </font>
    <font>
      <sz val="8"/>
      <color theme="1"/>
      <name val="Calibri"/>
      <family val="2"/>
      <scheme val="minor"/>
    </font>
    <font>
      <b/>
      <sz val="12"/>
      <color indexed="9"/>
      <name val="Calibri"/>
      <family val="2"/>
      <scheme val="minor"/>
    </font>
    <font>
      <b/>
      <sz val="11"/>
      <color indexed="8"/>
      <name val="Calibri"/>
      <family val="2"/>
      <scheme val="minor"/>
    </font>
    <font>
      <b/>
      <sz val="11"/>
      <color indexed="18"/>
      <name val="Calibri"/>
      <family val="2"/>
      <scheme val="minor"/>
    </font>
    <font>
      <sz val="11"/>
      <color theme="1"/>
      <name val="Calibri"/>
      <family val="2"/>
      <scheme val="minor"/>
    </font>
    <font>
      <b/>
      <sz val="12"/>
      <color rgb="FF1E1E1E"/>
      <name val="Calibri"/>
      <family val="2"/>
      <scheme val="minor"/>
    </font>
    <font>
      <sz val="12"/>
      <color rgb="FF1E1E1E"/>
      <name val="Calibri"/>
      <family val="2"/>
      <scheme val="minor"/>
    </font>
    <font>
      <i/>
      <sz val="12"/>
      <color rgb="FFEF4540"/>
      <name val="Calibri"/>
      <family val="2"/>
      <scheme val="minor"/>
    </font>
    <font>
      <sz val="12"/>
      <color rgb="FF333333"/>
      <name val="Calibri"/>
      <family val="2"/>
      <scheme val="minor"/>
    </font>
    <font>
      <sz val="15"/>
      <color rgb="FF202124"/>
      <name val="Calibri"/>
      <family val="2"/>
      <scheme val="minor"/>
    </font>
    <font>
      <sz val="15"/>
      <color rgb="FF040C28"/>
      <name val="Calibri"/>
      <family val="2"/>
      <scheme val="minor"/>
    </font>
    <font>
      <sz val="11"/>
      <color rgb="FF202124"/>
      <name val="Calibri"/>
      <family val="2"/>
      <scheme val="minor"/>
    </font>
  </fonts>
  <fills count="21">
    <fill>
      <patternFill patternType="none"/>
    </fill>
    <fill>
      <patternFill patternType="gray125"/>
    </fill>
    <fill>
      <patternFill patternType="solid">
        <fgColor theme="0"/>
        <bgColor indexed="64"/>
      </patternFill>
    </fill>
    <fill>
      <patternFill patternType="solid">
        <fgColor indexed="20"/>
        <bgColor indexed="24"/>
      </patternFill>
    </fill>
    <fill>
      <patternFill patternType="solid">
        <fgColor indexed="22"/>
        <bgColor indexed="24"/>
      </patternFill>
    </fill>
    <fill>
      <patternFill patternType="solid">
        <fgColor indexed="22"/>
        <bgColor indexed="7"/>
      </patternFill>
    </fill>
    <fill>
      <patternFill patternType="solid">
        <fgColor theme="9"/>
        <bgColor indexed="24"/>
      </patternFill>
    </fill>
    <fill>
      <patternFill patternType="solid">
        <fgColor theme="4"/>
        <bgColor indexed="24"/>
      </patternFill>
    </fill>
    <fill>
      <patternFill patternType="solid">
        <fgColor theme="9"/>
        <bgColor indexed="64"/>
      </patternFill>
    </fill>
    <fill>
      <patternFill patternType="solid">
        <fgColor theme="9"/>
        <bgColor indexed="7"/>
      </patternFill>
    </fill>
    <fill>
      <patternFill patternType="solid">
        <fgColor theme="4"/>
        <bgColor indexed="64"/>
      </patternFill>
    </fill>
    <fill>
      <patternFill patternType="solid">
        <fgColor theme="4"/>
        <bgColor indexed="7"/>
      </patternFill>
    </fill>
    <fill>
      <patternFill patternType="solid">
        <fgColor theme="7"/>
        <bgColor indexed="24"/>
      </patternFill>
    </fill>
    <fill>
      <patternFill patternType="solid">
        <fgColor theme="7"/>
        <bgColor indexed="64"/>
      </patternFill>
    </fill>
    <fill>
      <patternFill patternType="solid">
        <fgColor theme="7"/>
        <bgColor indexed="7"/>
      </patternFill>
    </fill>
    <fill>
      <patternFill patternType="solid">
        <fgColor theme="5"/>
        <bgColor indexed="24"/>
      </patternFill>
    </fill>
    <fill>
      <patternFill patternType="solid">
        <fgColor theme="5"/>
        <bgColor indexed="64"/>
      </patternFill>
    </fill>
    <fill>
      <patternFill patternType="solid">
        <fgColor theme="5"/>
        <bgColor indexed="7"/>
      </patternFill>
    </fill>
    <fill>
      <patternFill patternType="solid">
        <fgColor rgb="FFFF0000"/>
        <bgColor indexed="24"/>
      </patternFill>
    </fill>
    <fill>
      <patternFill patternType="solid">
        <fgColor rgb="FFFF0000"/>
        <bgColor indexed="64"/>
      </patternFill>
    </fill>
    <fill>
      <patternFill patternType="solid">
        <fgColor rgb="FFFF0000"/>
        <bgColor indexed="7"/>
      </patternFill>
    </fill>
  </fills>
  <borders count="14">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
      <left/>
      <right/>
      <top style="medium">
        <color indexed="64"/>
      </top>
      <bottom/>
      <diagonal/>
    </border>
    <border>
      <left/>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13">
    <xf numFmtId="0" fontId="0" fillId="0" borderId="0" xfId="0"/>
    <xf numFmtId="0" fontId="2" fillId="0" borderId="0" xfId="0" applyFont="1"/>
    <xf numFmtId="0" fontId="1" fillId="0" borderId="0" xfId="0" applyFont="1"/>
    <xf numFmtId="14"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3" fillId="0" borderId="0" xfId="1"/>
    <xf numFmtId="0" fontId="0" fillId="0" borderId="0" xfId="0" applyFont="1"/>
    <xf numFmtId="0" fontId="0" fillId="0" borderId="0" xfId="0"/>
    <xf numFmtId="0" fontId="0" fillId="0" borderId="0" xfId="0" applyFont="1" applyAlignment="1">
      <alignment horizontal="justify" vertical="center"/>
    </xf>
    <xf numFmtId="0" fontId="0" fillId="0" borderId="0" xfId="0" applyBorder="1"/>
    <xf numFmtId="0" fontId="0" fillId="0" borderId="1" xfId="0" applyFill="1" applyBorder="1"/>
    <xf numFmtId="0" fontId="4" fillId="0" borderId="0" xfId="0" applyFont="1" applyAlignment="1">
      <alignment horizontal="justify" vertical="center"/>
    </xf>
    <xf numFmtId="0" fontId="1" fillId="0" borderId="1" xfId="0" applyFont="1" applyBorder="1"/>
    <xf numFmtId="0" fontId="0" fillId="2" borderId="1" xfId="0" applyFill="1" applyBorder="1"/>
    <xf numFmtId="0" fontId="6" fillId="0" borderId="1" xfId="0" applyFont="1" applyBorder="1"/>
    <xf numFmtId="0" fontId="6" fillId="0" borderId="0" xfId="0" applyFont="1"/>
    <xf numFmtId="0" fontId="6" fillId="2" borderId="1" xfId="0" applyFont="1" applyFill="1" applyBorder="1"/>
    <xf numFmtId="0" fontId="6" fillId="0" borderId="1" xfId="0" applyFont="1" applyBorder="1" applyAlignment="1">
      <alignment horizontal="left" vertical="top"/>
    </xf>
    <xf numFmtId="0" fontId="0" fillId="0" borderId="0" xfId="0" applyAlignment="1">
      <alignment wrapText="1"/>
    </xf>
    <xf numFmtId="0" fontId="6" fillId="0" borderId="1" xfId="0" applyFont="1" applyBorder="1" applyAlignment="1">
      <alignment horizontal="center" wrapText="1"/>
    </xf>
    <xf numFmtId="0" fontId="0" fillId="0" borderId="1" xfId="0" applyBorder="1" applyAlignment="1">
      <alignment wrapText="1"/>
    </xf>
    <xf numFmtId="0" fontId="6" fillId="0" borderId="0" xfId="0" applyFont="1" applyAlignment="1">
      <alignment wrapText="1"/>
    </xf>
    <xf numFmtId="10" fontId="0" fillId="0" borderId="0" xfId="0" applyNumberFormat="1"/>
    <xf numFmtId="0" fontId="0" fillId="0" borderId="0" xfId="0" applyAlignment="1">
      <alignment horizontal="left"/>
    </xf>
    <xf numFmtId="0" fontId="0" fillId="0" borderId="0" xfId="0" applyAlignment="1">
      <alignment horizontal="right"/>
    </xf>
    <xf numFmtId="0" fontId="7" fillId="0" borderId="0" xfId="0" applyFont="1"/>
    <xf numFmtId="0" fontId="0" fillId="0" borderId="11" xfId="0" applyFill="1" applyBorder="1"/>
    <xf numFmtId="0" fontId="1" fillId="0" borderId="1" xfId="0" applyFont="1" applyBorder="1" applyAlignment="1">
      <alignment horizontal="right"/>
    </xf>
    <xf numFmtId="0" fontId="0" fillId="0" borderId="0" xfId="0" applyFill="1" applyBorder="1" applyAlignment="1"/>
    <xf numFmtId="0" fontId="0" fillId="0" borderId="13" xfId="0" applyFill="1" applyBorder="1" applyAlignment="1"/>
    <xf numFmtId="0" fontId="8" fillId="3" borderId="12" xfId="0" applyFont="1" applyFill="1" applyBorder="1" applyAlignment="1">
      <alignment horizontal="right"/>
    </xf>
    <xf numFmtId="0" fontId="8" fillId="3" borderId="10" xfId="0" applyFont="1" applyFill="1" applyBorder="1" applyAlignment="1">
      <alignment horizontal="right"/>
    </xf>
    <xf numFmtId="0" fontId="0" fillId="5" borderId="0" xfId="0" applyFill="1" applyBorder="1" applyAlignment="1"/>
    <xf numFmtId="0" fontId="9" fillId="0" borderId="0" xfId="0" applyFont="1" applyFill="1" applyBorder="1" applyAlignment="1">
      <alignment vertical="top" wrapText="1"/>
    </xf>
    <xf numFmtId="0" fontId="0" fillId="2" borderId="1" xfId="0" applyFill="1" applyBorder="1" applyAlignment="1">
      <alignment horizontal="right"/>
    </xf>
    <xf numFmtId="0" fontId="0" fillId="0" borderId="1" xfId="0" applyBorder="1" applyAlignment="1">
      <alignment horizontal="right"/>
    </xf>
    <xf numFmtId="8" fontId="0" fillId="2" borderId="1" xfId="0" applyNumberFormat="1" applyFill="1" applyBorder="1" applyAlignment="1">
      <alignment horizontal="right"/>
    </xf>
    <xf numFmtId="8" fontId="0" fillId="0" borderId="0" xfId="0" applyNumberFormat="1" applyFill="1" applyBorder="1" applyAlignment="1"/>
    <xf numFmtId="8" fontId="0" fillId="5" borderId="0" xfId="0" applyNumberFormat="1" applyFill="1" applyBorder="1" applyAlignment="1"/>
    <xf numFmtId="8" fontId="0" fillId="0" borderId="1" xfId="0" applyNumberFormat="1" applyBorder="1" applyAlignment="1">
      <alignment horizontal="right"/>
    </xf>
    <xf numFmtId="0" fontId="0" fillId="2" borderId="0" xfId="0" applyFill="1" applyBorder="1" applyAlignment="1">
      <alignment horizontal="right"/>
    </xf>
    <xf numFmtId="0" fontId="0" fillId="8" borderId="0" xfId="0" applyFill="1" applyBorder="1" applyAlignment="1"/>
    <xf numFmtId="0" fontId="0" fillId="9" borderId="0" xfId="0" applyFill="1" applyBorder="1" applyAlignment="1"/>
    <xf numFmtId="0" fontId="10" fillId="3" borderId="10" xfId="0" applyFont="1" applyFill="1" applyBorder="1" applyAlignment="1">
      <alignment horizontal="left"/>
    </xf>
    <xf numFmtId="0" fontId="10" fillId="3" borderId="12" xfId="0" applyFont="1" applyFill="1" applyBorder="1" applyAlignment="1">
      <alignment horizontal="left"/>
    </xf>
    <xf numFmtId="0" fontId="11" fillId="4" borderId="0" xfId="0" applyFont="1" applyFill="1" applyBorder="1" applyAlignment="1">
      <alignment horizontal="left"/>
    </xf>
    <xf numFmtId="0" fontId="12" fillId="4" borderId="13" xfId="0" applyFont="1" applyFill="1" applyBorder="1" applyAlignment="1">
      <alignment horizontal="left"/>
    </xf>
    <xf numFmtId="10" fontId="1" fillId="0" borderId="1" xfId="0" applyNumberFormat="1" applyFont="1" applyBorder="1" applyAlignment="1">
      <alignment horizontal="right"/>
    </xf>
    <xf numFmtId="8" fontId="1" fillId="0" borderId="1" xfId="0" applyNumberFormat="1" applyFont="1" applyBorder="1" applyAlignment="1">
      <alignment horizontal="right"/>
    </xf>
    <xf numFmtId="10" fontId="0" fillId="0" borderId="1" xfId="0" applyNumberFormat="1" applyBorder="1" applyAlignment="1">
      <alignment horizontal="right"/>
    </xf>
    <xf numFmtId="10" fontId="0" fillId="0" borderId="0" xfId="0" applyNumberFormat="1" applyFill="1" applyBorder="1" applyAlignment="1"/>
    <xf numFmtId="10" fontId="0" fillId="5" borderId="0" xfId="0" applyNumberFormat="1" applyFill="1" applyBorder="1" applyAlignment="1"/>
    <xf numFmtId="0" fontId="11" fillId="12" borderId="0" xfId="0" applyFont="1" applyFill="1" applyBorder="1" applyAlignment="1">
      <alignment horizontal="left"/>
    </xf>
    <xf numFmtId="0" fontId="0" fillId="13" borderId="0" xfId="0" applyFill="1" applyBorder="1" applyAlignment="1"/>
    <xf numFmtId="0" fontId="0" fillId="14" borderId="0" xfId="0" applyFill="1" applyBorder="1" applyAlignment="1"/>
    <xf numFmtId="0" fontId="11" fillId="6" borderId="0" xfId="0" applyFont="1" applyFill="1" applyBorder="1" applyAlignment="1">
      <alignment horizontal="left"/>
    </xf>
    <xf numFmtId="0" fontId="11" fillId="7" borderId="0" xfId="0" applyFont="1" applyFill="1" applyBorder="1" applyAlignment="1">
      <alignment horizontal="left"/>
    </xf>
    <xf numFmtId="8" fontId="0" fillId="10" borderId="0" xfId="0" applyNumberFormat="1" applyFill="1" applyBorder="1" applyAlignment="1"/>
    <xf numFmtId="8" fontId="0" fillId="11" borderId="0" xfId="0" applyNumberFormat="1" applyFill="1" applyBorder="1" applyAlignment="1"/>
    <xf numFmtId="0" fontId="11" fillId="15" borderId="0" xfId="0" applyFont="1" applyFill="1" applyBorder="1" applyAlignment="1">
      <alignment horizontal="left"/>
    </xf>
    <xf numFmtId="0" fontId="11" fillId="18" borderId="0" xfId="0" applyFont="1" applyFill="1" applyBorder="1" applyAlignment="1">
      <alignment horizontal="left"/>
    </xf>
    <xf numFmtId="10" fontId="0" fillId="19" borderId="0" xfId="0" applyNumberFormat="1" applyFill="1" applyBorder="1" applyAlignment="1"/>
    <xf numFmtId="10" fontId="0" fillId="20" borderId="0" xfId="0" applyNumberFormat="1" applyFill="1" applyBorder="1" applyAlignment="1"/>
    <xf numFmtId="0" fontId="0" fillId="16" borderId="0" xfId="0" applyFill="1" applyBorder="1" applyAlignment="1"/>
    <xf numFmtId="0" fontId="0" fillId="17" borderId="0" xfId="0" applyFill="1" applyBorder="1" applyAlignment="1"/>
    <xf numFmtId="0" fontId="6" fillId="0" borderId="0" xfId="0" applyFont="1" applyAlignment="1">
      <alignment vertical="top"/>
    </xf>
    <xf numFmtId="0" fontId="6" fillId="0" borderId="0" xfId="0" applyFont="1" applyAlignment="1">
      <alignment vertical="top" wrapText="1"/>
    </xf>
    <xf numFmtId="0" fontId="3" fillId="0" borderId="1" xfId="1" applyBorder="1"/>
    <xf numFmtId="0" fontId="3" fillId="0" borderId="1" xfId="1" quotePrefix="1" applyBorder="1"/>
    <xf numFmtId="0" fontId="3" fillId="0" borderId="1" xfId="1" quotePrefix="1" applyFill="1" applyBorder="1"/>
    <xf numFmtId="0" fontId="0" fillId="0" borderId="1" xfId="0" applyBorder="1" applyAlignment="1">
      <alignment horizontal="left"/>
    </xf>
    <xf numFmtId="14" fontId="0" fillId="0" borderId="1" xfId="0" applyNumberFormat="1" applyBorder="1" applyAlignment="1">
      <alignment horizontal="left"/>
    </xf>
    <xf numFmtId="0" fontId="6" fillId="0" borderId="10" xfId="0" applyFont="1" applyBorder="1" applyAlignment="1">
      <alignment horizontal="left"/>
    </xf>
    <xf numFmtId="0" fontId="6" fillId="0" borderId="3" xfId="0" applyFont="1" applyBorder="1" applyAlignment="1">
      <alignment horizontal="left"/>
    </xf>
    <xf numFmtId="0" fontId="6" fillId="0" borderId="2" xfId="0" applyFont="1" applyBorder="1" applyAlignment="1">
      <alignment horizontal="left"/>
    </xf>
    <xf numFmtId="0" fontId="6" fillId="0" borderId="3" xfId="0" applyFont="1" applyBorder="1" applyAlignment="1">
      <alignment horizontal="left" vertical="top"/>
    </xf>
    <xf numFmtId="0" fontId="6" fillId="0" borderId="2" xfId="0" applyFont="1" applyBorder="1" applyAlignment="1">
      <alignment horizontal="left" vertical="top"/>
    </xf>
    <xf numFmtId="0" fontId="6" fillId="2" borderId="3" xfId="0" applyFont="1" applyFill="1" applyBorder="1" applyAlignment="1">
      <alignment horizontal="left"/>
    </xf>
    <xf numFmtId="0" fontId="6" fillId="2" borderId="2" xfId="0" applyFont="1" applyFill="1" applyBorder="1" applyAlignment="1">
      <alignment horizontal="left"/>
    </xf>
    <xf numFmtId="0" fontId="5" fillId="0" borderId="0" xfId="0" applyFont="1" applyAlignment="1">
      <alignment horizontal="center"/>
    </xf>
    <xf numFmtId="0" fontId="0" fillId="0" borderId="0" xfId="0" applyFont="1" applyAlignment="1">
      <alignment vertical="center"/>
    </xf>
    <xf numFmtId="0" fontId="0" fillId="0" borderId="1" xfId="0" applyFont="1" applyBorder="1"/>
    <xf numFmtId="14" fontId="0" fillId="0" borderId="1" xfId="0" applyNumberFormat="1" applyFont="1" applyBorder="1" applyAlignment="1">
      <alignment horizontal="left" vertical="top"/>
    </xf>
    <xf numFmtId="0" fontId="3" fillId="0" borderId="1" xfId="1" applyFont="1" applyBorder="1"/>
    <xf numFmtId="0" fontId="3" fillId="0" borderId="1" xfId="1" quotePrefix="1" applyFont="1" applyBorder="1"/>
    <xf numFmtId="0" fontId="0" fillId="0" borderId="1" xfId="0" applyFont="1" applyFill="1" applyBorder="1"/>
    <xf numFmtId="0" fontId="3" fillId="0" borderId="1" xfId="1" quotePrefix="1" applyFont="1" applyFill="1" applyBorder="1"/>
    <xf numFmtId="0" fontId="0" fillId="0" borderId="0" xfId="0" applyFont="1" applyBorder="1"/>
    <xf numFmtId="0" fontId="0" fillId="0" borderId="0" xfId="0" applyFont="1" applyFill="1" applyBorder="1"/>
    <xf numFmtId="0" fontId="3" fillId="0" borderId="0" xfId="1" quotePrefix="1" applyFont="1" applyBorder="1"/>
    <xf numFmtId="0" fontId="0" fillId="0" borderId="1" xfId="0" applyFont="1" applyBorder="1" applyAlignment="1">
      <alignment horizontal="center"/>
    </xf>
    <xf numFmtId="0" fontId="0" fillId="0" borderId="1" xfId="0" applyFont="1" applyBorder="1" applyAlignment="1">
      <alignment vertical="top" wrapText="1"/>
    </xf>
    <xf numFmtId="0" fontId="0" fillId="0" borderId="1" xfId="0" applyFont="1" applyBorder="1" applyAlignment="1">
      <alignment wrapText="1"/>
    </xf>
    <xf numFmtId="0" fontId="0" fillId="0" borderId="1" xfId="0" applyFont="1" applyBorder="1" applyAlignment="1">
      <alignment horizontal="left" vertical="top" wrapText="1"/>
    </xf>
    <xf numFmtId="0" fontId="14" fillId="0" borderId="0" xfId="0" applyFont="1"/>
    <xf numFmtId="0" fontId="15" fillId="0" borderId="1" xfId="0" applyFont="1" applyBorder="1"/>
    <xf numFmtId="0" fontId="16" fillId="0" borderId="1" xfId="0" applyFont="1" applyBorder="1"/>
    <xf numFmtId="0" fontId="16" fillId="0" borderId="1" xfId="0" applyFont="1" applyBorder="1" applyAlignment="1">
      <alignment horizontal="left" vertical="center" wrapText="1" indent="1"/>
    </xf>
    <xf numFmtId="0" fontId="0" fillId="0" borderId="1" xfId="0" applyFont="1" applyBorder="1" applyAlignment="1">
      <alignment vertical="center" wrapText="1"/>
    </xf>
    <xf numFmtId="0" fontId="16" fillId="0" borderId="0" xfId="0" applyFont="1"/>
    <xf numFmtId="0" fontId="16" fillId="0" borderId="1" xfId="0" applyFont="1" applyBorder="1" applyAlignment="1">
      <alignment wrapText="1"/>
    </xf>
    <xf numFmtId="0" fontId="16" fillId="0" borderId="0" xfId="0" applyFont="1" applyAlignment="1">
      <alignment horizontal="left" vertical="center" wrapText="1" indent="1"/>
    </xf>
    <xf numFmtId="0" fontId="6" fillId="0" borderId="1" xfId="0" applyFont="1" applyBorder="1" applyAlignment="1">
      <alignment vertical="center"/>
    </xf>
    <xf numFmtId="0" fontId="18" fillId="0" borderId="1" xfId="0" applyFont="1" applyBorder="1" applyAlignment="1">
      <alignment vertical="center" wrapText="1"/>
    </xf>
    <xf numFmtId="0" fontId="6" fillId="0" borderId="1" xfId="0" applyFont="1" applyBorder="1" applyAlignment="1">
      <alignment vertical="center" wrapText="1"/>
    </xf>
  </cellXfs>
  <cellStyles count="2">
    <cellStyle name="Hyperlink" xfId="1" builtinId="8"/>
    <cellStyle name="Normal" xfId="0" builtinId="0"/>
  </cellStyles>
  <dxfs count="19">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64" formatCode="d/mm/yyyy"/>
    </dxf>
    <dxf>
      <numFmt numFmtId="164" formatCode="d/mm/yyyy"/>
    </dxf>
    <dxf>
      <numFmt numFmtId="164" formatCode="d/mm/yyyy"/>
    </dxf>
    <dxf>
      <alignment horizontal="right" vertical="bottom" textRotation="0" wrapText="0" indent="0" justifyLastLine="0" shrinkToFit="0" readingOrder="0"/>
    </dxf>
    <dxf>
      <numFmt numFmtId="19" formatCode="m/d/yyyy"/>
    </dxf>
    <dxf>
      <font>
        <b val="0"/>
        <i val="0"/>
        <strike val="0"/>
        <condense val="0"/>
        <extend val="0"/>
        <outline val="0"/>
        <shadow val="0"/>
        <u val="none"/>
        <vertAlign val="baseline"/>
        <sz val="11"/>
        <color theme="1"/>
        <name val="Calibri"/>
        <scheme val="minor"/>
      </font>
      <alignment horizontal="justify" vertical="center" textRotation="0" wrapText="0" indent="0" justifyLastLine="0" shrinkToFit="0" readingOrder="0"/>
    </dxf>
    <dxf>
      <font>
        <b val="0"/>
        <i val="0"/>
        <strike val="0"/>
        <condense val="0"/>
        <extend val="0"/>
        <outline val="0"/>
        <shadow val="0"/>
        <u val="none"/>
        <vertAlign val="baseline"/>
        <sz val="11"/>
        <color theme="1"/>
        <name val="Calibri"/>
        <scheme val="minor"/>
      </font>
      <alignment horizontal="justify"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Line chart Diagram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'Scenario Summary '!$D$2:$D$8</c:f>
              <c:strCache>
                <c:ptCount val="7"/>
                <c:pt idx="0">
                  <c:v>Scenario Summary</c:v>
                </c:pt>
                <c:pt idx="1">
                  <c:v>Current Values:</c:v>
                </c:pt>
                <c:pt idx="3">
                  <c:v>Changing Cells:</c:v>
                </c:pt>
                <c:pt idx="4">
                  <c:v>IR</c:v>
                </c:pt>
                <c:pt idx="5">
                  <c:v>Store Markup</c:v>
                </c:pt>
                <c:pt idx="6">
                  <c:v>Lethbridge-Stewart Freight </c:v>
                </c:pt>
              </c:strCache>
            </c:strRef>
          </c:tx>
          <c:spPr>
            <a:ln w="28575" cap="rnd">
              <a:solidFill>
                <a:schemeClr val="accent1"/>
              </a:solidFill>
              <a:round/>
            </a:ln>
            <a:effectLst/>
          </c:spPr>
          <c:marker>
            <c:symbol val="none"/>
          </c:marker>
          <c:cat>
            <c:strRef>
              <c:f>'Scenario Summary '!$B$9:$C$18</c:f>
              <c:strCache>
                <c:ptCount val="10"/>
                <c:pt idx="0">
                  <c:v>TotalSales</c:v>
                </c:pt>
                <c:pt idx="1">
                  <c:v>HalfYearExpenses</c:v>
                </c:pt>
                <c:pt idx="2">
                  <c:v>TotalPurchaseExpenses</c:v>
                </c:pt>
                <c:pt idx="3">
                  <c:v>FreightOutwardExpenses</c:v>
                </c:pt>
                <c:pt idx="4">
                  <c:v>PercentageFreightOutward_Sales</c:v>
                </c:pt>
                <c:pt idx="5">
                  <c:v>Fixed_and_Varaible_expenses</c:v>
                </c:pt>
                <c:pt idx="6">
                  <c:v>Total_Profit</c:v>
                </c:pt>
                <c:pt idx="7">
                  <c:v>Total_discount_for_Orders</c:v>
                </c:pt>
                <c:pt idx="8">
                  <c:v>TOtal_sales_discount_Percentage</c:v>
                </c:pt>
                <c:pt idx="9">
                  <c:v>Total_Number_of_Order_discount</c:v>
                </c:pt>
              </c:strCache>
            </c:strRef>
          </c:cat>
          <c:val>
            <c:numRef>
              <c:f>'Scenario Summary '!$D$9:$D$18</c:f>
            </c:numRef>
          </c:val>
          <c:smooth val="0"/>
          <c:extLst>
            <c:ext xmlns:c16="http://schemas.microsoft.com/office/drawing/2014/chart" uri="{C3380CC4-5D6E-409C-BE32-E72D297353CC}">
              <c16:uniqueId val="{00000000-7A39-4D80-9092-256F719CF0B3}"/>
            </c:ext>
          </c:extLst>
        </c:ser>
        <c:ser>
          <c:idx val="1"/>
          <c:order val="1"/>
          <c:tx>
            <c:strRef>
              <c:f>'Scenario Summary '!$E$2:$E$8</c:f>
              <c:strCache>
                <c:ptCount val="7"/>
                <c:pt idx="0">
                  <c:v>Scenario Summary</c:v>
                </c:pt>
                <c:pt idx="1">
                  <c:v>Scenario 1</c:v>
                </c:pt>
                <c:pt idx="2">
                  <c:v>Created by Author on 4/12/2023
Modified by Author on 4/18/2023
Modified by Author on 4/21/2023
Modified by Author on 4/21/2023
Modified by Author on 4/21/2023</c:v>
                </c:pt>
                <c:pt idx="3">
                  <c:v>Changing Cells:</c:v>
                </c:pt>
                <c:pt idx="4">
                  <c:v>IR</c:v>
                </c:pt>
                <c:pt idx="5">
                  <c:v>Store Markup</c:v>
                </c:pt>
                <c:pt idx="6">
                  <c:v>Lethbridge-Stewart Freight </c:v>
                </c:pt>
              </c:strCache>
            </c:strRef>
          </c:tx>
          <c:spPr>
            <a:ln w="28575" cap="rnd">
              <a:solidFill>
                <a:schemeClr val="accent2"/>
              </a:solidFill>
              <a:round/>
            </a:ln>
            <a:effectLst/>
          </c:spPr>
          <c:marker>
            <c:symbol val="none"/>
          </c:marker>
          <c:cat>
            <c:strRef>
              <c:f>'Scenario Summary '!$B$9:$C$18</c:f>
              <c:strCache>
                <c:ptCount val="10"/>
                <c:pt idx="0">
                  <c:v>TotalSales</c:v>
                </c:pt>
                <c:pt idx="1">
                  <c:v>HalfYearExpenses</c:v>
                </c:pt>
                <c:pt idx="2">
                  <c:v>TotalPurchaseExpenses</c:v>
                </c:pt>
                <c:pt idx="3">
                  <c:v>FreightOutwardExpenses</c:v>
                </c:pt>
                <c:pt idx="4">
                  <c:v>PercentageFreightOutward_Sales</c:v>
                </c:pt>
                <c:pt idx="5">
                  <c:v>Fixed_and_Varaible_expenses</c:v>
                </c:pt>
                <c:pt idx="6">
                  <c:v>Total_Profit</c:v>
                </c:pt>
                <c:pt idx="7">
                  <c:v>Total_discount_for_Orders</c:v>
                </c:pt>
                <c:pt idx="8">
                  <c:v>TOtal_sales_discount_Percentage</c:v>
                </c:pt>
                <c:pt idx="9">
                  <c:v>Total_Number_of_Order_discount</c:v>
                </c:pt>
              </c:strCache>
            </c:strRef>
          </c:cat>
          <c:val>
            <c:numRef>
              <c:f>'Scenario Summary '!$E$9:$E$18</c:f>
              <c:numCache>
                <c:formatCode>"$"#,##0.00_);[Red]\("$"#,##0.00\)</c:formatCode>
                <c:ptCount val="10"/>
                <c:pt idx="0" formatCode="General">
                  <c:v>1060983.31</c:v>
                </c:pt>
                <c:pt idx="1">
                  <c:v>530491.65500000003</c:v>
                </c:pt>
                <c:pt idx="2" formatCode="General">
                  <c:v>701584.49999999802</c:v>
                </c:pt>
                <c:pt idx="3" formatCode="General">
                  <c:v>36515.860000000503</c:v>
                </c:pt>
                <c:pt idx="4" formatCode="0.00%">
                  <c:v>0.29060000000000002</c:v>
                </c:pt>
                <c:pt idx="5">
                  <c:v>816515.72</c:v>
                </c:pt>
                <c:pt idx="6">
                  <c:v>244467.59</c:v>
                </c:pt>
                <c:pt idx="7" formatCode="General">
                  <c:v>43991.470000000103</c:v>
                </c:pt>
                <c:pt idx="8" formatCode="0.00%">
                  <c:v>0.2412</c:v>
                </c:pt>
                <c:pt idx="9" formatCode="General">
                  <c:v>448</c:v>
                </c:pt>
              </c:numCache>
            </c:numRef>
          </c:val>
          <c:smooth val="0"/>
          <c:extLst>
            <c:ext xmlns:c16="http://schemas.microsoft.com/office/drawing/2014/chart" uri="{C3380CC4-5D6E-409C-BE32-E72D297353CC}">
              <c16:uniqueId val="{00000001-7A39-4D80-9092-256F719CF0B3}"/>
            </c:ext>
          </c:extLst>
        </c:ser>
        <c:ser>
          <c:idx val="2"/>
          <c:order val="2"/>
          <c:tx>
            <c:strRef>
              <c:f>'Scenario Summary '!$F$2:$F$8</c:f>
              <c:strCache>
                <c:ptCount val="7"/>
                <c:pt idx="0">
                  <c:v>Scenario Summary</c:v>
                </c:pt>
                <c:pt idx="1">
                  <c:v>Scenario 2</c:v>
                </c:pt>
                <c:pt idx="2">
                  <c:v>Created by Author on 4/12/2023
Modified by Author on 4/21/2023</c:v>
                </c:pt>
                <c:pt idx="3">
                  <c:v>Changing Cells:</c:v>
                </c:pt>
                <c:pt idx="4">
                  <c:v>IR</c:v>
                </c:pt>
                <c:pt idx="5">
                  <c:v>Store Markup</c:v>
                </c:pt>
                <c:pt idx="6">
                  <c:v>Lethbridge-Stewart Freight </c:v>
                </c:pt>
              </c:strCache>
            </c:strRef>
          </c:tx>
          <c:spPr>
            <a:ln w="28575" cap="rnd">
              <a:solidFill>
                <a:schemeClr val="accent3"/>
              </a:solidFill>
              <a:round/>
            </a:ln>
            <a:effectLst/>
          </c:spPr>
          <c:marker>
            <c:symbol val="none"/>
          </c:marker>
          <c:cat>
            <c:strRef>
              <c:f>'Scenario Summary '!$B$9:$C$18</c:f>
              <c:strCache>
                <c:ptCount val="10"/>
                <c:pt idx="0">
                  <c:v>TotalSales</c:v>
                </c:pt>
                <c:pt idx="1">
                  <c:v>HalfYearExpenses</c:v>
                </c:pt>
                <c:pt idx="2">
                  <c:v>TotalPurchaseExpenses</c:v>
                </c:pt>
                <c:pt idx="3">
                  <c:v>FreightOutwardExpenses</c:v>
                </c:pt>
                <c:pt idx="4">
                  <c:v>PercentageFreightOutward_Sales</c:v>
                </c:pt>
                <c:pt idx="5">
                  <c:v>Fixed_and_Varaible_expenses</c:v>
                </c:pt>
                <c:pt idx="6">
                  <c:v>Total_Profit</c:v>
                </c:pt>
                <c:pt idx="7">
                  <c:v>Total_discount_for_Orders</c:v>
                </c:pt>
                <c:pt idx="8">
                  <c:v>TOtal_sales_discount_Percentage</c:v>
                </c:pt>
                <c:pt idx="9">
                  <c:v>Total_Number_of_Order_discount</c:v>
                </c:pt>
              </c:strCache>
            </c:strRef>
          </c:cat>
          <c:val>
            <c:numRef>
              <c:f>'Scenario Summary '!$F$9:$F$18</c:f>
              <c:numCache>
                <c:formatCode>"$"#,##0.00_);[Red]\("$"#,##0.00\)</c:formatCode>
                <c:ptCount val="10"/>
                <c:pt idx="0" formatCode="General">
                  <c:v>1260983.31</c:v>
                </c:pt>
                <c:pt idx="1">
                  <c:v>532221.255</c:v>
                </c:pt>
                <c:pt idx="2" formatCode="General">
                  <c:v>701584.49999999802</c:v>
                </c:pt>
                <c:pt idx="3" formatCode="General">
                  <c:v>36515.860000000503</c:v>
                </c:pt>
                <c:pt idx="4" formatCode="0.00%">
                  <c:v>0.29060000000000002</c:v>
                </c:pt>
                <c:pt idx="5">
                  <c:v>816515.72</c:v>
                </c:pt>
                <c:pt idx="6">
                  <c:v>123444.59</c:v>
                </c:pt>
                <c:pt idx="7" formatCode="General">
                  <c:v>21222.470000000099</c:v>
                </c:pt>
                <c:pt idx="8" formatCode="0.00%">
                  <c:v>0.2412</c:v>
                </c:pt>
                <c:pt idx="9" formatCode="General">
                  <c:v>454</c:v>
                </c:pt>
              </c:numCache>
            </c:numRef>
          </c:val>
          <c:smooth val="0"/>
          <c:extLst>
            <c:ext xmlns:c16="http://schemas.microsoft.com/office/drawing/2014/chart" uri="{C3380CC4-5D6E-409C-BE32-E72D297353CC}">
              <c16:uniqueId val="{00000002-7A39-4D80-9092-256F719CF0B3}"/>
            </c:ext>
          </c:extLst>
        </c:ser>
        <c:ser>
          <c:idx val="3"/>
          <c:order val="3"/>
          <c:tx>
            <c:strRef>
              <c:f>'Scenario Summary '!$G$2:$G$8</c:f>
              <c:strCache>
                <c:ptCount val="7"/>
                <c:pt idx="0">
                  <c:v>Scenario Summary</c:v>
                </c:pt>
                <c:pt idx="1">
                  <c:v>Scenraio 3</c:v>
                </c:pt>
                <c:pt idx="2">
                  <c:v>Created by Author on 4/12/2023
Modified by Author on 4/21/2023</c:v>
                </c:pt>
                <c:pt idx="3">
                  <c:v>Changing Cells:</c:v>
                </c:pt>
                <c:pt idx="4">
                  <c:v>IR</c:v>
                </c:pt>
                <c:pt idx="5">
                  <c:v>Store Markup</c:v>
                </c:pt>
                <c:pt idx="6">
                  <c:v>Davros Transport</c:v>
                </c:pt>
              </c:strCache>
            </c:strRef>
          </c:tx>
          <c:spPr>
            <a:ln w="28575" cap="rnd">
              <a:solidFill>
                <a:schemeClr val="accent4"/>
              </a:solidFill>
              <a:round/>
            </a:ln>
            <a:effectLst/>
          </c:spPr>
          <c:marker>
            <c:symbol val="none"/>
          </c:marker>
          <c:cat>
            <c:strRef>
              <c:f>'Scenario Summary '!$B$9:$C$18</c:f>
              <c:strCache>
                <c:ptCount val="10"/>
                <c:pt idx="0">
                  <c:v>TotalSales</c:v>
                </c:pt>
                <c:pt idx="1">
                  <c:v>HalfYearExpenses</c:v>
                </c:pt>
                <c:pt idx="2">
                  <c:v>TotalPurchaseExpenses</c:v>
                </c:pt>
                <c:pt idx="3">
                  <c:v>FreightOutwardExpenses</c:v>
                </c:pt>
                <c:pt idx="4">
                  <c:v>PercentageFreightOutward_Sales</c:v>
                </c:pt>
                <c:pt idx="5">
                  <c:v>Fixed_and_Varaible_expenses</c:v>
                </c:pt>
                <c:pt idx="6">
                  <c:v>Total_Profit</c:v>
                </c:pt>
                <c:pt idx="7">
                  <c:v>Total_discount_for_Orders</c:v>
                </c:pt>
                <c:pt idx="8">
                  <c:v>TOtal_sales_discount_Percentage</c:v>
                </c:pt>
                <c:pt idx="9">
                  <c:v>Total_Number_of_Order_discount</c:v>
                </c:pt>
              </c:strCache>
            </c:strRef>
          </c:cat>
          <c:val>
            <c:numRef>
              <c:f>'Scenario Summary '!$G$9:$G$18</c:f>
              <c:numCache>
                <c:formatCode>"$"#,##0.00_);[Red]\("$"#,##0.00\)</c:formatCode>
                <c:ptCount val="10"/>
                <c:pt idx="0" formatCode="General">
                  <c:v>1262453.1200000001</c:v>
                </c:pt>
                <c:pt idx="1">
                  <c:v>5210491.6550000003</c:v>
                </c:pt>
                <c:pt idx="2" formatCode="General">
                  <c:v>3451584.4999999902</c:v>
                </c:pt>
                <c:pt idx="3" formatCode="General">
                  <c:v>46515.860000000503</c:v>
                </c:pt>
                <c:pt idx="4" formatCode="0.00%">
                  <c:v>0.3906</c:v>
                </c:pt>
                <c:pt idx="5">
                  <c:v>216515.72</c:v>
                </c:pt>
                <c:pt idx="6">
                  <c:v>224467.59</c:v>
                </c:pt>
                <c:pt idx="7" formatCode="General">
                  <c:v>23991.470000000099</c:v>
                </c:pt>
                <c:pt idx="8" formatCode="0.00%">
                  <c:v>0.14119999999999999</c:v>
                </c:pt>
                <c:pt idx="9" formatCode="General">
                  <c:v>448</c:v>
                </c:pt>
              </c:numCache>
            </c:numRef>
          </c:val>
          <c:smooth val="0"/>
          <c:extLst>
            <c:ext xmlns:c16="http://schemas.microsoft.com/office/drawing/2014/chart" uri="{C3380CC4-5D6E-409C-BE32-E72D297353CC}">
              <c16:uniqueId val="{00000003-7A39-4D80-9092-256F719CF0B3}"/>
            </c:ext>
          </c:extLst>
        </c:ser>
        <c:ser>
          <c:idx val="4"/>
          <c:order val="4"/>
          <c:tx>
            <c:strRef>
              <c:f>'Scenario Summary '!$H$2:$H$8</c:f>
              <c:strCache>
                <c:ptCount val="7"/>
                <c:pt idx="0">
                  <c:v>Scenario Summary</c:v>
                </c:pt>
                <c:pt idx="1">
                  <c:v>Scenario 4</c:v>
                </c:pt>
                <c:pt idx="2">
                  <c:v>Created by Author on 4/12/2023
Modified by Author on 4/21/2023</c:v>
                </c:pt>
                <c:pt idx="3">
                  <c:v>Changing Cells:</c:v>
                </c:pt>
                <c:pt idx="4">
                  <c:v>CA</c:v>
                </c:pt>
                <c:pt idx="5">
                  <c:v>Store Markup</c:v>
                </c:pt>
                <c:pt idx="6">
                  <c:v>Davros Transport </c:v>
                </c:pt>
              </c:strCache>
            </c:strRef>
          </c:tx>
          <c:spPr>
            <a:ln w="28575" cap="rnd">
              <a:solidFill>
                <a:schemeClr val="accent5"/>
              </a:solidFill>
              <a:round/>
            </a:ln>
            <a:effectLst/>
          </c:spPr>
          <c:marker>
            <c:symbol val="none"/>
          </c:marker>
          <c:cat>
            <c:strRef>
              <c:f>'Scenario Summary '!$B$9:$C$18</c:f>
              <c:strCache>
                <c:ptCount val="10"/>
                <c:pt idx="0">
                  <c:v>TotalSales</c:v>
                </c:pt>
                <c:pt idx="1">
                  <c:v>HalfYearExpenses</c:v>
                </c:pt>
                <c:pt idx="2">
                  <c:v>TotalPurchaseExpenses</c:v>
                </c:pt>
                <c:pt idx="3">
                  <c:v>FreightOutwardExpenses</c:v>
                </c:pt>
                <c:pt idx="4">
                  <c:v>PercentageFreightOutward_Sales</c:v>
                </c:pt>
                <c:pt idx="5">
                  <c:v>Fixed_and_Varaible_expenses</c:v>
                </c:pt>
                <c:pt idx="6">
                  <c:v>Total_Profit</c:v>
                </c:pt>
                <c:pt idx="7">
                  <c:v>Total_discount_for_Orders</c:v>
                </c:pt>
                <c:pt idx="8">
                  <c:v>TOtal_sales_discount_Percentage</c:v>
                </c:pt>
                <c:pt idx="9">
                  <c:v>Total_Number_of_Order_discount</c:v>
                </c:pt>
              </c:strCache>
            </c:strRef>
          </c:cat>
          <c:val>
            <c:numRef>
              <c:f>'Scenario Summary '!$H$9:$H$18</c:f>
              <c:numCache>
                <c:formatCode>"$"#,##0.00_);[Red]\("$"#,##0.00\)</c:formatCode>
                <c:ptCount val="10"/>
                <c:pt idx="0" formatCode="General">
                  <c:v>2300983.31</c:v>
                </c:pt>
                <c:pt idx="1">
                  <c:v>520491.65500000003</c:v>
                </c:pt>
                <c:pt idx="2" formatCode="General">
                  <c:v>901584.49999999802</c:v>
                </c:pt>
                <c:pt idx="3" formatCode="General">
                  <c:v>36515.860000000503</c:v>
                </c:pt>
                <c:pt idx="4" formatCode="0.00%">
                  <c:v>0.29060000000000002</c:v>
                </c:pt>
                <c:pt idx="5">
                  <c:v>816515.72</c:v>
                </c:pt>
                <c:pt idx="6">
                  <c:v>244467.59</c:v>
                </c:pt>
                <c:pt idx="7" formatCode="General">
                  <c:v>43991.470000000103</c:v>
                </c:pt>
                <c:pt idx="8" formatCode="0.00%">
                  <c:v>0.2412</c:v>
                </c:pt>
                <c:pt idx="9" formatCode="General">
                  <c:v>448</c:v>
                </c:pt>
              </c:numCache>
            </c:numRef>
          </c:val>
          <c:smooth val="0"/>
          <c:extLst>
            <c:ext xmlns:c16="http://schemas.microsoft.com/office/drawing/2014/chart" uri="{C3380CC4-5D6E-409C-BE32-E72D297353CC}">
              <c16:uniqueId val="{00000004-7A39-4D80-9092-256F719CF0B3}"/>
            </c:ext>
          </c:extLst>
        </c:ser>
        <c:ser>
          <c:idx val="5"/>
          <c:order val="5"/>
          <c:tx>
            <c:strRef>
              <c:f>'Scenario Summary '!$I$2:$I$8</c:f>
              <c:strCache>
                <c:ptCount val="7"/>
                <c:pt idx="0">
                  <c:v>Scenario Summary</c:v>
                </c:pt>
                <c:pt idx="1">
                  <c:v>Scenario 5</c:v>
                </c:pt>
                <c:pt idx="2">
                  <c:v>Created by Author on 4/12/2023
Modified by Author on 4/12/2023
Modified by Author on 4/21/2023</c:v>
                </c:pt>
                <c:pt idx="3">
                  <c:v>Changing Cells:</c:v>
                </c:pt>
                <c:pt idx="4">
                  <c:v>IR</c:v>
                </c:pt>
                <c:pt idx="5">
                  <c:v>Supplier Markup</c:v>
                </c:pt>
                <c:pt idx="6">
                  <c:v>Lethbridge-Stewart Freight </c:v>
                </c:pt>
              </c:strCache>
            </c:strRef>
          </c:tx>
          <c:spPr>
            <a:ln w="28575" cap="rnd">
              <a:solidFill>
                <a:schemeClr val="accent6"/>
              </a:solidFill>
              <a:round/>
            </a:ln>
            <a:effectLst/>
          </c:spPr>
          <c:marker>
            <c:symbol val="none"/>
          </c:marker>
          <c:cat>
            <c:strRef>
              <c:f>'Scenario Summary '!$B$9:$C$18</c:f>
              <c:strCache>
                <c:ptCount val="10"/>
                <c:pt idx="0">
                  <c:v>TotalSales</c:v>
                </c:pt>
                <c:pt idx="1">
                  <c:v>HalfYearExpenses</c:v>
                </c:pt>
                <c:pt idx="2">
                  <c:v>TotalPurchaseExpenses</c:v>
                </c:pt>
                <c:pt idx="3">
                  <c:v>FreightOutwardExpenses</c:v>
                </c:pt>
                <c:pt idx="4">
                  <c:v>PercentageFreightOutward_Sales</c:v>
                </c:pt>
                <c:pt idx="5">
                  <c:v>Fixed_and_Varaible_expenses</c:v>
                </c:pt>
                <c:pt idx="6">
                  <c:v>Total_Profit</c:v>
                </c:pt>
                <c:pt idx="7">
                  <c:v>Total_discount_for_Orders</c:v>
                </c:pt>
                <c:pt idx="8">
                  <c:v>TOtal_sales_discount_Percentage</c:v>
                </c:pt>
                <c:pt idx="9">
                  <c:v>Total_Number_of_Order_discount</c:v>
                </c:pt>
              </c:strCache>
            </c:strRef>
          </c:cat>
          <c:val>
            <c:numRef>
              <c:f>'Scenario Summary '!$I$9:$I$18</c:f>
              <c:numCache>
                <c:formatCode>"$"#,##0.00_);[Red]\("$"#,##0.00\)</c:formatCode>
                <c:ptCount val="10"/>
                <c:pt idx="0" formatCode="General">
                  <c:v>1060983.31</c:v>
                </c:pt>
                <c:pt idx="1">
                  <c:v>530491.65500000003</c:v>
                </c:pt>
                <c:pt idx="2" formatCode="General">
                  <c:v>701584.49999999802</c:v>
                </c:pt>
                <c:pt idx="3" formatCode="General">
                  <c:v>36515.860000000503</c:v>
                </c:pt>
                <c:pt idx="4" formatCode="0.00%">
                  <c:v>0.29060000000000002</c:v>
                </c:pt>
                <c:pt idx="5">
                  <c:v>816515.72</c:v>
                </c:pt>
                <c:pt idx="6">
                  <c:v>244467.59</c:v>
                </c:pt>
                <c:pt idx="7" formatCode="General">
                  <c:v>43991.470000000103</c:v>
                </c:pt>
                <c:pt idx="8" formatCode="0.00%">
                  <c:v>0.2412</c:v>
                </c:pt>
                <c:pt idx="9" formatCode="General">
                  <c:v>448</c:v>
                </c:pt>
              </c:numCache>
            </c:numRef>
          </c:val>
          <c:smooth val="0"/>
          <c:extLst>
            <c:ext xmlns:c16="http://schemas.microsoft.com/office/drawing/2014/chart" uri="{C3380CC4-5D6E-409C-BE32-E72D297353CC}">
              <c16:uniqueId val="{00000005-7A39-4D80-9092-256F719CF0B3}"/>
            </c:ext>
          </c:extLst>
        </c:ser>
        <c:ser>
          <c:idx val="6"/>
          <c:order val="6"/>
          <c:tx>
            <c:strRef>
              <c:f>'Scenario Summary '!$J$2:$J$8</c:f>
              <c:strCache>
                <c:ptCount val="7"/>
                <c:pt idx="0">
                  <c:v>Scenario Summary</c:v>
                </c:pt>
                <c:pt idx="1">
                  <c:v>Scenario 6</c:v>
                </c:pt>
                <c:pt idx="2">
                  <c:v>Created by Author on 4/12/2023
Modified by Author on 4/12/2023
Modified by Author on 4/21/2023</c:v>
                </c:pt>
                <c:pt idx="3">
                  <c:v>Changing Cells:</c:v>
                </c:pt>
                <c:pt idx="4">
                  <c:v>CA</c:v>
                </c:pt>
                <c:pt idx="5">
                  <c:v>Supplier Markup</c:v>
                </c:pt>
                <c:pt idx="6">
                  <c:v>Lethbridge-Stewart Freight </c:v>
                </c:pt>
              </c:strCache>
            </c:strRef>
          </c:tx>
          <c:spPr>
            <a:ln w="28575" cap="rnd">
              <a:solidFill>
                <a:schemeClr val="accent1">
                  <a:lumMod val="60000"/>
                </a:schemeClr>
              </a:solidFill>
              <a:round/>
            </a:ln>
            <a:effectLst/>
          </c:spPr>
          <c:marker>
            <c:symbol val="none"/>
          </c:marker>
          <c:cat>
            <c:strRef>
              <c:f>'Scenario Summary '!$B$9:$C$18</c:f>
              <c:strCache>
                <c:ptCount val="10"/>
                <c:pt idx="0">
                  <c:v>TotalSales</c:v>
                </c:pt>
                <c:pt idx="1">
                  <c:v>HalfYearExpenses</c:v>
                </c:pt>
                <c:pt idx="2">
                  <c:v>TotalPurchaseExpenses</c:v>
                </c:pt>
                <c:pt idx="3">
                  <c:v>FreightOutwardExpenses</c:v>
                </c:pt>
                <c:pt idx="4">
                  <c:v>PercentageFreightOutward_Sales</c:v>
                </c:pt>
                <c:pt idx="5">
                  <c:v>Fixed_and_Varaible_expenses</c:v>
                </c:pt>
                <c:pt idx="6">
                  <c:v>Total_Profit</c:v>
                </c:pt>
                <c:pt idx="7">
                  <c:v>Total_discount_for_Orders</c:v>
                </c:pt>
                <c:pt idx="8">
                  <c:v>TOtal_sales_discount_Percentage</c:v>
                </c:pt>
                <c:pt idx="9">
                  <c:v>Total_Number_of_Order_discount</c:v>
                </c:pt>
              </c:strCache>
            </c:strRef>
          </c:cat>
          <c:val>
            <c:numRef>
              <c:f>'Scenario Summary '!$J$9:$J$18</c:f>
              <c:numCache>
                <c:formatCode>"$"#,##0.00_);[Red]\("$"#,##0.00\)</c:formatCode>
                <c:ptCount val="10"/>
                <c:pt idx="0" formatCode="General">
                  <c:v>1060983.31</c:v>
                </c:pt>
                <c:pt idx="1">
                  <c:v>530491.65500000003</c:v>
                </c:pt>
                <c:pt idx="2" formatCode="General">
                  <c:v>701584.49999999802</c:v>
                </c:pt>
                <c:pt idx="3" formatCode="General">
                  <c:v>36515.860000000503</c:v>
                </c:pt>
                <c:pt idx="4" formatCode="0.00%">
                  <c:v>0.29060000000000002</c:v>
                </c:pt>
                <c:pt idx="5">
                  <c:v>816515.72</c:v>
                </c:pt>
                <c:pt idx="6">
                  <c:v>244467.59</c:v>
                </c:pt>
                <c:pt idx="7" formatCode="General">
                  <c:v>43991.470000000103</c:v>
                </c:pt>
                <c:pt idx="8" formatCode="0.00%">
                  <c:v>0.2412</c:v>
                </c:pt>
                <c:pt idx="9" formatCode="General">
                  <c:v>448</c:v>
                </c:pt>
              </c:numCache>
            </c:numRef>
          </c:val>
          <c:smooth val="0"/>
          <c:extLst>
            <c:ext xmlns:c16="http://schemas.microsoft.com/office/drawing/2014/chart" uri="{C3380CC4-5D6E-409C-BE32-E72D297353CC}">
              <c16:uniqueId val="{00000006-7A39-4D80-9092-256F719CF0B3}"/>
            </c:ext>
          </c:extLst>
        </c:ser>
        <c:ser>
          <c:idx val="7"/>
          <c:order val="7"/>
          <c:tx>
            <c:strRef>
              <c:f>'Scenario Summary '!$K$2:$K$8</c:f>
              <c:strCache>
                <c:ptCount val="7"/>
                <c:pt idx="0">
                  <c:v>Scenario Summary</c:v>
                </c:pt>
                <c:pt idx="1">
                  <c:v>Scenario 7</c:v>
                </c:pt>
                <c:pt idx="2">
                  <c:v>Created by Author on 4/12/2023
Modified by Author on 4/21/2023</c:v>
                </c:pt>
                <c:pt idx="3">
                  <c:v>Changing Cells:</c:v>
                </c:pt>
                <c:pt idx="4">
                  <c:v>IR</c:v>
                </c:pt>
                <c:pt idx="5">
                  <c:v>Supplier Markup</c:v>
                </c:pt>
                <c:pt idx="6">
                  <c:v>Davros Transport</c:v>
                </c:pt>
              </c:strCache>
            </c:strRef>
          </c:tx>
          <c:spPr>
            <a:ln w="28575" cap="rnd">
              <a:solidFill>
                <a:schemeClr val="accent2">
                  <a:lumMod val="60000"/>
                </a:schemeClr>
              </a:solidFill>
              <a:round/>
            </a:ln>
            <a:effectLst/>
          </c:spPr>
          <c:marker>
            <c:symbol val="none"/>
          </c:marker>
          <c:cat>
            <c:strRef>
              <c:f>'Scenario Summary '!$B$9:$C$18</c:f>
              <c:strCache>
                <c:ptCount val="10"/>
                <c:pt idx="0">
                  <c:v>TotalSales</c:v>
                </c:pt>
                <c:pt idx="1">
                  <c:v>HalfYearExpenses</c:v>
                </c:pt>
                <c:pt idx="2">
                  <c:v>TotalPurchaseExpenses</c:v>
                </c:pt>
                <c:pt idx="3">
                  <c:v>FreightOutwardExpenses</c:v>
                </c:pt>
                <c:pt idx="4">
                  <c:v>PercentageFreightOutward_Sales</c:v>
                </c:pt>
                <c:pt idx="5">
                  <c:v>Fixed_and_Varaible_expenses</c:v>
                </c:pt>
                <c:pt idx="6">
                  <c:v>Total_Profit</c:v>
                </c:pt>
                <c:pt idx="7">
                  <c:v>Total_discount_for_Orders</c:v>
                </c:pt>
                <c:pt idx="8">
                  <c:v>TOtal_sales_discount_Percentage</c:v>
                </c:pt>
                <c:pt idx="9">
                  <c:v>Total_Number_of_Order_discount</c:v>
                </c:pt>
              </c:strCache>
            </c:strRef>
          </c:cat>
          <c:val>
            <c:numRef>
              <c:f>'Scenario Summary '!$K$9:$K$18</c:f>
              <c:numCache>
                <c:formatCode>"$"#,##0.00_);[Red]\("$"#,##0.00\)</c:formatCode>
                <c:ptCount val="10"/>
                <c:pt idx="0" formatCode="General">
                  <c:v>1060983.31</c:v>
                </c:pt>
                <c:pt idx="1">
                  <c:v>530491.65500000003</c:v>
                </c:pt>
                <c:pt idx="2" formatCode="General">
                  <c:v>701584.49999999802</c:v>
                </c:pt>
                <c:pt idx="3" formatCode="General">
                  <c:v>36515.860000000503</c:v>
                </c:pt>
                <c:pt idx="4" formatCode="0.00%">
                  <c:v>0.29060000000000002</c:v>
                </c:pt>
                <c:pt idx="5">
                  <c:v>816515.72</c:v>
                </c:pt>
                <c:pt idx="6">
                  <c:v>244467.59</c:v>
                </c:pt>
                <c:pt idx="7" formatCode="General">
                  <c:v>43991.470000000103</c:v>
                </c:pt>
                <c:pt idx="8" formatCode="0.00%">
                  <c:v>0.2412</c:v>
                </c:pt>
                <c:pt idx="9" formatCode="General">
                  <c:v>448</c:v>
                </c:pt>
              </c:numCache>
            </c:numRef>
          </c:val>
          <c:smooth val="0"/>
          <c:extLst>
            <c:ext xmlns:c16="http://schemas.microsoft.com/office/drawing/2014/chart" uri="{C3380CC4-5D6E-409C-BE32-E72D297353CC}">
              <c16:uniqueId val="{00000007-7A39-4D80-9092-256F719CF0B3}"/>
            </c:ext>
          </c:extLst>
        </c:ser>
        <c:ser>
          <c:idx val="8"/>
          <c:order val="8"/>
          <c:tx>
            <c:strRef>
              <c:f>'Scenario Summary '!$L$2:$L$8</c:f>
              <c:strCache>
                <c:ptCount val="7"/>
                <c:pt idx="0">
                  <c:v>Scenario Summary</c:v>
                </c:pt>
                <c:pt idx="1">
                  <c:v>Scenario 8</c:v>
                </c:pt>
                <c:pt idx="2">
                  <c:v>Created by Author on 4/12/2023
Modified by Author on 4/21/2023</c:v>
                </c:pt>
                <c:pt idx="3">
                  <c:v>Changing Cells:</c:v>
                </c:pt>
                <c:pt idx="4">
                  <c:v>CA</c:v>
                </c:pt>
                <c:pt idx="5">
                  <c:v>Supplier Markup</c:v>
                </c:pt>
                <c:pt idx="6">
                  <c:v>Lethbridge-Stewart Freight </c:v>
                </c:pt>
              </c:strCache>
            </c:strRef>
          </c:tx>
          <c:spPr>
            <a:ln w="28575" cap="rnd">
              <a:solidFill>
                <a:schemeClr val="accent3">
                  <a:lumMod val="60000"/>
                </a:schemeClr>
              </a:solidFill>
              <a:round/>
            </a:ln>
            <a:effectLst/>
          </c:spPr>
          <c:marker>
            <c:symbol val="none"/>
          </c:marker>
          <c:cat>
            <c:strRef>
              <c:f>'Scenario Summary '!$B$9:$C$18</c:f>
              <c:strCache>
                <c:ptCount val="10"/>
                <c:pt idx="0">
                  <c:v>TotalSales</c:v>
                </c:pt>
                <c:pt idx="1">
                  <c:v>HalfYearExpenses</c:v>
                </c:pt>
                <c:pt idx="2">
                  <c:v>TotalPurchaseExpenses</c:v>
                </c:pt>
                <c:pt idx="3">
                  <c:v>FreightOutwardExpenses</c:v>
                </c:pt>
                <c:pt idx="4">
                  <c:v>PercentageFreightOutward_Sales</c:v>
                </c:pt>
                <c:pt idx="5">
                  <c:v>Fixed_and_Varaible_expenses</c:v>
                </c:pt>
                <c:pt idx="6">
                  <c:v>Total_Profit</c:v>
                </c:pt>
                <c:pt idx="7">
                  <c:v>Total_discount_for_Orders</c:v>
                </c:pt>
                <c:pt idx="8">
                  <c:v>TOtal_sales_discount_Percentage</c:v>
                </c:pt>
                <c:pt idx="9">
                  <c:v>Total_Number_of_Order_discount</c:v>
                </c:pt>
              </c:strCache>
            </c:strRef>
          </c:cat>
          <c:val>
            <c:numRef>
              <c:f>'Scenario Summary '!$L$9:$L$18</c:f>
              <c:numCache>
                <c:formatCode>"$"#,##0.00_);[Red]\("$"#,##0.00\)</c:formatCode>
                <c:ptCount val="10"/>
                <c:pt idx="0" formatCode="General">
                  <c:v>1060983.31</c:v>
                </c:pt>
                <c:pt idx="1">
                  <c:v>530491.65500000003</c:v>
                </c:pt>
                <c:pt idx="2" formatCode="General">
                  <c:v>701584.49999999802</c:v>
                </c:pt>
                <c:pt idx="3" formatCode="General">
                  <c:v>36515.860000000503</c:v>
                </c:pt>
                <c:pt idx="4" formatCode="0.00%">
                  <c:v>0.29060000000000002</c:v>
                </c:pt>
                <c:pt idx="5">
                  <c:v>816515.72</c:v>
                </c:pt>
                <c:pt idx="6">
                  <c:v>244467.59</c:v>
                </c:pt>
                <c:pt idx="7" formatCode="General">
                  <c:v>43991.470000000103</c:v>
                </c:pt>
                <c:pt idx="8" formatCode="0.00%">
                  <c:v>0.2412</c:v>
                </c:pt>
                <c:pt idx="9" formatCode="General">
                  <c:v>448</c:v>
                </c:pt>
              </c:numCache>
            </c:numRef>
          </c:val>
          <c:smooth val="0"/>
          <c:extLst>
            <c:ext xmlns:c16="http://schemas.microsoft.com/office/drawing/2014/chart" uri="{C3380CC4-5D6E-409C-BE32-E72D297353CC}">
              <c16:uniqueId val="{00000008-7A39-4D80-9092-256F719CF0B3}"/>
            </c:ext>
          </c:extLst>
        </c:ser>
        <c:ser>
          <c:idx val="9"/>
          <c:order val="9"/>
          <c:tx>
            <c:strRef>
              <c:f>'Scenario Summary '!$M$2:$M$8</c:f>
              <c:strCache>
                <c:ptCount val="7"/>
                <c:pt idx="0">
                  <c:v>Scenario Summary</c:v>
                </c:pt>
                <c:pt idx="1">
                  <c:v>Scenario check Task 21</c:v>
                </c:pt>
                <c:pt idx="2">
                  <c:v>Created by Author on 4/12/2023
Modified by Author on 4/18/2023
Modified by Author on 4/18/2023
Modified by Author on 4/18/2023
Modified by Author on 4/21/2023</c:v>
                </c:pt>
                <c:pt idx="3">
                  <c:v>Changing Cells:</c:v>
                </c:pt>
                <c:pt idx="4">
                  <c:v>IR</c:v>
                </c:pt>
                <c:pt idx="5">
                  <c:v>Store Markup</c:v>
                </c:pt>
                <c:pt idx="6">
                  <c:v>Lethbridge-Stewart Freight </c:v>
                </c:pt>
              </c:strCache>
            </c:strRef>
          </c:tx>
          <c:spPr>
            <a:ln w="28575" cap="rnd">
              <a:solidFill>
                <a:schemeClr val="accent4">
                  <a:lumMod val="60000"/>
                </a:schemeClr>
              </a:solidFill>
              <a:round/>
            </a:ln>
            <a:effectLst/>
          </c:spPr>
          <c:marker>
            <c:symbol val="none"/>
          </c:marker>
          <c:cat>
            <c:strRef>
              <c:f>'Scenario Summary '!$B$9:$C$18</c:f>
              <c:strCache>
                <c:ptCount val="10"/>
                <c:pt idx="0">
                  <c:v>TotalSales</c:v>
                </c:pt>
                <c:pt idx="1">
                  <c:v>HalfYearExpenses</c:v>
                </c:pt>
                <c:pt idx="2">
                  <c:v>TotalPurchaseExpenses</c:v>
                </c:pt>
                <c:pt idx="3">
                  <c:v>FreightOutwardExpenses</c:v>
                </c:pt>
                <c:pt idx="4">
                  <c:v>PercentageFreightOutward_Sales</c:v>
                </c:pt>
                <c:pt idx="5">
                  <c:v>Fixed_and_Varaible_expenses</c:v>
                </c:pt>
                <c:pt idx="6">
                  <c:v>Total_Profit</c:v>
                </c:pt>
                <c:pt idx="7">
                  <c:v>Total_discount_for_Orders</c:v>
                </c:pt>
                <c:pt idx="8">
                  <c:v>TOtal_sales_discount_Percentage</c:v>
                </c:pt>
                <c:pt idx="9">
                  <c:v>Total_Number_of_Order_discount</c:v>
                </c:pt>
              </c:strCache>
            </c:strRef>
          </c:cat>
          <c:val>
            <c:numRef>
              <c:f>'Scenario Summary '!$M$9:$M$18</c:f>
              <c:numCache>
                <c:formatCode>"$"#,##0.00_);[Red]\("$"#,##0.00\)</c:formatCode>
                <c:ptCount val="10"/>
                <c:pt idx="0" formatCode="General">
                  <c:v>1060983.31</c:v>
                </c:pt>
                <c:pt idx="1">
                  <c:v>530491.65500000003</c:v>
                </c:pt>
                <c:pt idx="2" formatCode="General">
                  <c:v>701584.49999999802</c:v>
                </c:pt>
                <c:pt idx="3" formatCode="General">
                  <c:v>36515.860000000503</c:v>
                </c:pt>
                <c:pt idx="4" formatCode="0.00%">
                  <c:v>-28.06</c:v>
                </c:pt>
                <c:pt idx="5">
                  <c:v>0</c:v>
                </c:pt>
                <c:pt idx="6">
                  <c:v>359398.81000000198</c:v>
                </c:pt>
                <c:pt idx="7" formatCode="General">
                  <c:v>43991.470000000103</c:v>
                </c:pt>
                <c:pt idx="8" formatCode="0.00%">
                  <c:v>-23.12</c:v>
                </c:pt>
                <c:pt idx="9" formatCode="General">
                  <c:v>448</c:v>
                </c:pt>
              </c:numCache>
            </c:numRef>
          </c:val>
          <c:smooth val="0"/>
          <c:extLst>
            <c:ext xmlns:c16="http://schemas.microsoft.com/office/drawing/2014/chart" uri="{C3380CC4-5D6E-409C-BE32-E72D297353CC}">
              <c16:uniqueId val="{00000009-7A39-4D80-9092-256F719CF0B3}"/>
            </c:ext>
          </c:extLst>
        </c:ser>
        <c:ser>
          <c:idx val="10"/>
          <c:order val="10"/>
          <c:tx>
            <c:strRef>
              <c:f>'Scenario Summary '!$N$2:$N$8</c:f>
              <c:strCache>
                <c:ptCount val="7"/>
                <c:pt idx="0">
                  <c:v>Scenario Summary</c:v>
                </c:pt>
                <c:pt idx="1">
                  <c:v>Scenario next</c:v>
                </c:pt>
                <c:pt idx="2">
                  <c:v>Created by Author on 4/21/2023</c:v>
                </c:pt>
                <c:pt idx="3">
                  <c:v>Changing Cells:</c:v>
                </c:pt>
                <c:pt idx="4">
                  <c:v>IR</c:v>
                </c:pt>
                <c:pt idx="5">
                  <c:v>Supplier  Markup</c:v>
                </c:pt>
                <c:pt idx="6">
                  <c:v>Davros Transport</c:v>
                </c:pt>
              </c:strCache>
            </c:strRef>
          </c:tx>
          <c:spPr>
            <a:ln w="28575" cap="rnd">
              <a:solidFill>
                <a:schemeClr val="accent5">
                  <a:lumMod val="60000"/>
                </a:schemeClr>
              </a:solidFill>
              <a:round/>
            </a:ln>
            <a:effectLst/>
          </c:spPr>
          <c:marker>
            <c:symbol val="none"/>
          </c:marker>
          <c:cat>
            <c:strRef>
              <c:f>'Scenario Summary '!$B$9:$C$18</c:f>
              <c:strCache>
                <c:ptCount val="10"/>
                <c:pt idx="0">
                  <c:v>TotalSales</c:v>
                </c:pt>
                <c:pt idx="1">
                  <c:v>HalfYearExpenses</c:v>
                </c:pt>
                <c:pt idx="2">
                  <c:v>TotalPurchaseExpenses</c:v>
                </c:pt>
                <c:pt idx="3">
                  <c:v>FreightOutwardExpenses</c:v>
                </c:pt>
                <c:pt idx="4">
                  <c:v>PercentageFreightOutward_Sales</c:v>
                </c:pt>
                <c:pt idx="5">
                  <c:v>Fixed_and_Varaible_expenses</c:v>
                </c:pt>
                <c:pt idx="6">
                  <c:v>Total_Profit</c:v>
                </c:pt>
                <c:pt idx="7">
                  <c:v>Total_discount_for_Orders</c:v>
                </c:pt>
                <c:pt idx="8">
                  <c:v>TOtal_sales_discount_Percentage</c:v>
                </c:pt>
                <c:pt idx="9">
                  <c:v>Total_Number_of_Order_discount</c:v>
                </c:pt>
              </c:strCache>
            </c:strRef>
          </c:cat>
          <c:val>
            <c:numRef>
              <c:f>'Scenario Summary '!$N$9:$N$18</c:f>
              <c:numCache>
                <c:formatCode>"$"#,##0.00_);[Red]\("$"#,##0.00\)</c:formatCode>
                <c:ptCount val="10"/>
                <c:pt idx="0" formatCode="General">
                  <c:v>1060983.31</c:v>
                </c:pt>
                <c:pt idx="1">
                  <c:v>530491.65500000003</c:v>
                </c:pt>
                <c:pt idx="2" formatCode="General">
                  <c:v>701584.49999999802</c:v>
                </c:pt>
                <c:pt idx="3" formatCode="General">
                  <c:v>36515.860000000503</c:v>
                </c:pt>
                <c:pt idx="4" formatCode="0.00%">
                  <c:v>0.29060000000000002</c:v>
                </c:pt>
                <c:pt idx="5">
                  <c:v>816515.72</c:v>
                </c:pt>
                <c:pt idx="6">
                  <c:v>244467.59</c:v>
                </c:pt>
                <c:pt idx="7" formatCode="General">
                  <c:v>43991.470000000103</c:v>
                </c:pt>
                <c:pt idx="8" formatCode="0.00%">
                  <c:v>0.2412</c:v>
                </c:pt>
                <c:pt idx="9" formatCode="General">
                  <c:v>448</c:v>
                </c:pt>
              </c:numCache>
            </c:numRef>
          </c:val>
          <c:smooth val="0"/>
          <c:extLst>
            <c:ext xmlns:c16="http://schemas.microsoft.com/office/drawing/2014/chart" uri="{C3380CC4-5D6E-409C-BE32-E72D297353CC}">
              <c16:uniqueId val="{0000000A-7A39-4D80-9092-256F719CF0B3}"/>
            </c:ext>
          </c:extLst>
        </c:ser>
        <c:dLbls>
          <c:showLegendKey val="0"/>
          <c:showVal val="0"/>
          <c:showCatName val="0"/>
          <c:showSerName val="0"/>
          <c:showPercent val="0"/>
          <c:showBubbleSize val="0"/>
        </c:dLbls>
        <c:smooth val="0"/>
        <c:axId val="223664095"/>
        <c:axId val="223667839"/>
      </c:lineChart>
      <c:catAx>
        <c:axId val="223664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3667839"/>
        <c:crosses val="autoZero"/>
        <c:auto val="1"/>
        <c:lblAlgn val="ctr"/>
        <c:lblOffset val="100"/>
        <c:noMultiLvlLbl val="0"/>
      </c:catAx>
      <c:valAx>
        <c:axId val="2236678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3664095"/>
        <c:crosses val="autoZero"/>
        <c:crossBetween val="between"/>
      </c:valAx>
      <c:spPr>
        <a:noFill/>
        <a:ln>
          <a:noFill/>
        </a:ln>
        <a:effectLst/>
      </c:spPr>
    </c:plotArea>
    <c:legend>
      <c:legendPos val="b"/>
      <c:layout>
        <c:manualLayout>
          <c:xMode val="edge"/>
          <c:yMode val="edge"/>
          <c:x val="7.5097040456149872E-2"/>
          <c:y val="0.58676448916574975"/>
          <c:w val="0.8498059190877002"/>
          <c:h val="0.3922460014571456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x:chartSpace xmlns:a="http://schemas.openxmlformats.org/drawingml/2006/main" xmlns:r="http://schemas.openxmlformats.org/officeDocument/2006/relationships" xmlns:cx="http://schemas.microsoft.com/office/drawing/2014/chartex">
  <cx:chartData>
    <cx:data id="0">
      <cx:strDim type="cat">
        <cx:f>_xlchart.0</cx:f>
      </cx:strDim>
      <cx:numDim type="val">
        <cx:f>_xlchart.2</cx:f>
      </cx:numDim>
    </cx:data>
    <cx:data id="1">
      <cx:strDim type="cat">
        <cx:f>_xlchart.0</cx:f>
      </cx:strDim>
      <cx:numDim type="val">
        <cx:f>_xlchart.4</cx:f>
      </cx:numDim>
    </cx:data>
    <cx:data id="2">
      <cx:strDim type="cat">
        <cx:f>_xlchart.0</cx:f>
      </cx:strDim>
      <cx:numDim type="val">
        <cx:f>_xlchart.6</cx:f>
      </cx:numDim>
    </cx:data>
    <cx:data id="3">
      <cx:strDim type="cat">
        <cx:f>_xlchart.0</cx:f>
      </cx:strDim>
      <cx:numDim type="val">
        <cx:f>_xlchart.8</cx:f>
      </cx:numDim>
    </cx:data>
    <cx:data id="4">
      <cx:strDim type="cat">
        <cx:f>_xlchart.0</cx:f>
      </cx:strDim>
      <cx:numDim type="val">
        <cx:f>_xlchart.10</cx:f>
      </cx:numDim>
    </cx:data>
    <cx:data id="5">
      <cx:strDim type="cat">
        <cx:f>_xlchart.0</cx:f>
      </cx:strDim>
      <cx:numDim type="val">
        <cx:f>_xlchart.12</cx:f>
      </cx:numDim>
    </cx:data>
    <cx:data id="6">
      <cx:strDim type="cat">
        <cx:f>_xlchart.0</cx:f>
      </cx:strDim>
      <cx:numDim type="val">
        <cx:f>_xlchart.14</cx:f>
      </cx:numDim>
    </cx:data>
    <cx:data id="7">
      <cx:strDim type="cat">
        <cx:f>_xlchart.0</cx:f>
      </cx:strDim>
      <cx:numDim type="val">
        <cx:f>_xlchart.16</cx:f>
      </cx:numDim>
    </cx:data>
    <cx:data id="8">
      <cx:strDim type="cat">
        <cx:f>_xlchart.0</cx:f>
      </cx:strDim>
      <cx:numDim type="val">
        <cx:f>_xlchart.18</cx:f>
      </cx:numDim>
    </cx:data>
    <cx:data id="9">
      <cx:strDim type="cat">
        <cx:f>_xlchart.0</cx:f>
      </cx:strDim>
      <cx:numDim type="val">
        <cx:f>_xlchart.20</cx:f>
      </cx:numDim>
    </cx:data>
    <cx:data id="10">
      <cx:strDim type="cat">
        <cx:f>_xlchart.0</cx:f>
      </cx:strDim>
      <cx:numDim type="val">
        <cx:f>_xlchart.22</cx:f>
      </cx:numDim>
    </cx:data>
  </cx:chartData>
  <cx:chart>
    <cx:title pos="t" align="ctr" overlay="0">
      <cx:tx>
        <cx:rich>
          <a:bodyPr spcFirstLastPara="1" vertOverflow="ellipsis" wrap="square" lIns="0" tIns="0" rIns="0" bIns="0" anchor="ctr" anchorCtr="1"/>
          <a:lstStyle/>
          <a:p>
            <a:pPr algn="ctr">
              <a:defRPr/>
            </a:pPr>
            <a:r>
              <a:rPr lang="en-US"/>
              <a:t>Waterfall Chart Diagram</a:t>
            </a:r>
          </a:p>
        </cx:rich>
      </cx:tx>
    </cx:title>
    <cx:plotArea>
      <cx:plotAreaRegion>
        <cx:series layoutId="waterfall" hidden="1" uniqueId="{079A3106-7F30-4CFD-925D-61377BF7C792}" formatIdx="0">
          <cx:tx>
            <cx:txData>
              <cx:f>_xlchart.1</cx:f>
              <cx:v/>
            </cx:txData>
          </cx:tx>
          <cx:dataLabels pos="outEnd">
            <cx:visibility seriesName="0" categoryName="0" value="1"/>
          </cx:dataLabels>
          <cx:dataId val="0"/>
          <cx:layoutPr>
            <cx:subtotals/>
          </cx:layoutPr>
        </cx:series>
        <cx:series layoutId="waterfall" uniqueId="{4EB2AE4C-3122-49CC-ACFE-1A92AD893894}" formatIdx="1">
          <cx:tx>
            <cx:txData>
              <cx:f>_xlchart.3</cx:f>
              <cx:v>Scenario 1</cx:v>
            </cx:txData>
          </cx:tx>
          <cx:dataLabels pos="outEnd">
            <cx:visibility seriesName="0" categoryName="0" value="1"/>
          </cx:dataLabels>
          <cx:dataId val="1"/>
          <cx:layoutPr>
            <cx:subtotals/>
          </cx:layoutPr>
        </cx:series>
        <cx:series layoutId="waterfall" hidden="1" uniqueId="{BE54B306-0BF2-4EA0-8568-ABE0E3674F72}" formatIdx="2">
          <cx:tx>
            <cx:txData>
              <cx:f>_xlchart.5</cx:f>
              <cx:v>Scenario 2</cx:v>
            </cx:txData>
          </cx:tx>
          <cx:dataLabels pos="outEnd">
            <cx:visibility seriesName="0" categoryName="0" value="1"/>
          </cx:dataLabels>
          <cx:dataId val="2"/>
          <cx:layoutPr>
            <cx:subtotals/>
          </cx:layoutPr>
        </cx:series>
        <cx:series layoutId="waterfall" hidden="1" uniqueId="{BEC542F6-D83B-4253-ABD3-1DD75BAB504C}" formatIdx="3">
          <cx:tx>
            <cx:txData>
              <cx:f>_xlchart.7</cx:f>
              <cx:v>Scenraio 3</cx:v>
            </cx:txData>
          </cx:tx>
          <cx:dataLabels pos="outEnd">
            <cx:visibility seriesName="0" categoryName="0" value="1"/>
          </cx:dataLabels>
          <cx:dataId val="3"/>
          <cx:layoutPr>
            <cx:subtotals/>
          </cx:layoutPr>
        </cx:series>
        <cx:series layoutId="waterfall" hidden="1" uniqueId="{EEC6090B-66F6-4453-A949-65685289A6F5}" formatIdx="4">
          <cx:tx>
            <cx:txData>
              <cx:f>_xlchart.9</cx:f>
              <cx:v>Scenario 4</cx:v>
            </cx:txData>
          </cx:tx>
          <cx:dataLabels pos="outEnd">
            <cx:visibility seriesName="0" categoryName="0" value="1"/>
          </cx:dataLabels>
          <cx:dataId val="4"/>
          <cx:layoutPr>
            <cx:subtotals/>
          </cx:layoutPr>
        </cx:series>
        <cx:series layoutId="waterfall" hidden="1" uniqueId="{03B4DCB3-CA5C-49B4-8403-F71896A79139}" formatIdx="5">
          <cx:tx>
            <cx:txData>
              <cx:f>_xlchart.11</cx:f>
              <cx:v>Scenario 5</cx:v>
            </cx:txData>
          </cx:tx>
          <cx:dataLabels pos="outEnd">
            <cx:visibility seriesName="0" categoryName="0" value="1"/>
          </cx:dataLabels>
          <cx:dataId val="5"/>
          <cx:layoutPr>
            <cx:subtotals/>
          </cx:layoutPr>
        </cx:series>
        <cx:series layoutId="waterfall" hidden="1" uniqueId="{02A13387-446D-4CD4-A67E-EA7222475E89}" formatIdx="6">
          <cx:tx>
            <cx:txData>
              <cx:f>_xlchart.13</cx:f>
              <cx:v>Scenario 6</cx:v>
            </cx:txData>
          </cx:tx>
          <cx:dataLabels pos="outEnd">
            <cx:visibility seriesName="0" categoryName="0" value="1"/>
          </cx:dataLabels>
          <cx:dataId val="6"/>
          <cx:layoutPr>
            <cx:subtotals/>
          </cx:layoutPr>
        </cx:series>
        <cx:series layoutId="waterfall" hidden="1" uniqueId="{E0FEBE6F-B93A-449B-B187-9BFBA1DE7C8F}" formatIdx="7">
          <cx:tx>
            <cx:txData>
              <cx:f>_xlchart.15</cx:f>
              <cx:v>Scenario 7</cx:v>
            </cx:txData>
          </cx:tx>
          <cx:dataLabels pos="outEnd">
            <cx:visibility seriesName="0" categoryName="0" value="1"/>
          </cx:dataLabels>
          <cx:dataId val="7"/>
          <cx:layoutPr>
            <cx:subtotals/>
          </cx:layoutPr>
        </cx:series>
        <cx:series layoutId="waterfall" hidden="1" uniqueId="{E9A40897-DA2B-48EF-A1AF-4397920EB57A}" formatIdx="8">
          <cx:tx>
            <cx:txData>
              <cx:f>_xlchart.17</cx:f>
              <cx:v>Scenario 8</cx:v>
            </cx:txData>
          </cx:tx>
          <cx:dataLabels pos="outEnd">
            <cx:visibility seriesName="0" categoryName="0" value="1"/>
          </cx:dataLabels>
          <cx:dataId val="8"/>
          <cx:layoutPr>
            <cx:subtotals/>
          </cx:layoutPr>
        </cx:series>
        <cx:series layoutId="waterfall" hidden="1" uniqueId="{02246E28-C714-4D4C-96C0-BBFB0F4818B9}" formatIdx="9">
          <cx:tx>
            <cx:txData>
              <cx:f>_xlchart.19</cx:f>
              <cx:v>Scenario check Task 21</cx:v>
            </cx:txData>
          </cx:tx>
          <cx:dataLabels pos="outEnd">
            <cx:visibility seriesName="0" categoryName="0" value="1"/>
          </cx:dataLabels>
          <cx:dataId val="9"/>
          <cx:layoutPr>
            <cx:subtotals/>
          </cx:layoutPr>
        </cx:series>
        <cx:series layoutId="waterfall" hidden="1" uniqueId="{6EF5DAD5-A9EE-408B-88C7-910039A07924}" formatIdx="10">
          <cx:tx>
            <cx:txData>
              <cx:f>_xlchart.21</cx:f>
              <cx:v>Scenario next</cx:v>
            </cx:txData>
          </cx:tx>
          <cx:dataLabels pos="outEnd">
            <cx:visibility seriesName="0" categoryName="0" value="1"/>
          </cx:dataLabels>
          <cx:dataId val="10"/>
          <cx:layoutPr>
            <cx:subtotals/>
          </cx:layoutPr>
        </cx:series>
      </cx:plotAreaRegion>
      <cx:axis id="0">
        <cx:catScaling gapWidth="0.5"/>
        <cx:tickLabels/>
      </cx:axis>
      <cx:axis id="1">
        <cx:valScaling/>
        <cx:majorGridlines/>
        <cx:tickLabels/>
      </cx:axis>
    </cx:plotArea>
    <cx:legend pos="t" align="ctr" overlay="0"/>
  </cx:chart>
</cx: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Stacked Column Chart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'Scenario Summary '!$D$2:$D$8</c:f>
              <c:strCache>
                <c:ptCount val="7"/>
                <c:pt idx="0">
                  <c:v>Scenario Summary</c:v>
                </c:pt>
                <c:pt idx="1">
                  <c:v>Current Values:</c:v>
                </c:pt>
                <c:pt idx="3">
                  <c:v>Changing Cells:</c:v>
                </c:pt>
                <c:pt idx="4">
                  <c:v>IR</c:v>
                </c:pt>
                <c:pt idx="5">
                  <c:v>Store Markup</c:v>
                </c:pt>
                <c:pt idx="6">
                  <c:v>Lethbridge-Stewart Freight </c:v>
                </c:pt>
              </c:strCache>
            </c:strRef>
          </c:tx>
          <c:spPr>
            <a:solidFill>
              <a:schemeClr val="accent1"/>
            </a:solidFill>
            <a:ln>
              <a:noFill/>
            </a:ln>
            <a:effectLst/>
          </c:spPr>
          <c:invertIfNegative val="0"/>
          <c:cat>
            <c:strRef>
              <c:f>'Scenario Summary '!$B$9:$C$18</c:f>
              <c:strCache>
                <c:ptCount val="10"/>
                <c:pt idx="0">
                  <c:v>TotalSales</c:v>
                </c:pt>
                <c:pt idx="1">
                  <c:v>HalfYearExpenses</c:v>
                </c:pt>
                <c:pt idx="2">
                  <c:v>TotalPurchaseExpenses</c:v>
                </c:pt>
                <c:pt idx="3">
                  <c:v>FreightOutwardExpenses</c:v>
                </c:pt>
                <c:pt idx="4">
                  <c:v>PercentageFreightOutward_Sales</c:v>
                </c:pt>
                <c:pt idx="5">
                  <c:v>Fixed_and_Varaible_expenses</c:v>
                </c:pt>
                <c:pt idx="6">
                  <c:v>Total_Profit</c:v>
                </c:pt>
                <c:pt idx="7">
                  <c:v>Total_discount_for_Orders</c:v>
                </c:pt>
                <c:pt idx="8">
                  <c:v>TOtal_sales_discount_Percentage</c:v>
                </c:pt>
                <c:pt idx="9">
                  <c:v>Total_Number_of_Order_discount</c:v>
                </c:pt>
              </c:strCache>
            </c:strRef>
          </c:cat>
          <c:val>
            <c:numRef>
              <c:f>'Scenario Summary '!$D$9:$D$18</c:f>
            </c:numRef>
          </c:val>
          <c:extLst>
            <c:ext xmlns:c16="http://schemas.microsoft.com/office/drawing/2014/chart" uri="{C3380CC4-5D6E-409C-BE32-E72D297353CC}">
              <c16:uniqueId val="{00000000-EA19-4001-B722-C742FB6B486C}"/>
            </c:ext>
          </c:extLst>
        </c:ser>
        <c:ser>
          <c:idx val="1"/>
          <c:order val="1"/>
          <c:tx>
            <c:strRef>
              <c:f>'Scenario Summary '!$E$2:$E$8</c:f>
              <c:strCache>
                <c:ptCount val="7"/>
                <c:pt idx="0">
                  <c:v>Scenario Summary</c:v>
                </c:pt>
                <c:pt idx="1">
                  <c:v>Scenario 1</c:v>
                </c:pt>
                <c:pt idx="2">
                  <c:v>Created by Author on 4/12/2023
Modified by Author on 4/18/2023
Modified by Author on 4/21/2023
Modified by Author on 4/21/2023
Modified by Author on 4/21/2023</c:v>
                </c:pt>
                <c:pt idx="3">
                  <c:v>Changing Cells:</c:v>
                </c:pt>
                <c:pt idx="4">
                  <c:v>IR</c:v>
                </c:pt>
                <c:pt idx="5">
                  <c:v>Store Markup</c:v>
                </c:pt>
                <c:pt idx="6">
                  <c:v>Lethbridge-Stewart Freight </c:v>
                </c:pt>
              </c:strCache>
            </c:strRef>
          </c:tx>
          <c:spPr>
            <a:solidFill>
              <a:schemeClr val="accent2"/>
            </a:solidFill>
            <a:ln>
              <a:noFill/>
            </a:ln>
            <a:effectLst/>
          </c:spPr>
          <c:invertIfNegative val="0"/>
          <c:cat>
            <c:strRef>
              <c:f>'Scenario Summary '!$B$9:$C$18</c:f>
              <c:strCache>
                <c:ptCount val="10"/>
                <c:pt idx="0">
                  <c:v>TotalSales</c:v>
                </c:pt>
                <c:pt idx="1">
                  <c:v>HalfYearExpenses</c:v>
                </c:pt>
                <c:pt idx="2">
                  <c:v>TotalPurchaseExpenses</c:v>
                </c:pt>
                <c:pt idx="3">
                  <c:v>FreightOutwardExpenses</c:v>
                </c:pt>
                <c:pt idx="4">
                  <c:v>PercentageFreightOutward_Sales</c:v>
                </c:pt>
                <c:pt idx="5">
                  <c:v>Fixed_and_Varaible_expenses</c:v>
                </c:pt>
                <c:pt idx="6">
                  <c:v>Total_Profit</c:v>
                </c:pt>
                <c:pt idx="7">
                  <c:v>Total_discount_for_Orders</c:v>
                </c:pt>
                <c:pt idx="8">
                  <c:v>TOtal_sales_discount_Percentage</c:v>
                </c:pt>
                <c:pt idx="9">
                  <c:v>Total_Number_of_Order_discount</c:v>
                </c:pt>
              </c:strCache>
            </c:strRef>
          </c:cat>
          <c:val>
            <c:numRef>
              <c:f>'Scenario Summary '!$E$9:$E$18</c:f>
              <c:numCache>
                <c:formatCode>"$"#,##0.00_);[Red]\("$"#,##0.00\)</c:formatCode>
                <c:ptCount val="10"/>
                <c:pt idx="0" formatCode="General">
                  <c:v>1060983.31</c:v>
                </c:pt>
                <c:pt idx="1">
                  <c:v>530491.65500000003</c:v>
                </c:pt>
                <c:pt idx="2" formatCode="General">
                  <c:v>701584.49999999802</c:v>
                </c:pt>
                <c:pt idx="3" formatCode="General">
                  <c:v>36515.860000000503</c:v>
                </c:pt>
                <c:pt idx="4" formatCode="0.00%">
                  <c:v>0.29060000000000002</c:v>
                </c:pt>
                <c:pt idx="5">
                  <c:v>816515.72</c:v>
                </c:pt>
                <c:pt idx="6">
                  <c:v>244467.59</c:v>
                </c:pt>
                <c:pt idx="7" formatCode="General">
                  <c:v>43991.470000000103</c:v>
                </c:pt>
                <c:pt idx="8" formatCode="0.00%">
                  <c:v>0.2412</c:v>
                </c:pt>
                <c:pt idx="9" formatCode="General">
                  <c:v>448</c:v>
                </c:pt>
              </c:numCache>
            </c:numRef>
          </c:val>
          <c:extLst>
            <c:ext xmlns:c16="http://schemas.microsoft.com/office/drawing/2014/chart" uri="{C3380CC4-5D6E-409C-BE32-E72D297353CC}">
              <c16:uniqueId val="{00000001-EA19-4001-B722-C742FB6B486C}"/>
            </c:ext>
          </c:extLst>
        </c:ser>
        <c:ser>
          <c:idx val="2"/>
          <c:order val="2"/>
          <c:tx>
            <c:strRef>
              <c:f>'Scenario Summary '!$F$2:$F$8</c:f>
              <c:strCache>
                <c:ptCount val="7"/>
                <c:pt idx="0">
                  <c:v>Scenario Summary</c:v>
                </c:pt>
                <c:pt idx="1">
                  <c:v>Scenario 2</c:v>
                </c:pt>
                <c:pt idx="2">
                  <c:v>Created by Author on 4/12/2023
Modified by Author on 4/21/2023</c:v>
                </c:pt>
                <c:pt idx="3">
                  <c:v>Changing Cells:</c:v>
                </c:pt>
                <c:pt idx="4">
                  <c:v>IR</c:v>
                </c:pt>
                <c:pt idx="5">
                  <c:v>Store Markup</c:v>
                </c:pt>
                <c:pt idx="6">
                  <c:v>Lethbridge-Stewart Freight </c:v>
                </c:pt>
              </c:strCache>
            </c:strRef>
          </c:tx>
          <c:spPr>
            <a:solidFill>
              <a:schemeClr val="accent3"/>
            </a:solidFill>
            <a:ln>
              <a:noFill/>
            </a:ln>
            <a:effectLst/>
          </c:spPr>
          <c:invertIfNegative val="0"/>
          <c:cat>
            <c:strRef>
              <c:f>'Scenario Summary '!$B$9:$C$18</c:f>
              <c:strCache>
                <c:ptCount val="10"/>
                <c:pt idx="0">
                  <c:v>TotalSales</c:v>
                </c:pt>
                <c:pt idx="1">
                  <c:v>HalfYearExpenses</c:v>
                </c:pt>
                <c:pt idx="2">
                  <c:v>TotalPurchaseExpenses</c:v>
                </c:pt>
                <c:pt idx="3">
                  <c:v>FreightOutwardExpenses</c:v>
                </c:pt>
                <c:pt idx="4">
                  <c:v>PercentageFreightOutward_Sales</c:v>
                </c:pt>
                <c:pt idx="5">
                  <c:v>Fixed_and_Varaible_expenses</c:v>
                </c:pt>
                <c:pt idx="6">
                  <c:v>Total_Profit</c:v>
                </c:pt>
                <c:pt idx="7">
                  <c:v>Total_discount_for_Orders</c:v>
                </c:pt>
                <c:pt idx="8">
                  <c:v>TOtal_sales_discount_Percentage</c:v>
                </c:pt>
                <c:pt idx="9">
                  <c:v>Total_Number_of_Order_discount</c:v>
                </c:pt>
              </c:strCache>
            </c:strRef>
          </c:cat>
          <c:val>
            <c:numRef>
              <c:f>'Scenario Summary '!$F$9:$F$18</c:f>
              <c:numCache>
                <c:formatCode>"$"#,##0.00_);[Red]\("$"#,##0.00\)</c:formatCode>
                <c:ptCount val="10"/>
                <c:pt idx="0" formatCode="General">
                  <c:v>1260983.31</c:v>
                </c:pt>
                <c:pt idx="1">
                  <c:v>532221.255</c:v>
                </c:pt>
                <c:pt idx="2" formatCode="General">
                  <c:v>701584.49999999802</c:v>
                </c:pt>
                <c:pt idx="3" formatCode="General">
                  <c:v>36515.860000000503</c:v>
                </c:pt>
                <c:pt idx="4" formatCode="0.00%">
                  <c:v>0.29060000000000002</c:v>
                </c:pt>
                <c:pt idx="5">
                  <c:v>816515.72</c:v>
                </c:pt>
                <c:pt idx="6">
                  <c:v>123444.59</c:v>
                </c:pt>
                <c:pt idx="7" formatCode="General">
                  <c:v>21222.470000000099</c:v>
                </c:pt>
                <c:pt idx="8" formatCode="0.00%">
                  <c:v>0.2412</c:v>
                </c:pt>
                <c:pt idx="9" formatCode="General">
                  <c:v>454</c:v>
                </c:pt>
              </c:numCache>
            </c:numRef>
          </c:val>
          <c:extLst>
            <c:ext xmlns:c16="http://schemas.microsoft.com/office/drawing/2014/chart" uri="{C3380CC4-5D6E-409C-BE32-E72D297353CC}">
              <c16:uniqueId val="{00000002-EA19-4001-B722-C742FB6B486C}"/>
            </c:ext>
          </c:extLst>
        </c:ser>
        <c:ser>
          <c:idx val="3"/>
          <c:order val="3"/>
          <c:tx>
            <c:strRef>
              <c:f>'Scenario Summary '!$G$2:$G$8</c:f>
              <c:strCache>
                <c:ptCount val="7"/>
                <c:pt idx="0">
                  <c:v>Scenario Summary</c:v>
                </c:pt>
                <c:pt idx="1">
                  <c:v>Scenraio 3</c:v>
                </c:pt>
                <c:pt idx="2">
                  <c:v>Created by Author on 4/12/2023
Modified by Author on 4/21/2023</c:v>
                </c:pt>
                <c:pt idx="3">
                  <c:v>Changing Cells:</c:v>
                </c:pt>
                <c:pt idx="4">
                  <c:v>IR</c:v>
                </c:pt>
                <c:pt idx="5">
                  <c:v>Store Markup</c:v>
                </c:pt>
                <c:pt idx="6">
                  <c:v>Davros Transport</c:v>
                </c:pt>
              </c:strCache>
            </c:strRef>
          </c:tx>
          <c:spPr>
            <a:solidFill>
              <a:schemeClr val="accent4"/>
            </a:solidFill>
            <a:ln>
              <a:noFill/>
            </a:ln>
            <a:effectLst/>
          </c:spPr>
          <c:invertIfNegative val="0"/>
          <c:cat>
            <c:strRef>
              <c:f>'Scenario Summary '!$B$9:$C$18</c:f>
              <c:strCache>
                <c:ptCount val="10"/>
                <c:pt idx="0">
                  <c:v>TotalSales</c:v>
                </c:pt>
                <c:pt idx="1">
                  <c:v>HalfYearExpenses</c:v>
                </c:pt>
                <c:pt idx="2">
                  <c:v>TotalPurchaseExpenses</c:v>
                </c:pt>
                <c:pt idx="3">
                  <c:v>FreightOutwardExpenses</c:v>
                </c:pt>
                <c:pt idx="4">
                  <c:v>PercentageFreightOutward_Sales</c:v>
                </c:pt>
                <c:pt idx="5">
                  <c:v>Fixed_and_Varaible_expenses</c:v>
                </c:pt>
                <c:pt idx="6">
                  <c:v>Total_Profit</c:v>
                </c:pt>
                <c:pt idx="7">
                  <c:v>Total_discount_for_Orders</c:v>
                </c:pt>
                <c:pt idx="8">
                  <c:v>TOtal_sales_discount_Percentage</c:v>
                </c:pt>
                <c:pt idx="9">
                  <c:v>Total_Number_of_Order_discount</c:v>
                </c:pt>
              </c:strCache>
            </c:strRef>
          </c:cat>
          <c:val>
            <c:numRef>
              <c:f>'Scenario Summary '!$G$9:$G$18</c:f>
              <c:numCache>
                <c:formatCode>"$"#,##0.00_);[Red]\("$"#,##0.00\)</c:formatCode>
                <c:ptCount val="10"/>
                <c:pt idx="0" formatCode="General">
                  <c:v>1262453.1200000001</c:v>
                </c:pt>
                <c:pt idx="1">
                  <c:v>5210491.6550000003</c:v>
                </c:pt>
                <c:pt idx="2" formatCode="General">
                  <c:v>3451584.4999999902</c:v>
                </c:pt>
                <c:pt idx="3" formatCode="General">
                  <c:v>46515.860000000503</c:v>
                </c:pt>
                <c:pt idx="4" formatCode="0.00%">
                  <c:v>0.3906</c:v>
                </c:pt>
                <c:pt idx="5">
                  <c:v>216515.72</c:v>
                </c:pt>
                <c:pt idx="6">
                  <c:v>224467.59</c:v>
                </c:pt>
                <c:pt idx="7" formatCode="General">
                  <c:v>23991.470000000099</c:v>
                </c:pt>
                <c:pt idx="8" formatCode="0.00%">
                  <c:v>0.14119999999999999</c:v>
                </c:pt>
                <c:pt idx="9" formatCode="General">
                  <c:v>448</c:v>
                </c:pt>
              </c:numCache>
            </c:numRef>
          </c:val>
          <c:extLst>
            <c:ext xmlns:c16="http://schemas.microsoft.com/office/drawing/2014/chart" uri="{C3380CC4-5D6E-409C-BE32-E72D297353CC}">
              <c16:uniqueId val="{00000003-EA19-4001-B722-C742FB6B486C}"/>
            </c:ext>
          </c:extLst>
        </c:ser>
        <c:ser>
          <c:idx val="4"/>
          <c:order val="4"/>
          <c:tx>
            <c:strRef>
              <c:f>'Scenario Summary '!$H$2:$H$8</c:f>
              <c:strCache>
                <c:ptCount val="7"/>
                <c:pt idx="0">
                  <c:v>Scenario Summary</c:v>
                </c:pt>
                <c:pt idx="1">
                  <c:v>Scenario 4</c:v>
                </c:pt>
                <c:pt idx="2">
                  <c:v>Created by Author on 4/12/2023
Modified by Author on 4/21/2023</c:v>
                </c:pt>
                <c:pt idx="3">
                  <c:v>Changing Cells:</c:v>
                </c:pt>
                <c:pt idx="4">
                  <c:v>CA</c:v>
                </c:pt>
                <c:pt idx="5">
                  <c:v>Store Markup</c:v>
                </c:pt>
                <c:pt idx="6">
                  <c:v>Davros Transport </c:v>
                </c:pt>
              </c:strCache>
            </c:strRef>
          </c:tx>
          <c:spPr>
            <a:solidFill>
              <a:schemeClr val="accent5"/>
            </a:solidFill>
            <a:ln>
              <a:noFill/>
            </a:ln>
            <a:effectLst/>
          </c:spPr>
          <c:invertIfNegative val="0"/>
          <c:cat>
            <c:strRef>
              <c:f>'Scenario Summary '!$B$9:$C$18</c:f>
              <c:strCache>
                <c:ptCount val="10"/>
                <c:pt idx="0">
                  <c:v>TotalSales</c:v>
                </c:pt>
                <c:pt idx="1">
                  <c:v>HalfYearExpenses</c:v>
                </c:pt>
                <c:pt idx="2">
                  <c:v>TotalPurchaseExpenses</c:v>
                </c:pt>
                <c:pt idx="3">
                  <c:v>FreightOutwardExpenses</c:v>
                </c:pt>
                <c:pt idx="4">
                  <c:v>PercentageFreightOutward_Sales</c:v>
                </c:pt>
                <c:pt idx="5">
                  <c:v>Fixed_and_Varaible_expenses</c:v>
                </c:pt>
                <c:pt idx="6">
                  <c:v>Total_Profit</c:v>
                </c:pt>
                <c:pt idx="7">
                  <c:v>Total_discount_for_Orders</c:v>
                </c:pt>
                <c:pt idx="8">
                  <c:v>TOtal_sales_discount_Percentage</c:v>
                </c:pt>
                <c:pt idx="9">
                  <c:v>Total_Number_of_Order_discount</c:v>
                </c:pt>
              </c:strCache>
            </c:strRef>
          </c:cat>
          <c:val>
            <c:numRef>
              <c:f>'Scenario Summary '!$H$9:$H$18</c:f>
              <c:numCache>
                <c:formatCode>"$"#,##0.00_);[Red]\("$"#,##0.00\)</c:formatCode>
                <c:ptCount val="10"/>
                <c:pt idx="0" formatCode="General">
                  <c:v>2300983.31</c:v>
                </c:pt>
                <c:pt idx="1">
                  <c:v>520491.65500000003</c:v>
                </c:pt>
                <c:pt idx="2" formatCode="General">
                  <c:v>901584.49999999802</c:v>
                </c:pt>
                <c:pt idx="3" formatCode="General">
                  <c:v>36515.860000000503</c:v>
                </c:pt>
                <c:pt idx="4" formatCode="0.00%">
                  <c:v>0.29060000000000002</c:v>
                </c:pt>
                <c:pt idx="5">
                  <c:v>816515.72</c:v>
                </c:pt>
                <c:pt idx="6">
                  <c:v>244467.59</c:v>
                </c:pt>
                <c:pt idx="7" formatCode="General">
                  <c:v>43991.470000000103</c:v>
                </c:pt>
                <c:pt idx="8" formatCode="0.00%">
                  <c:v>0.2412</c:v>
                </c:pt>
                <c:pt idx="9" formatCode="General">
                  <c:v>448</c:v>
                </c:pt>
              </c:numCache>
            </c:numRef>
          </c:val>
          <c:extLst>
            <c:ext xmlns:c16="http://schemas.microsoft.com/office/drawing/2014/chart" uri="{C3380CC4-5D6E-409C-BE32-E72D297353CC}">
              <c16:uniqueId val="{00000004-EA19-4001-B722-C742FB6B486C}"/>
            </c:ext>
          </c:extLst>
        </c:ser>
        <c:ser>
          <c:idx val="5"/>
          <c:order val="5"/>
          <c:tx>
            <c:strRef>
              <c:f>'Scenario Summary '!$I$2:$I$8</c:f>
              <c:strCache>
                <c:ptCount val="7"/>
                <c:pt idx="0">
                  <c:v>Scenario Summary</c:v>
                </c:pt>
                <c:pt idx="1">
                  <c:v>Scenario 5</c:v>
                </c:pt>
                <c:pt idx="2">
                  <c:v>Created by Author on 4/12/2023
Modified by Author on 4/12/2023
Modified by Author on 4/21/2023</c:v>
                </c:pt>
                <c:pt idx="3">
                  <c:v>Changing Cells:</c:v>
                </c:pt>
                <c:pt idx="4">
                  <c:v>IR</c:v>
                </c:pt>
                <c:pt idx="5">
                  <c:v>Supplier Markup</c:v>
                </c:pt>
                <c:pt idx="6">
                  <c:v>Lethbridge-Stewart Freight </c:v>
                </c:pt>
              </c:strCache>
            </c:strRef>
          </c:tx>
          <c:spPr>
            <a:solidFill>
              <a:schemeClr val="accent6"/>
            </a:solidFill>
            <a:ln>
              <a:noFill/>
            </a:ln>
            <a:effectLst/>
          </c:spPr>
          <c:invertIfNegative val="0"/>
          <c:cat>
            <c:strRef>
              <c:f>'Scenario Summary '!$B$9:$C$18</c:f>
              <c:strCache>
                <c:ptCount val="10"/>
                <c:pt idx="0">
                  <c:v>TotalSales</c:v>
                </c:pt>
                <c:pt idx="1">
                  <c:v>HalfYearExpenses</c:v>
                </c:pt>
                <c:pt idx="2">
                  <c:v>TotalPurchaseExpenses</c:v>
                </c:pt>
                <c:pt idx="3">
                  <c:v>FreightOutwardExpenses</c:v>
                </c:pt>
                <c:pt idx="4">
                  <c:v>PercentageFreightOutward_Sales</c:v>
                </c:pt>
                <c:pt idx="5">
                  <c:v>Fixed_and_Varaible_expenses</c:v>
                </c:pt>
                <c:pt idx="6">
                  <c:v>Total_Profit</c:v>
                </c:pt>
                <c:pt idx="7">
                  <c:v>Total_discount_for_Orders</c:v>
                </c:pt>
                <c:pt idx="8">
                  <c:v>TOtal_sales_discount_Percentage</c:v>
                </c:pt>
                <c:pt idx="9">
                  <c:v>Total_Number_of_Order_discount</c:v>
                </c:pt>
              </c:strCache>
            </c:strRef>
          </c:cat>
          <c:val>
            <c:numRef>
              <c:f>'Scenario Summary '!$I$9:$I$18</c:f>
              <c:numCache>
                <c:formatCode>"$"#,##0.00_);[Red]\("$"#,##0.00\)</c:formatCode>
                <c:ptCount val="10"/>
                <c:pt idx="0" formatCode="General">
                  <c:v>1060983.31</c:v>
                </c:pt>
                <c:pt idx="1">
                  <c:v>530491.65500000003</c:v>
                </c:pt>
                <c:pt idx="2" formatCode="General">
                  <c:v>701584.49999999802</c:v>
                </c:pt>
                <c:pt idx="3" formatCode="General">
                  <c:v>36515.860000000503</c:v>
                </c:pt>
                <c:pt idx="4" formatCode="0.00%">
                  <c:v>0.29060000000000002</c:v>
                </c:pt>
                <c:pt idx="5">
                  <c:v>816515.72</c:v>
                </c:pt>
                <c:pt idx="6">
                  <c:v>244467.59</c:v>
                </c:pt>
                <c:pt idx="7" formatCode="General">
                  <c:v>43991.470000000103</c:v>
                </c:pt>
                <c:pt idx="8" formatCode="0.00%">
                  <c:v>0.2412</c:v>
                </c:pt>
                <c:pt idx="9" formatCode="General">
                  <c:v>448</c:v>
                </c:pt>
              </c:numCache>
            </c:numRef>
          </c:val>
          <c:extLst>
            <c:ext xmlns:c16="http://schemas.microsoft.com/office/drawing/2014/chart" uri="{C3380CC4-5D6E-409C-BE32-E72D297353CC}">
              <c16:uniqueId val="{00000005-EA19-4001-B722-C742FB6B486C}"/>
            </c:ext>
          </c:extLst>
        </c:ser>
        <c:ser>
          <c:idx val="6"/>
          <c:order val="6"/>
          <c:tx>
            <c:strRef>
              <c:f>'Scenario Summary '!$J$2:$J$8</c:f>
              <c:strCache>
                <c:ptCount val="7"/>
                <c:pt idx="0">
                  <c:v>Scenario Summary</c:v>
                </c:pt>
                <c:pt idx="1">
                  <c:v>Scenario 6</c:v>
                </c:pt>
                <c:pt idx="2">
                  <c:v>Created by Author on 4/12/2023
Modified by Author on 4/12/2023
Modified by Author on 4/21/2023</c:v>
                </c:pt>
                <c:pt idx="3">
                  <c:v>Changing Cells:</c:v>
                </c:pt>
                <c:pt idx="4">
                  <c:v>CA</c:v>
                </c:pt>
                <c:pt idx="5">
                  <c:v>Supplier Markup</c:v>
                </c:pt>
                <c:pt idx="6">
                  <c:v>Lethbridge-Stewart Freight </c:v>
                </c:pt>
              </c:strCache>
            </c:strRef>
          </c:tx>
          <c:spPr>
            <a:solidFill>
              <a:schemeClr val="accent1">
                <a:lumMod val="60000"/>
              </a:schemeClr>
            </a:solidFill>
            <a:ln>
              <a:noFill/>
            </a:ln>
            <a:effectLst/>
          </c:spPr>
          <c:invertIfNegative val="0"/>
          <c:cat>
            <c:strRef>
              <c:f>'Scenario Summary '!$B$9:$C$18</c:f>
              <c:strCache>
                <c:ptCount val="10"/>
                <c:pt idx="0">
                  <c:v>TotalSales</c:v>
                </c:pt>
                <c:pt idx="1">
                  <c:v>HalfYearExpenses</c:v>
                </c:pt>
                <c:pt idx="2">
                  <c:v>TotalPurchaseExpenses</c:v>
                </c:pt>
                <c:pt idx="3">
                  <c:v>FreightOutwardExpenses</c:v>
                </c:pt>
                <c:pt idx="4">
                  <c:v>PercentageFreightOutward_Sales</c:v>
                </c:pt>
                <c:pt idx="5">
                  <c:v>Fixed_and_Varaible_expenses</c:v>
                </c:pt>
                <c:pt idx="6">
                  <c:v>Total_Profit</c:v>
                </c:pt>
                <c:pt idx="7">
                  <c:v>Total_discount_for_Orders</c:v>
                </c:pt>
                <c:pt idx="8">
                  <c:v>TOtal_sales_discount_Percentage</c:v>
                </c:pt>
                <c:pt idx="9">
                  <c:v>Total_Number_of_Order_discount</c:v>
                </c:pt>
              </c:strCache>
            </c:strRef>
          </c:cat>
          <c:val>
            <c:numRef>
              <c:f>'Scenario Summary '!$J$9:$J$18</c:f>
              <c:numCache>
                <c:formatCode>"$"#,##0.00_);[Red]\("$"#,##0.00\)</c:formatCode>
                <c:ptCount val="10"/>
                <c:pt idx="0" formatCode="General">
                  <c:v>1060983.31</c:v>
                </c:pt>
                <c:pt idx="1">
                  <c:v>530491.65500000003</c:v>
                </c:pt>
                <c:pt idx="2" formatCode="General">
                  <c:v>701584.49999999802</c:v>
                </c:pt>
                <c:pt idx="3" formatCode="General">
                  <c:v>36515.860000000503</c:v>
                </c:pt>
                <c:pt idx="4" formatCode="0.00%">
                  <c:v>0.29060000000000002</c:v>
                </c:pt>
                <c:pt idx="5">
                  <c:v>816515.72</c:v>
                </c:pt>
                <c:pt idx="6">
                  <c:v>244467.59</c:v>
                </c:pt>
                <c:pt idx="7" formatCode="General">
                  <c:v>43991.470000000103</c:v>
                </c:pt>
                <c:pt idx="8" formatCode="0.00%">
                  <c:v>0.2412</c:v>
                </c:pt>
                <c:pt idx="9" formatCode="General">
                  <c:v>448</c:v>
                </c:pt>
              </c:numCache>
            </c:numRef>
          </c:val>
          <c:extLst>
            <c:ext xmlns:c16="http://schemas.microsoft.com/office/drawing/2014/chart" uri="{C3380CC4-5D6E-409C-BE32-E72D297353CC}">
              <c16:uniqueId val="{00000006-EA19-4001-B722-C742FB6B486C}"/>
            </c:ext>
          </c:extLst>
        </c:ser>
        <c:ser>
          <c:idx val="7"/>
          <c:order val="7"/>
          <c:tx>
            <c:strRef>
              <c:f>'Scenario Summary '!$K$2:$K$8</c:f>
              <c:strCache>
                <c:ptCount val="7"/>
                <c:pt idx="0">
                  <c:v>Scenario Summary</c:v>
                </c:pt>
                <c:pt idx="1">
                  <c:v>Scenario 7</c:v>
                </c:pt>
                <c:pt idx="2">
                  <c:v>Created by Author on 4/12/2023
Modified by Author on 4/21/2023</c:v>
                </c:pt>
                <c:pt idx="3">
                  <c:v>Changing Cells:</c:v>
                </c:pt>
                <c:pt idx="4">
                  <c:v>IR</c:v>
                </c:pt>
                <c:pt idx="5">
                  <c:v>Supplier Markup</c:v>
                </c:pt>
                <c:pt idx="6">
                  <c:v>Davros Transport</c:v>
                </c:pt>
              </c:strCache>
            </c:strRef>
          </c:tx>
          <c:spPr>
            <a:solidFill>
              <a:schemeClr val="accent2">
                <a:lumMod val="60000"/>
              </a:schemeClr>
            </a:solidFill>
            <a:ln>
              <a:noFill/>
            </a:ln>
            <a:effectLst/>
          </c:spPr>
          <c:invertIfNegative val="0"/>
          <c:cat>
            <c:strRef>
              <c:f>'Scenario Summary '!$B$9:$C$18</c:f>
              <c:strCache>
                <c:ptCount val="10"/>
                <c:pt idx="0">
                  <c:v>TotalSales</c:v>
                </c:pt>
                <c:pt idx="1">
                  <c:v>HalfYearExpenses</c:v>
                </c:pt>
                <c:pt idx="2">
                  <c:v>TotalPurchaseExpenses</c:v>
                </c:pt>
                <c:pt idx="3">
                  <c:v>FreightOutwardExpenses</c:v>
                </c:pt>
                <c:pt idx="4">
                  <c:v>PercentageFreightOutward_Sales</c:v>
                </c:pt>
                <c:pt idx="5">
                  <c:v>Fixed_and_Varaible_expenses</c:v>
                </c:pt>
                <c:pt idx="6">
                  <c:v>Total_Profit</c:v>
                </c:pt>
                <c:pt idx="7">
                  <c:v>Total_discount_for_Orders</c:v>
                </c:pt>
                <c:pt idx="8">
                  <c:v>TOtal_sales_discount_Percentage</c:v>
                </c:pt>
                <c:pt idx="9">
                  <c:v>Total_Number_of_Order_discount</c:v>
                </c:pt>
              </c:strCache>
            </c:strRef>
          </c:cat>
          <c:val>
            <c:numRef>
              <c:f>'Scenario Summary '!$K$9:$K$18</c:f>
              <c:numCache>
                <c:formatCode>"$"#,##0.00_);[Red]\("$"#,##0.00\)</c:formatCode>
                <c:ptCount val="10"/>
                <c:pt idx="0" formatCode="General">
                  <c:v>1060983.31</c:v>
                </c:pt>
                <c:pt idx="1">
                  <c:v>530491.65500000003</c:v>
                </c:pt>
                <c:pt idx="2" formatCode="General">
                  <c:v>701584.49999999802</c:v>
                </c:pt>
                <c:pt idx="3" formatCode="General">
                  <c:v>36515.860000000503</c:v>
                </c:pt>
                <c:pt idx="4" formatCode="0.00%">
                  <c:v>0.29060000000000002</c:v>
                </c:pt>
                <c:pt idx="5">
                  <c:v>816515.72</c:v>
                </c:pt>
                <c:pt idx="6">
                  <c:v>244467.59</c:v>
                </c:pt>
                <c:pt idx="7" formatCode="General">
                  <c:v>43991.470000000103</c:v>
                </c:pt>
                <c:pt idx="8" formatCode="0.00%">
                  <c:v>0.2412</c:v>
                </c:pt>
                <c:pt idx="9" formatCode="General">
                  <c:v>448</c:v>
                </c:pt>
              </c:numCache>
            </c:numRef>
          </c:val>
          <c:extLst>
            <c:ext xmlns:c16="http://schemas.microsoft.com/office/drawing/2014/chart" uri="{C3380CC4-5D6E-409C-BE32-E72D297353CC}">
              <c16:uniqueId val="{00000007-EA19-4001-B722-C742FB6B486C}"/>
            </c:ext>
          </c:extLst>
        </c:ser>
        <c:ser>
          <c:idx val="8"/>
          <c:order val="8"/>
          <c:tx>
            <c:strRef>
              <c:f>'Scenario Summary '!$L$2:$L$8</c:f>
              <c:strCache>
                <c:ptCount val="7"/>
                <c:pt idx="0">
                  <c:v>Scenario Summary</c:v>
                </c:pt>
                <c:pt idx="1">
                  <c:v>Scenario 8</c:v>
                </c:pt>
                <c:pt idx="2">
                  <c:v>Created by Author on 4/12/2023
Modified by Author on 4/21/2023</c:v>
                </c:pt>
                <c:pt idx="3">
                  <c:v>Changing Cells:</c:v>
                </c:pt>
                <c:pt idx="4">
                  <c:v>CA</c:v>
                </c:pt>
                <c:pt idx="5">
                  <c:v>Supplier Markup</c:v>
                </c:pt>
                <c:pt idx="6">
                  <c:v>Lethbridge-Stewart Freight </c:v>
                </c:pt>
              </c:strCache>
            </c:strRef>
          </c:tx>
          <c:spPr>
            <a:solidFill>
              <a:schemeClr val="accent3">
                <a:lumMod val="60000"/>
              </a:schemeClr>
            </a:solidFill>
            <a:ln>
              <a:noFill/>
            </a:ln>
            <a:effectLst/>
          </c:spPr>
          <c:invertIfNegative val="0"/>
          <c:cat>
            <c:strRef>
              <c:f>'Scenario Summary '!$B$9:$C$18</c:f>
              <c:strCache>
                <c:ptCount val="10"/>
                <c:pt idx="0">
                  <c:v>TotalSales</c:v>
                </c:pt>
                <c:pt idx="1">
                  <c:v>HalfYearExpenses</c:v>
                </c:pt>
                <c:pt idx="2">
                  <c:v>TotalPurchaseExpenses</c:v>
                </c:pt>
                <c:pt idx="3">
                  <c:v>FreightOutwardExpenses</c:v>
                </c:pt>
                <c:pt idx="4">
                  <c:v>PercentageFreightOutward_Sales</c:v>
                </c:pt>
                <c:pt idx="5">
                  <c:v>Fixed_and_Varaible_expenses</c:v>
                </c:pt>
                <c:pt idx="6">
                  <c:v>Total_Profit</c:v>
                </c:pt>
                <c:pt idx="7">
                  <c:v>Total_discount_for_Orders</c:v>
                </c:pt>
                <c:pt idx="8">
                  <c:v>TOtal_sales_discount_Percentage</c:v>
                </c:pt>
                <c:pt idx="9">
                  <c:v>Total_Number_of_Order_discount</c:v>
                </c:pt>
              </c:strCache>
            </c:strRef>
          </c:cat>
          <c:val>
            <c:numRef>
              <c:f>'Scenario Summary '!$L$9:$L$18</c:f>
              <c:numCache>
                <c:formatCode>"$"#,##0.00_);[Red]\("$"#,##0.00\)</c:formatCode>
                <c:ptCount val="10"/>
                <c:pt idx="0" formatCode="General">
                  <c:v>1060983.31</c:v>
                </c:pt>
                <c:pt idx="1">
                  <c:v>530491.65500000003</c:v>
                </c:pt>
                <c:pt idx="2" formatCode="General">
                  <c:v>701584.49999999802</c:v>
                </c:pt>
                <c:pt idx="3" formatCode="General">
                  <c:v>36515.860000000503</c:v>
                </c:pt>
                <c:pt idx="4" formatCode="0.00%">
                  <c:v>0.29060000000000002</c:v>
                </c:pt>
                <c:pt idx="5">
                  <c:v>816515.72</c:v>
                </c:pt>
                <c:pt idx="6">
                  <c:v>244467.59</c:v>
                </c:pt>
                <c:pt idx="7" formatCode="General">
                  <c:v>43991.470000000103</c:v>
                </c:pt>
                <c:pt idx="8" formatCode="0.00%">
                  <c:v>0.2412</c:v>
                </c:pt>
                <c:pt idx="9" formatCode="General">
                  <c:v>448</c:v>
                </c:pt>
              </c:numCache>
            </c:numRef>
          </c:val>
          <c:extLst>
            <c:ext xmlns:c16="http://schemas.microsoft.com/office/drawing/2014/chart" uri="{C3380CC4-5D6E-409C-BE32-E72D297353CC}">
              <c16:uniqueId val="{00000008-EA19-4001-B722-C742FB6B486C}"/>
            </c:ext>
          </c:extLst>
        </c:ser>
        <c:ser>
          <c:idx val="9"/>
          <c:order val="9"/>
          <c:tx>
            <c:strRef>
              <c:f>'Scenario Summary '!$M$2:$M$8</c:f>
              <c:strCache>
                <c:ptCount val="7"/>
                <c:pt idx="0">
                  <c:v>Scenario Summary</c:v>
                </c:pt>
                <c:pt idx="1">
                  <c:v>Scenario check Task 21</c:v>
                </c:pt>
                <c:pt idx="2">
                  <c:v>Created by Author on 4/12/2023
Modified by Author on 4/18/2023
Modified by Author on 4/18/2023
Modified by Author on 4/18/2023
Modified by Author on 4/21/2023</c:v>
                </c:pt>
                <c:pt idx="3">
                  <c:v>Changing Cells:</c:v>
                </c:pt>
                <c:pt idx="4">
                  <c:v>IR</c:v>
                </c:pt>
                <c:pt idx="5">
                  <c:v>Store Markup</c:v>
                </c:pt>
                <c:pt idx="6">
                  <c:v>Lethbridge-Stewart Freight </c:v>
                </c:pt>
              </c:strCache>
            </c:strRef>
          </c:tx>
          <c:spPr>
            <a:solidFill>
              <a:schemeClr val="accent4">
                <a:lumMod val="60000"/>
              </a:schemeClr>
            </a:solidFill>
            <a:ln>
              <a:noFill/>
            </a:ln>
            <a:effectLst/>
          </c:spPr>
          <c:invertIfNegative val="0"/>
          <c:cat>
            <c:strRef>
              <c:f>'Scenario Summary '!$B$9:$C$18</c:f>
              <c:strCache>
                <c:ptCount val="10"/>
                <c:pt idx="0">
                  <c:v>TotalSales</c:v>
                </c:pt>
                <c:pt idx="1">
                  <c:v>HalfYearExpenses</c:v>
                </c:pt>
                <c:pt idx="2">
                  <c:v>TotalPurchaseExpenses</c:v>
                </c:pt>
                <c:pt idx="3">
                  <c:v>FreightOutwardExpenses</c:v>
                </c:pt>
                <c:pt idx="4">
                  <c:v>PercentageFreightOutward_Sales</c:v>
                </c:pt>
                <c:pt idx="5">
                  <c:v>Fixed_and_Varaible_expenses</c:v>
                </c:pt>
                <c:pt idx="6">
                  <c:v>Total_Profit</c:v>
                </c:pt>
                <c:pt idx="7">
                  <c:v>Total_discount_for_Orders</c:v>
                </c:pt>
                <c:pt idx="8">
                  <c:v>TOtal_sales_discount_Percentage</c:v>
                </c:pt>
                <c:pt idx="9">
                  <c:v>Total_Number_of_Order_discount</c:v>
                </c:pt>
              </c:strCache>
            </c:strRef>
          </c:cat>
          <c:val>
            <c:numRef>
              <c:f>'Scenario Summary '!$M$9:$M$18</c:f>
              <c:numCache>
                <c:formatCode>"$"#,##0.00_);[Red]\("$"#,##0.00\)</c:formatCode>
                <c:ptCount val="10"/>
                <c:pt idx="0" formatCode="General">
                  <c:v>1060983.31</c:v>
                </c:pt>
                <c:pt idx="1">
                  <c:v>530491.65500000003</c:v>
                </c:pt>
                <c:pt idx="2" formatCode="General">
                  <c:v>701584.49999999802</c:v>
                </c:pt>
                <c:pt idx="3" formatCode="General">
                  <c:v>36515.860000000503</c:v>
                </c:pt>
                <c:pt idx="4" formatCode="0.00%">
                  <c:v>-28.06</c:v>
                </c:pt>
                <c:pt idx="5">
                  <c:v>0</c:v>
                </c:pt>
                <c:pt idx="6">
                  <c:v>359398.81000000198</c:v>
                </c:pt>
                <c:pt idx="7" formatCode="General">
                  <c:v>43991.470000000103</c:v>
                </c:pt>
                <c:pt idx="8" formatCode="0.00%">
                  <c:v>-23.12</c:v>
                </c:pt>
                <c:pt idx="9" formatCode="General">
                  <c:v>448</c:v>
                </c:pt>
              </c:numCache>
            </c:numRef>
          </c:val>
          <c:extLst>
            <c:ext xmlns:c16="http://schemas.microsoft.com/office/drawing/2014/chart" uri="{C3380CC4-5D6E-409C-BE32-E72D297353CC}">
              <c16:uniqueId val="{00000009-EA19-4001-B722-C742FB6B486C}"/>
            </c:ext>
          </c:extLst>
        </c:ser>
        <c:ser>
          <c:idx val="10"/>
          <c:order val="10"/>
          <c:tx>
            <c:strRef>
              <c:f>'Scenario Summary '!$N$2:$N$8</c:f>
              <c:strCache>
                <c:ptCount val="7"/>
                <c:pt idx="0">
                  <c:v>Scenario Summary</c:v>
                </c:pt>
                <c:pt idx="1">
                  <c:v>Scenario next</c:v>
                </c:pt>
                <c:pt idx="2">
                  <c:v>Created by Author on 4/21/2023</c:v>
                </c:pt>
                <c:pt idx="3">
                  <c:v>Changing Cells:</c:v>
                </c:pt>
                <c:pt idx="4">
                  <c:v>IR</c:v>
                </c:pt>
                <c:pt idx="5">
                  <c:v>Supplier  Markup</c:v>
                </c:pt>
                <c:pt idx="6">
                  <c:v>Davros Transport</c:v>
                </c:pt>
              </c:strCache>
            </c:strRef>
          </c:tx>
          <c:spPr>
            <a:solidFill>
              <a:schemeClr val="accent5">
                <a:lumMod val="60000"/>
              </a:schemeClr>
            </a:solidFill>
            <a:ln>
              <a:noFill/>
            </a:ln>
            <a:effectLst/>
          </c:spPr>
          <c:invertIfNegative val="0"/>
          <c:cat>
            <c:strRef>
              <c:f>'Scenario Summary '!$B$9:$C$18</c:f>
              <c:strCache>
                <c:ptCount val="10"/>
                <c:pt idx="0">
                  <c:v>TotalSales</c:v>
                </c:pt>
                <c:pt idx="1">
                  <c:v>HalfYearExpenses</c:v>
                </c:pt>
                <c:pt idx="2">
                  <c:v>TotalPurchaseExpenses</c:v>
                </c:pt>
                <c:pt idx="3">
                  <c:v>FreightOutwardExpenses</c:v>
                </c:pt>
                <c:pt idx="4">
                  <c:v>PercentageFreightOutward_Sales</c:v>
                </c:pt>
                <c:pt idx="5">
                  <c:v>Fixed_and_Varaible_expenses</c:v>
                </c:pt>
                <c:pt idx="6">
                  <c:v>Total_Profit</c:v>
                </c:pt>
                <c:pt idx="7">
                  <c:v>Total_discount_for_Orders</c:v>
                </c:pt>
                <c:pt idx="8">
                  <c:v>TOtal_sales_discount_Percentage</c:v>
                </c:pt>
                <c:pt idx="9">
                  <c:v>Total_Number_of_Order_discount</c:v>
                </c:pt>
              </c:strCache>
            </c:strRef>
          </c:cat>
          <c:val>
            <c:numRef>
              <c:f>'Scenario Summary '!$N$9:$N$18</c:f>
              <c:numCache>
                <c:formatCode>"$"#,##0.00_);[Red]\("$"#,##0.00\)</c:formatCode>
                <c:ptCount val="10"/>
                <c:pt idx="0" formatCode="General">
                  <c:v>1060983.31</c:v>
                </c:pt>
                <c:pt idx="1">
                  <c:v>530491.65500000003</c:v>
                </c:pt>
                <c:pt idx="2" formatCode="General">
                  <c:v>701584.49999999802</c:v>
                </c:pt>
                <c:pt idx="3" formatCode="General">
                  <c:v>36515.860000000503</c:v>
                </c:pt>
                <c:pt idx="4" formatCode="0.00%">
                  <c:v>0.29060000000000002</c:v>
                </c:pt>
                <c:pt idx="5">
                  <c:v>816515.72</c:v>
                </c:pt>
                <c:pt idx="6">
                  <c:v>244467.59</c:v>
                </c:pt>
                <c:pt idx="7" formatCode="General">
                  <c:v>43991.470000000103</c:v>
                </c:pt>
                <c:pt idx="8" formatCode="0.00%">
                  <c:v>0.2412</c:v>
                </c:pt>
                <c:pt idx="9" formatCode="General">
                  <c:v>448</c:v>
                </c:pt>
              </c:numCache>
            </c:numRef>
          </c:val>
          <c:extLst>
            <c:ext xmlns:c16="http://schemas.microsoft.com/office/drawing/2014/chart" uri="{C3380CC4-5D6E-409C-BE32-E72D297353CC}">
              <c16:uniqueId val="{0000000A-EA19-4001-B722-C742FB6B486C}"/>
            </c:ext>
          </c:extLst>
        </c:ser>
        <c:dLbls>
          <c:showLegendKey val="0"/>
          <c:showVal val="0"/>
          <c:showCatName val="0"/>
          <c:showSerName val="0"/>
          <c:showPercent val="0"/>
          <c:showBubbleSize val="0"/>
        </c:dLbls>
        <c:gapWidth val="150"/>
        <c:overlap val="100"/>
        <c:axId val="227978207"/>
        <c:axId val="227977375"/>
      </c:barChart>
      <c:catAx>
        <c:axId val="227978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977375"/>
        <c:crosses val="autoZero"/>
        <c:auto val="1"/>
        <c:lblAlgn val="ctr"/>
        <c:lblOffset val="100"/>
        <c:noMultiLvlLbl val="0"/>
      </c:catAx>
      <c:valAx>
        <c:axId val="2279773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79782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bodyPr/>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bodyPr wrap="square" lIns="38100" tIns="19050" rIns="38100" bIns="19050" anchor="ctr">
      <a:spAutoFit/>
    </cs:bodyPr>
  </cs:dataLabel>
  <cs:dataLabelCallout>
    <cs:lnRef idx="0"/>
    <cs:fillRef idx="0"/>
    <cs:effectRef idx="0"/>
    <cs:fontRef idx="minor">
      <a:schemeClr val="tx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solidFill>
    </cs:spPr>
  </cs:downBar>
  <cs:dropLine>
    <cs:lnRef idx="0"/>
    <cs:fillRef idx="0"/>
    <cs:effectRef idx="0"/>
    <cs:fontRef idx="minor">
      <a:schemeClr val="tx1"/>
    </cs:fontRef>
  </cs:dropLine>
  <cs:errorBar>
    <cs:lnRef idx="0"/>
    <cs:fillRef idx="0"/>
    <cs:effectRef idx="0"/>
    <cs:fontRef idx="minor">
      <a:schemeClr val="tx1"/>
    </cs:fontRef>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a:solidFill>
          <a:schemeClr val="tx1">
            <a:lumMod val="15000"/>
            <a:lumOff val="85000"/>
            <a:lumOff val="10000"/>
          </a:schemeClr>
        </a:solidFill>
      </a:ln>
    </cs:spPr>
  </cs:gridlineMinor>
  <cs:hiLoLine>
    <cs:lnRef idx="0"/>
    <cs:fillRef idx="0"/>
    <cs:effectRef idx="0"/>
    <cs:fontRef idx="minor">
      <a:schemeClr val="tx1"/>
    </cs:fontRef>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bodyPr/>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b="0" kern="1200" spc="0" baseline="0"/>
    <cs:body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inor">
      <a:schemeClr val="tx1">
        <a:lumMod val="65000"/>
        <a:lumOff val="35000"/>
      </a:schemeClr>
    </cs:fontRef>
    <cs:defRPr sz="900" kern="1200"/>
    <cs:bodyPr/>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1</xdr:col>
      <xdr:colOff>0</xdr:colOff>
      <xdr:row>6</xdr:row>
      <xdr:rowOff>0</xdr:rowOff>
    </xdr:from>
    <xdr:to>
      <xdr:col>12</xdr:col>
      <xdr:colOff>200025</xdr:colOff>
      <xdr:row>25</xdr:row>
      <xdr:rowOff>10885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7</xdr:row>
      <xdr:rowOff>0</xdr:rowOff>
    </xdr:from>
    <xdr:to>
      <xdr:col>17</xdr:col>
      <xdr:colOff>176891</xdr:colOff>
      <xdr:row>32</xdr:row>
      <xdr:rowOff>95250</xdr:rowOff>
    </xdr:to>
    <mc:AlternateContent xmlns:mc="http://schemas.openxmlformats.org/markup-compatibility/2006">
      <mc:Choice xmlns:cx="http://schemas.microsoft.com/office/drawing/2014/chartex" Requires="cx">
        <xdr:graphicFrame macro="">
          <xdr:nvGraphicFramePr>
            <xdr:cNvPr id="4" name="Chart 3"/>
            <xdr:cNvGraphicFramePr/>
          </xdr:nvGraphicFramePr>
          <xdr:xfrm>
            <a:off x="0" y="0"/>
            <a:ext cx="0" cy="0"/>
          </xdr:xfrm>
          <a:graphic>
            <a:graphicData uri="http://schemas.microsoft.com/office/drawing/2014/chartex">
              <c:chart xmlns:c="http://schemas.openxmlformats.org/drawingml/2006/chart" xmlns:r="http://schemas.openxmlformats.org/officeDocument/2006/relationships" r:id="rId1"/>
            </a:graphicData>
          </a:graphic>
        </xdr:graphicFrame>
      </mc:Choice>
      <mc:Fallback>
        <xdr:sp macro="" textlink="">
          <xdr:nvSpPr>
            <xdr:cNvPr id="0" name=""/>
            <xdr:cNvSpPr>
              <a:spLocks noTextEdit="1"/>
            </xdr:cNvSpPr>
          </xdr:nvSpPr>
          <xdr:spPr>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xdr:col>
      <xdr:colOff>28575</xdr:colOff>
      <xdr:row>4</xdr:row>
      <xdr:rowOff>161925</xdr:rowOff>
    </xdr:from>
    <xdr:to>
      <xdr:col>14</xdr:col>
      <xdr:colOff>190499</xdr:colOff>
      <xdr:row>24</xdr:row>
      <xdr:rowOff>123825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id="5" name="Table5" displayName="Table5" ref="A2:AC4" totalsRowCount="1">
  <autoFilter ref="A2:AC3"/>
  <tableColumns count="29">
    <tableColumn id="1" name="Column1" totalsRowFunction="custom" dataDxfId="18" totalsRowDxfId="17">
      <totalsRowFormula>OrdersTable!A4</totalsRowFormula>
    </tableColumn>
    <tableColumn id="2" name="Column2" totalsRowFunction="custom">
      <totalsRowFormula>VLOOKUP($A4,Cust,2,0)</totalsRowFormula>
    </tableColumn>
    <tableColumn id="3" name="Column3" totalsRowFunction="custom">
      <totalsRowFormula>VLOOKUP($A4,Cust,3,0)</totalsRowFormula>
    </tableColumn>
    <tableColumn id="4" name="Column4" totalsRowFunction="custom">
      <totalsRowFormula>VLOOKUP($A4,Cust,4,0)</totalsRowFormula>
    </tableColumn>
    <tableColumn id="5" name="Column5" totalsRowFunction="custom">
      <totalsRowFormula>VLOOKUP($A4,Cust,6,0)</totalsRowFormula>
    </tableColumn>
    <tableColumn id="6" name="Column6" totalsRowFunction="custom">
      <totalsRowFormula>VLOOKUP($A4,Cust,7,0)</totalsRowFormula>
    </tableColumn>
    <tableColumn id="7" name="Column7" totalsRowFunction="custom">
      <totalsRowFormula>VLOOKUP($A4,Cust,8,0)</totalsRowFormula>
    </tableColumn>
    <tableColumn id="8" name="Column8" totalsRowFunction="custom">
      <totalsRowFormula>VLOOKUP($A4,Cust,9,0)</totalsRowFormula>
    </tableColumn>
    <tableColumn id="9" name="Column9" totalsRowFunction="custom">
      <totalsRowFormula>VLOOKUP($A5,Cust,10,0)</totalsRowFormula>
    </tableColumn>
    <tableColumn id="10" name="Column10" totalsRowFunction="custom">
      <totalsRowFormula>OrdersTable!B4</totalsRowFormula>
    </tableColumn>
    <tableColumn id="11" name="Column11" totalsRowFunction="custom">
      <totalsRowFormula>VLOOKUP($J4,Itms,2,0)</totalsRowFormula>
    </tableColumn>
    <tableColumn id="12" name="Column12" totalsRowFunction="custom">
      <totalsRowFormula>VLOOKUP($J4,Itms,3,0)</totalsRowFormula>
    </tableColumn>
    <tableColumn id="13" name="Column13" totalsRowFunction="custom">
      <totalsRowFormula>VLOOKUP($J4,Itms,4,0)</totalsRowFormula>
    </tableColumn>
    <tableColumn id="14" name="Column14" totalsRowFunction="custom">
      <totalsRowFormula>VLOOKUP($J4,Itms,5,0)</totalsRowFormula>
    </tableColumn>
    <tableColumn id="15" name="Column15" totalsRowFunction="custom">
      <totalsRowFormula>VLOOKUP($J4,Itms,6,0)</totalsRowFormula>
    </tableColumn>
    <tableColumn id="16" name="Column16" totalsRowFunction="custom">
      <totalsRowFormula>VLOOKUP($O4,Supp,2,0)</totalsRowFormula>
    </tableColumn>
    <tableColumn id="17" name="Column17" totalsRowFunction="custom">
      <totalsRowFormula>VLOOKUP($O4,Supp,3,0)</totalsRowFormula>
    </tableColumn>
    <tableColumn id="18" name="Column18" totalsRowFunction="custom" totalsRowDxfId="16">
      <totalsRowFormula>OrdersTable!C4</totalsRowFormula>
    </tableColumn>
    <tableColumn id="19" name="Column19" totalsRowFunction="custom">
      <totalsRowFormula>OrdersTable!E4</totalsRowFormula>
    </tableColumn>
    <tableColumn id="20" name="Column20" totalsRowFunction="custom">
      <totalsRowFormula>VLOOKUP($J4,Itms,9,0)</totalsRowFormula>
    </tableColumn>
    <tableColumn id="21" name="Column21" totalsRowFunction="custom">
      <totalsRowFormula>VLOOKUP($J4,Itms,10,0)</totalsRowFormula>
    </tableColumn>
    <tableColumn id="22" name="Column22" totalsRowFunction="custom">
      <totalsRowFormula>IF(ExchRateType="IR",ROUND(T4*ExchRateIR,2),IF(ExchRateType="CA",ROUND(U4*ExchRateCA,2),"Error at finding value"))</totalsRowFormula>
    </tableColumn>
    <tableColumn id="23" name="Column23" totalsRowFunction="custom">
      <totalsRowFormula>IF(MarkupType="Store Markup",ROUND(V4+V4*StoreMarkup,2),IF(MarkupType="Supplier Markup",V4+V4*SupplierMarkup,"Error at finding value"))</totalsRowFormula>
    </tableColumn>
    <tableColumn id="24" name="Column24" totalsRowFunction="custom" totalsRowDxfId="15">
      <totalsRowFormula>IF(AND(W4&gt;100,S4&gt;=3),ROUND(0.07125*W4,2),"0.00")</totalsRowFormula>
    </tableColumn>
    <tableColumn id="25" name="Column25" totalsRowFunction="custom">
      <totalsRowFormula>ROUND(V4*S4,2)</totalsRowFormula>
    </tableColumn>
    <tableColumn id="26" name="Column26" totalsRowFunction="custom">
      <totalsRowFormula>ROUND((W4-X4)*S4,2)</totalsRowFormula>
    </tableColumn>
    <tableColumn id="27" name="Column27" totalsRowFunction="custom">
      <totalsRowFormula>IF(FreightType="Lethbridge-Stewart Freight ",ROUND(2.99+IF(N4&gt;0.75,(N4-0.75)*2.25,0)*S4,2),IF(MarkupType="Supplier Markup",V4+V4*SupplierMarkup,"Error at finding value"))</totalsRowFormula>
    </tableColumn>
    <tableColumn id="28" name="Column28" totalsRowFunction="custom">
      <totalsRowFormula>ROUND(X4*S4,2)</totalsRowFormula>
    </tableColumn>
    <tableColumn id="29" name="Column29"/>
  </tableColumns>
  <tableStyleInfo name="TableStyleLight9" showFirstColumn="0" showLastColumn="0" showRowStripes="1" showColumnStripes="0"/>
</table>
</file>

<file path=xl/tables/table2.xml><?xml version="1.0" encoding="utf-8"?>
<table xmlns="http://schemas.openxmlformats.org/spreadsheetml/2006/main" id="4" name="Table4" displayName="Table4" ref="A3:M108" totalsRowShown="0">
  <autoFilter ref="A3:M108"/>
  <tableColumns count="13">
    <tableColumn id="1" name="CustID"/>
    <tableColumn id="2" name="Title"/>
    <tableColumn id="3" name="FamilyName"/>
    <tableColumn id="4" name="GivenNames"/>
    <tableColumn id="5" name="DateofBirth" dataDxfId="14"/>
    <tableColumn id="6" name="Address"/>
    <tableColumn id="7" name="City"/>
    <tableColumn id="8" name="State"/>
    <tableColumn id="9" name="PostCode"/>
    <tableColumn id="10" name="FreightDistance"/>
    <tableColumn id="11" name="MobileNum"/>
    <tableColumn id="12" name="EmailAddress"/>
    <tableColumn id="13" name="MailingList"/>
  </tableColumns>
  <tableStyleInfo name="TableStyleLight9" showFirstColumn="0" showLastColumn="0" showRowStripes="1" showColumnStripes="0"/>
</table>
</file>

<file path=xl/tables/table3.xml><?xml version="1.0" encoding="utf-8"?>
<table xmlns="http://schemas.openxmlformats.org/spreadsheetml/2006/main" id="3" name="Table3" displayName="Table3" ref="A3:J104" totalsRowShown="0">
  <autoFilter ref="A3:J104"/>
  <tableColumns count="10">
    <tableColumn id="1" name="ItemID"/>
    <tableColumn id="2" name="Type"/>
    <tableColumn id="3" name="Description "/>
    <tableColumn id="4" name="Size"/>
    <tableColumn id="5" name="FreightWeight(Kg)"/>
    <tableColumn id="6" name="SupplierID"/>
    <tableColumn id="7" name="InStock"/>
    <tableColumn id="8" name="OnOrder"/>
    <tableColumn id="9" name="CostPrice(IR)"/>
    <tableColumn id="10" name="CostPrice(CA)"/>
  </tableColumns>
  <tableStyleInfo name="TableStyleLight9" showFirstColumn="0" showLastColumn="0" showRowStripes="1" showColumnStripes="0"/>
</table>
</file>

<file path=xl/tables/table4.xml><?xml version="1.0" encoding="utf-8"?>
<table xmlns="http://schemas.openxmlformats.org/spreadsheetml/2006/main" id="1" name="Table1" displayName="Table1" ref="A3:E2503" totalsRowShown="0">
  <autoFilter ref="A3:E2503"/>
  <tableColumns count="5">
    <tableColumn id="1" name="CustID"/>
    <tableColumn id="2" name="ItemID"/>
    <tableColumn id="3" name="OrderDate" dataDxfId="13"/>
    <tableColumn id="4" name="DispatchDate" dataDxfId="12"/>
    <tableColumn id="5" name="OrderQty"/>
  </tableColumns>
  <tableStyleInfo name="TableStyleLight9" showFirstColumn="0" showLastColumn="0" showRowStripes="1" showColumnStripes="0"/>
</table>
</file>

<file path=xl/tables/table5.xml><?xml version="1.0" encoding="utf-8"?>
<table xmlns="http://schemas.openxmlformats.org/spreadsheetml/2006/main" id="2" name="Table2" displayName="Table2" ref="A3:H8" totalsRowShown="0" headerRowDxfId="11" headerRowBorderDxfId="10" tableBorderDxfId="9" totalsRowBorderDxfId="8">
  <autoFilter ref="A3:H8"/>
  <tableColumns count="8">
    <tableColumn id="1" name="SupplierID" dataDxfId="7"/>
    <tableColumn id="2" name="SupplierName" dataDxfId="6"/>
    <tableColumn id="3" name="Address" dataDxfId="5"/>
    <tableColumn id="4" name="City" dataDxfId="4"/>
    <tableColumn id="5" name="State" dataDxfId="3"/>
    <tableColumn id="6" name="Postcode" dataDxfId="2"/>
    <tableColumn id="7" name="PhoneNum" dataDxfId="1"/>
    <tableColumn id="8" name="RecommendedMarkUp%" dataDxfId="0"/>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hyperlink" Target="mailto:u1154285@umail.usq.edu.au" TargetMode="External"/></Relationships>
</file>

<file path=xl/worksheets/_rels/sheet10.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3"/>
  <sheetViews>
    <sheetView workbookViewId="0">
      <selection activeCell="A9" sqref="A9:C23"/>
    </sheetView>
  </sheetViews>
  <sheetFormatPr defaultRowHeight="15" x14ac:dyDescent="0.25"/>
  <cols>
    <col min="1" max="1" width="16.42578125" bestFit="1" customWidth="1"/>
    <col min="2" max="2" width="17.85546875" bestFit="1" customWidth="1"/>
    <col min="3" max="3" width="44.7109375" bestFit="1" customWidth="1"/>
  </cols>
  <sheetData>
    <row r="1" spans="1:3" x14ac:dyDescent="0.25">
      <c r="A1" s="1" t="s">
        <v>720</v>
      </c>
    </row>
    <row r="3" spans="1:3" x14ac:dyDescent="0.25">
      <c r="B3" s="4" t="s">
        <v>721</v>
      </c>
      <c r="C3" s="78" t="s">
        <v>722</v>
      </c>
    </row>
    <row r="4" spans="1:3" x14ac:dyDescent="0.25">
      <c r="B4" s="4" t="s">
        <v>723</v>
      </c>
      <c r="C4" s="78" t="s">
        <v>915</v>
      </c>
    </row>
    <row r="5" spans="1:3" x14ac:dyDescent="0.25">
      <c r="B5" s="4" t="s">
        <v>724</v>
      </c>
      <c r="C5" s="79" t="s">
        <v>936</v>
      </c>
    </row>
    <row r="6" spans="1:3" x14ac:dyDescent="0.25">
      <c r="B6" s="4" t="s">
        <v>914</v>
      </c>
      <c r="C6" s="79">
        <v>45037</v>
      </c>
    </row>
    <row r="8" spans="1:3" x14ac:dyDescent="0.25">
      <c r="A8" s="23" t="s">
        <v>725</v>
      </c>
    </row>
    <row r="10" spans="1:3" x14ac:dyDescent="0.25">
      <c r="A10" s="22" t="s">
        <v>918</v>
      </c>
      <c r="B10" s="22" t="s">
        <v>726</v>
      </c>
      <c r="C10" s="22" t="s">
        <v>934</v>
      </c>
    </row>
    <row r="11" spans="1:3" x14ac:dyDescent="0.25">
      <c r="A11" s="4">
        <v>1</v>
      </c>
      <c r="B11" s="4" t="s">
        <v>919</v>
      </c>
      <c r="C11" s="75" t="s">
        <v>921</v>
      </c>
    </row>
    <row r="12" spans="1:3" x14ac:dyDescent="0.25">
      <c r="A12" s="4">
        <v>2</v>
      </c>
      <c r="B12" s="4" t="s">
        <v>727</v>
      </c>
      <c r="C12" s="75" t="s">
        <v>922</v>
      </c>
    </row>
    <row r="13" spans="1:3" x14ac:dyDescent="0.25">
      <c r="A13" s="4">
        <v>3</v>
      </c>
      <c r="B13" s="4" t="s">
        <v>728</v>
      </c>
      <c r="C13" s="75" t="s">
        <v>923</v>
      </c>
    </row>
    <row r="14" spans="1:3" x14ac:dyDescent="0.25">
      <c r="A14" s="4">
        <v>4</v>
      </c>
      <c r="B14" s="4" t="s">
        <v>729</v>
      </c>
      <c r="C14" s="75" t="s">
        <v>924</v>
      </c>
    </row>
    <row r="15" spans="1:3" x14ac:dyDescent="0.25">
      <c r="A15" s="4">
        <v>5</v>
      </c>
      <c r="B15" s="4" t="s">
        <v>881</v>
      </c>
      <c r="C15" s="76" t="s">
        <v>925</v>
      </c>
    </row>
    <row r="16" spans="1:3" x14ac:dyDescent="0.25">
      <c r="A16" s="4">
        <v>6</v>
      </c>
      <c r="B16" s="18" t="s">
        <v>917</v>
      </c>
      <c r="C16" s="76" t="s">
        <v>926</v>
      </c>
    </row>
    <row r="17" spans="1:3" ht="27.75" customHeight="1" x14ac:dyDescent="0.25">
      <c r="A17" s="4">
        <v>7</v>
      </c>
      <c r="B17" s="18" t="s">
        <v>907</v>
      </c>
      <c r="C17" s="77" t="s">
        <v>927</v>
      </c>
    </row>
    <row r="18" spans="1:3" x14ac:dyDescent="0.25">
      <c r="A18" s="4">
        <v>8</v>
      </c>
      <c r="B18" s="18" t="s">
        <v>916</v>
      </c>
      <c r="C18" s="76" t="s">
        <v>928</v>
      </c>
    </row>
    <row r="19" spans="1:3" x14ac:dyDescent="0.25">
      <c r="A19" s="4">
        <v>9</v>
      </c>
      <c r="B19" s="18" t="s">
        <v>920</v>
      </c>
      <c r="C19" s="75" t="s">
        <v>929</v>
      </c>
    </row>
    <row r="20" spans="1:3" x14ac:dyDescent="0.25">
      <c r="A20" s="4">
        <v>10</v>
      </c>
      <c r="B20" s="18" t="s">
        <v>0</v>
      </c>
      <c r="C20" s="75" t="s">
        <v>930</v>
      </c>
    </row>
    <row r="21" spans="1:3" x14ac:dyDescent="0.25">
      <c r="A21" s="4">
        <v>11</v>
      </c>
      <c r="B21" s="18" t="s">
        <v>2</v>
      </c>
      <c r="C21" s="75" t="s">
        <v>931</v>
      </c>
    </row>
    <row r="22" spans="1:3" x14ac:dyDescent="0.25">
      <c r="A22" s="4">
        <v>12</v>
      </c>
      <c r="B22" s="18" t="s">
        <v>1</v>
      </c>
      <c r="C22" s="75" t="s">
        <v>932</v>
      </c>
    </row>
    <row r="23" spans="1:3" x14ac:dyDescent="0.25">
      <c r="A23" s="4">
        <v>13</v>
      </c>
      <c r="B23" s="18" t="s">
        <v>730</v>
      </c>
      <c r="C23" s="76" t="s">
        <v>933</v>
      </c>
    </row>
  </sheetData>
  <hyperlinks>
    <hyperlink ref="C11" location="Index!A1" display="Index!A1"/>
    <hyperlink ref="C12" location="DataInput!A1" display="DataInput!A1"/>
    <hyperlink ref="C13" location="Calculations!A1" display="Calculations!A1"/>
    <hyperlink ref="C14" location="Report!A1" display="Report!A1"/>
    <hyperlink ref="C15" location="'Scenario Summary '!A1" display="'Scenario Summary '!A1"/>
    <hyperlink ref="C16" location="'Chart 1'!A1" display="'Chart 1'!A1"/>
    <hyperlink ref="C17" location="'Chart 2'!A1" display="'Chart 2'!A1"/>
    <hyperlink ref="C18" location="'Chart 3'!A1" display="'Chart 3'!A1"/>
    <hyperlink ref="C19" location="CustomersTable!A1" display="CustomersTable!A1"/>
    <hyperlink ref="C20" location="ItemsTable!A1" display="ItemsTable!A1"/>
    <hyperlink ref="C21" location="OrdersTable!A1" display="OrdersTable!A1"/>
    <hyperlink ref="C22" location="SuppliersTable!A1" display="SuppliersTable!A1"/>
    <hyperlink ref="C23" location="'Documentation '!A1" display="'Documentation '!A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4"/>
  <sheetViews>
    <sheetView zoomScale="70" zoomScaleNormal="70" workbookViewId="0">
      <selection activeCell="D20" sqref="D20"/>
    </sheetView>
  </sheetViews>
  <sheetFormatPr defaultRowHeight="15" x14ac:dyDescent="0.25"/>
  <cols>
    <col min="1" max="1" width="39.7109375" bestFit="1" customWidth="1"/>
    <col min="2" max="2" width="54" bestFit="1" customWidth="1"/>
    <col min="3" max="3" width="43.140625" bestFit="1" customWidth="1"/>
    <col min="4" max="4" width="35.42578125" bestFit="1" customWidth="1"/>
  </cols>
  <sheetData>
    <row r="1" spans="1:4" x14ac:dyDescent="0.25">
      <c r="A1" s="1" t="s">
        <v>731</v>
      </c>
    </row>
    <row r="3" spans="1:4" x14ac:dyDescent="0.25">
      <c r="A3" s="80" t="s">
        <v>818</v>
      </c>
      <c r="B3" s="80"/>
      <c r="C3" s="17"/>
      <c r="D3" s="17"/>
    </row>
    <row r="4" spans="1:4" x14ac:dyDescent="0.25">
      <c r="A4" s="22"/>
      <c r="B4" s="22" t="s">
        <v>745</v>
      </c>
      <c r="C4" s="4"/>
      <c r="D4" s="35" t="s">
        <v>839</v>
      </c>
    </row>
    <row r="5" spans="1:4" x14ac:dyDescent="0.25">
      <c r="A5" s="22"/>
      <c r="B5" s="22" t="s">
        <v>746</v>
      </c>
      <c r="C5" s="4"/>
      <c r="D5" s="35" t="s">
        <v>824</v>
      </c>
    </row>
    <row r="6" spans="1:4" x14ac:dyDescent="0.25">
      <c r="A6" s="22"/>
      <c r="B6" s="22" t="s">
        <v>747</v>
      </c>
      <c r="C6" s="4"/>
      <c r="D6" s="55">
        <v>0.57499999999999996</v>
      </c>
    </row>
    <row r="7" spans="1:4" x14ac:dyDescent="0.25">
      <c r="A7" s="22"/>
      <c r="B7" s="22" t="s">
        <v>748</v>
      </c>
      <c r="C7" s="4"/>
      <c r="D7" s="35" t="s">
        <v>825</v>
      </c>
    </row>
    <row r="8" spans="1:4" x14ac:dyDescent="0.25">
      <c r="A8" s="22"/>
      <c r="B8" s="22" t="s">
        <v>827</v>
      </c>
      <c r="C8" s="35" t="s">
        <v>867</v>
      </c>
      <c r="D8" s="35">
        <v>1.62</v>
      </c>
    </row>
    <row r="9" spans="1:4" x14ac:dyDescent="0.25">
      <c r="A9" s="22"/>
      <c r="B9" s="22" t="s">
        <v>828</v>
      </c>
      <c r="C9" s="35" t="s">
        <v>867</v>
      </c>
      <c r="D9" s="35">
        <v>1.1000000000000001</v>
      </c>
    </row>
    <row r="10" spans="1:4" x14ac:dyDescent="0.25">
      <c r="A10" s="22"/>
      <c r="B10" s="25"/>
      <c r="C10" s="4"/>
      <c r="D10" s="43"/>
    </row>
    <row r="11" spans="1:4" x14ac:dyDescent="0.25">
      <c r="A11" s="81" t="s">
        <v>749</v>
      </c>
      <c r="B11" s="82"/>
      <c r="C11" s="4"/>
      <c r="D11" s="43"/>
    </row>
    <row r="12" spans="1:4" x14ac:dyDescent="0.25">
      <c r="A12" s="22"/>
      <c r="B12" s="22" t="s">
        <v>733</v>
      </c>
      <c r="C12" s="4"/>
      <c r="D12" s="43">
        <v>1060983.31</v>
      </c>
    </row>
    <row r="13" spans="1:4" x14ac:dyDescent="0.25">
      <c r="A13" s="22"/>
      <c r="B13" s="25"/>
      <c r="C13" s="4"/>
      <c r="D13" s="43"/>
    </row>
    <row r="14" spans="1:4" x14ac:dyDescent="0.25">
      <c r="A14" s="22" t="s">
        <v>750</v>
      </c>
      <c r="B14" s="25"/>
      <c r="C14" s="4"/>
      <c r="D14" s="43"/>
    </row>
    <row r="15" spans="1:4" x14ac:dyDescent="0.25">
      <c r="A15" s="22"/>
      <c r="B15" s="22" t="s">
        <v>751</v>
      </c>
      <c r="C15" s="4"/>
      <c r="D15" s="56">
        <v>145.82</v>
      </c>
    </row>
    <row r="16" spans="1:4" x14ac:dyDescent="0.25">
      <c r="A16" s="22"/>
      <c r="B16" s="22" t="s">
        <v>752</v>
      </c>
      <c r="C16" s="4"/>
      <c r="D16" s="56">
        <v>7965.71</v>
      </c>
    </row>
    <row r="17" spans="1:4" x14ac:dyDescent="0.25">
      <c r="A17" s="22"/>
      <c r="B17" s="22" t="s">
        <v>753</v>
      </c>
      <c r="C17" s="4"/>
      <c r="D17" s="56">
        <v>31432.41</v>
      </c>
    </row>
    <row r="18" spans="1:4" x14ac:dyDescent="0.25">
      <c r="A18" s="22"/>
      <c r="B18" s="22" t="s">
        <v>754</v>
      </c>
      <c r="C18" s="4"/>
      <c r="D18" s="56">
        <v>2614.83</v>
      </c>
    </row>
    <row r="19" spans="1:4" x14ac:dyDescent="0.25">
      <c r="A19" s="22"/>
      <c r="B19" s="22" t="s">
        <v>755</v>
      </c>
      <c r="C19" s="4"/>
      <c r="D19" s="56">
        <v>2639.49</v>
      </c>
    </row>
    <row r="20" spans="1:4" x14ac:dyDescent="0.25">
      <c r="A20" s="22"/>
      <c r="B20" s="22" t="s">
        <v>756</v>
      </c>
      <c r="C20" s="4"/>
      <c r="D20" s="56">
        <v>33617.1</v>
      </c>
    </row>
    <row r="21" spans="1:4" x14ac:dyDescent="0.25">
      <c r="A21" s="22"/>
      <c r="B21" s="22"/>
      <c r="C21" s="4"/>
      <c r="D21" s="43"/>
    </row>
    <row r="22" spans="1:4" x14ac:dyDescent="0.25">
      <c r="A22" s="22"/>
      <c r="B22" s="22" t="s">
        <v>735</v>
      </c>
      <c r="C22" s="4"/>
      <c r="D22" s="47">
        <v>530491.65500000003</v>
      </c>
    </row>
    <row r="23" spans="1:4" x14ac:dyDescent="0.25">
      <c r="A23" s="22"/>
      <c r="B23" s="25"/>
      <c r="C23" s="4"/>
      <c r="D23" s="43"/>
    </row>
    <row r="24" spans="1:4" x14ac:dyDescent="0.25">
      <c r="A24" s="83" t="s">
        <v>757</v>
      </c>
      <c r="B24" s="84"/>
      <c r="C24" s="4"/>
      <c r="D24" s="43"/>
    </row>
    <row r="25" spans="1:4" x14ac:dyDescent="0.25">
      <c r="A25" s="22"/>
      <c r="B25" s="22" t="s">
        <v>737</v>
      </c>
      <c r="C25" s="18"/>
      <c r="D25" s="43">
        <v>701584.49999999802</v>
      </c>
    </row>
    <row r="26" spans="1:4" x14ac:dyDescent="0.25">
      <c r="A26" s="22"/>
      <c r="B26" s="22" t="s">
        <v>758</v>
      </c>
      <c r="C26" s="4"/>
      <c r="D26" s="43">
        <v>36515.860000000503</v>
      </c>
    </row>
    <row r="27" spans="1:4" x14ac:dyDescent="0.25">
      <c r="A27" s="22"/>
      <c r="B27" s="22" t="s">
        <v>759</v>
      </c>
      <c r="C27" s="4"/>
      <c r="D27" s="57">
        <v>0.29060000000000002</v>
      </c>
    </row>
    <row r="28" spans="1:4" x14ac:dyDescent="0.25">
      <c r="A28" s="22"/>
      <c r="B28" s="22"/>
      <c r="C28" s="4"/>
      <c r="D28" s="43"/>
    </row>
    <row r="29" spans="1:4" x14ac:dyDescent="0.25">
      <c r="A29" s="83" t="s">
        <v>819</v>
      </c>
      <c r="B29" s="84"/>
      <c r="C29" s="4"/>
      <c r="D29" s="47">
        <v>816515.72</v>
      </c>
    </row>
    <row r="30" spans="1:4" x14ac:dyDescent="0.25">
      <c r="A30" s="22"/>
      <c r="B30" s="22"/>
      <c r="C30" s="4"/>
      <c r="D30" s="43"/>
    </row>
    <row r="31" spans="1:4" x14ac:dyDescent="0.25">
      <c r="A31" s="22" t="s">
        <v>820</v>
      </c>
      <c r="B31" s="22"/>
      <c r="C31" s="4"/>
      <c r="D31" s="47">
        <v>244467.59</v>
      </c>
    </row>
    <row r="32" spans="1:4" x14ac:dyDescent="0.25">
      <c r="A32" s="22" t="s">
        <v>821</v>
      </c>
      <c r="B32" s="22"/>
      <c r="C32" s="4"/>
      <c r="D32" s="43">
        <v>43991.470000000103</v>
      </c>
    </row>
    <row r="33" spans="1:4" x14ac:dyDescent="0.25">
      <c r="A33" s="22" t="s">
        <v>822</v>
      </c>
      <c r="B33" s="22"/>
      <c r="C33" s="4"/>
      <c r="D33" s="57">
        <v>0.2412</v>
      </c>
    </row>
    <row r="34" spans="1:4" x14ac:dyDescent="0.25">
      <c r="A34" s="22" t="s">
        <v>823</v>
      </c>
      <c r="B34" s="22"/>
      <c r="C34" s="4"/>
      <c r="D34" s="43">
        <v>448</v>
      </c>
    </row>
  </sheetData>
  <scenarios current="0" show="0" sqref="C37">
    <scenario name="Scenario 1" locked="1" count="13" user="Author" comment="Created by Author on 4/12/2023_x000a_Modified by Author on 4/18/2023_x000a_Modified by Author on 4/21/2023_x000a_Modified by Author on 4/21/2023_x000a_Modified by Author on 4/21/2023_x000a_Modified by Author on 4/21/2023">
      <inputCells r="D7" val="IR"/>
      <inputCells r="D4" val="Store Markup"/>
      <inputCells r="D5" val="Lethbridge-Stewart Freight "/>
      <inputCells r="D12" val="1060983.31"/>
      <inputCells r="D22" val="530491.655" numFmtId="8"/>
      <inputCells r="D25" val="701584.499999998"/>
      <inputCells r="D26" val="36515.8600000005"/>
      <inputCells r="D27" val="0.2906" numFmtId="10"/>
      <inputCells r="D29" val="816515.72" numFmtId="8"/>
      <inputCells r="D31" val="244467.59" numFmtId="8"/>
      <inputCells r="D32" val="43991.4700000001"/>
      <inputCells r="D33" val="0.2412" numFmtId="10"/>
      <inputCells r="D34" val="448"/>
    </scenario>
    <scenario name="Scenario 2" locked="1" count="13" user="Author" comment="Created by Author on 4/12/2023_x000a_Modified by Author on 4/21/2023">
      <inputCells r="D7" val="IR"/>
      <inputCells r="D4" val="Store Markup"/>
      <inputCells r="D5" val="Lethbridge-Stewart Freight "/>
      <inputCells r="D12" val="1260983.31"/>
      <inputCells r="D22" val="532221.255" numFmtId="8"/>
      <inputCells r="D25" val="701584.499999998"/>
      <inputCells r="D26" val="36515.8600000005"/>
      <inputCells r="D27" val="0.2906" numFmtId="10"/>
      <inputCells r="D29" val="816515.72" numFmtId="8"/>
      <inputCells r="D31" val="123444.59" numFmtId="8"/>
      <inputCells r="D32" val="21222.4700000001"/>
      <inputCells r="D33" val="0.2412" numFmtId="10"/>
      <inputCells r="D34" val="454"/>
    </scenario>
    <scenario name="Scenraio 3" locked="1" count="13" user="Author" comment="Created by Author on 4/12/2023_x000a_Modified by Author on 4/21/2023">
      <inputCells r="D7" val="IR"/>
      <inputCells r="D4" val="Store Markup"/>
      <inputCells r="D5" val="Davros Transport"/>
      <inputCells r="D12" val="1262453.12"/>
      <inputCells r="D22" val="5210491.655" numFmtId="8"/>
      <inputCells r="D25" val="3451584.49999999"/>
      <inputCells r="D26" val="46515.8600000005"/>
      <inputCells r="D27" val="0.3906" numFmtId="10"/>
      <inputCells r="D29" val="216515.72" numFmtId="8"/>
      <inputCells r="D31" val="224467.59" numFmtId="8"/>
      <inputCells r="D32" val="23991.4700000001"/>
      <inputCells r="D33" val="0.1412" numFmtId="10"/>
      <inputCells r="D34" val="448"/>
    </scenario>
    <scenario name="Scenario 4" locked="1" count="13" user="Author" comment="Created by Author on 4/12/2023_x000a_Modified by Author on 4/21/2023">
      <inputCells r="D7" val="CA"/>
      <inputCells r="D4" val="Store Markup"/>
      <inputCells r="D5" val="Davros Transport "/>
      <inputCells r="D12" val="2300983.31"/>
      <inputCells r="D22" val="520491.655" numFmtId="8"/>
      <inputCells r="D25" val="901584.499999998"/>
      <inputCells r="D26" val="36515.8600000005"/>
      <inputCells r="D27" val="0.2906" numFmtId="10"/>
      <inputCells r="D29" val="816515.72" numFmtId="8"/>
      <inputCells r="D31" val="244467.59" numFmtId="8"/>
      <inputCells r="D32" val="43991.4700000001"/>
      <inputCells r="D33" val="0.2412" numFmtId="10"/>
      <inputCells r="D34" val="448"/>
    </scenario>
    <scenario name="Scenario 5" locked="1" count="13" user="Author" comment="Created by Author on 4/12/2023_x000a_Modified by Author on 4/12/2023_x000a_Modified by Author on 4/21/2023">
      <inputCells r="D7" val="IR"/>
      <inputCells r="D4" val="Supplier Markup"/>
      <inputCells r="D5" val="Lethbridge-Stewart Freight "/>
      <inputCells r="D12" val="1060983.31"/>
      <inputCells r="D22" val="530491.655" numFmtId="8"/>
      <inputCells r="D25" val="701584.499999998"/>
      <inputCells r="D26" val="36515.8600000005"/>
      <inputCells r="D27" val="0.2906" numFmtId="10"/>
      <inputCells r="D29" val="816515.72" numFmtId="8"/>
      <inputCells r="D31" val="244467.59" numFmtId="8"/>
      <inputCells r="D32" val="43991.4700000001"/>
      <inputCells r="D33" val="0.2412" numFmtId="10"/>
      <inputCells r="D34" val="448"/>
    </scenario>
    <scenario name="Scenario 6" locked="1" count="13" user="Author" comment="Created by Author on 4/12/2023_x000a_Modified by Author on 4/12/2023_x000a_Modified by Author on 4/21/2023">
      <inputCells r="D7" val="CA"/>
      <inputCells r="D4" val="Supplier Markup"/>
      <inputCells r="D5" val="Lethbridge-Stewart Freight "/>
      <inputCells r="D12" val="1060983.31"/>
      <inputCells r="D22" val="530491.655" numFmtId="8"/>
      <inputCells r="D25" val="701584.499999998"/>
      <inputCells r="D26" val="36515.8600000005"/>
      <inputCells r="D27" val="0.2906" numFmtId="10"/>
      <inputCells r="D29" val="816515.72" numFmtId="8"/>
      <inputCells r="D31" val="244467.59" numFmtId="8"/>
      <inputCells r="D32" val="43991.4700000001"/>
      <inputCells r="D33" val="0.2412" numFmtId="10"/>
      <inputCells r="D34" val="448"/>
    </scenario>
    <scenario name="Scenario 7" locked="1" count="13" user="Author" comment="Created by Author on 4/12/2023_x000a_Modified by Author on 4/21/2023">
      <inputCells r="D7" val="IR"/>
      <inputCells r="D4" val="Supplier Markup"/>
      <inputCells r="D5" val="Davros Transport"/>
      <inputCells r="D12" val="1060983.31"/>
      <inputCells r="D22" val="530491.655" numFmtId="8"/>
      <inputCells r="D25" val="701584.499999998"/>
      <inputCells r="D26" val="36515.8600000005"/>
      <inputCells r="D27" val="0.2906" numFmtId="10"/>
      <inputCells r="D29" val="816515.72" numFmtId="8"/>
      <inputCells r="D31" val="244467.59" numFmtId="8"/>
      <inputCells r="D32" val="43991.4700000001"/>
      <inputCells r="D33" val="0.2412" numFmtId="10"/>
      <inputCells r="D34" val="448"/>
    </scenario>
    <scenario name="Scenario 8" locked="1" count="13" user="Author" comment="Created by Author on 4/12/2023_x000a_Modified by Author on 4/21/2023">
      <inputCells r="D7" val="CA"/>
      <inputCells r="D4" val="Supplier Markup"/>
      <inputCells r="D5" val="Lethbridge-Stewart Freight "/>
      <inputCells r="D12" val="1060983.31"/>
      <inputCells r="D22" val="530491.655" numFmtId="8"/>
      <inputCells r="D25" val="701584.499999998"/>
      <inputCells r="D26" val="36515.8600000005"/>
      <inputCells r="D27" val="0.2906" numFmtId="10"/>
      <inputCells r="D29" val="816515.72" numFmtId="8"/>
      <inputCells r="D31" val="244467.59" numFmtId="8"/>
      <inputCells r="D32" val="43991.4700000001"/>
      <inputCells r="D33" val="0.2412" numFmtId="10"/>
      <inputCells r="D34" val="448"/>
    </scenario>
    <scenario name="Scenario check Task 21" locked="1" count="10" user="Author" comment="Created by Author on 4/12/2023_x000a_Modified by Author on 4/18/2023_x000a_Modified by Author on 4/18/2023_x000a_Modified by Author on 4/18/2023_x000a_Modified by Author on 4/21/2023">
      <inputCells r="D12" val="1060983.31"/>
      <inputCells r="D22" val="530491.655"/>
      <inputCells r="D25" val="701584.499999998"/>
      <inputCells r="D26" val="36515.8600000005"/>
      <inputCells r="D27" val="-28.06"/>
      <inputCells r="D29" val="0"/>
      <inputCells r="D31" val="359398.810000002"/>
      <inputCells r="D32" val="43991.4700000001"/>
      <inputCells r="D33" val="-23.12"/>
      <inputCells r="D34" val="448"/>
    </scenario>
    <scenario name="Scenario next" locked="1" count="13" user="Author" comment="Created by Author on 4/21/2023">
      <inputCells r="D4" val="Supplier  Markup"/>
      <inputCells r="D5" val="Davros Transport"/>
      <inputCells r="D7" val="IR"/>
      <inputCells r="D12" val="1060983.31"/>
      <inputCells r="D22" val="530491.655" numFmtId="8"/>
      <inputCells r="D25" val="701584.499999998"/>
      <inputCells r="D26" val="36515.8600000005"/>
      <inputCells r="D27" val="0.2906"/>
      <inputCells r="D29" val="816515.72"/>
      <inputCells r="D31" val="244467.59"/>
      <inputCells r="D32" val="43991.4700000001"/>
      <inputCells r="D33" val="0.2412"/>
      <inputCells r="D34" val="448"/>
    </scenario>
  </scenarios>
  <mergeCells count="4">
    <mergeCell ref="A3:B3"/>
    <mergeCell ref="A11:B11"/>
    <mergeCell ref="A24:B24"/>
    <mergeCell ref="A29:B29"/>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8"/>
  <sheetViews>
    <sheetView zoomScale="85" zoomScaleNormal="85" workbookViewId="0">
      <selection activeCell="D20" sqref="D20"/>
    </sheetView>
  </sheetViews>
  <sheetFormatPr defaultRowHeight="15" x14ac:dyDescent="0.25"/>
  <cols>
    <col min="1" max="1" width="42.28515625" bestFit="1" customWidth="1"/>
    <col min="2" max="2" width="40.85546875" bestFit="1" customWidth="1"/>
    <col min="3" max="3" width="4.85546875" customWidth="1"/>
    <col min="4" max="4" width="32.7109375" bestFit="1" customWidth="1"/>
  </cols>
  <sheetData>
    <row r="1" spans="1:4" x14ac:dyDescent="0.25">
      <c r="A1" s="1" t="s">
        <v>760</v>
      </c>
    </row>
    <row r="2" spans="1:4" x14ac:dyDescent="0.25">
      <c r="A2" s="17"/>
      <c r="B2" s="17"/>
      <c r="C2" s="17"/>
    </row>
    <row r="3" spans="1:4" x14ac:dyDescent="0.25">
      <c r="A3" s="85" t="s">
        <v>732</v>
      </c>
      <c r="B3" s="86"/>
      <c r="C3" s="21"/>
      <c r="D3" s="4"/>
    </row>
    <row r="4" spans="1:4" x14ac:dyDescent="0.25">
      <c r="A4" s="24"/>
      <c r="B4" s="24" t="s">
        <v>733</v>
      </c>
      <c r="C4" s="4"/>
      <c r="D4" s="42" t="str">
        <f>" $ " &amp;SUM(Report!Z4:Z2503)</f>
        <v xml:space="preserve"> $ 1060983.31</v>
      </c>
    </row>
    <row r="5" spans="1:4" x14ac:dyDescent="0.25">
      <c r="A5" s="24"/>
      <c r="B5" s="24"/>
      <c r="C5" s="4"/>
      <c r="D5" s="42"/>
    </row>
    <row r="6" spans="1:4" x14ac:dyDescent="0.25">
      <c r="A6" s="85" t="s">
        <v>734</v>
      </c>
      <c r="B6" s="86"/>
      <c r="C6" s="4"/>
      <c r="D6" s="42"/>
    </row>
    <row r="7" spans="1:4" x14ac:dyDescent="0.25">
      <c r="A7" s="24"/>
      <c r="B7" s="24" t="s">
        <v>735</v>
      </c>
      <c r="C7" s="4"/>
      <c r="D7" s="44">
        <f>SUM(DataInput!D15:D20)</f>
        <v>78415.360000000001</v>
      </c>
    </row>
    <row r="8" spans="1:4" x14ac:dyDescent="0.25">
      <c r="A8" s="24"/>
      <c r="B8" s="24"/>
      <c r="C8" s="4"/>
      <c r="D8" s="42"/>
    </row>
    <row r="9" spans="1:4" x14ac:dyDescent="0.25">
      <c r="A9" s="85" t="s">
        <v>736</v>
      </c>
      <c r="B9" s="86"/>
      <c r="C9" s="4"/>
      <c r="D9" s="42"/>
    </row>
    <row r="10" spans="1:4" x14ac:dyDescent="0.25">
      <c r="A10" s="24"/>
      <c r="B10" s="24" t="s">
        <v>737</v>
      </c>
      <c r="C10" s="4"/>
      <c r="D10" s="42">
        <f>SUM(Report!Y4:Y2503)</f>
        <v>701584.49999999849</v>
      </c>
    </row>
    <row r="11" spans="1:4" x14ac:dyDescent="0.25">
      <c r="A11" s="24"/>
      <c r="B11" s="24" t="s">
        <v>738</v>
      </c>
      <c r="C11" s="4"/>
      <c r="D11" s="42">
        <f>SUM(Report!AA4:AA2503)</f>
        <v>36515.860000000495</v>
      </c>
    </row>
    <row r="12" spans="1:4" x14ac:dyDescent="0.25">
      <c r="A12" s="24"/>
      <c r="B12" s="24" t="s">
        <v>739</v>
      </c>
      <c r="C12" s="4"/>
      <c r="D12" s="42" t="str">
        <f>ROUND((D4/D11),2)&amp;" %"</f>
        <v>29.06 %</v>
      </c>
    </row>
    <row r="13" spans="1:4" x14ac:dyDescent="0.25">
      <c r="A13" s="24"/>
      <c r="B13" s="24"/>
      <c r="C13" s="4"/>
      <c r="D13" s="42"/>
    </row>
    <row r="14" spans="1:4" x14ac:dyDescent="0.25">
      <c r="A14" s="85" t="s">
        <v>740</v>
      </c>
      <c r="B14" s="86"/>
      <c r="C14" s="4"/>
      <c r="D14" s="44">
        <f>ROUND(SUM(D7,D10:D11),2)</f>
        <v>816515.72</v>
      </c>
    </row>
    <row r="15" spans="1:4" x14ac:dyDescent="0.25">
      <c r="A15" s="24"/>
      <c r="B15" s="24"/>
      <c r="C15" s="4"/>
      <c r="D15" s="42"/>
    </row>
    <row r="16" spans="1:4" x14ac:dyDescent="0.25">
      <c r="A16" s="85" t="s">
        <v>741</v>
      </c>
      <c r="B16" s="86"/>
      <c r="C16" s="4"/>
      <c r="D16" s="42" t="str">
        <f>" $ " &amp; ROUND((D4-D14),2)</f>
        <v xml:space="preserve"> $ 244467.59</v>
      </c>
    </row>
    <row r="17" spans="1:7" x14ac:dyDescent="0.25">
      <c r="A17" s="24"/>
      <c r="B17" s="24"/>
      <c r="C17" s="4"/>
      <c r="D17" s="42"/>
    </row>
    <row r="18" spans="1:7" x14ac:dyDescent="0.25">
      <c r="A18" s="85" t="s">
        <v>742</v>
      </c>
      <c r="B18" s="86"/>
      <c r="C18" s="4"/>
      <c r="D18" s="42">
        <f>SUMIF(Report!L4:L2503,"*",Report!AB4:AB2503)</f>
        <v>43991.470000000088</v>
      </c>
      <c r="G18" s="48"/>
    </row>
    <row r="19" spans="1:7" x14ac:dyDescent="0.25">
      <c r="A19" s="85" t="s">
        <v>743</v>
      </c>
      <c r="B19" s="86"/>
      <c r="C19" s="4"/>
      <c r="D19" s="42" t="str">
        <f>ROUND((D4/D18),2)&amp;" %"</f>
        <v>24.12 %</v>
      </c>
    </row>
    <row r="20" spans="1:7" x14ac:dyDescent="0.25">
      <c r="A20" s="85" t="s">
        <v>744</v>
      </c>
      <c r="B20" s="86"/>
      <c r="C20" s="4"/>
      <c r="D20" s="42">
        <f>COUNTIF(Report!AB4:AB2503,"&gt;0")</f>
        <v>448</v>
      </c>
    </row>
    <row r="21" spans="1:7" x14ac:dyDescent="0.25">
      <c r="A21" s="17"/>
      <c r="B21" s="17"/>
      <c r="C21" s="17"/>
    </row>
    <row r="22" spans="1:7" x14ac:dyDescent="0.25">
      <c r="A22" s="17"/>
      <c r="B22" s="17"/>
      <c r="C22" s="17"/>
    </row>
    <row r="23" spans="1:7" x14ac:dyDescent="0.25">
      <c r="A23" s="17"/>
      <c r="B23" s="17"/>
      <c r="C23" s="17"/>
    </row>
    <row r="24" spans="1:7" x14ac:dyDescent="0.25">
      <c r="A24" s="17"/>
      <c r="B24" s="17"/>
      <c r="C24" s="17"/>
    </row>
    <row r="25" spans="1:7" x14ac:dyDescent="0.25">
      <c r="A25" s="17"/>
      <c r="B25" s="17"/>
      <c r="C25" s="17"/>
    </row>
    <row r="26" spans="1:7" x14ac:dyDescent="0.25">
      <c r="A26" s="17"/>
      <c r="B26" s="17"/>
      <c r="C26" s="17"/>
    </row>
    <row r="27" spans="1:7" x14ac:dyDescent="0.25">
      <c r="A27" s="17"/>
      <c r="B27" s="17"/>
      <c r="C27" s="17"/>
    </row>
    <row r="28" spans="1:7" x14ac:dyDescent="0.25">
      <c r="A28" s="17"/>
      <c r="B28" s="17"/>
      <c r="C28" s="17"/>
    </row>
  </sheetData>
  <mergeCells count="8">
    <mergeCell ref="A19:B19"/>
    <mergeCell ref="A20:B20"/>
    <mergeCell ref="A3:B3"/>
    <mergeCell ref="A6:B6"/>
    <mergeCell ref="A9:B9"/>
    <mergeCell ref="A14:B14"/>
    <mergeCell ref="A16:B16"/>
    <mergeCell ref="A18:B18"/>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548"/>
  <sheetViews>
    <sheetView topLeftCell="A2523" zoomScale="70" zoomScaleNormal="70" workbookViewId="0">
      <selection activeCell="AB4" sqref="AB4"/>
    </sheetView>
  </sheetViews>
  <sheetFormatPr defaultRowHeight="15" x14ac:dyDescent="0.25"/>
  <cols>
    <col min="1" max="1" width="17.5703125" bestFit="1" customWidth="1"/>
    <col min="2" max="2" width="18" bestFit="1" customWidth="1"/>
    <col min="3" max="3" width="21.85546875" customWidth="1"/>
    <col min="4" max="4" width="22.42578125" bestFit="1" customWidth="1"/>
    <col min="5" max="5" width="38.5703125" bestFit="1" customWidth="1"/>
    <col min="6" max="6" width="18" bestFit="1" customWidth="1"/>
    <col min="7" max="9" width="11" customWidth="1"/>
    <col min="10" max="10" width="12" customWidth="1"/>
    <col min="11" max="11" width="26.5703125" bestFit="1" customWidth="1"/>
    <col min="12" max="12" width="74.42578125" bestFit="1" customWidth="1"/>
    <col min="13" max="13" width="12" customWidth="1"/>
    <col min="14" max="14" width="18.85546875" bestFit="1" customWidth="1"/>
    <col min="15" max="15" width="12" customWidth="1"/>
    <col min="16" max="16" width="15.85546875" bestFit="1" customWidth="1"/>
    <col min="17" max="17" width="34.140625" bestFit="1" customWidth="1"/>
    <col min="18" max="18" width="17.5703125" bestFit="1" customWidth="1"/>
    <col min="19" max="19" width="12" customWidth="1"/>
    <col min="20" max="20" width="13.85546875" bestFit="1" customWidth="1"/>
    <col min="21" max="21" width="14.5703125" customWidth="1"/>
    <col min="22" max="22" width="20.5703125" customWidth="1"/>
    <col min="23" max="23" width="18" bestFit="1" customWidth="1"/>
    <col min="24" max="24" width="33.42578125" bestFit="1" customWidth="1"/>
    <col min="25" max="26" width="12" customWidth="1"/>
    <col min="27" max="27" width="17.85546875" bestFit="1" customWidth="1"/>
    <col min="28" max="28" width="18" customWidth="1"/>
    <col min="29" max="29" width="16.28515625" bestFit="1" customWidth="1"/>
  </cols>
  <sheetData>
    <row r="1" spans="1:29" x14ac:dyDescent="0.25">
      <c r="A1" s="1" t="s">
        <v>761</v>
      </c>
      <c r="B1" s="1"/>
    </row>
    <row r="2" spans="1:29" x14ac:dyDescent="0.25">
      <c r="A2" s="15" t="s">
        <v>789</v>
      </c>
      <c r="B2" s="15" t="s">
        <v>790</v>
      </c>
      <c r="C2" s="15" t="s">
        <v>791</v>
      </c>
      <c r="D2" s="15" t="s">
        <v>792</v>
      </c>
      <c r="E2" s="15" t="s">
        <v>793</v>
      </c>
      <c r="F2" s="15" t="s">
        <v>794</v>
      </c>
      <c r="G2" s="15" t="s">
        <v>795</v>
      </c>
      <c r="H2" s="15" t="s">
        <v>796</v>
      </c>
      <c r="I2" s="15" t="s">
        <v>797</v>
      </c>
      <c r="J2" s="15" t="s">
        <v>798</v>
      </c>
      <c r="K2" s="15" t="s">
        <v>799</v>
      </c>
      <c r="L2" s="15" t="s">
        <v>800</v>
      </c>
      <c r="M2" s="15" t="s">
        <v>801</v>
      </c>
      <c r="N2" s="15" t="s">
        <v>802</v>
      </c>
      <c r="O2" s="15" t="s">
        <v>803</v>
      </c>
      <c r="P2" s="15" t="s">
        <v>804</v>
      </c>
      <c r="Q2" s="15" t="s">
        <v>805</v>
      </c>
      <c r="R2" s="15" t="s">
        <v>806</v>
      </c>
      <c r="S2" s="15" t="s">
        <v>807</v>
      </c>
      <c r="T2" s="15" t="s">
        <v>808</v>
      </c>
      <c r="U2" s="15" t="s">
        <v>809</v>
      </c>
      <c r="V2" s="15" t="s">
        <v>810</v>
      </c>
      <c r="W2" s="15" t="s">
        <v>811</v>
      </c>
      <c r="X2" s="31" t="s">
        <v>812</v>
      </c>
      <c r="Y2" s="15" t="s">
        <v>813</v>
      </c>
      <c r="Z2" s="15" t="s">
        <v>814</v>
      </c>
      <c r="AA2" s="15" t="s">
        <v>815</v>
      </c>
      <c r="AB2" s="15" t="s">
        <v>816</v>
      </c>
      <c r="AC2" t="s">
        <v>864</v>
      </c>
    </row>
    <row r="3" spans="1:29" x14ac:dyDescent="0.25">
      <c r="A3" s="16" t="s">
        <v>762</v>
      </c>
      <c r="B3" t="s">
        <v>763</v>
      </c>
      <c r="C3" t="s">
        <v>764</v>
      </c>
      <c r="D3" t="s">
        <v>765</v>
      </c>
      <c r="E3" t="s">
        <v>766</v>
      </c>
      <c r="F3" t="s">
        <v>767</v>
      </c>
      <c r="G3" t="s">
        <v>768</v>
      </c>
      <c r="H3" t="s">
        <v>769</v>
      </c>
      <c r="I3" t="s">
        <v>770</v>
      </c>
      <c r="J3" t="s">
        <v>771</v>
      </c>
      <c r="K3" t="s">
        <v>772</v>
      </c>
      <c r="L3" t="s">
        <v>773</v>
      </c>
      <c r="M3" t="s">
        <v>774</v>
      </c>
      <c r="N3" t="s">
        <v>775</v>
      </c>
      <c r="O3" t="s">
        <v>776</v>
      </c>
      <c r="P3" t="s">
        <v>777</v>
      </c>
      <c r="Q3" t="s">
        <v>778</v>
      </c>
      <c r="R3" t="s">
        <v>779</v>
      </c>
      <c r="S3" t="s">
        <v>780</v>
      </c>
      <c r="T3" t="s">
        <v>781</v>
      </c>
      <c r="U3" t="s">
        <v>782</v>
      </c>
      <c r="V3" t="s">
        <v>783</v>
      </c>
      <c r="W3" t="s">
        <v>784</v>
      </c>
      <c r="X3" t="s">
        <v>785</v>
      </c>
      <c r="Y3" t="s">
        <v>786</v>
      </c>
      <c r="Z3" t="s">
        <v>787</v>
      </c>
      <c r="AA3" t="s">
        <v>788</v>
      </c>
      <c r="AB3" t="s">
        <v>865</v>
      </c>
    </row>
    <row r="4" spans="1:29" x14ac:dyDescent="0.25">
      <c r="A4" s="19">
        <f>OrdersTable!A4</f>
        <v>42</v>
      </c>
      <c r="B4" t="str">
        <f t="shared" ref="B4:B67" si="0">VLOOKUP($A4,Cust,2,0)</f>
        <v>Mr</v>
      </c>
      <c r="C4" t="str">
        <f t="shared" ref="C4:C9" si="1">VLOOKUP($A4,Cust,3,0)</f>
        <v>Ballantyne</v>
      </c>
      <c r="D4" t="str">
        <f t="shared" ref="D4:D67" si="2">VLOOKUP($A4,Cust,4,0)</f>
        <v>Barry John</v>
      </c>
      <c r="E4" t="str">
        <f t="shared" ref="E4:E67" si="3">VLOOKUP($A4,Cust,6,0)</f>
        <v>14 Bachmann Drive</v>
      </c>
      <c r="F4" t="str">
        <f t="shared" ref="F4:F67" si="4">VLOOKUP($A4,Cust,7,0)</f>
        <v>Alleena</v>
      </c>
      <c r="G4" t="str">
        <f t="shared" ref="G4:G67" si="5">VLOOKUP($A4,Cust,8,0)</f>
        <v>NSW</v>
      </c>
      <c r="H4">
        <f t="shared" ref="H4:H67" si="6">VLOOKUP($A4,Cust,9,0)</f>
        <v>2671</v>
      </c>
      <c r="I4">
        <f>VLOOKUP($A5,Cust,10,0)</f>
        <v>988</v>
      </c>
      <c r="J4">
        <f>OrdersTable!B4</f>
        <v>747</v>
      </c>
      <c r="K4" t="str">
        <f t="shared" ref="K4:K67" si="7">VLOOKUP($J4,Itms,2,0)</f>
        <v>Props and Replicas</v>
      </c>
      <c r="L4" t="str">
        <f t="shared" ref="L4:L67" si="8">VLOOKUP($J4,Itms,3,0)</f>
        <v>Doctor Who: The Master's Fob Watch</v>
      </c>
      <c r="M4" s="15" t="str">
        <f t="shared" ref="M4:M67" si="9">VLOOKUP($J4,Itms,4,0)</f>
        <v>-</v>
      </c>
      <c r="N4">
        <f t="shared" ref="N4:N67" si="10">VLOOKUP($J4,Itms,5,0)</f>
        <v>2.25</v>
      </c>
      <c r="O4" t="str">
        <f t="shared" ref="O4:O67" si="11">VLOOKUP($J4,Itms,6,0)</f>
        <v>A10</v>
      </c>
      <c r="P4" t="str">
        <f t="shared" ref="P4:P67" si="12">VLOOKUP($O4,Supp,2,0)</f>
        <v>Gallifrey International</v>
      </c>
      <c r="Q4" t="str">
        <f t="shared" ref="Q4:Q67" si="13">VLOOKUP($O4,Supp,3,0)</f>
        <v>181 Arcadia Street</v>
      </c>
      <c r="R4" s="3">
        <f>OrdersTable!C4</f>
        <v>44562</v>
      </c>
      <c r="S4">
        <f>OrdersTable!E4</f>
        <v>6</v>
      </c>
      <c r="T4">
        <f t="shared" ref="T4:T67" si="14">VLOOKUP($J4,Itms,9,0)</f>
        <v>44.99</v>
      </c>
      <c r="U4">
        <f t="shared" ref="U4:U67" si="15">VLOOKUP($J4,Itms,10,0)</f>
        <v>61.7</v>
      </c>
      <c r="V4">
        <f t="shared" ref="V4:V67" si="16">IF(ExchRateType="IR",ROUND(T4*ExchRateIR,2),IF(ExchRateType="CA",ROUND(U4*ExchRateCA,2),"Error at finding value"))</f>
        <v>72.88</v>
      </c>
      <c r="W4">
        <f>IF(MarkupType="Store Markup",ROUND(V4+V4*StoreMarkup,2),IF(MarkupType="Supplier Markup",V4+V4*SupplierMarkup,"Error at finding value"))</f>
        <v>114.79</v>
      </c>
      <c r="X4" s="32">
        <f>IF(AND(W4&gt;100,S4&gt;=3),ROUND(0.07125*W4,2),"0.00")</f>
        <v>8.18</v>
      </c>
      <c r="Y4">
        <f>ROUND(V4*S4,2)</f>
        <v>437.28</v>
      </c>
      <c r="Z4">
        <f>ROUND((W4-X4)*S4,2)</f>
        <v>639.66</v>
      </c>
      <c r="AA4">
        <f>IF(FreightType="Lethbridge-Stewart Freight ",ROUND(2.99+IF(N4&gt;0.75,(N4-0.75)*2.25,0)*S4,2),IF(MarkupType="Supplier Markup",V4+V4*SupplierMarkup,"Error at finding value"))</f>
        <v>23.24</v>
      </c>
      <c r="AB4">
        <f>ROUND(X4*S4,2)</f>
        <v>49.08</v>
      </c>
    </row>
    <row r="5" spans="1:29" x14ac:dyDescent="0.25">
      <c r="A5" s="16">
        <f>OrdersTable!A5</f>
        <v>42</v>
      </c>
      <c r="B5" s="15" t="str">
        <f t="shared" si="0"/>
        <v>Mr</v>
      </c>
      <c r="C5" s="15" t="str">
        <f t="shared" si="1"/>
        <v>Ballantyne</v>
      </c>
      <c r="D5" s="15" t="str">
        <f t="shared" si="2"/>
        <v>Barry John</v>
      </c>
      <c r="E5" s="15" t="str">
        <f t="shared" si="3"/>
        <v>14 Bachmann Drive</v>
      </c>
      <c r="F5" s="15" t="str">
        <f t="shared" si="4"/>
        <v>Alleena</v>
      </c>
      <c r="G5" s="15" t="str">
        <f t="shared" si="5"/>
        <v>NSW</v>
      </c>
      <c r="H5" s="15">
        <f t="shared" si="6"/>
        <v>2671</v>
      </c>
      <c r="I5" s="15">
        <f t="shared" ref="I5:I68" si="17">VLOOKUP($A5,Cust,10,0)</f>
        <v>988</v>
      </c>
      <c r="J5" s="15">
        <f>OrdersTable!B5</f>
        <v>758</v>
      </c>
      <c r="K5" s="15" t="str">
        <f t="shared" si="7"/>
        <v>Statues and Busts</v>
      </c>
      <c r="L5" s="15" t="str">
        <f t="shared" si="8"/>
        <v>Doctor Who: Helmet: Sontaran Officer Linx</v>
      </c>
      <c r="M5" s="15" t="str">
        <f t="shared" si="9"/>
        <v>-</v>
      </c>
      <c r="N5" s="15">
        <f t="shared" si="10"/>
        <v>1.75</v>
      </c>
      <c r="O5" s="15" t="str">
        <f t="shared" si="11"/>
        <v>A50</v>
      </c>
      <c r="P5" s="15" t="str">
        <f t="shared" si="12"/>
        <v>Rassilon Ltd.</v>
      </c>
      <c r="Q5" s="15" t="str">
        <f t="shared" si="13"/>
        <v>82 Richard Mathews Road</v>
      </c>
      <c r="R5" s="3">
        <f>OrdersTable!C5</f>
        <v>44562</v>
      </c>
      <c r="S5" s="15">
        <f>OrdersTable!E5</f>
        <v>6</v>
      </c>
      <c r="T5" s="15">
        <f t="shared" si="14"/>
        <v>34.99</v>
      </c>
      <c r="U5" s="15">
        <f t="shared" si="15"/>
        <v>47.79</v>
      </c>
      <c r="V5" s="15">
        <f t="shared" si="16"/>
        <v>56.68</v>
      </c>
      <c r="W5" s="15">
        <f>IF(MarkupType="Store Markup",ROUND(V5+V5*StoreMarkup,2),IF(MarkupType="Supplier Markup",V5+V5*SupplierMarkup,"Error at finding value"))</f>
        <v>89.27</v>
      </c>
      <c r="X5" s="32" t="str">
        <f t="shared" ref="X5:X68" si="18">IF(AND(W5&gt;100,S5&gt;=3),ROUND(0.07125*W5,2),"0.00")</f>
        <v>0.00</v>
      </c>
      <c r="Y5" s="15">
        <f t="shared" ref="Y5:Y68" si="19">ROUND(V5*S5,2)</f>
        <v>340.08</v>
      </c>
      <c r="Z5" s="15">
        <f t="shared" ref="Z5:Z68" si="20">ROUND((W5-X5)*S5,2)</f>
        <v>535.62</v>
      </c>
      <c r="AA5" s="15">
        <f>IF(FreightType="Lethbridge-Stewart Freight ",ROUND(2.99+IF(N5&gt;0.75,(N5-0.75)*2.25,0)*S5,2),IF(MarkupType="Supplier Markup",V5+V5*SupplierMarkup,"Error at finding value"))</f>
        <v>16.489999999999998</v>
      </c>
      <c r="AB5" s="15">
        <f t="shared" ref="AB5:AB68" si="21">ROUND(X5*S5,2)</f>
        <v>0</v>
      </c>
      <c r="AC5" s="15"/>
    </row>
    <row r="6" spans="1:29" x14ac:dyDescent="0.25">
      <c r="A6" s="16">
        <f>OrdersTable!A6</f>
        <v>66</v>
      </c>
      <c r="B6" s="15" t="str">
        <f t="shared" si="0"/>
        <v>Mr</v>
      </c>
      <c r="C6" s="15" t="str">
        <f t="shared" si="1"/>
        <v>Bachmann</v>
      </c>
      <c r="D6" s="15" t="str">
        <f t="shared" si="2"/>
        <v>Aaron</v>
      </c>
      <c r="E6" s="15" t="str">
        <f t="shared" si="3"/>
        <v>3 Csabai Avenue</v>
      </c>
      <c r="F6" s="15" t="str">
        <f t="shared" si="4"/>
        <v>Bridgewater</v>
      </c>
      <c r="G6" s="15" t="str">
        <f t="shared" si="5"/>
        <v>VIC</v>
      </c>
      <c r="H6" s="15">
        <f t="shared" si="6"/>
        <v>3516</v>
      </c>
      <c r="I6" s="15">
        <f t="shared" si="17"/>
        <v>1486</v>
      </c>
      <c r="J6" s="15">
        <f>OrdersTable!B6</f>
        <v>757</v>
      </c>
      <c r="K6" s="15" t="str">
        <f t="shared" si="7"/>
        <v>Statues and Busts</v>
      </c>
      <c r="L6" s="15" t="str">
        <f t="shared" si="8"/>
        <v>Doctor Who: Helmet: Ice Warrior</v>
      </c>
      <c r="M6" s="15" t="str">
        <f t="shared" si="9"/>
        <v>-</v>
      </c>
      <c r="N6" s="15">
        <f t="shared" si="10"/>
        <v>1.75</v>
      </c>
      <c r="O6" s="15" t="str">
        <f t="shared" si="11"/>
        <v>A20</v>
      </c>
      <c r="P6" s="15" t="str">
        <f t="shared" si="12"/>
        <v>Morbius Inc.</v>
      </c>
      <c r="Q6" s="15" t="str">
        <f t="shared" si="13"/>
        <v>56 Michael Spice Hwy</v>
      </c>
      <c r="R6" s="3">
        <f>OrdersTable!C6</f>
        <v>44562</v>
      </c>
      <c r="S6" s="15">
        <f>OrdersTable!E6</f>
        <v>8</v>
      </c>
      <c r="T6" s="15">
        <f t="shared" si="14"/>
        <v>34.99</v>
      </c>
      <c r="U6" s="15">
        <f t="shared" si="15"/>
        <v>47.88</v>
      </c>
      <c r="V6" s="15">
        <f t="shared" si="16"/>
        <v>56.68</v>
      </c>
      <c r="W6" s="15">
        <f>IF(MarkupType="Store Markup",ROUND(V6+V6*StoreMarkup,2),IF(MarkupType="Supplier Markup",V6+V6*SupplierMarkup,"Error at finding value"))</f>
        <v>89.27</v>
      </c>
      <c r="X6" s="32" t="str">
        <f t="shared" si="18"/>
        <v>0.00</v>
      </c>
      <c r="Y6" s="15">
        <f t="shared" si="19"/>
        <v>453.44</v>
      </c>
      <c r="Z6" s="15">
        <f t="shared" si="20"/>
        <v>714.16</v>
      </c>
      <c r="AA6" s="15">
        <f>IF(FreightType="Lethbridge-Stewart Freight ",ROUND(2.99+IF(N6&gt;0.75,(N6-0.75)*2.25,0)*S6,2),IF(MarkupType="Supplier Markup",V6+V6*SupplierMarkup,"Error at finding value"))</f>
        <v>20.99</v>
      </c>
      <c r="AB6" s="15">
        <f t="shared" si="21"/>
        <v>0</v>
      </c>
    </row>
    <row r="7" spans="1:29" x14ac:dyDescent="0.25">
      <c r="A7" s="16">
        <f>OrdersTable!A7</f>
        <v>180</v>
      </c>
      <c r="B7" s="15" t="str">
        <f t="shared" si="0"/>
        <v>Mrs</v>
      </c>
      <c r="C7" s="15" t="str">
        <f t="shared" si="1"/>
        <v>Feeney</v>
      </c>
      <c r="D7" s="15" t="str">
        <f t="shared" si="2"/>
        <v>Jennifer Ruth</v>
      </c>
      <c r="E7" s="15" t="str">
        <f t="shared" si="3"/>
        <v>18 Cook Avenue</v>
      </c>
      <c r="F7" s="15" t="str">
        <f t="shared" si="4"/>
        <v>Nayook</v>
      </c>
      <c r="G7" s="15" t="str">
        <f t="shared" si="5"/>
        <v>VIC</v>
      </c>
      <c r="H7" s="15">
        <f t="shared" si="6"/>
        <v>3832</v>
      </c>
      <c r="I7" s="15">
        <f t="shared" si="17"/>
        <v>1552</v>
      </c>
      <c r="J7" s="15">
        <f>OrdersTable!B7</f>
        <v>782</v>
      </c>
      <c r="K7" s="15" t="str">
        <f t="shared" si="7"/>
        <v>Statues and Busts</v>
      </c>
      <c r="L7" s="15" t="str">
        <f t="shared" si="8"/>
        <v>Doctor Who: Masterpiece Collection Maxi Bust: 10th Doctor</v>
      </c>
      <c r="M7" s="15" t="str">
        <f t="shared" si="9"/>
        <v>-</v>
      </c>
      <c r="N7" s="15">
        <f t="shared" si="10"/>
        <v>2.5</v>
      </c>
      <c r="O7" s="15" t="str">
        <f t="shared" si="11"/>
        <v>A30</v>
      </c>
      <c r="P7" s="15" t="str">
        <f t="shared" si="12"/>
        <v>Chesterton Enterprises</v>
      </c>
      <c r="Q7" s="15" t="str">
        <f t="shared" si="13"/>
        <v>41 William Russell Road</v>
      </c>
      <c r="R7" s="3">
        <f>OrdersTable!C7</f>
        <v>44562</v>
      </c>
      <c r="S7" s="15">
        <f>OrdersTable!E7</f>
        <v>9</v>
      </c>
      <c r="T7" s="15">
        <f t="shared" si="14"/>
        <v>49.99</v>
      </c>
      <c r="U7" s="15">
        <f t="shared" si="15"/>
        <v>68.5</v>
      </c>
      <c r="V7" s="15">
        <f t="shared" si="16"/>
        <v>80.98</v>
      </c>
      <c r="W7" s="15">
        <f>IF(MarkupType="Store Markup",ROUND(V7+V7*StoreMarkup,2),IF(MarkupType="Supplier Markup",V7+V7*SupplierMarkup,"Error at finding value"))</f>
        <v>127.54</v>
      </c>
      <c r="X7" s="32">
        <f t="shared" si="18"/>
        <v>9.09</v>
      </c>
      <c r="Y7" s="15">
        <f t="shared" si="19"/>
        <v>728.82</v>
      </c>
      <c r="Z7" s="15">
        <f t="shared" si="20"/>
        <v>1066.05</v>
      </c>
      <c r="AA7" s="15">
        <f>IF(FreightType="Lethbridge-Stewart Freight ",ROUND(2.99+IF(N7&gt;0.75,(N7-0.75)*2.25,0)*S7,2),IF(MarkupType="Supplier Markup",V7+V7*SupplierMarkup,"Error at finding value"))</f>
        <v>38.43</v>
      </c>
      <c r="AB7" s="15">
        <f t="shared" si="21"/>
        <v>81.81</v>
      </c>
    </row>
    <row r="8" spans="1:29" x14ac:dyDescent="0.25">
      <c r="A8" s="16">
        <f>OrdersTable!A8</f>
        <v>190</v>
      </c>
      <c r="B8" s="15" t="str">
        <f t="shared" si="0"/>
        <v>Mr</v>
      </c>
      <c r="C8" s="15" t="str">
        <f t="shared" si="1"/>
        <v>Azar</v>
      </c>
      <c r="D8" s="15" t="str">
        <f t="shared" si="2"/>
        <v>Hector Antonio</v>
      </c>
      <c r="E8" s="15" t="str">
        <f t="shared" si="3"/>
        <v>38 Hope Avenue</v>
      </c>
      <c r="F8" s="15" t="str">
        <f t="shared" si="4"/>
        <v>Glenfern</v>
      </c>
      <c r="G8" s="15" t="str">
        <f t="shared" si="5"/>
        <v>QLD</v>
      </c>
      <c r="H8" s="15">
        <f t="shared" si="6"/>
        <v>4515</v>
      </c>
      <c r="I8" s="15">
        <f t="shared" si="17"/>
        <v>128</v>
      </c>
      <c r="J8" s="15">
        <f>OrdersTable!B8</f>
        <v>374</v>
      </c>
      <c r="K8" s="15" t="str">
        <f t="shared" si="7"/>
        <v>Clothing and Apparel</v>
      </c>
      <c r="L8" s="15" t="str">
        <f t="shared" si="8"/>
        <v xml:space="preserve">Doctor Who: T-Shirts: 5th Doctor Costume </v>
      </c>
      <c r="M8" s="15" t="str">
        <f t="shared" si="9"/>
        <v>XL</v>
      </c>
      <c r="N8" s="15">
        <f t="shared" si="10"/>
        <v>0.8</v>
      </c>
      <c r="O8" s="15" t="str">
        <f t="shared" si="11"/>
        <v>A50</v>
      </c>
      <c r="P8" s="15" t="str">
        <f t="shared" si="12"/>
        <v>Rassilon Ltd.</v>
      </c>
      <c r="Q8" s="15" t="str">
        <f t="shared" si="13"/>
        <v>82 Richard Mathews Road</v>
      </c>
      <c r="R8" s="3">
        <f>OrdersTable!C8</f>
        <v>44562</v>
      </c>
      <c r="S8" s="15">
        <f>OrdersTable!E8</f>
        <v>3</v>
      </c>
      <c r="T8" s="15">
        <f t="shared" si="14"/>
        <v>15.99</v>
      </c>
      <c r="U8" s="15">
        <f t="shared" si="15"/>
        <v>21.97</v>
      </c>
      <c r="V8" s="15">
        <f t="shared" si="16"/>
        <v>25.9</v>
      </c>
      <c r="W8" s="15">
        <f>IF(MarkupType="Store Markup",ROUND(V8+V8*StoreMarkup,2),IF(MarkupType="Supplier Markup",V8+V8*SupplierMarkup,"Error at finding value"))</f>
        <v>40.79</v>
      </c>
      <c r="X8" s="32" t="str">
        <f t="shared" si="18"/>
        <v>0.00</v>
      </c>
      <c r="Y8" s="15">
        <f t="shared" si="19"/>
        <v>77.7</v>
      </c>
      <c r="Z8" s="15">
        <f t="shared" si="20"/>
        <v>122.37</v>
      </c>
      <c r="AA8" s="15">
        <f>IF(FreightType="Lethbridge-Stewart Freight ",ROUND(2.99+IF(N8&gt;0.75,(N8-0.75)*2.25,0)*S8,2),IF(MarkupType="Supplier Markup",V8+V8*SupplierMarkup,"Error at finding value"))</f>
        <v>3.33</v>
      </c>
      <c r="AB8" s="15">
        <f t="shared" si="21"/>
        <v>0</v>
      </c>
    </row>
    <row r="9" spans="1:29" x14ac:dyDescent="0.25">
      <c r="A9" s="16">
        <f>OrdersTable!A9</f>
        <v>296</v>
      </c>
      <c r="B9" s="15" t="str">
        <f t="shared" si="0"/>
        <v>Miss</v>
      </c>
      <c r="C9" s="15" t="str">
        <f t="shared" si="1"/>
        <v>Kussrow</v>
      </c>
      <c r="D9" s="15" t="str">
        <f t="shared" si="2"/>
        <v>Katherine Anne</v>
      </c>
      <c r="E9" s="15" t="str">
        <f t="shared" si="3"/>
        <v>10 Downes Street</v>
      </c>
      <c r="F9" s="15" t="str">
        <f t="shared" si="4"/>
        <v>Breakwater</v>
      </c>
      <c r="G9" s="15" t="str">
        <f t="shared" si="5"/>
        <v>VIC</v>
      </c>
      <c r="H9" s="15">
        <f t="shared" si="6"/>
        <v>3219</v>
      </c>
      <c r="I9" s="15">
        <f t="shared" si="17"/>
        <v>1596</v>
      </c>
      <c r="J9" s="15">
        <f>OrdersTable!B9</f>
        <v>436</v>
      </c>
      <c r="K9" s="15" t="str">
        <f t="shared" si="7"/>
        <v>Giftware</v>
      </c>
      <c r="L9" s="15" t="str">
        <f t="shared" si="8"/>
        <v>Doctor Who: Adult Watch: TARDIS</v>
      </c>
      <c r="M9" s="15" t="str">
        <f t="shared" si="9"/>
        <v>-</v>
      </c>
      <c r="N9" s="15">
        <f t="shared" si="10"/>
        <v>1.5</v>
      </c>
      <c r="O9" s="15" t="str">
        <f t="shared" si="11"/>
        <v>A20</v>
      </c>
      <c r="P9" s="15" t="str">
        <f t="shared" si="12"/>
        <v>Morbius Inc.</v>
      </c>
      <c r="Q9" s="15" t="str">
        <f t="shared" si="13"/>
        <v>56 Michael Spice Hwy</v>
      </c>
      <c r="R9" s="3">
        <f>OrdersTable!C9</f>
        <v>44562</v>
      </c>
      <c r="S9" s="15">
        <f>OrdersTable!E9</f>
        <v>10</v>
      </c>
      <c r="T9" s="15">
        <f t="shared" si="14"/>
        <v>29.99</v>
      </c>
      <c r="U9" s="15">
        <f t="shared" si="15"/>
        <v>40.96</v>
      </c>
      <c r="V9" s="15">
        <f t="shared" si="16"/>
        <v>48.58</v>
      </c>
      <c r="W9" s="15">
        <f>IF(MarkupType="Store Markup",ROUND(V9+V9*StoreMarkup,2),IF(MarkupType="Supplier Markup",V9+V9*SupplierMarkup,"Error at finding value"))</f>
        <v>76.510000000000005</v>
      </c>
      <c r="X9" s="32" t="str">
        <f t="shared" si="18"/>
        <v>0.00</v>
      </c>
      <c r="Y9" s="15">
        <f t="shared" si="19"/>
        <v>485.8</v>
      </c>
      <c r="Z9" s="15">
        <f t="shared" si="20"/>
        <v>765.1</v>
      </c>
      <c r="AA9" s="15">
        <f>IF(FreightType="Lethbridge-Stewart Freight ",ROUND(2.99+IF(N9&gt;0.75,(N9-0.75)*2.25,0)*S9,2),IF(MarkupType="Supplier Markup",V9+V9*SupplierMarkup,"Error at finding value"))</f>
        <v>19.87</v>
      </c>
      <c r="AB9" s="15">
        <f t="shared" si="21"/>
        <v>0</v>
      </c>
    </row>
    <row r="10" spans="1:29" x14ac:dyDescent="0.25">
      <c r="A10" s="16">
        <f>OrdersTable!A10</f>
        <v>308</v>
      </c>
      <c r="B10" s="15" t="str">
        <f t="shared" si="0"/>
        <v>Dr</v>
      </c>
      <c r="C10" s="15" t="s">
        <v>826</v>
      </c>
      <c r="D10" s="15" t="str">
        <f t="shared" si="2"/>
        <v>Mariam</v>
      </c>
      <c r="E10" s="15" t="str">
        <f t="shared" si="3"/>
        <v>26 Osmond Road</v>
      </c>
      <c r="F10" s="15" t="str">
        <f t="shared" si="4"/>
        <v>Boston</v>
      </c>
      <c r="G10" s="15" t="str">
        <f t="shared" si="5"/>
        <v>SA</v>
      </c>
      <c r="H10" s="15">
        <f t="shared" si="6"/>
        <v>5607</v>
      </c>
      <c r="I10" s="15">
        <f t="shared" si="17"/>
        <v>2076</v>
      </c>
      <c r="J10" s="15">
        <f>OrdersTable!B10</f>
        <v>801</v>
      </c>
      <c r="K10" s="15" t="str">
        <f t="shared" si="7"/>
        <v>Statues and Busts</v>
      </c>
      <c r="L10" s="15" t="str">
        <f t="shared" si="8"/>
        <v>Doctor Who: Masterpiece Collection Maxi Bust: 4th Doctor</v>
      </c>
      <c r="M10" s="15" t="str">
        <f t="shared" si="9"/>
        <v>-</v>
      </c>
      <c r="N10" s="15">
        <f t="shared" si="10"/>
        <v>2.5</v>
      </c>
      <c r="O10" s="15" t="str">
        <f t="shared" si="11"/>
        <v>A30</v>
      </c>
      <c r="P10" s="15" t="str">
        <f t="shared" si="12"/>
        <v>Chesterton Enterprises</v>
      </c>
      <c r="Q10" s="15" t="str">
        <f t="shared" si="13"/>
        <v>41 William Russell Road</v>
      </c>
      <c r="R10" s="3">
        <f>OrdersTable!C10</f>
        <v>44562</v>
      </c>
      <c r="S10" s="15">
        <f>OrdersTable!E10</f>
        <v>4</v>
      </c>
      <c r="T10" s="15">
        <f t="shared" si="14"/>
        <v>49.99</v>
      </c>
      <c r="U10" s="15">
        <f t="shared" si="15"/>
        <v>68.180000000000007</v>
      </c>
      <c r="V10" s="15">
        <f t="shared" si="16"/>
        <v>80.98</v>
      </c>
      <c r="W10" s="15">
        <f>IF(MarkupType="Store Markup",ROUND(V10+V10*StoreMarkup,2),IF(MarkupType="Supplier Markup",V10+V10*SupplierMarkup,"Error at finding value"))</f>
        <v>127.54</v>
      </c>
      <c r="X10" s="32">
        <f t="shared" si="18"/>
        <v>9.09</v>
      </c>
      <c r="Y10" s="15">
        <f t="shared" si="19"/>
        <v>323.92</v>
      </c>
      <c r="Z10" s="15">
        <f t="shared" si="20"/>
        <v>473.8</v>
      </c>
      <c r="AA10" s="15">
        <f>IF(FreightType="Lethbridge-Stewart Freight ",ROUND(2.99+IF(N10&gt;0.75,(N10-0.75)*2.25,0)*S10,2),IF(MarkupType="Supplier Markup",V10+V10*SupplierMarkup,"Error at finding value"))</f>
        <v>18.739999999999998</v>
      </c>
      <c r="AB10" s="15">
        <f t="shared" si="21"/>
        <v>36.36</v>
      </c>
    </row>
    <row r="11" spans="1:29" x14ac:dyDescent="0.25">
      <c r="A11" s="16">
        <f>OrdersTable!A11</f>
        <v>328</v>
      </c>
      <c r="B11" s="15" t="str">
        <f t="shared" si="0"/>
        <v>Dr</v>
      </c>
      <c r="C11" s="15" t="str">
        <f t="shared" ref="C11:C74" si="22">VLOOKUP($A11,Cust,3,0)</f>
        <v>Ward</v>
      </c>
      <c r="D11" s="15" t="str">
        <f t="shared" si="2"/>
        <v>Keiren Nicholas</v>
      </c>
      <c r="E11" s="15" t="str">
        <f t="shared" si="3"/>
        <v>13 Green Crescent</v>
      </c>
      <c r="F11" s="15" t="str">
        <f t="shared" si="4"/>
        <v>Breakwater</v>
      </c>
      <c r="G11" s="15" t="str">
        <f t="shared" si="5"/>
        <v>VIC</v>
      </c>
      <c r="H11" s="15">
        <f t="shared" si="6"/>
        <v>3219</v>
      </c>
      <c r="I11" s="15">
        <f t="shared" si="17"/>
        <v>1596</v>
      </c>
      <c r="J11" s="15">
        <f>OrdersTable!B11</f>
        <v>685</v>
      </c>
      <c r="K11" s="15" t="str">
        <f t="shared" si="7"/>
        <v>Mugs</v>
      </c>
      <c r="L11" s="15" t="str">
        <f t="shared" si="8"/>
        <v>Doctor Who: Teapot: Sliver TARDIS</v>
      </c>
      <c r="M11" s="15" t="str">
        <f t="shared" si="9"/>
        <v>-</v>
      </c>
      <c r="N11" s="15">
        <f t="shared" si="10"/>
        <v>1.35</v>
      </c>
      <c r="O11" s="15" t="str">
        <f t="shared" si="11"/>
        <v>A30</v>
      </c>
      <c r="P11" s="15" t="str">
        <f t="shared" si="12"/>
        <v>Chesterton Enterprises</v>
      </c>
      <c r="Q11" s="15" t="str">
        <f t="shared" si="13"/>
        <v>41 William Russell Road</v>
      </c>
      <c r="R11" s="3">
        <f>OrdersTable!C11</f>
        <v>44562</v>
      </c>
      <c r="S11" s="15">
        <f>OrdersTable!E11</f>
        <v>9</v>
      </c>
      <c r="T11" s="15">
        <f t="shared" si="14"/>
        <v>26.99</v>
      </c>
      <c r="U11" s="15">
        <f t="shared" si="15"/>
        <v>36.869999999999997</v>
      </c>
      <c r="V11" s="15">
        <f t="shared" si="16"/>
        <v>43.72</v>
      </c>
      <c r="W11" s="15">
        <f>IF(MarkupType="Store Markup",ROUND(V11+V11*StoreMarkup,2),IF(MarkupType="Supplier Markup",V11+V11*SupplierMarkup,"Error at finding value"))</f>
        <v>68.86</v>
      </c>
      <c r="X11" s="32" t="str">
        <f t="shared" si="18"/>
        <v>0.00</v>
      </c>
      <c r="Y11" s="15">
        <f t="shared" si="19"/>
        <v>393.48</v>
      </c>
      <c r="Z11" s="15">
        <f t="shared" si="20"/>
        <v>619.74</v>
      </c>
      <c r="AA11" s="15">
        <f>IF(FreightType="Lethbridge-Stewart Freight ",ROUND(2.99+IF(N11&gt;0.75,(N11-0.75)*2.25,0)*S11,2),IF(MarkupType="Supplier Markup",V11+V11*SupplierMarkup,"Error at finding value"))</f>
        <v>15.14</v>
      </c>
      <c r="AB11" s="15">
        <f t="shared" si="21"/>
        <v>0</v>
      </c>
    </row>
    <row r="12" spans="1:29" x14ac:dyDescent="0.25">
      <c r="A12" s="16">
        <f>OrdersTable!A12</f>
        <v>448</v>
      </c>
      <c r="B12" s="15" t="str">
        <f t="shared" si="0"/>
        <v>Mr</v>
      </c>
      <c r="C12" s="15" t="str">
        <f t="shared" si="22"/>
        <v>Earl</v>
      </c>
      <c r="D12" s="15" t="str">
        <f t="shared" si="2"/>
        <v>Benn Robert</v>
      </c>
      <c r="E12" s="15" t="str">
        <f t="shared" si="3"/>
        <v>31 Kae Drive</v>
      </c>
      <c r="F12" s="15" t="str">
        <f t="shared" si="4"/>
        <v>Belford</v>
      </c>
      <c r="G12" s="15" t="str">
        <f t="shared" si="5"/>
        <v>NSW</v>
      </c>
      <c r="H12" s="15">
        <f t="shared" si="6"/>
        <v>2335</v>
      </c>
      <c r="I12" s="15">
        <f t="shared" si="17"/>
        <v>716</v>
      </c>
      <c r="J12" s="15">
        <f>OrdersTable!B12</f>
        <v>711</v>
      </c>
      <c r="K12" s="15" t="str">
        <f t="shared" si="7"/>
        <v>Posters, Prints and Standees</v>
      </c>
      <c r="L12" s="15" t="str">
        <f t="shared" si="8"/>
        <v>Doctor Who: Poster: TARDIS Door Poster</v>
      </c>
      <c r="M12" s="15" t="str">
        <f t="shared" si="9"/>
        <v>-</v>
      </c>
      <c r="N12" s="15">
        <f t="shared" si="10"/>
        <v>0.3</v>
      </c>
      <c r="O12" s="15" t="str">
        <f t="shared" si="11"/>
        <v>A20</v>
      </c>
      <c r="P12" s="15" t="str">
        <f t="shared" si="12"/>
        <v>Morbius Inc.</v>
      </c>
      <c r="Q12" s="15" t="str">
        <f t="shared" si="13"/>
        <v>56 Michael Spice Hwy</v>
      </c>
      <c r="R12" s="3">
        <f>OrdersTable!C12</f>
        <v>44562</v>
      </c>
      <c r="S12" s="15">
        <f>OrdersTable!E12</f>
        <v>7</v>
      </c>
      <c r="T12" s="15">
        <f t="shared" si="14"/>
        <v>5.99</v>
      </c>
      <c r="U12" s="15">
        <f t="shared" si="15"/>
        <v>8.41</v>
      </c>
      <c r="V12" s="15">
        <f t="shared" si="16"/>
        <v>9.6999999999999993</v>
      </c>
      <c r="W12" s="15">
        <f>IF(MarkupType="Store Markup",ROUND(V12+V12*StoreMarkup,2),IF(MarkupType="Supplier Markup",V12+V12*SupplierMarkup,"Error at finding value"))</f>
        <v>15.28</v>
      </c>
      <c r="X12" s="32" t="str">
        <f t="shared" si="18"/>
        <v>0.00</v>
      </c>
      <c r="Y12" s="15">
        <f t="shared" si="19"/>
        <v>67.900000000000006</v>
      </c>
      <c r="Z12" s="15">
        <f t="shared" si="20"/>
        <v>106.96</v>
      </c>
      <c r="AA12" s="15">
        <f>IF(FreightType="Lethbridge-Stewart Freight ",ROUND(2.99+IF(N12&gt;0.75,(N12-0.75)*2.25,0)*S12,2),IF(MarkupType="Supplier Markup",V12+V12*SupplierMarkup,"Error at finding value"))</f>
        <v>2.99</v>
      </c>
      <c r="AB12" s="15">
        <f t="shared" si="21"/>
        <v>0</v>
      </c>
    </row>
    <row r="13" spans="1:29" x14ac:dyDescent="0.25">
      <c r="A13" s="16">
        <f>OrdersTable!A13</f>
        <v>730</v>
      </c>
      <c r="B13" s="15" t="str">
        <f t="shared" si="0"/>
        <v>Mr</v>
      </c>
      <c r="C13" s="15" t="str">
        <f t="shared" si="22"/>
        <v>Romer</v>
      </c>
      <c r="D13" s="15" t="str">
        <f t="shared" si="2"/>
        <v>Leo Alexander</v>
      </c>
      <c r="E13" s="15" t="str">
        <f t="shared" si="3"/>
        <v>47 Bennett Circuit</v>
      </c>
      <c r="F13" s="15" t="str">
        <f t="shared" si="4"/>
        <v>Caliph</v>
      </c>
      <c r="G13" s="15" t="str">
        <f t="shared" si="5"/>
        <v>SA</v>
      </c>
      <c r="H13" s="15">
        <f t="shared" si="6"/>
        <v>5310</v>
      </c>
      <c r="I13" s="15">
        <f t="shared" si="17"/>
        <v>1720</v>
      </c>
      <c r="J13" s="15">
        <f>OrdersTable!B13</f>
        <v>852</v>
      </c>
      <c r="K13" s="15" t="str">
        <f t="shared" si="7"/>
        <v>Statues and Busts</v>
      </c>
      <c r="L13" s="15" t="str">
        <f t="shared" si="8"/>
        <v>Doctor Who: Statue: Revenge Of The Cybermen Cyberleader</v>
      </c>
      <c r="M13" s="15" t="str">
        <f t="shared" si="9"/>
        <v>-</v>
      </c>
      <c r="N13" s="15">
        <f t="shared" si="10"/>
        <v>5.4</v>
      </c>
      <c r="O13" s="15" t="str">
        <f t="shared" si="11"/>
        <v>A50</v>
      </c>
      <c r="P13" s="15" t="str">
        <f t="shared" si="12"/>
        <v>Rassilon Ltd.</v>
      </c>
      <c r="Q13" s="15" t="str">
        <f t="shared" si="13"/>
        <v>82 Richard Mathews Road</v>
      </c>
      <c r="R13" s="3">
        <f>OrdersTable!C13</f>
        <v>44562</v>
      </c>
      <c r="S13" s="15">
        <f>OrdersTable!E13</f>
        <v>4</v>
      </c>
      <c r="T13" s="15">
        <f t="shared" si="14"/>
        <v>108</v>
      </c>
      <c r="U13" s="15">
        <f t="shared" si="15"/>
        <v>147.29</v>
      </c>
      <c r="V13" s="15">
        <f t="shared" si="16"/>
        <v>174.96</v>
      </c>
      <c r="W13" s="15">
        <f>IF(MarkupType="Store Markup",ROUND(V13+V13*StoreMarkup,2),IF(MarkupType="Supplier Markup",V13+V13*SupplierMarkup,"Error at finding value"))</f>
        <v>275.56</v>
      </c>
      <c r="X13" s="32">
        <f t="shared" si="18"/>
        <v>19.63</v>
      </c>
      <c r="Y13" s="15">
        <f t="shared" si="19"/>
        <v>699.84</v>
      </c>
      <c r="Z13" s="15">
        <f t="shared" si="20"/>
        <v>1023.72</v>
      </c>
      <c r="AA13" s="15">
        <f>IF(FreightType="Lethbridge-Stewart Freight ",ROUND(2.99+IF(N13&gt;0.75,(N13-0.75)*2.25,0)*S13,2),IF(MarkupType="Supplier Markup",V13+V13*SupplierMarkup,"Error at finding value"))</f>
        <v>44.84</v>
      </c>
      <c r="AB13" s="15">
        <f t="shared" si="21"/>
        <v>78.52</v>
      </c>
    </row>
    <row r="14" spans="1:29" x14ac:dyDescent="0.25">
      <c r="A14" s="16">
        <f>OrdersTable!A14</f>
        <v>758</v>
      </c>
      <c r="B14" s="15" t="str">
        <f t="shared" si="0"/>
        <v>Mr</v>
      </c>
      <c r="C14" s="15" t="str">
        <f t="shared" si="22"/>
        <v>Whitehorn</v>
      </c>
      <c r="D14" s="15" t="str">
        <f t="shared" si="2"/>
        <v>James</v>
      </c>
      <c r="E14" s="15" t="str">
        <f t="shared" si="3"/>
        <v>32 Raubenheimer Circuit</v>
      </c>
      <c r="F14" s="15" t="str">
        <f t="shared" si="4"/>
        <v>Belconnen</v>
      </c>
      <c r="G14" s="15" t="str">
        <f t="shared" si="5"/>
        <v>ACT</v>
      </c>
      <c r="H14" s="15">
        <f t="shared" si="6"/>
        <v>2617</v>
      </c>
      <c r="I14" s="15">
        <f t="shared" si="17"/>
        <v>1194</v>
      </c>
      <c r="J14" s="15">
        <f>OrdersTable!B14</f>
        <v>479</v>
      </c>
      <c r="K14" s="15" t="str">
        <f t="shared" si="7"/>
        <v>Giftware</v>
      </c>
      <c r="L14" s="15" t="str">
        <f t="shared" si="8"/>
        <v>Doctor Who: Keyring Dalek</v>
      </c>
      <c r="M14" s="15" t="str">
        <f t="shared" si="9"/>
        <v>-</v>
      </c>
      <c r="N14" s="15">
        <f t="shared" si="10"/>
        <v>0.25</v>
      </c>
      <c r="O14" s="15" t="str">
        <f t="shared" si="11"/>
        <v>A10</v>
      </c>
      <c r="P14" s="15" t="str">
        <f t="shared" si="12"/>
        <v>Gallifrey International</v>
      </c>
      <c r="Q14" s="15" t="str">
        <f t="shared" si="13"/>
        <v>181 Arcadia Street</v>
      </c>
      <c r="R14" s="3">
        <f>OrdersTable!C14</f>
        <v>44562</v>
      </c>
      <c r="S14" s="15">
        <f>OrdersTable!E14</f>
        <v>2</v>
      </c>
      <c r="T14" s="15">
        <f t="shared" si="14"/>
        <v>4.99</v>
      </c>
      <c r="U14" s="15">
        <f t="shared" si="15"/>
        <v>6.86</v>
      </c>
      <c r="V14" s="15">
        <f t="shared" si="16"/>
        <v>8.08</v>
      </c>
      <c r="W14" s="15">
        <f>IF(MarkupType="Store Markup",ROUND(V14+V14*StoreMarkup,2),IF(MarkupType="Supplier Markup",V14+V14*SupplierMarkup,"Error at finding value"))</f>
        <v>12.73</v>
      </c>
      <c r="X14" s="32" t="str">
        <f t="shared" si="18"/>
        <v>0.00</v>
      </c>
      <c r="Y14" s="15">
        <f t="shared" si="19"/>
        <v>16.16</v>
      </c>
      <c r="Z14" s="15">
        <f t="shared" si="20"/>
        <v>25.46</v>
      </c>
      <c r="AA14" s="15">
        <f>IF(FreightType="Lethbridge-Stewart Freight ",ROUND(2.99+IF(N14&gt;0.75,(N14-0.75)*2.25,0)*S14,2),IF(MarkupType="Supplier Markup",V14+V14*SupplierMarkup,"Error at finding value"))</f>
        <v>2.99</v>
      </c>
      <c r="AB14" s="15">
        <f t="shared" si="21"/>
        <v>0</v>
      </c>
    </row>
    <row r="15" spans="1:29" x14ac:dyDescent="0.25">
      <c r="A15" s="16">
        <f>OrdersTable!A15</f>
        <v>784</v>
      </c>
      <c r="B15" s="15" t="str">
        <f t="shared" si="0"/>
        <v>Ms</v>
      </c>
      <c r="C15" s="15" t="str">
        <f t="shared" si="22"/>
        <v>Hansen</v>
      </c>
      <c r="D15" s="15" t="str">
        <f t="shared" si="2"/>
        <v>Courtney Michelle</v>
      </c>
      <c r="E15" s="15" t="str">
        <f t="shared" si="3"/>
        <v>22 Elliot Crescent</v>
      </c>
      <c r="F15" s="15" t="str">
        <f t="shared" si="4"/>
        <v>Alfredtown</v>
      </c>
      <c r="G15" s="15" t="str">
        <f t="shared" si="5"/>
        <v>NSW</v>
      </c>
      <c r="H15" s="15">
        <f t="shared" si="6"/>
        <v>2650</v>
      </c>
      <c r="I15" s="15">
        <f t="shared" si="17"/>
        <v>1124</v>
      </c>
      <c r="J15" s="15">
        <f>OrdersTable!B15</f>
        <v>580</v>
      </c>
      <c r="K15" s="15" t="str">
        <f t="shared" si="7"/>
        <v>Giftware</v>
      </c>
      <c r="L15" s="15" t="str">
        <f t="shared" si="8"/>
        <v>Doctor Who: Wallpaper: Classic TARDIS Columns</v>
      </c>
      <c r="M15" s="15" t="str">
        <f t="shared" si="9"/>
        <v>-</v>
      </c>
      <c r="N15" s="15">
        <f t="shared" si="10"/>
        <v>0.65500000000000003</v>
      </c>
      <c r="O15" s="15" t="str">
        <f t="shared" si="11"/>
        <v>A50</v>
      </c>
      <c r="P15" s="15" t="str">
        <f t="shared" si="12"/>
        <v>Rassilon Ltd.</v>
      </c>
      <c r="Q15" s="15" t="str">
        <f t="shared" si="13"/>
        <v>82 Richard Mathews Road</v>
      </c>
      <c r="R15" s="3">
        <f>OrdersTable!C15</f>
        <v>44562</v>
      </c>
      <c r="S15" s="15">
        <f>OrdersTable!E15</f>
        <v>5</v>
      </c>
      <c r="T15" s="15">
        <f t="shared" si="14"/>
        <v>13.11</v>
      </c>
      <c r="U15" s="15">
        <f t="shared" si="15"/>
        <v>18.18</v>
      </c>
      <c r="V15" s="15">
        <f t="shared" si="16"/>
        <v>21.24</v>
      </c>
      <c r="W15" s="15">
        <f>IF(MarkupType="Store Markup",ROUND(V15+V15*StoreMarkup,2),IF(MarkupType="Supplier Markup",V15+V15*SupplierMarkup,"Error at finding value"))</f>
        <v>33.450000000000003</v>
      </c>
      <c r="X15" s="32" t="str">
        <f t="shared" si="18"/>
        <v>0.00</v>
      </c>
      <c r="Y15" s="15">
        <f t="shared" si="19"/>
        <v>106.2</v>
      </c>
      <c r="Z15" s="15">
        <f t="shared" si="20"/>
        <v>167.25</v>
      </c>
      <c r="AA15" s="15">
        <f>IF(FreightType="Lethbridge-Stewart Freight ",ROUND(2.99+IF(N15&gt;0.75,(N15-0.75)*2.25,0)*S15,2),IF(MarkupType="Supplier Markup",V15+V15*SupplierMarkup,"Error at finding value"))</f>
        <v>2.99</v>
      </c>
      <c r="AB15" s="15">
        <f t="shared" si="21"/>
        <v>0</v>
      </c>
    </row>
    <row r="16" spans="1:29" x14ac:dyDescent="0.25">
      <c r="A16" s="16">
        <f>OrdersTable!A16</f>
        <v>784</v>
      </c>
      <c r="B16" s="15" t="str">
        <f t="shared" si="0"/>
        <v>Ms</v>
      </c>
      <c r="C16" s="15" t="str">
        <f t="shared" si="22"/>
        <v>Hansen</v>
      </c>
      <c r="D16" s="15" t="str">
        <f t="shared" si="2"/>
        <v>Courtney Michelle</v>
      </c>
      <c r="E16" s="15" t="str">
        <f t="shared" si="3"/>
        <v>22 Elliot Crescent</v>
      </c>
      <c r="F16" s="15" t="str">
        <f t="shared" si="4"/>
        <v>Alfredtown</v>
      </c>
      <c r="G16" s="15" t="str">
        <f t="shared" si="5"/>
        <v>NSW</v>
      </c>
      <c r="H16" s="15">
        <f t="shared" si="6"/>
        <v>2650</v>
      </c>
      <c r="I16" s="15">
        <f t="shared" si="17"/>
        <v>1124</v>
      </c>
      <c r="J16" s="15">
        <f>OrdersTable!B16</f>
        <v>585</v>
      </c>
      <c r="K16" s="15" t="str">
        <f t="shared" si="7"/>
        <v>iPhone Skins</v>
      </c>
      <c r="L16" s="15" t="str">
        <f t="shared" si="8"/>
        <v>Doctor Who: iPhone Skin: Dalek To Victory</v>
      </c>
      <c r="M16" s="15" t="str">
        <f t="shared" si="9"/>
        <v>-</v>
      </c>
      <c r="N16" s="15">
        <f t="shared" si="10"/>
        <v>0.5</v>
      </c>
      <c r="O16" s="15" t="str">
        <f t="shared" si="11"/>
        <v>A10</v>
      </c>
      <c r="P16" s="15" t="str">
        <f t="shared" si="12"/>
        <v>Gallifrey International</v>
      </c>
      <c r="Q16" s="15" t="str">
        <f t="shared" si="13"/>
        <v>181 Arcadia Street</v>
      </c>
      <c r="R16" s="3">
        <f>OrdersTable!C16</f>
        <v>44562</v>
      </c>
      <c r="S16" s="15">
        <f>OrdersTable!E16</f>
        <v>6</v>
      </c>
      <c r="T16" s="15">
        <f t="shared" si="14"/>
        <v>9.99</v>
      </c>
      <c r="U16" s="15">
        <f t="shared" si="15"/>
        <v>13.7</v>
      </c>
      <c r="V16" s="15">
        <f t="shared" si="16"/>
        <v>16.18</v>
      </c>
      <c r="W16" s="15">
        <f>IF(MarkupType="Store Markup",ROUND(V16+V16*StoreMarkup,2),IF(MarkupType="Supplier Markup",V16+V16*SupplierMarkup,"Error at finding value"))</f>
        <v>25.48</v>
      </c>
      <c r="X16" s="32" t="str">
        <f t="shared" si="18"/>
        <v>0.00</v>
      </c>
      <c r="Y16" s="15">
        <f t="shared" si="19"/>
        <v>97.08</v>
      </c>
      <c r="Z16" s="15">
        <f t="shared" si="20"/>
        <v>152.88</v>
      </c>
      <c r="AA16" s="15">
        <f>IF(FreightType="Lethbridge-Stewart Freight ",ROUND(2.99+IF(N16&gt;0.75,(N16-0.75)*2.25,0)*S16,2),IF(MarkupType="Supplier Markup",V16+V16*SupplierMarkup,"Error at finding value"))</f>
        <v>2.99</v>
      </c>
      <c r="AB16" s="15">
        <f t="shared" si="21"/>
        <v>0</v>
      </c>
    </row>
    <row r="17" spans="1:28" x14ac:dyDescent="0.25">
      <c r="A17" s="16">
        <f>OrdersTable!A17</f>
        <v>112</v>
      </c>
      <c r="B17" s="15" t="str">
        <f t="shared" si="0"/>
        <v>Mr</v>
      </c>
      <c r="C17" s="15" t="str">
        <f t="shared" si="22"/>
        <v>Dahal</v>
      </c>
      <c r="D17" s="15" t="str">
        <f t="shared" si="2"/>
        <v>Subash</v>
      </c>
      <c r="E17" s="15" t="str">
        <f t="shared" si="3"/>
        <v>121-127 Railway Pde, Granville, NSW 2142</v>
      </c>
      <c r="F17" s="15" t="str">
        <f t="shared" si="4"/>
        <v>Granville</v>
      </c>
      <c r="G17" s="15" t="str">
        <f t="shared" si="5"/>
        <v>NSW</v>
      </c>
      <c r="H17" s="15">
        <f t="shared" si="6"/>
        <v>2142</v>
      </c>
      <c r="I17" s="15">
        <f t="shared" si="17"/>
        <v>907</v>
      </c>
      <c r="J17" s="15">
        <f>OrdersTable!B17</f>
        <v>398</v>
      </c>
      <c r="K17" s="15" t="str">
        <f t="shared" si="7"/>
        <v>Clothing and Apparel</v>
      </c>
      <c r="L17" s="15" t="str">
        <f t="shared" si="8"/>
        <v>Doctor Who: Women's Winter Pyjamas</v>
      </c>
      <c r="M17" s="15" t="str">
        <f t="shared" si="9"/>
        <v>S</v>
      </c>
      <c r="N17" s="15">
        <f t="shared" si="10"/>
        <v>1.5</v>
      </c>
      <c r="O17" s="15" t="str">
        <f t="shared" si="11"/>
        <v>A40</v>
      </c>
      <c r="P17" s="15" t="str">
        <f t="shared" si="12"/>
        <v>Romana Imports</v>
      </c>
      <c r="Q17" s="15" t="str">
        <f t="shared" si="13"/>
        <v>17 Lalla Ward Road</v>
      </c>
      <c r="R17" s="3">
        <f>OrdersTable!C17</f>
        <v>44563</v>
      </c>
      <c r="S17" s="15">
        <f>OrdersTable!E17</f>
        <v>10</v>
      </c>
      <c r="T17" s="15">
        <f t="shared" si="14"/>
        <v>29.99</v>
      </c>
      <c r="U17" s="15">
        <f t="shared" si="15"/>
        <v>41.07</v>
      </c>
      <c r="V17" s="15">
        <f t="shared" si="16"/>
        <v>48.58</v>
      </c>
      <c r="W17" s="15">
        <f>IF(MarkupType="Store Markup",ROUND(V17+V17*StoreMarkup,2),IF(MarkupType="Supplier Markup",V17+V17*SupplierMarkup,"Error at finding value"))</f>
        <v>76.510000000000005</v>
      </c>
      <c r="X17" s="32" t="str">
        <f t="shared" si="18"/>
        <v>0.00</v>
      </c>
      <c r="Y17" s="15">
        <f t="shared" si="19"/>
        <v>485.8</v>
      </c>
      <c r="Z17" s="15">
        <f t="shared" si="20"/>
        <v>765.1</v>
      </c>
      <c r="AA17" s="15">
        <f>IF(FreightType="Lethbridge-Stewart Freight ",ROUND(2.99+IF(N17&gt;0.75,(N17-0.75)*2.25,0)*S17,2),IF(MarkupType="Supplier Markup",V17+V17*SupplierMarkup,"Error at finding value"))</f>
        <v>19.87</v>
      </c>
      <c r="AB17" s="15">
        <f t="shared" si="21"/>
        <v>0</v>
      </c>
    </row>
    <row r="18" spans="1:28" x14ac:dyDescent="0.25">
      <c r="A18" s="16">
        <f>OrdersTable!A18</f>
        <v>142</v>
      </c>
      <c r="B18" s="15" t="str">
        <f t="shared" si="0"/>
        <v>Miss</v>
      </c>
      <c r="C18" s="15" t="str">
        <f t="shared" si="22"/>
        <v>Western</v>
      </c>
      <c r="D18" s="15">
        <f>SUMIF(Report!L4:L2503,"")</f>
        <v>0</v>
      </c>
      <c r="E18" s="15" t="str">
        <f t="shared" si="3"/>
        <v>14 Fields Road</v>
      </c>
      <c r="F18" s="15" t="str">
        <f t="shared" si="4"/>
        <v>Airly</v>
      </c>
      <c r="G18" s="15" t="str">
        <f t="shared" si="5"/>
        <v>VIC</v>
      </c>
      <c r="H18" s="15">
        <f t="shared" si="6"/>
        <v>3851</v>
      </c>
      <c r="I18" s="15">
        <f t="shared" si="17"/>
        <v>1583</v>
      </c>
      <c r="J18" s="15">
        <f>OrdersTable!B18</f>
        <v>177</v>
      </c>
      <c r="K18" s="15" t="str">
        <f t="shared" si="7"/>
        <v>Bobbleheads</v>
      </c>
      <c r="L18" s="15" t="str">
        <f t="shared" si="8"/>
        <v>Doctor Who: Bobblehead: TARDIS (With Sound)</v>
      </c>
      <c r="M18" s="15" t="str">
        <f t="shared" si="9"/>
        <v>-</v>
      </c>
      <c r="N18" s="15">
        <f t="shared" si="10"/>
        <v>1</v>
      </c>
      <c r="O18" s="15" t="str">
        <f t="shared" si="11"/>
        <v>A30</v>
      </c>
      <c r="P18" s="15" t="str">
        <f t="shared" si="12"/>
        <v>Chesterton Enterprises</v>
      </c>
      <c r="Q18" s="15" t="str">
        <f t="shared" si="13"/>
        <v>41 William Russell Road</v>
      </c>
      <c r="R18" s="3">
        <f>OrdersTable!C18</f>
        <v>44563</v>
      </c>
      <c r="S18" s="15">
        <f>OrdersTable!E18</f>
        <v>4</v>
      </c>
      <c r="T18" s="15">
        <f t="shared" si="14"/>
        <v>19.989999999999998</v>
      </c>
      <c r="U18" s="15">
        <f t="shared" si="15"/>
        <v>27.6</v>
      </c>
      <c r="V18" s="15">
        <f t="shared" si="16"/>
        <v>32.380000000000003</v>
      </c>
      <c r="W18" s="15">
        <f>IF(MarkupType="Store Markup",ROUND(V18+V18*StoreMarkup,2),IF(MarkupType="Supplier Markup",V18+V18*SupplierMarkup,"Error at finding value"))</f>
        <v>51</v>
      </c>
      <c r="X18" s="32" t="str">
        <f t="shared" si="18"/>
        <v>0.00</v>
      </c>
      <c r="Y18" s="15">
        <f t="shared" si="19"/>
        <v>129.52000000000001</v>
      </c>
      <c r="Z18" s="15">
        <f t="shared" si="20"/>
        <v>204</v>
      </c>
      <c r="AA18" s="15">
        <f>IF(FreightType="Lethbridge-Stewart Freight ",ROUND(2.99+IF(N18&gt;0.75,(N18-0.75)*2.25,0)*S18,2),IF(MarkupType="Supplier Markup",V18+V18*SupplierMarkup,"Error at finding value"))</f>
        <v>5.24</v>
      </c>
      <c r="AB18" s="15">
        <f t="shared" si="21"/>
        <v>0</v>
      </c>
    </row>
    <row r="19" spans="1:28" x14ac:dyDescent="0.25">
      <c r="A19" s="16">
        <f>OrdersTable!A19</f>
        <v>224</v>
      </c>
      <c r="B19" s="15" t="str">
        <f t="shared" si="0"/>
        <v>Miss</v>
      </c>
      <c r="C19" s="15" t="str">
        <f t="shared" si="22"/>
        <v>Baruwal</v>
      </c>
      <c r="D19" s="15" t="str">
        <f t="shared" si="2"/>
        <v>Pratikshya</v>
      </c>
      <c r="E19" s="15" t="str">
        <f t="shared" si="3"/>
        <v>43 Gilloway Street</v>
      </c>
      <c r="F19" s="15" t="str">
        <f t="shared" si="4"/>
        <v>Iluka</v>
      </c>
      <c r="G19" s="15" t="str">
        <f t="shared" si="5"/>
        <v>NSW</v>
      </c>
      <c r="H19" s="15">
        <f t="shared" si="6"/>
        <v>2466</v>
      </c>
      <c r="I19" s="15">
        <f t="shared" si="17"/>
        <v>347</v>
      </c>
      <c r="J19" s="15">
        <f>OrdersTable!B19</f>
        <v>725</v>
      </c>
      <c r="K19" s="15" t="str">
        <f t="shared" si="7"/>
        <v>Props and Replicas</v>
      </c>
      <c r="L19" s="15" t="str">
        <f t="shared" si="8"/>
        <v>Doctor Who: Captain Jack Sonic Blaster</v>
      </c>
      <c r="M19" s="15" t="str">
        <f t="shared" si="9"/>
        <v>-</v>
      </c>
      <c r="N19" s="15">
        <f t="shared" si="10"/>
        <v>14.8</v>
      </c>
      <c r="O19" s="15" t="str">
        <f t="shared" si="11"/>
        <v>A30</v>
      </c>
      <c r="P19" s="15" t="str">
        <f t="shared" si="12"/>
        <v>Chesterton Enterprises</v>
      </c>
      <c r="Q19" s="15" t="str">
        <f t="shared" si="13"/>
        <v>41 William Russell Road</v>
      </c>
      <c r="R19" s="3">
        <f>OrdersTable!C19</f>
        <v>44563</v>
      </c>
      <c r="S19" s="15">
        <f>OrdersTable!E19</f>
        <v>8</v>
      </c>
      <c r="T19" s="15">
        <f t="shared" si="14"/>
        <v>295.99</v>
      </c>
      <c r="U19" s="15">
        <f t="shared" si="15"/>
        <v>403.88</v>
      </c>
      <c r="V19" s="15">
        <f t="shared" si="16"/>
        <v>479.5</v>
      </c>
      <c r="W19" s="15">
        <f>IF(MarkupType="Store Markup",ROUND(V19+V19*StoreMarkup,2),IF(MarkupType="Supplier Markup",V19+V19*SupplierMarkup,"Error at finding value"))</f>
        <v>755.21</v>
      </c>
      <c r="X19" s="32">
        <f t="shared" si="18"/>
        <v>53.81</v>
      </c>
      <c r="Y19" s="15">
        <f t="shared" si="19"/>
        <v>3836</v>
      </c>
      <c r="Z19" s="15">
        <f t="shared" si="20"/>
        <v>5611.2</v>
      </c>
      <c r="AA19" s="15">
        <f>IF(FreightType="Lethbridge-Stewart Freight ",ROUND(2.99+IF(N19&gt;0.75,(N19-0.75)*2.25,0)*S19,2),IF(MarkupType="Supplier Markup",V19+V19*SupplierMarkup,"Error at finding value"))</f>
        <v>255.89</v>
      </c>
      <c r="AB19" s="15">
        <f t="shared" si="21"/>
        <v>430.48</v>
      </c>
    </row>
    <row r="20" spans="1:28" x14ac:dyDescent="0.25">
      <c r="A20" s="16">
        <f>OrdersTable!A20</f>
        <v>323</v>
      </c>
      <c r="B20" s="15" t="str">
        <f t="shared" si="0"/>
        <v>Dr</v>
      </c>
      <c r="C20" s="15" t="str">
        <f t="shared" si="22"/>
        <v>King</v>
      </c>
      <c r="D20" s="15" t="str">
        <f t="shared" si="2"/>
        <v>Leith</v>
      </c>
      <c r="E20" s="15" t="str">
        <f t="shared" si="3"/>
        <v>25 Carbone Court</v>
      </c>
      <c r="F20" s="15" t="str">
        <f t="shared" si="4"/>
        <v>Nayook</v>
      </c>
      <c r="G20" s="15" t="str">
        <f t="shared" si="5"/>
        <v>VIC</v>
      </c>
      <c r="H20" s="15">
        <f t="shared" si="6"/>
        <v>3832</v>
      </c>
      <c r="I20" s="15">
        <f t="shared" si="17"/>
        <v>1552</v>
      </c>
      <c r="J20" s="15">
        <f>OrdersTable!B20</f>
        <v>792</v>
      </c>
      <c r="K20" s="15" t="str">
        <f t="shared" si="7"/>
        <v>Statues and Busts</v>
      </c>
      <c r="L20" s="15" t="str">
        <f t="shared" si="8"/>
        <v>Doctor Who: Masterpiece Collection Maxi Bust: 3rd Doctor</v>
      </c>
      <c r="M20" s="15" t="str">
        <f t="shared" si="9"/>
        <v>-</v>
      </c>
      <c r="N20" s="15">
        <f t="shared" si="10"/>
        <v>2.5</v>
      </c>
      <c r="O20" s="15" t="str">
        <f t="shared" si="11"/>
        <v>A20</v>
      </c>
      <c r="P20" s="15" t="str">
        <f t="shared" si="12"/>
        <v>Morbius Inc.</v>
      </c>
      <c r="Q20" s="15" t="str">
        <f t="shared" si="13"/>
        <v>56 Michael Spice Hwy</v>
      </c>
      <c r="R20" s="3">
        <f>OrdersTable!C20</f>
        <v>44563</v>
      </c>
      <c r="S20" s="15">
        <f>OrdersTable!E20</f>
        <v>7</v>
      </c>
      <c r="T20" s="15">
        <f t="shared" si="14"/>
        <v>49.99</v>
      </c>
      <c r="U20" s="15">
        <f t="shared" si="15"/>
        <v>68.39</v>
      </c>
      <c r="V20" s="15">
        <f t="shared" si="16"/>
        <v>80.98</v>
      </c>
      <c r="W20" s="15">
        <f>IF(MarkupType="Store Markup",ROUND(V20+V20*StoreMarkup,2),IF(MarkupType="Supplier Markup",V20+V20*SupplierMarkup,"Error at finding value"))</f>
        <v>127.54</v>
      </c>
      <c r="X20" s="32">
        <f t="shared" si="18"/>
        <v>9.09</v>
      </c>
      <c r="Y20" s="15">
        <f t="shared" si="19"/>
        <v>566.86</v>
      </c>
      <c r="Z20" s="15">
        <f t="shared" si="20"/>
        <v>829.15</v>
      </c>
      <c r="AA20" s="15">
        <f>IF(FreightType="Lethbridge-Stewart Freight ",ROUND(2.99+IF(N20&gt;0.75,(N20-0.75)*2.25,0)*S20,2),IF(MarkupType="Supplier Markup",V20+V20*SupplierMarkup,"Error at finding value"))</f>
        <v>30.55</v>
      </c>
      <c r="AB20" s="15">
        <f t="shared" si="21"/>
        <v>63.63</v>
      </c>
    </row>
    <row r="21" spans="1:28" x14ac:dyDescent="0.25">
      <c r="A21" s="16">
        <f>OrdersTable!A21</f>
        <v>501</v>
      </c>
      <c r="B21" s="15" t="str">
        <f t="shared" si="0"/>
        <v>Miss</v>
      </c>
      <c r="C21" s="15" t="str">
        <f t="shared" si="22"/>
        <v>Tharenou</v>
      </c>
      <c r="D21" s="15" t="str">
        <f t="shared" si="2"/>
        <v>Kimberley Jacinta</v>
      </c>
      <c r="E21" s="15" t="str">
        <f t="shared" si="3"/>
        <v>49 Moncada Circuit</v>
      </c>
      <c r="F21" s="15" t="str">
        <f t="shared" si="4"/>
        <v>Belford</v>
      </c>
      <c r="G21" s="15" t="str">
        <f t="shared" si="5"/>
        <v>NSW</v>
      </c>
      <c r="H21" s="15">
        <f t="shared" si="6"/>
        <v>2335</v>
      </c>
      <c r="I21" s="15">
        <f t="shared" si="17"/>
        <v>716</v>
      </c>
      <c r="J21" s="15">
        <f>OrdersTable!B21</f>
        <v>580</v>
      </c>
      <c r="K21" s="15" t="str">
        <f t="shared" si="7"/>
        <v>Giftware</v>
      </c>
      <c r="L21" s="15" t="str">
        <f t="shared" si="8"/>
        <v>Doctor Who: Wallpaper: Classic TARDIS Columns</v>
      </c>
      <c r="M21" s="15" t="str">
        <f t="shared" si="9"/>
        <v>-</v>
      </c>
      <c r="N21" s="15">
        <f t="shared" si="10"/>
        <v>0.65500000000000003</v>
      </c>
      <c r="O21" s="15" t="str">
        <f t="shared" si="11"/>
        <v>A50</v>
      </c>
      <c r="P21" s="15" t="str">
        <f t="shared" si="12"/>
        <v>Rassilon Ltd.</v>
      </c>
      <c r="Q21" s="15" t="str">
        <f t="shared" si="13"/>
        <v>82 Richard Mathews Road</v>
      </c>
      <c r="R21" s="3">
        <f>OrdersTable!C21</f>
        <v>44563</v>
      </c>
      <c r="S21" s="15">
        <f>OrdersTable!E21</f>
        <v>10</v>
      </c>
      <c r="T21" s="15">
        <f t="shared" si="14"/>
        <v>13.11</v>
      </c>
      <c r="U21" s="15">
        <f t="shared" si="15"/>
        <v>18.18</v>
      </c>
      <c r="V21" s="15">
        <f t="shared" si="16"/>
        <v>21.24</v>
      </c>
      <c r="W21" s="15">
        <f>IF(MarkupType="Store Markup",ROUND(V21+V21*StoreMarkup,2),IF(MarkupType="Supplier Markup",V21+V21*SupplierMarkup,"Error at finding value"))</f>
        <v>33.450000000000003</v>
      </c>
      <c r="X21" s="32" t="str">
        <f t="shared" si="18"/>
        <v>0.00</v>
      </c>
      <c r="Y21" s="15">
        <f t="shared" si="19"/>
        <v>212.4</v>
      </c>
      <c r="Z21" s="15">
        <f t="shared" si="20"/>
        <v>334.5</v>
      </c>
      <c r="AA21" s="15">
        <f>IF(FreightType="Lethbridge-Stewart Freight ",ROUND(2.99+IF(N21&gt;0.75,(N21-0.75)*2.25,0)*S21,2),IF(MarkupType="Supplier Markup",V21+V21*SupplierMarkup,"Error at finding value"))</f>
        <v>2.99</v>
      </c>
      <c r="AB21" s="15">
        <f t="shared" si="21"/>
        <v>0</v>
      </c>
    </row>
    <row r="22" spans="1:28" x14ac:dyDescent="0.25">
      <c r="A22" s="16">
        <f>OrdersTable!A22</f>
        <v>526</v>
      </c>
      <c r="B22" s="15" t="str">
        <f t="shared" si="0"/>
        <v>Mrs</v>
      </c>
      <c r="C22" s="15" t="str">
        <f t="shared" si="22"/>
        <v>Bradford</v>
      </c>
      <c r="D22" s="15" t="str">
        <f t="shared" si="2"/>
        <v>Haleigh Renae Ann</v>
      </c>
      <c r="E22" s="15" t="str">
        <f t="shared" si="3"/>
        <v>31 Johnston Road</v>
      </c>
      <c r="F22" s="15" t="str">
        <f t="shared" si="4"/>
        <v>Ashford</v>
      </c>
      <c r="G22" s="15" t="str">
        <f t="shared" si="5"/>
        <v>SA</v>
      </c>
      <c r="H22" s="15">
        <f t="shared" si="6"/>
        <v>5035</v>
      </c>
      <c r="I22" s="15">
        <f t="shared" si="17"/>
        <v>1877</v>
      </c>
      <c r="J22" s="15">
        <f>OrdersTable!B22</f>
        <v>719</v>
      </c>
      <c r="K22" s="15" t="str">
        <f t="shared" si="7"/>
        <v>Posters, Prints and Standees</v>
      </c>
      <c r="L22" s="15" t="str">
        <f t="shared" si="8"/>
        <v>Doctor Who: Standee: Supreme Dalek</v>
      </c>
      <c r="M22" s="15" t="str">
        <f t="shared" si="9"/>
        <v>-</v>
      </c>
      <c r="N22" s="15">
        <f t="shared" si="10"/>
        <v>1.125</v>
      </c>
      <c r="O22" s="15" t="str">
        <f t="shared" si="11"/>
        <v>A50</v>
      </c>
      <c r="P22" s="15" t="str">
        <f t="shared" si="12"/>
        <v>Rassilon Ltd.</v>
      </c>
      <c r="Q22" s="15" t="str">
        <f t="shared" si="13"/>
        <v>82 Richard Mathews Road</v>
      </c>
      <c r="R22" s="3">
        <f>OrdersTable!C22</f>
        <v>44563</v>
      </c>
      <c r="S22" s="15">
        <f>OrdersTable!E22</f>
        <v>7</v>
      </c>
      <c r="T22" s="15">
        <f t="shared" si="14"/>
        <v>22.49</v>
      </c>
      <c r="U22" s="15">
        <f t="shared" si="15"/>
        <v>30.76</v>
      </c>
      <c r="V22" s="15">
        <f t="shared" si="16"/>
        <v>36.43</v>
      </c>
      <c r="W22" s="15">
        <f>IF(MarkupType="Store Markup",ROUND(V22+V22*StoreMarkup,2),IF(MarkupType="Supplier Markup",V22+V22*SupplierMarkup,"Error at finding value"))</f>
        <v>57.38</v>
      </c>
      <c r="X22" s="32" t="str">
        <f t="shared" si="18"/>
        <v>0.00</v>
      </c>
      <c r="Y22" s="15">
        <f t="shared" si="19"/>
        <v>255.01</v>
      </c>
      <c r="Z22" s="15">
        <f t="shared" si="20"/>
        <v>401.66</v>
      </c>
      <c r="AA22" s="15">
        <f>IF(FreightType="Lethbridge-Stewart Freight ",ROUND(2.99+IF(N22&gt;0.75,(N22-0.75)*2.25,0)*S22,2),IF(MarkupType="Supplier Markup",V22+V22*SupplierMarkup,"Error at finding value"))</f>
        <v>8.9</v>
      </c>
      <c r="AB22" s="15">
        <f t="shared" si="21"/>
        <v>0</v>
      </c>
    </row>
    <row r="23" spans="1:28" x14ac:dyDescent="0.25">
      <c r="A23" s="16">
        <f>OrdersTable!A23</f>
        <v>586</v>
      </c>
      <c r="B23" s="15" t="str">
        <f t="shared" si="0"/>
        <v>Dr</v>
      </c>
      <c r="C23" s="15" t="str">
        <f t="shared" si="22"/>
        <v>Coetzee</v>
      </c>
      <c r="D23" s="15" t="str">
        <f t="shared" si="2"/>
        <v>Riekert</v>
      </c>
      <c r="E23" s="15" t="str">
        <f t="shared" si="3"/>
        <v>5 Western Road</v>
      </c>
      <c r="F23" s="15" t="str">
        <f t="shared" si="4"/>
        <v>Alfredtown</v>
      </c>
      <c r="G23" s="15" t="str">
        <f t="shared" si="5"/>
        <v>NSW</v>
      </c>
      <c r="H23" s="15">
        <f t="shared" si="6"/>
        <v>2650</v>
      </c>
      <c r="I23" s="15">
        <f t="shared" si="17"/>
        <v>1124</v>
      </c>
      <c r="J23" s="15">
        <f>OrdersTable!B23</f>
        <v>834</v>
      </c>
      <c r="K23" s="15" t="str">
        <f t="shared" si="7"/>
        <v>Statues and Busts</v>
      </c>
      <c r="L23" s="15" t="str">
        <f t="shared" si="8"/>
        <v>Doctor Who: Signature Edition Statue: Gallifrey Edition: Matt Smith</v>
      </c>
      <c r="M23" s="15" t="str">
        <f t="shared" si="9"/>
        <v>-</v>
      </c>
      <c r="N23" s="15">
        <f t="shared" si="10"/>
        <v>2.5</v>
      </c>
      <c r="O23" s="15" t="str">
        <f t="shared" si="11"/>
        <v>A30</v>
      </c>
      <c r="P23" s="15" t="str">
        <f t="shared" si="12"/>
        <v>Chesterton Enterprises</v>
      </c>
      <c r="Q23" s="15" t="str">
        <f t="shared" si="13"/>
        <v>41 William Russell Road</v>
      </c>
      <c r="R23" s="3">
        <f>OrdersTable!C23</f>
        <v>44563</v>
      </c>
      <c r="S23" s="15">
        <f>OrdersTable!E23</f>
        <v>3</v>
      </c>
      <c r="T23" s="15">
        <f t="shared" si="14"/>
        <v>49.99</v>
      </c>
      <c r="U23" s="15">
        <f t="shared" si="15"/>
        <v>68.52</v>
      </c>
      <c r="V23" s="15">
        <f t="shared" si="16"/>
        <v>80.98</v>
      </c>
      <c r="W23" s="15">
        <f>IF(MarkupType="Store Markup",ROUND(V23+V23*StoreMarkup,2),IF(MarkupType="Supplier Markup",V23+V23*SupplierMarkup,"Error at finding value"))</f>
        <v>127.54</v>
      </c>
      <c r="X23" s="32">
        <f t="shared" si="18"/>
        <v>9.09</v>
      </c>
      <c r="Y23" s="15">
        <f t="shared" si="19"/>
        <v>242.94</v>
      </c>
      <c r="Z23" s="15">
        <f t="shared" si="20"/>
        <v>355.35</v>
      </c>
      <c r="AA23" s="15">
        <f>IF(FreightType="Lethbridge-Stewart Freight ",ROUND(2.99+IF(N23&gt;0.75,(N23-0.75)*2.25,0)*S23,2),IF(MarkupType="Supplier Markup",V23+V23*SupplierMarkup,"Error at finding value"))</f>
        <v>14.8</v>
      </c>
      <c r="AB23" s="15">
        <f t="shared" si="21"/>
        <v>27.27</v>
      </c>
    </row>
    <row r="24" spans="1:28" x14ac:dyDescent="0.25">
      <c r="A24" s="16">
        <f>OrdersTable!A24</f>
        <v>602</v>
      </c>
      <c r="B24" s="15" t="str">
        <f t="shared" si="0"/>
        <v>Mr</v>
      </c>
      <c r="C24" s="15" t="str">
        <f t="shared" si="22"/>
        <v>Spinelli</v>
      </c>
      <c r="D24" s="15" t="str">
        <f t="shared" si="2"/>
        <v>Paul Walter</v>
      </c>
      <c r="E24" s="15" t="str">
        <f t="shared" si="3"/>
        <v>35 Azar Drive</v>
      </c>
      <c r="F24" s="15" t="str">
        <f t="shared" si="4"/>
        <v>Bray Park</v>
      </c>
      <c r="G24" s="15" t="str">
        <f t="shared" si="5"/>
        <v>QLD</v>
      </c>
      <c r="H24" s="15">
        <f t="shared" si="6"/>
        <v>4500</v>
      </c>
      <c r="I24" s="15">
        <f t="shared" si="17"/>
        <v>139</v>
      </c>
      <c r="J24" s="15">
        <f>OrdersTable!B24</f>
        <v>543</v>
      </c>
      <c r="K24" s="15" t="str">
        <f t="shared" si="7"/>
        <v>Giftware</v>
      </c>
      <c r="L24" s="15" t="str">
        <f t="shared" si="8"/>
        <v>Doctor Who: Sonic Screwdriver Pen</v>
      </c>
      <c r="M24" s="15" t="str">
        <f t="shared" si="9"/>
        <v>-</v>
      </c>
      <c r="N24" s="15">
        <f t="shared" si="10"/>
        <v>0.65</v>
      </c>
      <c r="O24" s="15" t="str">
        <f t="shared" si="11"/>
        <v>A20</v>
      </c>
      <c r="P24" s="15" t="str">
        <f t="shared" si="12"/>
        <v>Morbius Inc.</v>
      </c>
      <c r="Q24" s="15" t="str">
        <f t="shared" si="13"/>
        <v>56 Michael Spice Hwy</v>
      </c>
      <c r="R24" s="3">
        <f>OrdersTable!C24</f>
        <v>44563</v>
      </c>
      <c r="S24" s="15">
        <f>OrdersTable!E24</f>
        <v>8</v>
      </c>
      <c r="T24" s="15">
        <f t="shared" si="14"/>
        <v>12.99</v>
      </c>
      <c r="U24" s="15">
        <f t="shared" si="15"/>
        <v>18.02</v>
      </c>
      <c r="V24" s="15">
        <f t="shared" si="16"/>
        <v>21.04</v>
      </c>
      <c r="W24" s="15">
        <f>IF(MarkupType="Store Markup",ROUND(V24+V24*StoreMarkup,2),IF(MarkupType="Supplier Markup",V24+V24*SupplierMarkup,"Error at finding value"))</f>
        <v>33.14</v>
      </c>
      <c r="X24" s="32" t="str">
        <f t="shared" si="18"/>
        <v>0.00</v>
      </c>
      <c r="Y24" s="15">
        <f t="shared" si="19"/>
        <v>168.32</v>
      </c>
      <c r="Z24" s="15">
        <f t="shared" si="20"/>
        <v>265.12</v>
      </c>
      <c r="AA24" s="15">
        <f>IF(FreightType="Lethbridge-Stewart Freight ",ROUND(2.99+IF(N24&gt;0.75,(N24-0.75)*2.25,0)*S24,2),IF(MarkupType="Supplier Markup",V24+V24*SupplierMarkup,"Error at finding value"))</f>
        <v>2.99</v>
      </c>
      <c r="AB24" s="15">
        <f t="shared" si="21"/>
        <v>0</v>
      </c>
    </row>
    <row r="25" spans="1:28" x14ac:dyDescent="0.25">
      <c r="A25" s="16">
        <f>OrdersTable!A25</f>
        <v>602</v>
      </c>
      <c r="B25" s="15" t="str">
        <f t="shared" si="0"/>
        <v>Mr</v>
      </c>
      <c r="C25" s="15" t="str">
        <f t="shared" si="22"/>
        <v>Spinelli</v>
      </c>
      <c r="D25" s="15" t="str">
        <f t="shared" si="2"/>
        <v>Paul Walter</v>
      </c>
      <c r="E25" s="15" t="str">
        <f t="shared" si="3"/>
        <v>35 Azar Drive</v>
      </c>
      <c r="F25" s="15" t="str">
        <f t="shared" si="4"/>
        <v>Bray Park</v>
      </c>
      <c r="G25" s="15" t="str">
        <f t="shared" si="5"/>
        <v>QLD</v>
      </c>
      <c r="H25" s="15">
        <f t="shared" si="6"/>
        <v>4500</v>
      </c>
      <c r="I25" s="15">
        <f t="shared" si="17"/>
        <v>139</v>
      </c>
      <c r="J25" s="15">
        <f>OrdersTable!B25</f>
        <v>840</v>
      </c>
      <c r="K25" s="15" t="str">
        <f t="shared" si="7"/>
        <v>Statues and Busts</v>
      </c>
      <c r="L25" s="15" t="str">
        <f t="shared" si="8"/>
        <v>Doctor Who: Signature Edition Statue: Gallifrey Edition: Patrick Troughton</v>
      </c>
      <c r="M25" s="15" t="str">
        <f t="shared" si="9"/>
        <v>-</v>
      </c>
      <c r="N25" s="15">
        <f t="shared" si="10"/>
        <v>2.5</v>
      </c>
      <c r="O25" s="15" t="str">
        <f t="shared" si="11"/>
        <v>A40</v>
      </c>
      <c r="P25" s="15" t="str">
        <f t="shared" si="12"/>
        <v>Romana Imports</v>
      </c>
      <c r="Q25" s="15" t="str">
        <f t="shared" si="13"/>
        <v>17 Lalla Ward Road</v>
      </c>
      <c r="R25" s="3">
        <f>OrdersTable!C25</f>
        <v>44563</v>
      </c>
      <c r="S25" s="15">
        <f>OrdersTable!E25</f>
        <v>10</v>
      </c>
      <c r="T25" s="15">
        <f t="shared" si="14"/>
        <v>49.99</v>
      </c>
      <c r="U25" s="15">
        <f t="shared" si="15"/>
        <v>68.510000000000005</v>
      </c>
      <c r="V25" s="15">
        <f t="shared" si="16"/>
        <v>80.98</v>
      </c>
      <c r="W25" s="15">
        <f>IF(MarkupType="Store Markup",ROUND(V25+V25*StoreMarkup,2),IF(MarkupType="Supplier Markup",V25+V25*SupplierMarkup,"Error at finding value"))</f>
        <v>127.54</v>
      </c>
      <c r="X25" s="32">
        <f t="shared" si="18"/>
        <v>9.09</v>
      </c>
      <c r="Y25" s="15">
        <f t="shared" si="19"/>
        <v>809.8</v>
      </c>
      <c r="Z25" s="15">
        <f t="shared" si="20"/>
        <v>1184.5</v>
      </c>
      <c r="AA25" s="15">
        <f>IF(FreightType="Lethbridge-Stewart Freight ",ROUND(2.99+IF(N25&gt;0.75,(N25-0.75)*2.25,0)*S25,2),IF(MarkupType="Supplier Markup",V25+V25*SupplierMarkup,"Error at finding value"))</f>
        <v>42.37</v>
      </c>
      <c r="AB25" s="15">
        <f t="shared" si="21"/>
        <v>90.9</v>
      </c>
    </row>
    <row r="26" spans="1:28" x14ac:dyDescent="0.25">
      <c r="A26" s="16">
        <f>OrdersTable!A26</f>
        <v>634</v>
      </c>
      <c r="B26" s="15" t="str">
        <f t="shared" si="0"/>
        <v>Miss</v>
      </c>
      <c r="C26" s="15" t="str">
        <f t="shared" si="22"/>
        <v>Betts</v>
      </c>
      <c r="D26" s="15" t="str">
        <f t="shared" si="2"/>
        <v>Melissa Leigh</v>
      </c>
      <c r="E26" s="15" t="str">
        <f t="shared" si="3"/>
        <v>4 Aitcheson Drive</v>
      </c>
      <c r="F26" s="15" t="str">
        <f t="shared" si="4"/>
        <v>Bray Park</v>
      </c>
      <c r="G26" s="15" t="str">
        <f t="shared" si="5"/>
        <v>QLD</v>
      </c>
      <c r="H26" s="15">
        <f t="shared" si="6"/>
        <v>4500</v>
      </c>
      <c r="I26" s="15">
        <f t="shared" si="17"/>
        <v>139</v>
      </c>
      <c r="J26" s="15">
        <f>OrdersTable!B26</f>
        <v>752</v>
      </c>
      <c r="K26" s="15" t="str">
        <f t="shared" si="7"/>
        <v>Statues and Busts</v>
      </c>
      <c r="L26" s="15" t="str">
        <f t="shared" si="8"/>
        <v>Doctor Who: Helmet: Cyberman Leader</v>
      </c>
      <c r="M26" s="15" t="str">
        <f t="shared" si="9"/>
        <v>-</v>
      </c>
      <c r="N26" s="15">
        <f t="shared" si="10"/>
        <v>2</v>
      </c>
      <c r="O26" s="15" t="str">
        <f t="shared" si="11"/>
        <v>A30</v>
      </c>
      <c r="P26" s="15" t="str">
        <f t="shared" si="12"/>
        <v>Chesterton Enterprises</v>
      </c>
      <c r="Q26" s="15" t="str">
        <f t="shared" si="13"/>
        <v>41 William Russell Road</v>
      </c>
      <c r="R26" s="3">
        <f>OrdersTable!C26</f>
        <v>44563</v>
      </c>
      <c r="S26" s="15">
        <f>OrdersTable!E26</f>
        <v>7</v>
      </c>
      <c r="T26" s="15">
        <f t="shared" si="14"/>
        <v>39.99</v>
      </c>
      <c r="U26" s="15">
        <f t="shared" si="15"/>
        <v>54.85</v>
      </c>
      <c r="V26" s="15">
        <f t="shared" si="16"/>
        <v>64.78</v>
      </c>
      <c r="W26" s="15">
        <f>IF(MarkupType="Store Markup",ROUND(V26+V26*StoreMarkup,2),IF(MarkupType="Supplier Markup",V26+V26*SupplierMarkup,"Error at finding value"))</f>
        <v>102.03</v>
      </c>
      <c r="X26" s="32">
        <f t="shared" si="18"/>
        <v>7.27</v>
      </c>
      <c r="Y26" s="15">
        <f t="shared" si="19"/>
        <v>453.46</v>
      </c>
      <c r="Z26" s="15">
        <f t="shared" si="20"/>
        <v>663.32</v>
      </c>
      <c r="AA26" s="15">
        <f>IF(FreightType="Lethbridge-Stewart Freight ",ROUND(2.99+IF(N26&gt;0.75,(N26-0.75)*2.25,0)*S26,2),IF(MarkupType="Supplier Markup",V26+V26*SupplierMarkup,"Error at finding value"))</f>
        <v>22.68</v>
      </c>
      <c r="AB26" s="15">
        <f t="shared" si="21"/>
        <v>50.89</v>
      </c>
    </row>
    <row r="27" spans="1:28" x14ac:dyDescent="0.25">
      <c r="A27" s="16">
        <f>OrdersTable!A27</f>
        <v>651</v>
      </c>
      <c r="B27" s="15" t="str">
        <f t="shared" si="0"/>
        <v>Mr</v>
      </c>
      <c r="C27" s="15" t="str">
        <f t="shared" si="22"/>
        <v>Wilkes</v>
      </c>
      <c r="D27" s="15" t="str">
        <f t="shared" si="2"/>
        <v>Harley</v>
      </c>
      <c r="E27" s="15" t="str">
        <f t="shared" si="3"/>
        <v>12 Locke Circuit</v>
      </c>
      <c r="F27" s="15" t="str">
        <f t="shared" si="4"/>
        <v>Bray Park</v>
      </c>
      <c r="G27" s="15" t="str">
        <f t="shared" si="5"/>
        <v>QLD</v>
      </c>
      <c r="H27" s="15">
        <f t="shared" si="6"/>
        <v>4500</v>
      </c>
      <c r="I27" s="15">
        <f t="shared" si="17"/>
        <v>139</v>
      </c>
      <c r="J27" s="15">
        <f>OrdersTable!B27</f>
        <v>685</v>
      </c>
      <c r="K27" s="15" t="str">
        <f t="shared" si="7"/>
        <v>Mugs</v>
      </c>
      <c r="L27" s="15" t="str">
        <f t="shared" si="8"/>
        <v>Doctor Who: Teapot: Sliver TARDIS</v>
      </c>
      <c r="M27" s="15" t="str">
        <f t="shared" si="9"/>
        <v>-</v>
      </c>
      <c r="N27" s="15">
        <f t="shared" si="10"/>
        <v>1.35</v>
      </c>
      <c r="O27" s="15" t="str">
        <f t="shared" si="11"/>
        <v>A30</v>
      </c>
      <c r="P27" s="15" t="str">
        <f t="shared" si="12"/>
        <v>Chesterton Enterprises</v>
      </c>
      <c r="Q27" s="15" t="str">
        <f t="shared" si="13"/>
        <v>41 William Russell Road</v>
      </c>
      <c r="R27" s="3">
        <f>OrdersTable!C27</f>
        <v>44563</v>
      </c>
      <c r="S27" s="15">
        <f>OrdersTable!E27</f>
        <v>1</v>
      </c>
      <c r="T27" s="15">
        <f t="shared" si="14"/>
        <v>26.99</v>
      </c>
      <c r="U27" s="15">
        <f t="shared" si="15"/>
        <v>36.869999999999997</v>
      </c>
      <c r="V27" s="15">
        <f t="shared" si="16"/>
        <v>43.72</v>
      </c>
      <c r="W27" s="15">
        <f>IF(MarkupType="Store Markup",ROUND(V27+V27*StoreMarkup,2),IF(MarkupType="Supplier Markup",V27+V27*SupplierMarkup,"Error at finding value"))</f>
        <v>68.86</v>
      </c>
      <c r="X27" s="32" t="str">
        <f t="shared" si="18"/>
        <v>0.00</v>
      </c>
      <c r="Y27" s="15">
        <f t="shared" si="19"/>
        <v>43.72</v>
      </c>
      <c r="Z27" s="15">
        <f t="shared" si="20"/>
        <v>68.86</v>
      </c>
      <c r="AA27" s="15">
        <f>IF(FreightType="Lethbridge-Stewart Freight ",ROUND(2.99+IF(N27&gt;0.75,(N27-0.75)*2.25,0)*S27,2),IF(MarkupType="Supplier Markup",V27+V27*SupplierMarkup,"Error at finding value"))</f>
        <v>4.34</v>
      </c>
      <c r="AB27" s="15">
        <f t="shared" si="21"/>
        <v>0</v>
      </c>
    </row>
    <row r="28" spans="1:28" x14ac:dyDescent="0.25">
      <c r="A28" s="16">
        <f>OrdersTable!A28</f>
        <v>669</v>
      </c>
      <c r="B28" s="15" t="str">
        <f t="shared" si="0"/>
        <v>Dr</v>
      </c>
      <c r="C28" s="15" t="str">
        <f t="shared" si="22"/>
        <v>Ferjani</v>
      </c>
      <c r="D28" s="15" t="str">
        <f t="shared" si="2"/>
        <v>Rabah</v>
      </c>
      <c r="E28" s="15" t="str">
        <f t="shared" si="3"/>
        <v>2 Codrington Street</v>
      </c>
      <c r="F28" s="15" t="str">
        <f t="shared" si="4"/>
        <v>Belford</v>
      </c>
      <c r="G28" s="15" t="str">
        <f t="shared" si="5"/>
        <v>NSW</v>
      </c>
      <c r="H28" s="15">
        <f t="shared" si="6"/>
        <v>2335</v>
      </c>
      <c r="I28" s="15">
        <f t="shared" si="17"/>
        <v>716</v>
      </c>
      <c r="J28" s="15">
        <f>OrdersTable!B28</f>
        <v>812</v>
      </c>
      <c r="K28" s="15" t="str">
        <f t="shared" si="7"/>
        <v>Statues and Busts</v>
      </c>
      <c r="L28" s="15" t="str">
        <f t="shared" si="8"/>
        <v>Doctor Who: Masterpiece Collection Maxi Bust: Dalek: Day Of The Daleks</v>
      </c>
      <c r="M28" s="15" t="str">
        <f t="shared" si="9"/>
        <v>-</v>
      </c>
      <c r="N28" s="15">
        <f t="shared" si="10"/>
        <v>2.5</v>
      </c>
      <c r="O28" s="15" t="str">
        <f t="shared" si="11"/>
        <v>A20</v>
      </c>
      <c r="P28" s="15" t="str">
        <f t="shared" si="12"/>
        <v>Morbius Inc.</v>
      </c>
      <c r="Q28" s="15" t="str">
        <f t="shared" si="13"/>
        <v>56 Michael Spice Hwy</v>
      </c>
      <c r="R28" s="3">
        <f>OrdersTable!C28</f>
        <v>44563</v>
      </c>
      <c r="S28" s="15">
        <f>OrdersTable!E28</f>
        <v>2</v>
      </c>
      <c r="T28" s="15">
        <f t="shared" si="14"/>
        <v>49.99</v>
      </c>
      <c r="U28" s="15">
        <f t="shared" si="15"/>
        <v>68.47</v>
      </c>
      <c r="V28" s="15">
        <f t="shared" si="16"/>
        <v>80.98</v>
      </c>
      <c r="W28" s="15">
        <f>IF(MarkupType="Store Markup",ROUND(V28+V28*StoreMarkup,2),IF(MarkupType="Supplier Markup",V28+V28*SupplierMarkup,"Error at finding value"))</f>
        <v>127.54</v>
      </c>
      <c r="X28" s="32" t="str">
        <f t="shared" si="18"/>
        <v>0.00</v>
      </c>
      <c r="Y28" s="15">
        <f t="shared" si="19"/>
        <v>161.96</v>
      </c>
      <c r="Z28" s="15">
        <f t="shared" si="20"/>
        <v>255.08</v>
      </c>
      <c r="AA28" s="15">
        <f>IF(FreightType="Lethbridge-Stewart Freight ",ROUND(2.99+IF(N28&gt;0.75,(N28-0.75)*2.25,0)*S28,2),IF(MarkupType="Supplier Markup",V28+V28*SupplierMarkup,"Error at finding value"))</f>
        <v>10.87</v>
      </c>
      <c r="AB28" s="15">
        <f t="shared" si="21"/>
        <v>0</v>
      </c>
    </row>
    <row r="29" spans="1:28" x14ac:dyDescent="0.25">
      <c r="A29" s="16">
        <f>OrdersTable!A29</f>
        <v>923</v>
      </c>
      <c r="B29" s="15" t="str">
        <f t="shared" si="0"/>
        <v>Ms</v>
      </c>
      <c r="C29" s="15" t="str">
        <f t="shared" si="22"/>
        <v>Savage</v>
      </c>
      <c r="D29" s="15" t="str">
        <f t="shared" si="2"/>
        <v>Eliza Margaret</v>
      </c>
      <c r="E29" s="15" t="str">
        <f t="shared" si="3"/>
        <v>28 Whisson Crescent</v>
      </c>
      <c r="F29" s="15" t="str">
        <f t="shared" si="4"/>
        <v>Belconnen</v>
      </c>
      <c r="G29" s="15" t="str">
        <f t="shared" si="5"/>
        <v>ACT</v>
      </c>
      <c r="H29" s="15">
        <f t="shared" si="6"/>
        <v>2617</v>
      </c>
      <c r="I29" s="15">
        <f t="shared" si="17"/>
        <v>1194</v>
      </c>
      <c r="J29" s="15">
        <f>OrdersTable!B29</f>
        <v>780</v>
      </c>
      <c r="K29" s="15" t="str">
        <f t="shared" si="7"/>
        <v>Statues and Busts</v>
      </c>
      <c r="L29" s="15" t="str">
        <f t="shared" si="8"/>
        <v>Doctor Who: Masterpiece Collection Dalek: Genesis Of The Daleks</v>
      </c>
      <c r="M29" s="15" t="str">
        <f t="shared" si="9"/>
        <v>-</v>
      </c>
      <c r="N29" s="15">
        <f t="shared" si="10"/>
        <v>2.5</v>
      </c>
      <c r="O29" s="15" t="str">
        <f t="shared" si="11"/>
        <v>A30</v>
      </c>
      <c r="P29" s="15" t="str">
        <f t="shared" si="12"/>
        <v>Chesterton Enterprises</v>
      </c>
      <c r="Q29" s="15" t="str">
        <f t="shared" si="13"/>
        <v>41 William Russell Road</v>
      </c>
      <c r="R29" s="3">
        <f>OrdersTable!C29</f>
        <v>44563</v>
      </c>
      <c r="S29" s="15">
        <f>OrdersTable!E29</f>
        <v>1</v>
      </c>
      <c r="T29" s="15">
        <f t="shared" si="14"/>
        <v>49.99</v>
      </c>
      <c r="U29" s="15">
        <f t="shared" si="15"/>
        <v>68.23</v>
      </c>
      <c r="V29" s="15">
        <f t="shared" si="16"/>
        <v>80.98</v>
      </c>
      <c r="W29" s="15">
        <f>IF(MarkupType="Store Markup",ROUND(V29+V29*StoreMarkup,2),IF(MarkupType="Supplier Markup",V29+V29*SupplierMarkup,"Error at finding value"))</f>
        <v>127.54</v>
      </c>
      <c r="X29" s="32" t="str">
        <f t="shared" si="18"/>
        <v>0.00</v>
      </c>
      <c r="Y29" s="15">
        <f t="shared" si="19"/>
        <v>80.98</v>
      </c>
      <c r="Z29" s="15">
        <f t="shared" si="20"/>
        <v>127.54</v>
      </c>
      <c r="AA29" s="15">
        <f>IF(FreightType="Lethbridge-Stewart Freight ",ROUND(2.99+IF(N29&gt;0.75,(N29-0.75)*2.25,0)*S29,2),IF(MarkupType="Supplier Markup",V29+V29*SupplierMarkup,"Error at finding value"))</f>
        <v>6.93</v>
      </c>
      <c r="AB29" s="15">
        <f t="shared" si="21"/>
        <v>0</v>
      </c>
    </row>
    <row r="30" spans="1:28" x14ac:dyDescent="0.25">
      <c r="A30" s="16">
        <f>OrdersTable!A30</f>
        <v>923</v>
      </c>
      <c r="B30" s="15" t="str">
        <f t="shared" si="0"/>
        <v>Ms</v>
      </c>
      <c r="C30" s="15" t="str">
        <f t="shared" si="22"/>
        <v>Savage</v>
      </c>
      <c r="D30" s="15" t="str">
        <f t="shared" si="2"/>
        <v>Eliza Margaret</v>
      </c>
      <c r="E30" s="15" t="str">
        <f t="shared" si="3"/>
        <v>28 Whisson Crescent</v>
      </c>
      <c r="F30" s="15" t="str">
        <f t="shared" si="4"/>
        <v>Belconnen</v>
      </c>
      <c r="G30" s="15" t="str">
        <f t="shared" si="5"/>
        <v>ACT</v>
      </c>
      <c r="H30" s="15">
        <f t="shared" si="6"/>
        <v>2617</v>
      </c>
      <c r="I30" s="15">
        <f t="shared" si="17"/>
        <v>1194</v>
      </c>
      <c r="J30" s="15">
        <f>OrdersTable!B30</f>
        <v>840</v>
      </c>
      <c r="K30" s="15" t="str">
        <f t="shared" si="7"/>
        <v>Statues and Busts</v>
      </c>
      <c r="L30" s="15" t="str">
        <f t="shared" si="8"/>
        <v>Doctor Who: Signature Edition Statue: Gallifrey Edition: Patrick Troughton</v>
      </c>
      <c r="M30" s="15" t="str">
        <f t="shared" si="9"/>
        <v>-</v>
      </c>
      <c r="N30" s="15">
        <f t="shared" si="10"/>
        <v>2.5</v>
      </c>
      <c r="O30" s="15" t="str">
        <f t="shared" si="11"/>
        <v>A40</v>
      </c>
      <c r="P30" s="15" t="str">
        <f t="shared" si="12"/>
        <v>Romana Imports</v>
      </c>
      <c r="Q30" s="15" t="str">
        <f t="shared" si="13"/>
        <v>17 Lalla Ward Road</v>
      </c>
      <c r="R30" s="3">
        <f>OrdersTable!C30</f>
        <v>44563</v>
      </c>
      <c r="S30" s="15">
        <f>OrdersTable!E30</f>
        <v>3</v>
      </c>
      <c r="T30" s="15">
        <f t="shared" si="14"/>
        <v>49.99</v>
      </c>
      <c r="U30" s="15">
        <f t="shared" si="15"/>
        <v>68.510000000000005</v>
      </c>
      <c r="V30" s="15">
        <f t="shared" si="16"/>
        <v>80.98</v>
      </c>
      <c r="W30" s="15">
        <f>IF(MarkupType="Store Markup",ROUND(V30+V30*StoreMarkup,2),IF(MarkupType="Supplier Markup",V30+V30*SupplierMarkup,"Error at finding value"))</f>
        <v>127.54</v>
      </c>
      <c r="X30" s="32">
        <f t="shared" si="18"/>
        <v>9.09</v>
      </c>
      <c r="Y30" s="15">
        <f t="shared" si="19"/>
        <v>242.94</v>
      </c>
      <c r="Z30" s="15">
        <f t="shared" si="20"/>
        <v>355.35</v>
      </c>
      <c r="AA30" s="15">
        <f>IF(FreightType="Lethbridge-Stewart Freight ",ROUND(2.99+IF(N30&gt;0.75,(N30-0.75)*2.25,0)*S30,2),IF(MarkupType="Supplier Markup",V30+V30*SupplierMarkup,"Error at finding value"))</f>
        <v>14.8</v>
      </c>
      <c r="AB30" s="15">
        <f t="shared" si="21"/>
        <v>27.27</v>
      </c>
    </row>
    <row r="31" spans="1:28" x14ac:dyDescent="0.25">
      <c r="A31" s="16">
        <f>OrdersTable!A31</f>
        <v>47</v>
      </c>
      <c r="B31" s="15" t="str">
        <f t="shared" si="0"/>
        <v>Dr</v>
      </c>
      <c r="C31" s="15" t="str">
        <f t="shared" si="22"/>
        <v>Kaur</v>
      </c>
      <c r="D31" s="15" t="str">
        <f t="shared" si="2"/>
        <v>Jasleen</v>
      </c>
      <c r="E31" s="15" t="str">
        <f t="shared" si="3"/>
        <v>7 Hong Road</v>
      </c>
      <c r="F31" s="15" t="str">
        <f t="shared" si="4"/>
        <v>Belconnen</v>
      </c>
      <c r="G31" s="15" t="str">
        <f t="shared" si="5"/>
        <v>ACT</v>
      </c>
      <c r="H31" s="15">
        <f t="shared" si="6"/>
        <v>2617</v>
      </c>
      <c r="I31" s="15">
        <f t="shared" si="17"/>
        <v>1194</v>
      </c>
      <c r="J31" s="15">
        <f>OrdersTable!B31</f>
        <v>436</v>
      </c>
      <c r="K31" s="15" t="str">
        <f t="shared" si="7"/>
        <v>Giftware</v>
      </c>
      <c r="L31" s="15" t="str">
        <f t="shared" si="8"/>
        <v>Doctor Who: Adult Watch: TARDIS</v>
      </c>
      <c r="M31" s="15" t="str">
        <f t="shared" si="9"/>
        <v>-</v>
      </c>
      <c r="N31" s="15">
        <f t="shared" si="10"/>
        <v>1.5</v>
      </c>
      <c r="O31" s="15" t="str">
        <f t="shared" si="11"/>
        <v>A20</v>
      </c>
      <c r="P31" s="15" t="str">
        <f t="shared" si="12"/>
        <v>Morbius Inc.</v>
      </c>
      <c r="Q31" s="15" t="str">
        <f t="shared" si="13"/>
        <v>56 Michael Spice Hwy</v>
      </c>
      <c r="R31" s="3">
        <f>OrdersTable!C31</f>
        <v>44564</v>
      </c>
      <c r="S31" s="15">
        <f>OrdersTable!E31</f>
        <v>4</v>
      </c>
      <c r="T31" s="15">
        <f t="shared" si="14"/>
        <v>29.99</v>
      </c>
      <c r="U31" s="15">
        <f t="shared" si="15"/>
        <v>40.96</v>
      </c>
      <c r="V31" s="15">
        <f t="shared" si="16"/>
        <v>48.58</v>
      </c>
      <c r="W31" s="15">
        <f>IF(MarkupType="Store Markup",ROUND(V31+V31*StoreMarkup,2),IF(MarkupType="Supplier Markup",V31+V31*SupplierMarkup,"Error at finding value"))</f>
        <v>76.510000000000005</v>
      </c>
      <c r="X31" s="32" t="str">
        <f t="shared" si="18"/>
        <v>0.00</v>
      </c>
      <c r="Y31" s="15">
        <f t="shared" si="19"/>
        <v>194.32</v>
      </c>
      <c r="Z31" s="15">
        <f t="shared" si="20"/>
        <v>306.04000000000002</v>
      </c>
      <c r="AA31" s="15">
        <f>IF(FreightType="Lethbridge-Stewart Freight ",ROUND(2.99+IF(N31&gt;0.75,(N31-0.75)*2.25,0)*S31,2),IF(MarkupType="Supplier Markup",V31+V31*SupplierMarkup,"Error at finding value"))</f>
        <v>9.74</v>
      </c>
      <c r="AB31" s="15">
        <f t="shared" si="21"/>
        <v>0</v>
      </c>
    </row>
    <row r="32" spans="1:28" x14ac:dyDescent="0.25">
      <c r="A32" s="16">
        <f>OrdersTable!A32</f>
        <v>142</v>
      </c>
      <c r="B32" s="15" t="str">
        <f t="shared" si="0"/>
        <v>Miss</v>
      </c>
      <c r="C32" s="15" t="str">
        <f t="shared" si="22"/>
        <v>Western</v>
      </c>
      <c r="D32" s="15" t="str">
        <f t="shared" si="2"/>
        <v>Lee Reuben</v>
      </c>
      <c r="E32" s="15" t="str">
        <f t="shared" si="3"/>
        <v>14 Fields Road</v>
      </c>
      <c r="F32" s="15" t="str">
        <f t="shared" si="4"/>
        <v>Airly</v>
      </c>
      <c r="G32" s="15" t="str">
        <f t="shared" si="5"/>
        <v>VIC</v>
      </c>
      <c r="H32" s="15">
        <f t="shared" si="6"/>
        <v>3851</v>
      </c>
      <c r="I32" s="15">
        <f t="shared" si="17"/>
        <v>1583</v>
      </c>
      <c r="J32" s="15">
        <f>OrdersTable!B32</f>
        <v>701</v>
      </c>
      <c r="K32" s="15" t="str">
        <f t="shared" si="7"/>
        <v>Posters, Prints and Standees</v>
      </c>
      <c r="L32" s="15" t="str">
        <f t="shared" si="8"/>
        <v>Doctor Who: Half Sized Standee: The TARDIS</v>
      </c>
      <c r="M32" s="15" t="str">
        <f t="shared" si="9"/>
        <v>-</v>
      </c>
      <c r="N32" s="15">
        <f t="shared" si="10"/>
        <v>0.5</v>
      </c>
      <c r="O32" s="15" t="str">
        <f t="shared" si="11"/>
        <v>A40</v>
      </c>
      <c r="P32" s="15" t="str">
        <f t="shared" si="12"/>
        <v>Romana Imports</v>
      </c>
      <c r="Q32" s="15" t="str">
        <f t="shared" si="13"/>
        <v>17 Lalla Ward Road</v>
      </c>
      <c r="R32" s="3">
        <f>OrdersTable!C32</f>
        <v>44564</v>
      </c>
      <c r="S32" s="15">
        <f>OrdersTable!E32</f>
        <v>10</v>
      </c>
      <c r="T32" s="15">
        <f t="shared" si="14"/>
        <v>9.99</v>
      </c>
      <c r="U32" s="15">
        <f t="shared" si="15"/>
        <v>13.83</v>
      </c>
      <c r="V32" s="15">
        <f t="shared" si="16"/>
        <v>16.18</v>
      </c>
      <c r="W32" s="15">
        <f>IF(MarkupType="Store Markup",ROUND(V32+V32*StoreMarkup,2),IF(MarkupType="Supplier Markup",V32+V32*SupplierMarkup,"Error at finding value"))</f>
        <v>25.48</v>
      </c>
      <c r="X32" s="32" t="str">
        <f t="shared" si="18"/>
        <v>0.00</v>
      </c>
      <c r="Y32" s="15">
        <f t="shared" si="19"/>
        <v>161.80000000000001</v>
      </c>
      <c r="Z32" s="15">
        <f t="shared" si="20"/>
        <v>254.8</v>
      </c>
      <c r="AA32" s="15">
        <f>IF(FreightType="Lethbridge-Stewart Freight ",ROUND(2.99+IF(N32&gt;0.75,(N32-0.75)*2.25,0)*S32,2),IF(MarkupType="Supplier Markup",V32+V32*SupplierMarkup,"Error at finding value"))</f>
        <v>2.99</v>
      </c>
      <c r="AB32" s="15">
        <f t="shared" si="21"/>
        <v>0</v>
      </c>
    </row>
    <row r="33" spans="1:28" x14ac:dyDescent="0.25">
      <c r="A33" s="16">
        <f>OrdersTable!A33</f>
        <v>323</v>
      </c>
      <c r="B33" s="15" t="str">
        <f t="shared" si="0"/>
        <v>Dr</v>
      </c>
      <c r="C33" s="15" t="str">
        <f t="shared" si="22"/>
        <v>King</v>
      </c>
      <c r="D33" s="15" t="str">
        <f t="shared" si="2"/>
        <v>Leith</v>
      </c>
      <c r="E33" s="15" t="str">
        <f t="shared" si="3"/>
        <v>25 Carbone Court</v>
      </c>
      <c r="F33" s="15" t="str">
        <f t="shared" si="4"/>
        <v>Nayook</v>
      </c>
      <c r="G33" s="15" t="str">
        <f t="shared" si="5"/>
        <v>VIC</v>
      </c>
      <c r="H33" s="15">
        <f t="shared" si="6"/>
        <v>3832</v>
      </c>
      <c r="I33" s="15">
        <f t="shared" si="17"/>
        <v>1552</v>
      </c>
      <c r="J33" s="15">
        <f>OrdersTable!B33</f>
        <v>710</v>
      </c>
      <c r="K33" s="15" t="str">
        <f t="shared" si="7"/>
        <v>Posters, Prints and Standees</v>
      </c>
      <c r="L33" s="15" t="str">
        <f t="shared" si="8"/>
        <v>Doctor Who: Poster: Regenerate</v>
      </c>
      <c r="M33" s="15" t="str">
        <f t="shared" si="9"/>
        <v>-</v>
      </c>
      <c r="N33" s="15">
        <f t="shared" si="10"/>
        <v>0.2</v>
      </c>
      <c r="O33" s="15" t="str">
        <f t="shared" si="11"/>
        <v>A40</v>
      </c>
      <c r="P33" s="15" t="str">
        <f t="shared" si="12"/>
        <v>Romana Imports</v>
      </c>
      <c r="Q33" s="15" t="str">
        <f t="shared" si="13"/>
        <v>17 Lalla Ward Road</v>
      </c>
      <c r="R33" s="3">
        <f>OrdersTable!C33</f>
        <v>44564</v>
      </c>
      <c r="S33" s="15">
        <f>OrdersTable!E33</f>
        <v>3</v>
      </c>
      <c r="T33" s="15">
        <f t="shared" si="14"/>
        <v>3.99</v>
      </c>
      <c r="U33" s="15">
        <f t="shared" si="15"/>
        <v>5.5</v>
      </c>
      <c r="V33" s="15">
        <f t="shared" si="16"/>
        <v>6.46</v>
      </c>
      <c r="W33" s="15">
        <f>IF(MarkupType="Store Markup",ROUND(V33+V33*StoreMarkup,2),IF(MarkupType="Supplier Markup",V33+V33*SupplierMarkup,"Error at finding value"))</f>
        <v>10.17</v>
      </c>
      <c r="X33" s="32" t="str">
        <f t="shared" si="18"/>
        <v>0.00</v>
      </c>
      <c r="Y33" s="15">
        <f t="shared" si="19"/>
        <v>19.38</v>
      </c>
      <c r="Z33" s="15">
        <f t="shared" si="20"/>
        <v>30.51</v>
      </c>
      <c r="AA33" s="15">
        <f>IF(FreightType="Lethbridge-Stewart Freight ",ROUND(2.99+IF(N33&gt;0.75,(N33-0.75)*2.25,0)*S33,2),IF(MarkupType="Supplier Markup",V33+V33*SupplierMarkup,"Error at finding value"))</f>
        <v>2.99</v>
      </c>
      <c r="AB33" s="15">
        <f t="shared" si="21"/>
        <v>0</v>
      </c>
    </row>
    <row r="34" spans="1:28" x14ac:dyDescent="0.25">
      <c r="A34" s="16">
        <f>OrdersTable!A34</f>
        <v>328</v>
      </c>
      <c r="B34" s="15" t="str">
        <f t="shared" si="0"/>
        <v>Dr</v>
      </c>
      <c r="C34" s="15" t="str">
        <f t="shared" si="22"/>
        <v>Ward</v>
      </c>
      <c r="D34" s="15" t="str">
        <f t="shared" si="2"/>
        <v>Keiren Nicholas</v>
      </c>
      <c r="E34" s="15" t="str">
        <f t="shared" si="3"/>
        <v>13 Green Crescent</v>
      </c>
      <c r="F34" s="15" t="str">
        <f t="shared" si="4"/>
        <v>Breakwater</v>
      </c>
      <c r="G34" s="15" t="str">
        <f t="shared" si="5"/>
        <v>VIC</v>
      </c>
      <c r="H34" s="15">
        <f t="shared" si="6"/>
        <v>3219</v>
      </c>
      <c r="I34" s="15">
        <f t="shared" si="17"/>
        <v>1596</v>
      </c>
      <c r="J34" s="15">
        <f>OrdersTable!B34</f>
        <v>145</v>
      </c>
      <c r="K34" s="15" t="str">
        <f t="shared" si="7"/>
        <v>Bobbleheads</v>
      </c>
      <c r="L34" s="15" t="str">
        <f t="shared" si="8"/>
        <v>Doctor Who: Bobblehead: Eleventh Doctor</v>
      </c>
      <c r="M34" s="15" t="str">
        <f t="shared" si="9"/>
        <v>-</v>
      </c>
      <c r="N34" s="15">
        <f t="shared" si="10"/>
        <v>1</v>
      </c>
      <c r="O34" s="15" t="str">
        <f t="shared" si="11"/>
        <v>A30</v>
      </c>
      <c r="P34" s="15" t="str">
        <f t="shared" si="12"/>
        <v>Chesterton Enterprises</v>
      </c>
      <c r="Q34" s="15" t="str">
        <f t="shared" si="13"/>
        <v>41 William Russell Road</v>
      </c>
      <c r="R34" s="3">
        <f>OrdersTable!C34</f>
        <v>44564</v>
      </c>
      <c r="S34" s="15">
        <f>OrdersTable!E34</f>
        <v>7</v>
      </c>
      <c r="T34" s="15">
        <f t="shared" si="14"/>
        <v>19.989999999999998</v>
      </c>
      <c r="U34" s="15">
        <f t="shared" si="15"/>
        <v>27.54</v>
      </c>
      <c r="V34" s="15">
        <f t="shared" si="16"/>
        <v>32.380000000000003</v>
      </c>
      <c r="W34" s="15">
        <f>IF(MarkupType="Store Markup",ROUND(V34+V34*StoreMarkup,2),IF(MarkupType="Supplier Markup",V34+V34*SupplierMarkup,"Error at finding value"))</f>
        <v>51</v>
      </c>
      <c r="X34" s="32" t="str">
        <f t="shared" si="18"/>
        <v>0.00</v>
      </c>
      <c r="Y34" s="15">
        <f t="shared" si="19"/>
        <v>226.66</v>
      </c>
      <c r="Z34" s="15">
        <f t="shared" si="20"/>
        <v>357</v>
      </c>
      <c r="AA34" s="15">
        <f>IF(FreightType="Lethbridge-Stewart Freight ",ROUND(2.99+IF(N34&gt;0.75,(N34-0.75)*2.25,0)*S34,2),IF(MarkupType="Supplier Markup",V34+V34*SupplierMarkup,"Error at finding value"))</f>
        <v>6.93</v>
      </c>
      <c r="AB34" s="15">
        <f t="shared" si="21"/>
        <v>0</v>
      </c>
    </row>
    <row r="35" spans="1:28" x14ac:dyDescent="0.25">
      <c r="A35" s="16">
        <f>OrdersTable!A35</f>
        <v>331</v>
      </c>
      <c r="B35" s="15" t="str">
        <f t="shared" si="0"/>
        <v>Mrs</v>
      </c>
      <c r="C35" s="15" t="str">
        <f t="shared" si="22"/>
        <v>McKenzie</v>
      </c>
      <c r="D35" s="15" t="str">
        <f t="shared" si="2"/>
        <v>Melinda Kate</v>
      </c>
      <c r="E35" s="15" t="str">
        <f t="shared" si="3"/>
        <v>49 McKay Way</v>
      </c>
      <c r="F35" s="15" t="str">
        <f t="shared" si="4"/>
        <v>Black Hills</v>
      </c>
      <c r="G35" s="15" t="str">
        <f t="shared" si="5"/>
        <v>TAS</v>
      </c>
      <c r="H35" s="15">
        <f t="shared" si="6"/>
        <v>7140</v>
      </c>
      <c r="I35" s="15">
        <f t="shared" si="17"/>
        <v>2191</v>
      </c>
      <c r="J35" s="15">
        <f>OrdersTable!B35</f>
        <v>834</v>
      </c>
      <c r="K35" s="15" t="str">
        <f t="shared" si="7"/>
        <v>Statues and Busts</v>
      </c>
      <c r="L35" s="15" t="str">
        <f t="shared" si="8"/>
        <v>Doctor Who: Signature Edition Statue: Gallifrey Edition: Matt Smith</v>
      </c>
      <c r="M35" s="15" t="str">
        <f t="shared" si="9"/>
        <v>-</v>
      </c>
      <c r="N35" s="15">
        <f t="shared" si="10"/>
        <v>2.5</v>
      </c>
      <c r="O35" s="15" t="str">
        <f t="shared" si="11"/>
        <v>A30</v>
      </c>
      <c r="P35" s="15" t="str">
        <f t="shared" si="12"/>
        <v>Chesterton Enterprises</v>
      </c>
      <c r="Q35" s="15" t="str">
        <f t="shared" si="13"/>
        <v>41 William Russell Road</v>
      </c>
      <c r="R35" s="3">
        <f>OrdersTable!C35</f>
        <v>44564</v>
      </c>
      <c r="S35" s="15">
        <f>OrdersTable!E35</f>
        <v>4</v>
      </c>
      <c r="T35" s="15">
        <f t="shared" si="14"/>
        <v>49.99</v>
      </c>
      <c r="U35" s="15">
        <f t="shared" si="15"/>
        <v>68.52</v>
      </c>
      <c r="V35" s="15">
        <f t="shared" si="16"/>
        <v>80.98</v>
      </c>
      <c r="W35" s="15">
        <f>IF(MarkupType="Store Markup",ROUND(V35+V35*StoreMarkup,2),IF(MarkupType="Supplier Markup",V35+V35*SupplierMarkup,"Error at finding value"))</f>
        <v>127.54</v>
      </c>
      <c r="X35" s="32">
        <f t="shared" si="18"/>
        <v>9.09</v>
      </c>
      <c r="Y35" s="15">
        <f t="shared" si="19"/>
        <v>323.92</v>
      </c>
      <c r="Z35" s="15">
        <f t="shared" si="20"/>
        <v>473.8</v>
      </c>
      <c r="AA35" s="15">
        <f>IF(FreightType="Lethbridge-Stewart Freight ",ROUND(2.99+IF(N35&gt;0.75,(N35-0.75)*2.25,0)*S35,2),IF(MarkupType="Supplier Markup",V35+V35*SupplierMarkup,"Error at finding value"))</f>
        <v>18.739999999999998</v>
      </c>
      <c r="AB35" s="15">
        <f t="shared" si="21"/>
        <v>36.36</v>
      </c>
    </row>
    <row r="36" spans="1:28" x14ac:dyDescent="0.25">
      <c r="A36" s="16">
        <f>OrdersTable!A36</f>
        <v>334</v>
      </c>
      <c r="B36" s="15" t="str">
        <f t="shared" si="0"/>
        <v>Mrs</v>
      </c>
      <c r="C36" s="15" t="str">
        <f t="shared" si="22"/>
        <v>Wilson</v>
      </c>
      <c r="D36" s="15" t="str">
        <f t="shared" si="2"/>
        <v>Hayley Lauren</v>
      </c>
      <c r="E36" s="15" t="str">
        <f t="shared" si="3"/>
        <v>3 Ashley Crescent</v>
      </c>
      <c r="F36" s="15" t="str">
        <f t="shared" si="4"/>
        <v>Black Hills</v>
      </c>
      <c r="G36" s="15" t="str">
        <f t="shared" si="5"/>
        <v>TAS</v>
      </c>
      <c r="H36" s="15">
        <f t="shared" si="6"/>
        <v>7140</v>
      </c>
      <c r="I36" s="15">
        <f t="shared" si="17"/>
        <v>2191</v>
      </c>
      <c r="J36" s="15">
        <f>OrdersTable!B36</f>
        <v>668</v>
      </c>
      <c r="K36" s="15" t="str">
        <f t="shared" si="7"/>
        <v>Mugs</v>
      </c>
      <c r="L36" s="15" t="str">
        <f t="shared" si="8"/>
        <v>Doctor Who: Mug: Silver TARDIS</v>
      </c>
      <c r="M36" s="15" t="str">
        <f t="shared" si="9"/>
        <v>-</v>
      </c>
      <c r="N36" s="15">
        <f t="shared" si="10"/>
        <v>1.1499999999999999</v>
      </c>
      <c r="O36" s="15" t="str">
        <f t="shared" si="11"/>
        <v>A50</v>
      </c>
      <c r="P36" s="15" t="str">
        <f t="shared" si="12"/>
        <v>Rassilon Ltd.</v>
      </c>
      <c r="Q36" s="15" t="str">
        <f t="shared" si="13"/>
        <v>82 Richard Mathews Road</v>
      </c>
      <c r="R36" s="3">
        <f>OrdersTable!C36</f>
        <v>44564</v>
      </c>
      <c r="S36" s="15">
        <f>OrdersTable!E36</f>
        <v>1</v>
      </c>
      <c r="T36" s="15">
        <f t="shared" si="14"/>
        <v>22.99</v>
      </c>
      <c r="U36" s="15">
        <f t="shared" si="15"/>
        <v>31.53</v>
      </c>
      <c r="V36" s="15">
        <f t="shared" si="16"/>
        <v>37.24</v>
      </c>
      <c r="W36" s="15">
        <f>IF(MarkupType="Store Markup",ROUND(V36+V36*StoreMarkup,2),IF(MarkupType="Supplier Markup",V36+V36*SupplierMarkup,"Error at finding value"))</f>
        <v>58.65</v>
      </c>
      <c r="X36" s="32" t="str">
        <f t="shared" si="18"/>
        <v>0.00</v>
      </c>
      <c r="Y36" s="15">
        <f t="shared" si="19"/>
        <v>37.24</v>
      </c>
      <c r="Z36" s="15">
        <f t="shared" si="20"/>
        <v>58.65</v>
      </c>
      <c r="AA36" s="15">
        <f>IF(FreightType="Lethbridge-Stewart Freight ",ROUND(2.99+IF(N36&gt;0.75,(N36-0.75)*2.25,0)*S36,2),IF(MarkupType="Supplier Markup",V36+V36*SupplierMarkup,"Error at finding value"))</f>
        <v>3.89</v>
      </c>
      <c r="AB36" s="15">
        <f t="shared" si="21"/>
        <v>0</v>
      </c>
    </row>
    <row r="37" spans="1:28" x14ac:dyDescent="0.25">
      <c r="A37" s="16">
        <f>OrdersTable!A37</f>
        <v>501</v>
      </c>
      <c r="B37" s="15" t="str">
        <f t="shared" si="0"/>
        <v>Miss</v>
      </c>
      <c r="C37" s="15" t="str">
        <f t="shared" si="22"/>
        <v>Tharenou</v>
      </c>
      <c r="D37" s="15" t="str">
        <f t="shared" si="2"/>
        <v>Kimberley Jacinta</v>
      </c>
      <c r="E37" s="15" t="str">
        <f t="shared" si="3"/>
        <v>49 Moncada Circuit</v>
      </c>
      <c r="F37" s="15" t="str">
        <f t="shared" si="4"/>
        <v>Belford</v>
      </c>
      <c r="G37" s="15" t="str">
        <f t="shared" si="5"/>
        <v>NSW</v>
      </c>
      <c r="H37" s="15">
        <f t="shared" si="6"/>
        <v>2335</v>
      </c>
      <c r="I37" s="15">
        <f t="shared" si="17"/>
        <v>716</v>
      </c>
      <c r="J37" s="15">
        <f>OrdersTable!B37</f>
        <v>464</v>
      </c>
      <c r="K37" s="15" t="str">
        <f t="shared" si="7"/>
        <v>Giftware</v>
      </c>
      <c r="L37" s="15" t="str">
        <f t="shared" si="8"/>
        <v>Doctor Who: Collectable License Plate: My Other Car Is A TARDIS</v>
      </c>
      <c r="M37" s="15" t="str">
        <f t="shared" si="9"/>
        <v>-</v>
      </c>
      <c r="N37" s="15">
        <f t="shared" si="10"/>
        <v>0.6</v>
      </c>
      <c r="O37" s="15" t="str">
        <f t="shared" si="11"/>
        <v>A50</v>
      </c>
      <c r="P37" s="15" t="str">
        <f t="shared" si="12"/>
        <v>Rassilon Ltd.</v>
      </c>
      <c r="Q37" s="15" t="str">
        <f t="shared" si="13"/>
        <v>82 Richard Mathews Road</v>
      </c>
      <c r="R37" s="3">
        <f>OrdersTable!C37</f>
        <v>44564</v>
      </c>
      <c r="S37" s="15">
        <f>OrdersTable!E37</f>
        <v>6</v>
      </c>
      <c r="T37" s="15">
        <f t="shared" si="14"/>
        <v>11.99</v>
      </c>
      <c r="U37" s="15">
        <f t="shared" si="15"/>
        <v>16.579999999999998</v>
      </c>
      <c r="V37" s="15">
        <f t="shared" si="16"/>
        <v>19.420000000000002</v>
      </c>
      <c r="W37" s="15">
        <f>IF(MarkupType="Store Markup",ROUND(V37+V37*StoreMarkup,2),IF(MarkupType="Supplier Markup",V37+V37*SupplierMarkup,"Error at finding value"))</f>
        <v>30.59</v>
      </c>
      <c r="X37" s="32" t="str">
        <f t="shared" si="18"/>
        <v>0.00</v>
      </c>
      <c r="Y37" s="15">
        <f t="shared" si="19"/>
        <v>116.52</v>
      </c>
      <c r="Z37" s="15">
        <f t="shared" si="20"/>
        <v>183.54</v>
      </c>
      <c r="AA37" s="15">
        <f>IF(FreightType="Lethbridge-Stewart Freight ",ROUND(2.99+IF(N37&gt;0.75,(N37-0.75)*2.25,0)*S37,2),IF(MarkupType="Supplier Markup",V37+V37*SupplierMarkup,"Error at finding value"))</f>
        <v>2.99</v>
      </c>
      <c r="AB37" s="15">
        <f t="shared" si="21"/>
        <v>0</v>
      </c>
    </row>
    <row r="38" spans="1:28" x14ac:dyDescent="0.25">
      <c r="A38" s="16">
        <f>OrdersTable!A38</f>
        <v>501</v>
      </c>
      <c r="B38" s="15" t="str">
        <f t="shared" si="0"/>
        <v>Miss</v>
      </c>
      <c r="C38" s="15" t="str">
        <f t="shared" si="22"/>
        <v>Tharenou</v>
      </c>
      <c r="D38" s="15" t="str">
        <f t="shared" si="2"/>
        <v>Kimberley Jacinta</v>
      </c>
      <c r="E38" s="15" t="str">
        <f t="shared" si="3"/>
        <v>49 Moncada Circuit</v>
      </c>
      <c r="F38" s="15" t="str">
        <f t="shared" si="4"/>
        <v>Belford</v>
      </c>
      <c r="G38" s="15" t="str">
        <f t="shared" si="5"/>
        <v>NSW</v>
      </c>
      <c r="H38" s="15">
        <f t="shared" si="6"/>
        <v>2335</v>
      </c>
      <c r="I38" s="15">
        <f t="shared" si="17"/>
        <v>716</v>
      </c>
      <c r="J38" s="15">
        <f>OrdersTable!B38</f>
        <v>762</v>
      </c>
      <c r="K38" s="15" t="str">
        <f t="shared" si="7"/>
        <v>Statues and Busts</v>
      </c>
      <c r="L38" s="15" t="str">
        <f t="shared" si="8"/>
        <v>Doctor Who: Legends Forever Bust: Patrick Troughton</v>
      </c>
      <c r="M38" s="15" t="str">
        <f t="shared" si="9"/>
        <v>-</v>
      </c>
      <c r="N38" s="15">
        <f t="shared" si="10"/>
        <v>1.375</v>
      </c>
      <c r="O38" s="15" t="str">
        <f t="shared" si="11"/>
        <v>A40</v>
      </c>
      <c r="P38" s="15" t="str">
        <f t="shared" si="12"/>
        <v>Romana Imports</v>
      </c>
      <c r="Q38" s="15" t="str">
        <f t="shared" si="13"/>
        <v>17 Lalla Ward Road</v>
      </c>
      <c r="R38" s="3">
        <f>OrdersTable!C38</f>
        <v>44564</v>
      </c>
      <c r="S38" s="15">
        <f>OrdersTable!E38</f>
        <v>1</v>
      </c>
      <c r="T38" s="15">
        <f t="shared" si="14"/>
        <v>27.5</v>
      </c>
      <c r="U38" s="15">
        <f t="shared" si="15"/>
        <v>37.799999999999997</v>
      </c>
      <c r="V38" s="15">
        <f t="shared" si="16"/>
        <v>44.55</v>
      </c>
      <c r="W38" s="15">
        <f>IF(MarkupType="Store Markup",ROUND(V38+V38*StoreMarkup,2),IF(MarkupType="Supplier Markup",V38+V38*SupplierMarkup,"Error at finding value"))</f>
        <v>70.17</v>
      </c>
      <c r="X38" s="32" t="str">
        <f t="shared" si="18"/>
        <v>0.00</v>
      </c>
      <c r="Y38" s="15">
        <f t="shared" si="19"/>
        <v>44.55</v>
      </c>
      <c r="Z38" s="15">
        <f t="shared" si="20"/>
        <v>70.17</v>
      </c>
      <c r="AA38" s="15">
        <f>IF(FreightType="Lethbridge-Stewart Freight ",ROUND(2.99+IF(N38&gt;0.75,(N38-0.75)*2.25,0)*S38,2),IF(MarkupType="Supplier Markup",V38+V38*SupplierMarkup,"Error at finding value"))</f>
        <v>4.4000000000000004</v>
      </c>
      <c r="AB38" s="15">
        <f t="shared" si="21"/>
        <v>0</v>
      </c>
    </row>
    <row r="39" spans="1:28" x14ac:dyDescent="0.25">
      <c r="A39" s="16">
        <f>OrdersTable!A39</f>
        <v>540</v>
      </c>
      <c r="B39" s="15" t="str">
        <f t="shared" si="0"/>
        <v>Dr</v>
      </c>
      <c r="C39" s="15" t="str">
        <f t="shared" si="22"/>
        <v>Hackett</v>
      </c>
      <c r="D39" s="15" t="str">
        <f t="shared" si="2"/>
        <v>Patrick</v>
      </c>
      <c r="E39" s="15" t="str">
        <f t="shared" si="3"/>
        <v>25 Sweet Drive</v>
      </c>
      <c r="F39" s="15" t="str">
        <f t="shared" si="4"/>
        <v>Bridgewater</v>
      </c>
      <c r="G39" s="15" t="str">
        <f t="shared" si="5"/>
        <v>VIC</v>
      </c>
      <c r="H39" s="15">
        <f t="shared" si="6"/>
        <v>3516</v>
      </c>
      <c r="I39" s="15">
        <f t="shared" si="17"/>
        <v>1486</v>
      </c>
      <c r="J39" s="15">
        <f>OrdersTable!B39</f>
        <v>707</v>
      </c>
      <c r="K39" s="15" t="str">
        <f t="shared" si="7"/>
        <v>Posters, Prints and Standees</v>
      </c>
      <c r="L39" s="15" t="str">
        <f t="shared" si="8"/>
        <v>Doctor Who: Poster: Ironside Dalek Blueprint</v>
      </c>
      <c r="M39" s="15" t="str">
        <f t="shared" si="9"/>
        <v>-</v>
      </c>
      <c r="N39" s="15">
        <f t="shared" si="10"/>
        <v>0.2</v>
      </c>
      <c r="O39" s="15" t="str">
        <f t="shared" si="11"/>
        <v>A20</v>
      </c>
      <c r="P39" s="15" t="str">
        <f t="shared" si="12"/>
        <v>Morbius Inc.</v>
      </c>
      <c r="Q39" s="15" t="str">
        <f t="shared" si="13"/>
        <v>56 Michael Spice Hwy</v>
      </c>
      <c r="R39" s="3">
        <f>OrdersTable!C39</f>
        <v>44564</v>
      </c>
      <c r="S39" s="15">
        <f>OrdersTable!E39</f>
        <v>10</v>
      </c>
      <c r="T39" s="15">
        <f t="shared" si="14"/>
        <v>3.99</v>
      </c>
      <c r="U39" s="15">
        <f t="shared" si="15"/>
        <v>5.48</v>
      </c>
      <c r="V39" s="15">
        <f t="shared" si="16"/>
        <v>6.46</v>
      </c>
      <c r="W39" s="15">
        <f>IF(MarkupType="Store Markup",ROUND(V39+V39*StoreMarkup,2),IF(MarkupType="Supplier Markup",V39+V39*SupplierMarkup,"Error at finding value"))</f>
        <v>10.17</v>
      </c>
      <c r="X39" s="32" t="str">
        <f t="shared" si="18"/>
        <v>0.00</v>
      </c>
      <c r="Y39" s="15">
        <f t="shared" si="19"/>
        <v>64.599999999999994</v>
      </c>
      <c r="Z39" s="15">
        <f t="shared" si="20"/>
        <v>101.7</v>
      </c>
      <c r="AA39" s="15">
        <f>IF(FreightType="Lethbridge-Stewart Freight ",ROUND(2.99+IF(N39&gt;0.75,(N39-0.75)*2.25,0)*S39,2),IF(MarkupType="Supplier Markup",V39+V39*SupplierMarkup,"Error at finding value"))</f>
        <v>2.99</v>
      </c>
      <c r="AB39" s="15">
        <f t="shared" si="21"/>
        <v>0</v>
      </c>
    </row>
    <row r="40" spans="1:28" x14ac:dyDescent="0.25">
      <c r="A40" s="16">
        <f>OrdersTable!A40</f>
        <v>651</v>
      </c>
      <c r="B40" s="15" t="str">
        <f t="shared" si="0"/>
        <v>Mr</v>
      </c>
      <c r="C40" s="15" t="str">
        <f t="shared" si="22"/>
        <v>Wilkes</v>
      </c>
      <c r="D40" s="15" t="str">
        <f t="shared" si="2"/>
        <v>Harley</v>
      </c>
      <c r="E40" s="15" t="str">
        <f t="shared" si="3"/>
        <v>12 Locke Circuit</v>
      </c>
      <c r="F40" s="15" t="str">
        <f t="shared" si="4"/>
        <v>Bray Park</v>
      </c>
      <c r="G40" s="15" t="str">
        <f t="shared" si="5"/>
        <v>QLD</v>
      </c>
      <c r="H40" s="15">
        <f t="shared" si="6"/>
        <v>4500</v>
      </c>
      <c r="I40" s="15">
        <f t="shared" si="17"/>
        <v>139</v>
      </c>
      <c r="J40" s="15">
        <f>OrdersTable!B40</f>
        <v>843</v>
      </c>
      <c r="K40" s="15" t="str">
        <f t="shared" si="7"/>
        <v>Statues and Busts</v>
      </c>
      <c r="L40" s="15" t="str">
        <f t="shared" si="8"/>
        <v>Doctor Who: Signature Edition Statue: Gallifrey Edition: Tom Baker</v>
      </c>
      <c r="M40" s="15" t="str">
        <f t="shared" si="9"/>
        <v>-</v>
      </c>
      <c r="N40" s="15">
        <f t="shared" si="10"/>
        <v>2.5</v>
      </c>
      <c r="O40" s="15" t="str">
        <f t="shared" si="11"/>
        <v>A20</v>
      </c>
      <c r="P40" s="15" t="str">
        <f t="shared" si="12"/>
        <v>Morbius Inc.</v>
      </c>
      <c r="Q40" s="15" t="str">
        <f t="shared" si="13"/>
        <v>56 Michael Spice Hwy</v>
      </c>
      <c r="R40" s="3">
        <f>OrdersTable!C40</f>
        <v>44564</v>
      </c>
      <c r="S40" s="15">
        <f>OrdersTable!E40</f>
        <v>9</v>
      </c>
      <c r="T40" s="15">
        <f t="shared" si="14"/>
        <v>49.99</v>
      </c>
      <c r="U40" s="15">
        <f t="shared" si="15"/>
        <v>68.33</v>
      </c>
      <c r="V40" s="15">
        <f t="shared" si="16"/>
        <v>80.98</v>
      </c>
      <c r="W40" s="15">
        <f>IF(MarkupType="Store Markup",ROUND(V40+V40*StoreMarkup,2),IF(MarkupType="Supplier Markup",V40+V40*SupplierMarkup,"Error at finding value"))</f>
        <v>127.54</v>
      </c>
      <c r="X40" s="32">
        <f t="shared" si="18"/>
        <v>9.09</v>
      </c>
      <c r="Y40" s="15">
        <f t="shared" si="19"/>
        <v>728.82</v>
      </c>
      <c r="Z40" s="15">
        <f t="shared" si="20"/>
        <v>1066.05</v>
      </c>
      <c r="AA40" s="15">
        <f>IF(FreightType="Lethbridge-Stewart Freight ",ROUND(2.99+IF(N40&gt;0.75,(N40-0.75)*2.25,0)*S40,2),IF(MarkupType="Supplier Markup",V40+V40*SupplierMarkup,"Error at finding value"))</f>
        <v>38.43</v>
      </c>
      <c r="AB40" s="15">
        <f t="shared" si="21"/>
        <v>81.81</v>
      </c>
    </row>
    <row r="41" spans="1:28" x14ac:dyDescent="0.25">
      <c r="A41" s="16">
        <f>OrdersTable!A41</f>
        <v>771</v>
      </c>
      <c r="B41" s="15" t="str">
        <f t="shared" si="0"/>
        <v>Dr</v>
      </c>
      <c r="C41" s="15" t="str">
        <f t="shared" si="22"/>
        <v>Virk</v>
      </c>
      <c r="D41" s="15" t="str">
        <f t="shared" si="2"/>
        <v>Balraj Singh</v>
      </c>
      <c r="E41" s="15" t="str">
        <f t="shared" si="3"/>
        <v>39 Napanje Drive</v>
      </c>
      <c r="F41" s="15" t="str">
        <f t="shared" si="4"/>
        <v>Abington</v>
      </c>
      <c r="G41" s="15" t="str">
        <f t="shared" si="5"/>
        <v>QLD</v>
      </c>
      <c r="H41" s="15">
        <f t="shared" si="6"/>
        <v>4660</v>
      </c>
      <c r="I41" s="15">
        <f t="shared" si="17"/>
        <v>336</v>
      </c>
      <c r="J41" s="15">
        <f>OrdersTable!B41</f>
        <v>374</v>
      </c>
      <c r="K41" s="15" t="str">
        <f t="shared" si="7"/>
        <v>Clothing and Apparel</v>
      </c>
      <c r="L41" s="15" t="str">
        <f t="shared" si="8"/>
        <v xml:space="preserve">Doctor Who: T-Shirts: 5th Doctor Costume </v>
      </c>
      <c r="M41" s="15" t="str">
        <f t="shared" si="9"/>
        <v>XL</v>
      </c>
      <c r="N41" s="15">
        <f t="shared" si="10"/>
        <v>0.8</v>
      </c>
      <c r="O41" s="15" t="str">
        <f t="shared" si="11"/>
        <v>A50</v>
      </c>
      <c r="P41" s="15" t="str">
        <f t="shared" si="12"/>
        <v>Rassilon Ltd.</v>
      </c>
      <c r="Q41" s="15" t="str">
        <f t="shared" si="13"/>
        <v>82 Richard Mathews Road</v>
      </c>
      <c r="R41" s="3">
        <f>OrdersTable!C41</f>
        <v>44564</v>
      </c>
      <c r="S41" s="15">
        <f>OrdersTable!E41</f>
        <v>4</v>
      </c>
      <c r="T41" s="15">
        <f t="shared" si="14"/>
        <v>15.99</v>
      </c>
      <c r="U41" s="15">
        <f t="shared" si="15"/>
        <v>21.97</v>
      </c>
      <c r="V41" s="15">
        <f t="shared" si="16"/>
        <v>25.9</v>
      </c>
      <c r="W41" s="15">
        <f>IF(MarkupType="Store Markup",ROUND(V41+V41*StoreMarkup,2),IF(MarkupType="Supplier Markup",V41+V41*SupplierMarkup,"Error at finding value"))</f>
        <v>40.79</v>
      </c>
      <c r="X41" s="32" t="str">
        <f t="shared" si="18"/>
        <v>0.00</v>
      </c>
      <c r="Y41" s="15">
        <f t="shared" si="19"/>
        <v>103.6</v>
      </c>
      <c r="Z41" s="15">
        <f t="shared" si="20"/>
        <v>163.16</v>
      </c>
      <c r="AA41" s="15">
        <f>IF(FreightType="Lethbridge-Stewart Freight ",ROUND(2.99+IF(N41&gt;0.75,(N41-0.75)*2.25,0)*S41,2),IF(MarkupType="Supplier Markup",V41+V41*SupplierMarkup,"Error at finding value"))</f>
        <v>3.44</v>
      </c>
      <c r="AB41" s="15">
        <f t="shared" si="21"/>
        <v>0</v>
      </c>
    </row>
    <row r="42" spans="1:28" x14ac:dyDescent="0.25">
      <c r="A42" s="16">
        <f>OrdersTable!A42</f>
        <v>784</v>
      </c>
      <c r="B42" s="15" t="str">
        <f t="shared" si="0"/>
        <v>Ms</v>
      </c>
      <c r="C42" s="15" t="str">
        <f t="shared" si="22"/>
        <v>Hansen</v>
      </c>
      <c r="D42" s="15" t="str">
        <f t="shared" si="2"/>
        <v>Courtney Michelle</v>
      </c>
      <c r="E42" s="15" t="str">
        <f t="shared" si="3"/>
        <v>22 Elliot Crescent</v>
      </c>
      <c r="F42" s="15" t="str">
        <f t="shared" si="4"/>
        <v>Alfredtown</v>
      </c>
      <c r="G42" s="15" t="str">
        <f t="shared" si="5"/>
        <v>NSW</v>
      </c>
      <c r="H42" s="15">
        <f t="shared" si="6"/>
        <v>2650</v>
      </c>
      <c r="I42" s="15">
        <f t="shared" si="17"/>
        <v>1124</v>
      </c>
      <c r="J42" s="15">
        <f>OrdersTable!B42</f>
        <v>830</v>
      </c>
      <c r="K42" s="15" t="str">
        <f t="shared" si="7"/>
        <v>Statues and Busts</v>
      </c>
      <c r="L42" s="15" t="str">
        <f t="shared" si="8"/>
        <v>Doctor Who: Mini Bust: Weeping Angel</v>
      </c>
      <c r="M42" s="15" t="str">
        <f t="shared" si="9"/>
        <v>-</v>
      </c>
      <c r="N42" s="15">
        <f t="shared" si="10"/>
        <v>1.8</v>
      </c>
      <c r="O42" s="15" t="str">
        <f t="shared" si="11"/>
        <v>A50</v>
      </c>
      <c r="P42" s="15" t="str">
        <f t="shared" si="12"/>
        <v>Rassilon Ltd.</v>
      </c>
      <c r="Q42" s="15" t="str">
        <f t="shared" si="13"/>
        <v>82 Richard Mathews Road</v>
      </c>
      <c r="R42" s="3">
        <f>OrdersTable!C42</f>
        <v>44564</v>
      </c>
      <c r="S42" s="15">
        <f>OrdersTable!E42</f>
        <v>6</v>
      </c>
      <c r="T42" s="15">
        <f t="shared" si="14"/>
        <v>35.99</v>
      </c>
      <c r="U42" s="15">
        <f t="shared" si="15"/>
        <v>49.35</v>
      </c>
      <c r="V42" s="15">
        <f t="shared" si="16"/>
        <v>58.3</v>
      </c>
      <c r="W42" s="15">
        <f>IF(MarkupType="Store Markup",ROUND(V42+V42*StoreMarkup,2),IF(MarkupType="Supplier Markup",V42+V42*SupplierMarkup,"Error at finding value"))</f>
        <v>91.82</v>
      </c>
      <c r="X42" s="32" t="str">
        <f t="shared" si="18"/>
        <v>0.00</v>
      </c>
      <c r="Y42" s="15">
        <f t="shared" si="19"/>
        <v>349.8</v>
      </c>
      <c r="Z42" s="15">
        <f t="shared" si="20"/>
        <v>550.91999999999996</v>
      </c>
      <c r="AA42" s="15">
        <f>IF(FreightType="Lethbridge-Stewart Freight ",ROUND(2.99+IF(N42&gt;0.75,(N42-0.75)*2.25,0)*S42,2),IF(MarkupType="Supplier Markup",V42+V42*SupplierMarkup,"Error at finding value"))</f>
        <v>17.170000000000002</v>
      </c>
      <c r="AB42" s="15">
        <f t="shared" si="21"/>
        <v>0</v>
      </c>
    </row>
    <row r="43" spans="1:28" x14ac:dyDescent="0.25">
      <c r="A43" s="16">
        <f>OrdersTable!A43</f>
        <v>961</v>
      </c>
      <c r="B43" s="15" t="str">
        <f t="shared" si="0"/>
        <v>Ms</v>
      </c>
      <c r="C43" s="15" t="str">
        <f t="shared" si="22"/>
        <v>Schuh</v>
      </c>
      <c r="D43" s="15" t="str">
        <f t="shared" si="2"/>
        <v>Rebecca Anne</v>
      </c>
      <c r="E43" s="15" t="str">
        <f t="shared" si="3"/>
        <v>48 Wilson Court</v>
      </c>
      <c r="F43" s="15" t="str">
        <f t="shared" si="4"/>
        <v>Breakwater</v>
      </c>
      <c r="G43" s="15" t="str">
        <f t="shared" si="5"/>
        <v>VIC</v>
      </c>
      <c r="H43" s="15">
        <f t="shared" si="6"/>
        <v>3219</v>
      </c>
      <c r="I43" s="15">
        <f t="shared" si="17"/>
        <v>1596</v>
      </c>
      <c r="J43" s="15">
        <f>OrdersTable!B43</f>
        <v>787</v>
      </c>
      <c r="K43" s="15" t="str">
        <f t="shared" si="7"/>
        <v>Statues and Busts</v>
      </c>
      <c r="L43" s="15" t="str">
        <f t="shared" si="8"/>
        <v>Doctor Who: Masterpiece Collection Maxi Bust: 1st Doctor</v>
      </c>
      <c r="M43" s="15" t="str">
        <f t="shared" si="9"/>
        <v>-</v>
      </c>
      <c r="N43" s="15">
        <f t="shared" si="10"/>
        <v>2.5</v>
      </c>
      <c r="O43" s="15" t="str">
        <f t="shared" si="11"/>
        <v>A10</v>
      </c>
      <c r="P43" s="15" t="str">
        <f t="shared" si="12"/>
        <v>Gallifrey International</v>
      </c>
      <c r="Q43" s="15" t="str">
        <f t="shared" si="13"/>
        <v>181 Arcadia Street</v>
      </c>
      <c r="R43" s="3">
        <f>OrdersTable!C43</f>
        <v>44564</v>
      </c>
      <c r="S43" s="15">
        <f>OrdersTable!E43</f>
        <v>6</v>
      </c>
      <c r="T43" s="15">
        <f t="shared" si="14"/>
        <v>49.99</v>
      </c>
      <c r="U43" s="15">
        <f t="shared" si="15"/>
        <v>68.290000000000006</v>
      </c>
      <c r="V43" s="15">
        <f t="shared" si="16"/>
        <v>80.98</v>
      </c>
      <c r="W43" s="15">
        <f>IF(MarkupType="Store Markup",ROUND(V43+V43*StoreMarkup,2),IF(MarkupType="Supplier Markup",V43+V43*SupplierMarkup,"Error at finding value"))</f>
        <v>127.54</v>
      </c>
      <c r="X43" s="32">
        <f t="shared" si="18"/>
        <v>9.09</v>
      </c>
      <c r="Y43" s="15">
        <f t="shared" si="19"/>
        <v>485.88</v>
      </c>
      <c r="Z43" s="15">
        <f t="shared" si="20"/>
        <v>710.7</v>
      </c>
      <c r="AA43" s="15">
        <f>IF(FreightType="Lethbridge-Stewart Freight ",ROUND(2.99+IF(N43&gt;0.75,(N43-0.75)*2.25,0)*S43,2),IF(MarkupType="Supplier Markup",V43+V43*SupplierMarkup,"Error at finding value"))</f>
        <v>26.62</v>
      </c>
      <c r="AB43" s="15">
        <f t="shared" si="21"/>
        <v>54.54</v>
      </c>
    </row>
    <row r="44" spans="1:28" x14ac:dyDescent="0.25">
      <c r="A44" s="16">
        <f>OrdersTable!A44</f>
        <v>983</v>
      </c>
      <c r="B44" s="15" t="str">
        <f t="shared" si="0"/>
        <v>Mrs</v>
      </c>
      <c r="C44" s="15" t="str">
        <f t="shared" si="22"/>
        <v>Bennett</v>
      </c>
      <c r="D44" s="15" t="str">
        <f t="shared" si="2"/>
        <v>Mikayla Elizabeth</v>
      </c>
      <c r="E44" s="15" t="str">
        <f t="shared" si="3"/>
        <v>35 Khanal Crescent</v>
      </c>
      <c r="F44" s="15" t="str">
        <f t="shared" si="4"/>
        <v>Bamboo</v>
      </c>
      <c r="G44" s="15" t="str">
        <f t="shared" si="5"/>
        <v>QLD</v>
      </c>
      <c r="H44" s="15">
        <f t="shared" si="6"/>
        <v>4873</v>
      </c>
      <c r="I44" s="15">
        <f t="shared" si="17"/>
        <v>1741</v>
      </c>
      <c r="J44" s="15">
        <f>OrdersTable!B44</f>
        <v>671</v>
      </c>
      <c r="K44" s="15" t="str">
        <f t="shared" si="7"/>
        <v>Mugs</v>
      </c>
      <c r="L44" s="15" t="str">
        <f t="shared" si="8"/>
        <v>Doctor Who: Mug: TARDIS Inside</v>
      </c>
      <c r="M44" s="15" t="str">
        <f t="shared" si="9"/>
        <v>-</v>
      </c>
      <c r="N44" s="15">
        <f t="shared" si="10"/>
        <v>0.6</v>
      </c>
      <c r="O44" s="15" t="str">
        <f t="shared" si="11"/>
        <v>A30</v>
      </c>
      <c r="P44" s="15" t="str">
        <f t="shared" si="12"/>
        <v>Chesterton Enterprises</v>
      </c>
      <c r="Q44" s="15" t="str">
        <f t="shared" si="13"/>
        <v>41 William Russell Road</v>
      </c>
      <c r="R44" s="3">
        <f>OrdersTable!C44</f>
        <v>44564</v>
      </c>
      <c r="S44" s="15">
        <f>OrdersTable!E44</f>
        <v>3</v>
      </c>
      <c r="T44" s="15">
        <f t="shared" si="14"/>
        <v>11.99</v>
      </c>
      <c r="U44" s="15">
        <f t="shared" si="15"/>
        <v>16.690000000000001</v>
      </c>
      <c r="V44" s="15">
        <f t="shared" si="16"/>
        <v>19.420000000000002</v>
      </c>
      <c r="W44" s="15">
        <f>IF(MarkupType="Store Markup",ROUND(V44+V44*StoreMarkup,2),IF(MarkupType="Supplier Markup",V44+V44*SupplierMarkup,"Error at finding value"))</f>
        <v>30.59</v>
      </c>
      <c r="X44" s="32" t="str">
        <f t="shared" si="18"/>
        <v>0.00</v>
      </c>
      <c r="Y44" s="15">
        <f t="shared" si="19"/>
        <v>58.26</v>
      </c>
      <c r="Z44" s="15">
        <f t="shared" si="20"/>
        <v>91.77</v>
      </c>
      <c r="AA44" s="15">
        <f>IF(FreightType="Lethbridge-Stewart Freight ",ROUND(2.99+IF(N44&gt;0.75,(N44-0.75)*2.25,0)*S44,2),IF(MarkupType="Supplier Markup",V44+V44*SupplierMarkup,"Error at finding value"))</f>
        <v>2.99</v>
      </c>
      <c r="AB44" s="15">
        <f t="shared" si="21"/>
        <v>0</v>
      </c>
    </row>
    <row r="45" spans="1:28" x14ac:dyDescent="0.25">
      <c r="A45" s="16">
        <f>OrdersTable!A45</f>
        <v>55</v>
      </c>
      <c r="B45" s="15" t="str">
        <f t="shared" si="0"/>
        <v>Mr</v>
      </c>
      <c r="C45" s="15" t="str">
        <f t="shared" si="22"/>
        <v>Myers</v>
      </c>
      <c r="D45" s="15" t="str">
        <f t="shared" si="2"/>
        <v>Luke Charles</v>
      </c>
      <c r="E45" s="15" t="str">
        <f t="shared" si="3"/>
        <v>25 Penrose Street</v>
      </c>
      <c r="F45" s="15" t="str">
        <f t="shared" si="4"/>
        <v>Black Hills</v>
      </c>
      <c r="G45" s="15" t="str">
        <f t="shared" si="5"/>
        <v>TAS</v>
      </c>
      <c r="H45" s="15">
        <f t="shared" si="6"/>
        <v>7140</v>
      </c>
      <c r="I45" s="15">
        <f t="shared" si="17"/>
        <v>2191</v>
      </c>
      <c r="J45" s="15">
        <f>OrdersTable!B45</f>
        <v>699</v>
      </c>
      <c r="K45" s="15" t="str">
        <f t="shared" si="7"/>
        <v>Posters, Prints and Standees</v>
      </c>
      <c r="L45" s="15" t="str">
        <f t="shared" si="8"/>
        <v>Doctor Who: Half Sized Standee: The Master</v>
      </c>
      <c r="M45" s="15" t="str">
        <f t="shared" si="9"/>
        <v>-</v>
      </c>
      <c r="N45" s="15">
        <f t="shared" si="10"/>
        <v>0.5</v>
      </c>
      <c r="O45" s="15" t="str">
        <f t="shared" si="11"/>
        <v>A20</v>
      </c>
      <c r="P45" s="15" t="str">
        <f t="shared" si="12"/>
        <v>Morbius Inc.</v>
      </c>
      <c r="Q45" s="15" t="str">
        <f t="shared" si="13"/>
        <v>56 Michael Spice Hwy</v>
      </c>
      <c r="R45" s="3">
        <f>OrdersTable!C45</f>
        <v>44565</v>
      </c>
      <c r="S45" s="15">
        <f>OrdersTable!E45</f>
        <v>2</v>
      </c>
      <c r="T45" s="15">
        <f t="shared" si="14"/>
        <v>9.99</v>
      </c>
      <c r="U45" s="15">
        <f t="shared" si="15"/>
        <v>13.79</v>
      </c>
      <c r="V45" s="15">
        <f t="shared" si="16"/>
        <v>16.18</v>
      </c>
      <c r="W45" s="15">
        <f>IF(MarkupType="Store Markup",ROUND(V45+V45*StoreMarkup,2),IF(MarkupType="Supplier Markup",V45+V45*SupplierMarkup,"Error at finding value"))</f>
        <v>25.48</v>
      </c>
      <c r="X45" s="32" t="str">
        <f t="shared" si="18"/>
        <v>0.00</v>
      </c>
      <c r="Y45" s="15">
        <f t="shared" si="19"/>
        <v>32.36</v>
      </c>
      <c r="Z45" s="15">
        <f t="shared" si="20"/>
        <v>50.96</v>
      </c>
      <c r="AA45" s="15">
        <f>IF(FreightType="Lethbridge-Stewart Freight ",ROUND(2.99+IF(N45&gt;0.75,(N45-0.75)*2.25,0)*S45,2),IF(MarkupType="Supplier Markup",V45+V45*SupplierMarkup,"Error at finding value"))</f>
        <v>2.99</v>
      </c>
      <c r="AB45" s="15">
        <f t="shared" si="21"/>
        <v>0</v>
      </c>
    </row>
    <row r="46" spans="1:28" x14ac:dyDescent="0.25">
      <c r="A46" s="16">
        <f>OrdersTable!A46</f>
        <v>158</v>
      </c>
      <c r="B46" s="15" t="str">
        <f t="shared" si="0"/>
        <v>Mr</v>
      </c>
      <c r="C46" s="15" t="str">
        <f t="shared" si="22"/>
        <v>Fowler</v>
      </c>
      <c r="D46" s="15" t="str">
        <f t="shared" si="2"/>
        <v>James</v>
      </c>
      <c r="E46" s="15" t="str">
        <f t="shared" si="3"/>
        <v>30 Virk Court</v>
      </c>
      <c r="F46" s="15" t="str">
        <f t="shared" si="4"/>
        <v>Black Hills</v>
      </c>
      <c r="G46" s="15" t="str">
        <f t="shared" si="5"/>
        <v>TAS</v>
      </c>
      <c r="H46" s="15">
        <f t="shared" si="6"/>
        <v>7140</v>
      </c>
      <c r="I46" s="15">
        <f t="shared" si="17"/>
        <v>2191</v>
      </c>
      <c r="J46" s="15">
        <f>OrdersTable!B46</f>
        <v>792</v>
      </c>
      <c r="K46" s="15" t="str">
        <f t="shared" si="7"/>
        <v>Statues and Busts</v>
      </c>
      <c r="L46" s="15" t="str">
        <f t="shared" si="8"/>
        <v>Doctor Who: Masterpiece Collection Maxi Bust: 3rd Doctor</v>
      </c>
      <c r="M46" s="15" t="str">
        <f t="shared" si="9"/>
        <v>-</v>
      </c>
      <c r="N46" s="15">
        <f t="shared" si="10"/>
        <v>2.5</v>
      </c>
      <c r="O46" s="15" t="str">
        <f t="shared" si="11"/>
        <v>A20</v>
      </c>
      <c r="P46" s="15" t="str">
        <f t="shared" si="12"/>
        <v>Morbius Inc.</v>
      </c>
      <c r="Q46" s="15" t="str">
        <f t="shared" si="13"/>
        <v>56 Michael Spice Hwy</v>
      </c>
      <c r="R46" s="3">
        <f>OrdersTable!C46</f>
        <v>44565</v>
      </c>
      <c r="S46" s="15">
        <f>OrdersTable!E46</f>
        <v>7</v>
      </c>
      <c r="T46" s="15">
        <f t="shared" si="14"/>
        <v>49.99</v>
      </c>
      <c r="U46" s="15">
        <f t="shared" si="15"/>
        <v>68.39</v>
      </c>
      <c r="V46" s="15">
        <f t="shared" si="16"/>
        <v>80.98</v>
      </c>
      <c r="W46" s="15">
        <f>IF(MarkupType="Store Markup",ROUND(V46+V46*StoreMarkup,2),IF(MarkupType="Supplier Markup",V46+V46*SupplierMarkup,"Error at finding value"))</f>
        <v>127.54</v>
      </c>
      <c r="X46" s="32">
        <f t="shared" si="18"/>
        <v>9.09</v>
      </c>
      <c r="Y46" s="15">
        <f t="shared" si="19"/>
        <v>566.86</v>
      </c>
      <c r="Z46" s="15">
        <f t="shared" si="20"/>
        <v>829.15</v>
      </c>
      <c r="AA46" s="15">
        <f>IF(FreightType="Lethbridge-Stewart Freight ",ROUND(2.99+IF(N46&gt;0.75,(N46-0.75)*2.25,0)*S46,2),IF(MarkupType="Supplier Markup",V46+V46*SupplierMarkup,"Error at finding value"))</f>
        <v>30.55</v>
      </c>
      <c r="AB46" s="15">
        <f t="shared" si="21"/>
        <v>63.63</v>
      </c>
    </row>
    <row r="47" spans="1:28" x14ac:dyDescent="0.25">
      <c r="A47" s="16">
        <f>OrdersTable!A47</f>
        <v>249</v>
      </c>
      <c r="B47" s="15" t="str">
        <f t="shared" si="0"/>
        <v>Mr</v>
      </c>
      <c r="C47" s="15" t="str">
        <f t="shared" si="22"/>
        <v>Sinclair</v>
      </c>
      <c r="D47" s="15" t="str">
        <f t="shared" si="2"/>
        <v>Travis James Foord</v>
      </c>
      <c r="E47" s="15" t="str">
        <f t="shared" si="3"/>
        <v>25 Leunen Avenue</v>
      </c>
      <c r="F47" s="15" t="str">
        <f t="shared" si="4"/>
        <v>Batlow</v>
      </c>
      <c r="G47" s="15" t="str">
        <f t="shared" si="5"/>
        <v>NSW</v>
      </c>
      <c r="H47" s="15">
        <f t="shared" si="6"/>
        <v>2730</v>
      </c>
      <c r="I47" s="15">
        <f t="shared" si="17"/>
        <v>1138</v>
      </c>
      <c r="J47" s="15">
        <f>OrdersTable!B47</f>
        <v>418</v>
      </c>
      <c r="K47" s="15" t="str">
        <f t="shared" si="7"/>
        <v>Clothing and Apparel</v>
      </c>
      <c r="L47" s="15" t="str">
        <f t="shared" si="8"/>
        <v>Doctor Who: Women's Winter Pyjamas</v>
      </c>
      <c r="M47" s="15" t="str">
        <f t="shared" si="9"/>
        <v>M</v>
      </c>
      <c r="N47" s="15">
        <f t="shared" si="10"/>
        <v>1.5</v>
      </c>
      <c r="O47" s="15" t="str">
        <f t="shared" si="11"/>
        <v>A30</v>
      </c>
      <c r="P47" s="15" t="str">
        <f t="shared" si="12"/>
        <v>Chesterton Enterprises</v>
      </c>
      <c r="Q47" s="15" t="str">
        <f t="shared" si="13"/>
        <v>41 William Russell Road</v>
      </c>
      <c r="R47" s="3">
        <f>OrdersTable!C47</f>
        <v>44565</v>
      </c>
      <c r="S47" s="15">
        <f>OrdersTable!E47</f>
        <v>9</v>
      </c>
      <c r="T47" s="15">
        <f t="shared" si="14"/>
        <v>29.99</v>
      </c>
      <c r="U47" s="15">
        <f t="shared" si="15"/>
        <v>40.96</v>
      </c>
      <c r="V47" s="15">
        <f t="shared" si="16"/>
        <v>48.58</v>
      </c>
      <c r="W47" s="15">
        <f>IF(MarkupType="Store Markup",ROUND(V47+V47*StoreMarkup,2),IF(MarkupType="Supplier Markup",V47+V47*SupplierMarkup,"Error at finding value"))</f>
        <v>76.510000000000005</v>
      </c>
      <c r="X47" s="32" t="str">
        <f t="shared" si="18"/>
        <v>0.00</v>
      </c>
      <c r="Y47" s="15">
        <f t="shared" si="19"/>
        <v>437.22</v>
      </c>
      <c r="Z47" s="15">
        <f t="shared" si="20"/>
        <v>688.59</v>
      </c>
      <c r="AA47" s="15">
        <f>IF(FreightType="Lethbridge-Stewart Freight ",ROUND(2.99+IF(N47&gt;0.75,(N47-0.75)*2.25,0)*S47,2),IF(MarkupType="Supplier Markup",V47+V47*SupplierMarkup,"Error at finding value"))</f>
        <v>18.18</v>
      </c>
      <c r="AB47" s="15">
        <f t="shared" si="21"/>
        <v>0</v>
      </c>
    </row>
    <row r="48" spans="1:28" x14ac:dyDescent="0.25">
      <c r="A48" s="16">
        <f>OrdersTable!A48</f>
        <v>333</v>
      </c>
      <c r="B48" s="15" t="str">
        <f t="shared" si="0"/>
        <v>Mr</v>
      </c>
      <c r="C48" s="15" t="str">
        <f t="shared" si="22"/>
        <v>Martin</v>
      </c>
      <c r="D48" s="15" t="str">
        <f t="shared" si="2"/>
        <v>Damien Roger</v>
      </c>
      <c r="E48" s="15" t="str">
        <f t="shared" si="3"/>
        <v>23 Quennell Way</v>
      </c>
      <c r="F48" s="15" t="str">
        <f t="shared" si="4"/>
        <v>Aberfoyle</v>
      </c>
      <c r="G48" s="15" t="str">
        <f t="shared" si="5"/>
        <v>NSW</v>
      </c>
      <c r="H48" s="15">
        <f t="shared" si="6"/>
        <v>2350</v>
      </c>
      <c r="I48" s="15">
        <f t="shared" si="17"/>
        <v>363</v>
      </c>
      <c r="J48" s="15">
        <f>OrdersTable!B48</f>
        <v>652</v>
      </c>
      <c r="K48" s="15" t="str">
        <f t="shared" si="7"/>
        <v>Mugs</v>
      </c>
      <c r="L48" s="15" t="str">
        <f t="shared" si="8"/>
        <v>Doctor Who: Mug: Dalek 2D</v>
      </c>
      <c r="M48" s="15" t="str">
        <f t="shared" si="9"/>
        <v>-</v>
      </c>
      <c r="N48" s="15">
        <f t="shared" si="10"/>
        <v>0.35</v>
      </c>
      <c r="O48" s="15" t="str">
        <f t="shared" si="11"/>
        <v>A10</v>
      </c>
      <c r="P48" s="15" t="str">
        <f t="shared" si="12"/>
        <v>Gallifrey International</v>
      </c>
      <c r="Q48" s="15" t="str">
        <f t="shared" si="13"/>
        <v>181 Arcadia Street</v>
      </c>
      <c r="R48" s="3">
        <f>OrdersTable!C48</f>
        <v>44565</v>
      </c>
      <c r="S48" s="15">
        <f>OrdersTable!E48</f>
        <v>5</v>
      </c>
      <c r="T48" s="15">
        <f t="shared" si="14"/>
        <v>6.99</v>
      </c>
      <c r="U48" s="15">
        <f t="shared" si="15"/>
        <v>9.8800000000000008</v>
      </c>
      <c r="V48" s="15">
        <f t="shared" si="16"/>
        <v>11.32</v>
      </c>
      <c r="W48" s="15">
        <f>IF(MarkupType="Store Markup",ROUND(V48+V48*StoreMarkup,2),IF(MarkupType="Supplier Markup",V48+V48*SupplierMarkup,"Error at finding value"))</f>
        <v>17.829999999999998</v>
      </c>
      <c r="X48" s="32" t="str">
        <f t="shared" si="18"/>
        <v>0.00</v>
      </c>
      <c r="Y48" s="15">
        <f t="shared" si="19"/>
        <v>56.6</v>
      </c>
      <c r="Z48" s="15">
        <f t="shared" si="20"/>
        <v>89.15</v>
      </c>
      <c r="AA48" s="15">
        <f>IF(FreightType="Lethbridge-Stewart Freight ",ROUND(2.99+IF(N48&gt;0.75,(N48-0.75)*2.25,0)*S48,2),IF(MarkupType="Supplier Markup",V48+V48*SupplierMarkup,"Error at finding value"))</f>
        <v>2.99</v>
      </c>
      <c r="AB48" s="15">
        <f t="shared" si="21"/>
        <v>0</v>
      </c>
    </row>
    <row r="49" spans="1:28" x14ac:dyDescent="0.25">
      <c r="A49" s="16">
        <f>OrdersTable!A49</f>
        <v>334</v>
      </c>
      <c r="B49" s="15" t="str">
        <f t="shared" si="0"/>
        <v>Mrs</v>
      </c>
      <c r="C49" s="15" t="str">
        <f t="shared" si="22"/>
        <v>Wilson</v>
      </c>
      <c r="D49" s="15" t="str">
        <f t="shared" si="2"/>
        <v>Hayley Lauren</v>
      </c>
      <c r="E49" s="15" t="str">
        <f t="shared" si="3"/>
        <v>3 Ashley Crescent</v>
      </c>
      <c r="F49" s="15" t="str">
        <f t="shared" si="4"/>
        <v>Black Hills</v>
      </c>
      <c r="G49" s="15" t="str">
        <f t="shared" si="5"/>
        <v>TAS</v>
      </c>
      <c r="H49" s="15">
        <f t="shared" si="6"/>
        <v>7140</v>
      </c>
      <c r="I49" s="15">
        <f t="shared" si="17"/>
        <v>2191</v>
      </c>
      <c r="J49" s="15">
        <f>OrdersTable!B49</f>
        <v>479</v>
      </c>
      <c r="K49" s="15" t="str">
        <f t="shared" si="7"/>
        <v>Giftware</v>
      </c>
      <c r="L49" s="15" t="str">
        <f t="shared" si="8"/>
        <v>Doctor Who: Keyring Dalek</v>
      </c>
      <c r="M49" s="15" t="str">
        <f t="shared" si="9"/>
        <v>-</v>
      </c>
      <c r="N49" s="15">
        <f t="shared" si="10"/>
        <v>0.25</v>
      </c>
      <c r="O49" s="15" t="str">
        <f t="shared" si="11"/>
        <v>A10</v>
      </c>
      <c r="P49" s="15" t="str">
        <f t="shared" si="12"/>
        <v>Gallifrey International</v>
      </c>
      <c r="Q49" s="15" t="str">
        <f t="shared" si="13"/>
        <v>181 Arcadia Street</v>
      </c>
      <c r="R49" s="3">
        <f>OrdersTable!C49</f>
        <v>44565</v>
      </c>
      <c r="S49" s="15">
        <f>OrdersTable!E49</f>
        <v>3</v>
      </c>
      <c r="T49" s="15">
        <f t="shared" si="14"/>
        <v>4.99</v>
      </c>
      <c r="U49" s="15">
        <f t="shared" si="15"/>
        <v>6.86</v>
      </c>
      <c r="V49" s="15">
        <f t="shared" si="16"/>
        <v>8.08</v>
      </c>
      <c r="W49" s="15">
        <f>IF(MarkupType="Store Markup",ROUND(V49+V49*StoreMarkup,2),IF(MarkupType="Supplier Markup",V49+V49*SupplierMarkup,"Error at finding value"))</f>
        <v>12.73</v>
      </c>
      <c r="X49" s="32" t="str">
        <f t="shared" si="18"/>
        <v>0.00</v>
      </c>
      <c r="Y49" s="15">
        <f t="shared" si="19"/>
        <v>24.24</v>
      </c>
      <c r="Z49" s="15">
        <f t="shared" si="20"/>
        <v>38.19</v>
      </c>
      <c r="AA49" s="15">
        <f>IF(FreightType="Lethbridge-Stewart Freight ",ROUND(2.99+IF(N49&gt;0.75,(N49-0.75)*2.25,0)*S49,2),IF(MarkupType="Supplier Markup",V49+V49*SupplierMarkup,"Error at finding value"))</f>
        <v>2.99</v>
      </c>
      <c r="AB49" s="15">
        <f t="shared" si="21"/>
        <v>0</v>
      </c>
    </row>
    <row r="50" spans="1:28" x14ac:dyDescent="0.25">
      <c r="A50" s="16">
        <f>OrdersTable!A50</f>
        <v>370</v>
      </c>
      <c r="B50" s="15" t="str">
        <f t="shared" si="0"/>
        <v>Mr</v>
      </c>
      <c r="C50" s="15" t="str">
        <f t="shared" si="22"/>
        <v>Kennedy</v>
      </c>
      <c r="D50" s="15" t="str">
        <f t="shared" si="2"/>
        <v>Joseph Dominic</v>
      </c>
      <c r="E50" s="15" t="str">
        <f t="shared" si="3"/>
        <v>43 Barton Road</v>
      </c>
      <c r="F50" s="15" t="str">
        <f t="shared" si="4"/>
        <v>Boston</v>
      </c>
      <c r="G50" s="15" t="str">
        <f t="shared" si="5"/>
        <v>SA</v>
      </c>
      <c r="H50" s="15">
        <f t="shared" si="6"/>
        <v>5607</v>
      </c>
      <c r="I50" s="15">
        <f t="shared" si="17"/>
        <v>2076</v>
      </c>
      <c r="J50" s="15">
        <f>OrdersTable!B50</f>
        <v>762</v>
      </c>
      <c r="K50" s="15" t="str">
        <f t="shared" si="7"/>
        <v>Statues and Busts</v>
      </c>
      <c r="L50" s="15" t="str">
        <f t="shared" si="8"/>
        <v>Doctor Who: Legends Forever Bust: Patrick Troughton</v>
      </c>
      <c r="M50" s="15" t="str">
        <f t="shared" si="9"/>
        <v>-</v>
      </c>
      <c r="N50" s="15">
        <f t="shared" si="10"/>
        <v>1.375</v>
      </c>
      <c r="O50" s="15" t="str">
        <f t="shared" si="11"/>
        <v>A40</v>
      </c>
      <c r="P50" s="15" t="str">
        <f t="shared" si="12"/>
        <v>Romana Imports</v>
      </c>
      <c r="Q50" s="15" t="str">
        <f t="shared" si="13"/>
        <v>17 Lalla Ward Road</v>
      </c>
      <c r="R50" s="3">
        <f>OrdersTable!C50</f>
        <v>44565</v>
      </c>
      <c r="S50" s="15">
        <f>OrdersTable!E50</f>
        <v>7</v>
      </c>
      <c r="T50" s="15">
        <f t="shared" si="14"/>
        <v>27.5</v>
      </c>
      <c r="U50" s="15">
        <f t="shared" si="15"/>
        <v>37.799999999999997</v>
      </c>
      <c r="V50" s="15">
        <f t="shared" si="16"/>
        <v>44.55</v>
      </c>
      <c r="W50" s="15">
        <f>IF(MarkupType="Store Markup",ROUND(V50+V50*StoreMarkup,2),IF(MarkupType="Supplier Markup",V50+V50*SupplierMarkup,"Error at finding value"))</f>
        <v>70.17</v>
      </c>
      <c r="X50" s="32" t="str">
        <f t="shared" si="18"/>
        <v>0.00</v>
      </c>
      <c r="Y50" s="15">
        <f t="shared" si="19"/>
        <v>311.85000000000002</v>
      </c>
      <c r="Z50" s="15">
        <f t="shared" si="20"/>
        <v>491.19</v>
      </c>
      <c r="AA50" s="15">
        <f>IF(FreightType="Lethbridge-Stewart Freight ",ROUND(2.99+IF(N50&gt;0.75,(N50-0.75)*2.25,0)*S50,2),IF(MarkupType="Supplier Markup",V50+V50*SupplierMarkup,"Error at finding value"))</f>
        <v>12.83</v>
      </c>
      <c r="AB50" s="15">
        <f t="shared" si="21"/>
        <v>0</v>
      </c>
    </row>
    <row r="51" spans="1:28" x14ac:dyDescent="0.25">
      <c r="A51" s="16">
        <f>OrdersTable!A51</f>
        <v>416</v>
      </c>
      <c r="B51" s="15" t="str">
        <f t="shared" si="0"/>
        <v>Mr</v>
      </c>
      <c r="C51" s="15" t="str">
        <f t="shared" si="22"/>
        <v>Mohammed</v>
      </c>
      <c r="D51" s="15" t="str">
        <f t="shared" si="2"/>
        <v>Ahmed</v>
      </c>
      <c r="E51" s="15" t="str">
        <f t="shared" si="3"/>
        <v>35 Ridley Avenue</v>
      </c>
      <c r="F51" s="15" t="str">
        <f t="shared" si="4"/>
        <v>Iluka</v>
      </c>
      <c r="G51" s="15" t="str">
        <f t="shared" si="5"/>
        <v>NSW</v>
      </c>
      <c r="H51" s="15">
        <f t="shared" si="6"/>
        <v>2466</v>
      </c>
      <c r="I51" s="15">
        <f t="shared" si="17"/>
        <v>347</v>
      </c>
      <c r="J51" s="15">
        <f>OrdersTable!B51</f>
        <v>331</v>
      </c>
      <c r="K51" s="15" t="str">
        <f t="shared" si="7"/>
        <v>Clothing and Apparel</v>
      </c>
      <c r="L51" s="15" t="str">
        <f t="shared" si="8"/>
        <v xml:space="preserve">Doctor Who: T-Shirts: 4th Doctor Costume </v>
      </c>
      <c r="M51" s="15" t="str">
        <f t="shared" si="9"/>
        <v>L</v>
      </c>
      <c r="N51" s="15">
        <f t="shared" si="10"/>
        <v>0.8</v>
      </c>
      <c r="O51" s="15" t="str">
        <f t="shared" si="11"/>
        <v>A20</v>
      </c>
      <c r="P51" s="15" t="str">
        <f t="shared" si="12"/>
        <v>Morbius Inc.</v>
      </c>
      <c r="Q51" s="15" t="str">
        <f t="shared" si="13"/>
        <v>56 Michael Spice Hwy</v>
      </c>
      <c r="R51" s="3">
        <f>OrdersTable!C51</f>
        <v>44565</v>
      </c>
      <c r="S51" s="15">
        <f>OrdersTable!E51</f>
        <v>9</v>
      </c>
      <c r="T51" s="15">
        <f t="shared" si="14"/>
        <v>15.99</v>
      </c>
      <c r="U51" s="15">
        <f t="shared" si="15"/>
        <v>22.08</v>
      </c>
      <c r="V51" s="15">
        <f t="shared" si="16"/>
        <v>25.9</v>
      </c>
      <c r="W51" s="15">
        <f>IF(MarkupType="Store Markup",ROUND(V51+V51*StoreMarkup,2),IF(MarkupType="Supplier Markup",V51+V51*SupplierMarkup,"Error at finding value"))</f>
        <v>40.79</v>
      </c>
      <c r="X51" s="32" t="str">
        <f t="shared" si="18"/>
        <v>0.00</v>
      </c>
      <c r="Y51" s="15">
        <f t="shared" si="19"/>
        <v>233.1</v>
      </c>
      <c r="Z51" s="15">
        <f t="shared" si="20"/>
        <v>367.11</v>
      </c>
      <c r="AA51" s="15">
        <f>IF(FreightType="Lethbridge-Stewart Freight ",ROUND(2.99+IF(N51&gt;0.75,(N51-0.75)*2.25,0)*S51,2),IF(MarkupType="Supplier Markup",V51+V51*SupplierMarkup,"Error at finding value"))</f>
        <v>4</v>
      </c>
      <c r="AB51" s="15">
        <f t="shared" si="21"/>
        <v>0</v>
      </c>
    </row>
    <row r="52" spans="1:28" x14ac:dyDescent="0.25">
      <c r="A52" s="16">
        <f>OrdersTable!A52</f>
        <v>546</v>
      </c>
      <c r="B52" s="15" t="str">
        <f t="shared" si="0"/>
        <v>Ms</v>
      </c>
      <c r="C52" s="15" t="str">
        <f t="shared" si="22"/>
        <v>Shortt</v>
      </c>
      <c r="D52" s="15" t="str">
        <f t="shared" si="2"/>
        <v>Rickylee Sidonia</v>
      </c>
      <c r="E52" s="15" t="str">
        <f t="shared" si="3"/>
        <v>4 Hughes Road</v>
      </c>
      <c r="F52" s="15" t="str">
        <f t="shared" si="4"/>
        <v>Glenfern</v>
      </c>
      <c r="G52" s="15" t="str">
        <f t="shared" si="5"/>
        <v>QLD</v>
      </c>
      <c r="H52" s="15">
        <f t="shared" si="6"/>
        <v>4515</v>
      </c>
      <c r="I52" s="15">
        <f t="shared" si="17"/>
        <v>128</v>
      </c>
      <c r="J52" s="15">
        <f>OrdersTable!B52</f>
        <v>813</v>
      </c>
      <c r="K52" s="15" t="str">
        <f t="shared" si="7"/>
        <v>Statues and Busts</v>
      </c>
      <c r="L52" s="15" t="str">
        <f t="shared" si="8"/>
        <v>Doctor Who: Masterpiece Collection Maxi Bust: Leela</v>
      </c>
      <c r="M52" s="15" t="str">
        <f t="shared" si="9"/>
        <v>-</v>
      </c>
      <c r="N52" s="15">
        <f t="shared" si="10"/>
        <v>2.5</v>
      </c>
      <c r="O52" s="15" t="str">
        <f t="shared" si="11"/>
        <v>A30</v>
      </c>
      <c r="P52" s="15" t="str">
        <f t="shared" si="12"/>
        <v>Chesterton Enterprises</v>
      </c>
      <c r="Q52" s="15" t="str">
        <f t="shared" si="13"/>
        <v>41 William Russell Road</v>
      </c>
      <c r="R52" s="3">
        <f>OrdersTable!C52</f>
        <v>44565</v>
      </c>
      <c r="S52" s="15">
        <f>OrdersTable!E52</f>
        <v>1</v>
      </c>
      <c r="T52" s="15">
        <f t="shared" si="14"/>
        <v>49.99</v>
      </c>
      <c r="U52" s="15">
        <f t="shared" si="15"/>
        <v>68.319999999999993</v>
      </c>
      <c r="V52" s="15">
        <f t="shared" si="16"/>
        <v>80.98</v>
      </c>
      <c r="W52" s="15">
        <f>IF(MarkupType="Store Markup",ROUND(V52+V52*StoreMarkup,2),IF(MarkupType="Supplier Markup",V52+V52*SupplierMarkup,"Error at finding value"))</f>
        <v>127.54</v>
      </c>
      <c r="X52" s="32" t="str">
        <f t="shared" si="18"/>
        <v>0.00</v>
      </c>
      <c r="Y52" s="15">
        <f t="shared" si="19"/>
        <v>80.98</v>
      </c>
      <c r="Z52" s="15">
        <f t="shared" si="20"/>
        <v>127.54</v>
      </c>
      <c r="AA52" s="15">
        <f>IF(FreightType="Lethbridge-Stewart Freight ",ROUND(2.99+IF(N52&gt;0.75,(N52-0.75)*2.25,0)*S52,2),IF(MarkupType="Supplier Markup",V52+V52*SupplierMarkup,"Error at finding value"))</f>
        <v>6.93</v>
      </c>
      <c r="AB52" s="15">
        <f t="shared" si="21"/>
        <v>0</v>
      </c>
    </row>
    <row r="53" spans="1:28" x14ac:dyDescent="0.25">
      <c r="A53" s="16">
        <f>OrdersTable!A53</f>
        <v>570</v>
      </c>
      <c r="B53" s="15" t="str">
        <f t="shared" si="0"/>
        <v>Mr</v>
      </c>
      <c r="C53" s="15" t="str">
        <f t="shared" si="22"/>
        <v>Adams</v>
      </c>
      <c r="D53" s="15" t="str">
        <f t="shared" si="2"/>
        <v>Matthew</v>
      </c>
      <c r="E53" s="15" t="str">
        <f t="shared" si="3"/>
        <v>36 Fenech Avenue</v>
      </c>
      <c r="F53" s="15" t="str">
        <f t="shared" si="4"/>
        <v>Bray Park</v>
      </c>
      <c r="G53" s="15" t="str">
        <f t="shared" si="5"/>
        <v>QLD</v>
      </c>
      <c r="H53" s="15">
        <f t="shared" si="6"/>
        <v>4500</v>
      </c>
      <c r="I53" s="15">
        <f t="shared" si="17"/>
        <v>139</v>
      </c>
      <c r="J53" s="15">
        <f>OrdersTable!B53</f>
        <v>177</v>
      </c>
      <c r="K53" s="15" t="str">
        <f t="shared" si="7"/>
        <v>Bobbleheads</v>
      </c>
      <c r="L53" s="15" t="str">
        <f t="shared" si="8"/>
        <v>Doctor Who: Bobblehead: TARDIS (With Sound)</v>
      </c>
      <c r="M53" s="15" t="str">
        <f t="shared" si="9"/>
        <v>-</v>
      </c>
      <c r="N53" s="15">
        <f t="shared" si="10"/>
        <v>1</v>
      </c>
      <c r="O53" s="15" t="str">
        <f t="shared" si="11"/>
        <v>A30</v>
      </c>
      <c r="P53" s="15" t="str">
        <f t="shared" si="12"/>
        <v>Chesterton Enterprises</v>
      </c>
      <c r="Q53" s="15" t="str">
        <f t="shared" si="13"/>
        <v>41 William Russell Road</v>
      </c>
      <c r="R53" s="3">
        <f>OrdersTable!C53</f>
        <v>44565</v>
      </c>
      <c r="S53" s="15">
        <f>OrdersTable!E53</f>
        <v>1</v>
      </c>
      <c r="T53" s="15">
        <f t="shared" si="14"/>
        <v>19.989999999999998</v>
      </c>
      <c r="U53" s="15">
        <f t="shared" si="15"/>
        <v>27.6</v>
      </c>
      <c r="V53" s="15">
        <f t="shared" si="16"/>
        <v>32.380000000000003</v>
      </c>
      <c r="W53" s="15">
        <f>IF(MarkupType="Store Markup",ROUND(V53+V53*StoreMarkup,2),IF(MarkupType="Supplier Markup",V53+V53*SupplierMarkup,"Error at finding value"))</f>
        <v>51</v>
      </c>
      <c r="X53" s="32" t="str">
        <f t="shared" si="18"/>
        <v>0.00</v>
      </c>
      <c r="Y53" s="15">
        <f t="shared" si="19"/>
        <v>32.380000000000003</v>
      </c>
      <c r="Z53" s="15">
        <f t="shared" si="20"/>
        <v>51</v>
      </c>
      <c r="AA53" s="15">
        <f>IF(FreightType="Lethbridge-Stewart Freight ",ROUND(2.99+IF(N53&gt;0.75,(N53-0.75)*2.25,0)*S53,2),IF(MarkupType="Supplier Markup",V53+V53*SupplierMarkup,"Error at finding value"))</f>
        <v>3.55</v>
      </c>
      <c r="AB53" s="15">
        <f t="shared" si="21"/>
        <v>0</v>
      </c>
    </row>
    <row r="54" spans="1:28" x14ac:dyDescent="0.25">
      <c r="A54" s="16">
        <f>OrdersTable!A54</f>
        <v>146</v>
      </c>
      <c r="B54" s="15" t="str">
        <f t="shared" si="0"/>
        <v>Miss</v>
      </c>
      <c r="C54" s="15" t="str">
        <f t="shared" si="22"/>
        <v>Brown</v>
      </c>
      <c r="D54" s="15" t="str">
        <f t="shared" si="2"/>
        <v>Sarah Danielle</v>
      </c>
      <c r="E54" s="15" t="str">
        <f t="shared" si="3"/>
        <v>50 Brieschke Court</v>
      </c>
      <c r="F54" s="15" t="str">
        <f t="shared" si="4"/>
        <v>Bray Park</v>
      </c>
      <c r="G54" s="15" t="str">
        <f t="shared" si="5"/>
        <v>QLD</v>
      </c>
      <c r="H54" s="15">
        <f t="shared" si="6"/>
        <v>4500</v>
      </c>
      <c r="I54" s="15">
        <f t="shared" si="17"/>
        <v>139</v>
      </c>
      <c r="J54" s="15">
        <f>OrdersTable!B54</f>
        <v>694</v>
      </c>
      <c r="K54" s="15" t="str">
        <f t="shared" si="7"/>
        <v>Posters, Prints and Standees</v>
      </c>
      <c r="L54" s="15" t="str">
        <f t="shared" si="8"/>
        <v>Doctor Who: 16'x12' Framed Print: Hide</v>
      </c>
      <c r="M54" s="15" t="str">
        <f t="shared" si="9"/>
        <v>-</v>
      </c>
      <c r="N54" s="15">
        <f t="shared" si="10"/>
        <v>0.75</v>
      </c>
      <c r="O54" s="15" t="str">
        <f t="shared" si="11"/>
        <v>A40</v>
      </c>
      <c r="P54" s="15" t="str">
        <f t="shared" si="12"/>
        <v>Romana Imports</v>
      </c>
      <c r="Q54" s="15" t="str">
        <f t="shared" si="13"/>
        <v>17 Lalla Ward Road</v>
      </c>
      <c r="R54" s="3">
        <f>OrdersTable!C54</f>
        <v>44566</v>
      </c>
      <c r="S54" s="15">
        <f>OrdersTable!E54</f>
        <v>1</v>
      </c>
      <c r="T54" s="15">
        <f t="shared" si="14"/>
        <v>14.99</v>
      </c>
      <c r="U54" s="15">
        <f t="shared" si="15"/>
        <v>20.49</v>
      </c>
      <c r="V54" s="15">
        <f t="shared" si="16"/>
        <v>24.28</v>
      </c>
      <c r="W54" s="15">
        <f>IF(MarkupType="Store Markup",ROUND(V54+V54*StoreMarkup,2),IF(MarkupType="Supplier Markup",V54+V54*SupplierMarkup,"Error at finding value"))</f>
        <v>38.24</v>
      </c>
      <c r="X54" s="32" t="str">
        <f t="shared" si="18"/>
        <v>0.00</v>
      </c>
      <c r="Y54" s="15">
        <f t="shared" si="19"/>
        <v>24.28</v>
      </c>
      <c r="Z54" s="15">
        <f t="shared" si="20"/>
        <v>38.24</v>
      </c>
      <c r="AA54" s="15">
        <f>IF(FreightType="Lethbridge-Stewart Freight ",ROUND(2.99+IF(N54&gt;0.75,(N54-0.75)*2.25,0)*S54,2),IF(MarkupType="Supplier Markup",V54+V54*SupplierMarkup,"Error at finding value"))</f>
        <v>2.99</v>
      </c>
      <c r="AB54" s="15">
        <f t="shared" si="21"/>
        <v>0</v>
      </c>
    </row>
    <row r="55" spans="1:28" x14ac:dyDescent="0.25">
      <c r="A55" s="16">
        <f>OrdersTable!A55</f>
        <v>331</v>
      </c>
      <c r="B55" s="15" t="str">
        <f t="shared" si="0"/>
        <v>Mrs</v>
      </c>
      <c r="C55" s="15" t="str">
        <f t="shared" si="22"/>
        <v>McKenzie</v>
      </c>
      <c r="D55" s="15" t="str">
        <f t="shared" si="2"/>
        <v>Melinda Kate</v>
      </c>
      <c r="E55" s="15" t="str">
        <f t="shared" si="3"/>
        <v>49 McKay Way</v>
      </c>
      <c r="F55" s="15" t="str">
        <f t="shared" si="4"/>
        <v>Black Hills</v>
      </c>
      <c r="G55" s="15" t="str">
        <f t="shared" si="5"/>
        <v>TAS</v>
      </c>
      <c r="H55" s="15">
        <f t="shared" si="6"/>
        <v>7140</v>
      </c>
      <c r="I55" s="15">
        <f t="shared" si="17"/>
        <v>2191</v>
      </c>
      <c r="J55" s="15">
        <f>OrdersTable!B55</f>
        <v>515</v>
      </c>
      <c r="K55" s="15" t="str">
        <f t="shared" si="7"/>
        <v>Giftware</v>
      </c>
      <c r="L55" s="15" t="str">
        <f t="shared" si="8"/>
        <v>Doctor Who: Keyring K9</v>
      </c>
      <c r="M55" s="15" t="str">
        <f t="shared" si="9"/>
        <v>-</v>
      </c>
      <c r="N55" s="15">
        <f t="shared" si="10"/>
        <v>0.25</v>
      </c>
      <c r="O55" s="15" t="str">
        <f t="shared" si="11"/>
        <v>A50</v>
      </c>
      <c r="P55" s="15" t="str">
        <f t="shared" si="12"/>
        <v>Rassilon Ltd.</v>
      </c>
      <c r="Q55" s="15" t="str">
        <f t="shared" si="13"/>
        <v>82 Richard Mathews Road</v>
      </c>
      <c r="R55" s="3">
        <f>OrdersTable!C55</f>
        <v>44566</v>
      </c>
      <c r="S55" s="15">
        <f>OrdersTable!E55</f>
        <v>5</v>
      </c>
      <c r="T55" s="15">
        <f t="shared" si="14"/>
        <v>4.99</v>
      </c>
      <c r="U55" s="15">
        <f t="shared" si="15"/>
        <v>6.91</v>
      </c>
      <c r="V55" s="15">
        <f t="shared" si="16"/>
        <v>8.08</v>
      </c>
      <c r="W55" s="15">
        <f>IF(MarkupType="Store Markup",ROUND(V55+V55*StoreMarkup,2),IF(MarkupType="Supplier Markup",V55+V55*SupplierMarkup,"Error at finding value"))</f>
        <v>12.73</v>
      </c>
      <c r="X55" s="32" t="str">
        <f t="shared" si="18"/>
        <v>0.00</v>
      </c>
      <c r="Y55" s="15">
        <f t="shared" si="19"/>
        <v>40.4</v>
      </c>
      <c r="Z55" s="15">
        <f t="shared" si="20"/>
        <v>63.65</v>
      </c>
      <c r="AA55" s="15">
        <f>IF(FreightType="Lethbridge-Stewart Freight ",ROUND(2.99+IF(N55&gt;0.75,(N55-0.75)*2.25,0)*S55,2),IF(MarkupType="Supplier Markup",V55+V55*SupplierMarkup,"Error at finding value"))</f>
        <v>2.99</v>
      </c>
      <c r="AB55" s="15">
        <f t="shared" si="21"/>
        <v>0</v>
      </c>
    </row>
    <row r="56" spans="1:28" x14ac:dyDescent="0.25">
      <c r="A56" s="16">
        <f>OrdersTable!A56</f>
        <v>334</v>
      </c>
      <c r="B56" s="15" t="str">
        <f t="shared" si="0"/>
        <v>Mrs</v>
      </c>
      <c r="C56" s="15" t="str">
        <f t="shared" si="22"/>
        <v>Wilson</v>
      </c>
      <c r="D56" s="15" t="str">
        <f t="shared" si="2"/>
        <v>Hayley Lauren</v>
      </c>
      <c r="E56" s="15" t="str">
        <f t="shared" si="3"/>
        <v>3 Ashley Crescent</v>
      </c>
      <c r="F56" s="15" t="str">
        <f t="shared" si="4"/>
        <v>Black Hills</v>
      </c>
      <c r="G56" s="15" t="str">
        <f t="shared" si="5"/>
        <v>TAS</v>
      </c>
      <c r="H56" s="15">
        <f t="shared" si="6"/>
        <v>7140</v>
      </c>
      <c r="I56" s="15">
        <f t="shared" si="17"/>
        <v>2191</v>
      </c>
      <c r="J56" s="15">
        <f>OrdersTable!B56</f>
        <v>810</v>
      </c>
      <c r="K56" s="15" t="str">
        <f t="shared" si="7"/>
        <v>Statues and Busts</v>
      </c>
      <c r="L56" s="15" t="str">
        <f t="shared" si="8"/>
        <v>Doctor Who: Masterpiece Collection Maxi Bust: Amy Pond</v>
      </c>
      <c r="M56" s="15" t="str">
        <f t="shared" si="9"/>
        <v>-</v>
      </c>
      <c r="N56" s="15">
        <f t="shared" si="10"/>
        <v>2.5</v>
      </c>
      <c r="O56" s="15" t="str">
        <f t="shared" si="11"/>
        <v>A50</v>
      </c>
      <c r="P56" s="15" t="str">
        <f t="shared" si="12"/>
        <v>Rassilon Ltd.</v>
      </c>
      <c r="Q56" s="15" t="str">
        <f t="shared" si="13"/>
        <v>82 Richard Mathews Road</v>
      </c>
      <c r="R56" s="3">
        <f>OrdersTable!C56</f>
        <v>44566</v>
      </c>
      <c r="S56" s="15">
        <f>OrdersTable!E56</f>
        <v>7</v>
      </c>
      <c r="T56" s="15">
        <f t="shared" si="14"/>
        <v>49.99</v>
      </c>
      <c r="U56" s="15">
        <f t="shared" si="15"/>
        <v>68.260000000000005</v>
      </c>
      <c r="V56" s="15">
        <f t="shared" si="16"/>
        <v>80.98</v>
      </c>
      <c r="W56" s="15">
        <f>IF(MarkupType="Store Markup",ROUND(V56+V56*StoreMarkup,2),IF(MarkupType="Supplier Markup",V56+V56*SupplierMarkup,"Error at finding value"))</f>
        <v>127.54</v>
      </c>
      <c r="X56" s="32">
        <f t="shared" si="18"/>
        <v>9.09</v>
      </c>
      <c r="Y56" s="15">
        <f t="shared" si="19"/>
        <v>566.86</v>
      </c>
      <c r="Z56" s="15">
        <f t="shared" si="20"/>
        <v>829.15</v>
      </c>
      <c r="AA56" s="15">
        <f>IF(FreightType="Lethbridge-Stewart Freight ",ROUND(2.99+IF(N56&gt;0.75,(N56-0.75)*2.25,0)*S56,2),IF(MarkupType="Supplier Markup",V56+V56*SupplierMarkup,"Error at finding value"))</f>
        <v>30.55</v>
      </c>
      <c r="AB56" s="15">
        <f t="shared" si="21"/>
        <v>63.63</v>
      </c>
    </row>
    <row r="57" spans="1:28" x14ac:dyDescent="0.25">
      <c r="A57" s="16">
        <f>OrdersTable!A57</f>
        <v>390</v>
      </c>
      <c r="B57" s="15" t="str">
        <f t="shared" si="0"/>
        <v>Ms</v>
      </c>
      <c r="C57" s="15" t="str">
        <f t="shared" si="22"/>
        <v>Queen</v>
      </c>
      <c r="D57" s="15" t="str">
        <f t="shared" si="2"/>
        <v>Joanne</v>
      </c>
      <c r="E57" s="15" t="str">
        <f t="shared" si="3"/>
        <v>30 Hall Drive</v>
      </c>
      <c r="F57" s="15" t="str">
        <f t="shared" si="4"/>
        <v>Belconnen</v>
      </c>
      <c r="G57" s="15" t="str">
        <f t="shared" si="5"/>
        <v>ACT</v>
      </c>
      <c r="H57" s="15">
        <f t="shared" si="6"/>
        <v>2617</v>
      </c>
      <c r="I57" s="15">
        <f t="shared" si="17"/>
        <v>1194</v>
      </c>
      <c r="J57" s="15">
        <f>OrdersTable!B57</f>
        <v>745</v>
      </c>
      <c r="K57" s="15" t="str">
        <f t="shared" si="7"/>
        <v>Props and Replicas</v>
      </c>
      <c r="L57" s="15" t="str">
        <f t="shared" si="8"/>
        <v>Doctor Who: TARDIS Type 40 Plaque</v>
      </c>
      <c r="M57" s="15" t="str">
        <f t="shared" si="9"/>
        <v>-</v>
      </c>
      <c r="N57" s="15">
        <f t="shared" si="10"/>
        <v>1.75</v>
      </c>
      <c r="O57" s="15" t="str">
        <f t="shared" si="11"/>
        <v>A30</v>
      </c>
      <c r="P57" s="15" t="str">
        <f t="shared" si="12"/>
        <v>Chesterton Enterprises</v>
      </c>
      <c r="Q57" s="15" t="str">
        <f t="shared" si="13"/>
        <v>41 William Russell Road</v>
      </c>
      <c r="R57" s="3">
        <f>OrdersTable!C57</f>
        <v>44566</v>
      </c>
      <c r="S57" s="15">
        <f>OrdersTable!E57</f>
        <v>2</v>
      </c>
      <c r="T57" s="15">
        <f t="shared" si="14"/>
        <v>34.99</v>
      </c>
      <c r="U57" s="15">
        <f t="shared" si="15"/>
        <v>47.86</v>
      </c>
      <c r="V57" s="15">
        <f t="shared" si="16"/>
        <v>56.68</v>
      </c>
      <c r="W57" s="15">
        <f>IF(MarkupType="Store Markup",ROUND(V57+V57*StoreMarkup,2),IF(MarkupType="Supplier Markup",V57+V57*SupplierMarkup,"Error at finding value"))</f>
        <v>89.27</v>
      </c>
      <c r="X57" s="32" t="str">
        <f t="shared" si="18"/>
        <v>0.00</v>
      </c>
      <c r="Y57" s="15">
        <f t="shared" si="19"/>
        <v>113.36</v>
      </c>
      <c r="Z57" s="15">
        <f t="shared" si="20"/>
        <v>178.54</v>
      </c>
      <c r="AA57" s="15">
        <f>IF(FreightType="Lethbridge-Stewart Freight ",ROUND(2.99+IF(N57&gt;0.75,(N57-0.75)*2.25,0)*S57,2),IF(MarkupType="Supplier Markup",V57+V57*SupplierMarkup,"Error at finding value"))</f>
        <v>7.49</v>
      </c>
      <c r="AB57" s="15">
        <f t="shared" si="21"/>
        <v>0</v>
      </c>
    </row>
    <row r="58" spans="1:28" x14ac:dyDescent="0.25">
      <c r="A58" s="16">
        <f>OrdersTable!A58</f>
        <v>416</v>
      </c>
      <c r="B58" s="15" t="str">
        <f t="shared" si="0"/>
        <v>Mr</v>
      </c>
      <c r="C58" s="15" t="str">
        <f t="shared" si="22"/>
        <v>Mohammed</v>
      </c>
      <c r="D58" s="15" t="str">
        <f t="shared" si="2"/>
        <v>Ahmed</v>
      </c>
      <c r="E58" s="15" t="str">
        <f t="shared" si="3"/>
        <v>35 Ridley Avenue</v>
      </c>
      <c r="F58" s="15" t="str">
        <f t="shared" si="4"/>
        <v>Iluka</v>
      </c>
      <c r="G58" s="15" t="str">
        <f t="shared" si="5"/>
        <v>NSW</v>
      </c>
      <c r="H58" s="15">
        <f t="shared" si="6"/>
        <v>2466</v>
      </c>
      <c r="I58" s="15">
        <f t="shared" si="17"/>
        <v>347</v>
      </c>
      <c r="J58" s="15">
        <f>OrdersTable!B58</f>
        <v>780</v>
      </c>
      <c r="K58" s="15" t="str">
        <f t="shared" si="7"/>
        <v>Statues and Busts</v>
      </c>
      <c r="L58" s="15" t="str">
        <f t="shared" si="8"/>
        <v>Doctor Who: Masterpiece Collection Dalek: Genesis Of The Daleks</v>
      </c>
      <c r="M58" s="15" t="str">
        <f t="shared" si="9"/>
        <v>-</v>
      </c>
      <c r="N58" s="15">
        <f t="shared" si="10"/>
        <v>2.5</v>
      </c>
      <c r="O58" s="15" t="str">
        <f t="shared" si="11"/>
        <v>A30</v>
      </c>
      <c r="P58" s="15" t="str">
        <f t="shared" si="12"/>
        <v>Chesterton Enterprises</v>
      </c>
      <c r="Q58" s="15" t="str">
        <f t="shared" si="13"/>
        <v>41 William Russell Road</v>
      </c>
      <c r="R58" s="3">
        <f>OrdersTable!C58</f>
        <v>44566</v>
      </c>
      <c r="S58" s="15">
        <f>OrdersTable!E58</f>
        <v>9</v>
      </c>
      <c r="T58" s="15">
        <f t="shared" si="14"/>
        <v>49.99</v>
      </c>
      <c r="U58" s="15">
        <f t="shared" si="15"/>
        <v>68.23</v>
      </c>
      <c r="V58" s="15">
        <f t="shared" si="16"/>
        <v>80.98</v>
      </c>
      <c r="W58" s="15">
        <f>IF(MarkupType="Store Markup",ROUND(V58+V58*StoreMarkup,2),IF(MarkupType="Supplier Markup",V58+V58*SupplierMarkup,"Error at finding value"))</f>
        <v>127.54</v>
      </c>
      <c r="X58" s="32">
        <f t="shared" si="18"/>
        <v>9.09</v>
      </c>
      <c r="Y58" s="15">
        <f t="shared" si="19"/>
        <v>728.82</v>
      </c>
      <c r="Z58" s="15">
        <f t="shared" si="20"/>
        <v>1066.05</v>
      </c>
      <c r="AA58" s="15">
        <f>IF(FreightType="Lethbridge-Stewart Freight ",ROUND(2.99+IF(N58&gt;0.75,(N58-0.75)*2.25,0)*S58,2),IF(MarkupType="Supplier Markup",V58+V58*SupplierMarkup,"Error at finding value"))</f>
        <v>38.43</v>
      </c>
      <c r="AB58" s="15">
        <f t="shared" si="21"/>
        <v>81.81</v>
      </c>
    </row>
    <row r="59" spans="1:28" x14ac:dyDescent="0.25">
      <c r="A59" s="16">
        <f>OrdersTable!A59</f>
        <v>448</v>
      </c>
      <c r="B59" s="15" t="str">
        <f t="shared" si="0"/>
        <v>Mr</v>
      </c>
      <c r="C59" s="15" t="str">
        <f t="shared" si="22"/>
        <v>Earl</v>
      </c>
      <c r="D59" s="15" t="str">
        <f t="shared" si="2"/>
        <v>Benn Robert</v>
      </c>
      <c r="E59" s="15" t="str">
        <f t="shared" si="3"/>
        <v>31 Kae Drive</v>
      </c>
      <c r="F59" s="15" t="str">
        <f t="shared" si="4"/>
        <v>Belford</v>
      </c>
      <c r="G59" s="15" t="str">
        <f t="shared" si="5"/>
        <v>NSW</v>
      </c>
      <c r="H59" s="15">
        <f t="shared" si="6"/>
        <v>2335</v>
      </c>
      <c r="I59" s="15">
        <f t="shared" si="17"/>
        <v>716</v>
      </c>
      <c r="J59" s="15">
        <f>OrdersTable!B59</f>
        <v>330</v>
      </c>
      <c r="K59" s="15" t="str">
        <f t="shared" si="7"/>
        <v>Clothing and Apparel</v>
      </c>
      <c r="L59" s="15" t="str">
        <f t="shared" si="8"/>
        <v xml:space="preserve">Doctor Who: T-Shirts: 4th Doctor Costume </v>
      </c>
      <c r="M59" s="15" t="str">
        <f t="shared" si="9"/>
        <v>M</v>
      </c>
      <c r="N59" s="15">
        <f t="shared" si="10"/>
        <v>0.8</v>
      </c>
      <c r="O59" s="15" t="str">
        <f t="shared" si="11"/>
        <v>A20</v>
      </c>
      <c r="P59" s="15" t="str">
        <f t="shared" si="12"/>
        <v>Morbius Inc.</v>
      </c>
      <c r="Q59" s="15" t="str">
        <f t="shared" si="13"/>
        <v>56 Michael Spice Hwy</v>
      </c>
      <c r="R59" s="3">
        <f>OrdersTable!C59</f>
        <v>44566</v>
      </c>
      <c r="S59" s="15">
        <f>OrdersTable!E59</f>
        <v>3</v>
      </c>
      <c r="T59" s="15">
        <f t="shared" si="14"/>
        <v>15.99</v>
      </c>
      <c r="U59" s="15">
        <f t="shared" si="15"/>
        <v>22.03</v>
      </c>
      <c r="V59" s="15">
        <f t="shared" si="16"/>
        <v>25.9</v>
      </c>
      <c r="W59" s="15">
        <f>IF(MarkupType="Store Markup",ROUND(V59+V59*StoreMarkup,2),IF(MarkupType="Supplier Markup",V59+V59*SupplierMarkup,"Error at finding value"))</f>
        <v>40.79</v>
      </c>
      <c r="X59" s="32" t="str">
        <f t="shared" si="18"/>
        <v>0.00</v>
      </c>
      <c r="Y59" s="15">
        <f t="shared" si="19"/>
        <v>77.7</v>
      </c>
      <c r="Z59" s="15">
        <f t="shared" si="20"/>
        <v>122.37</v>
      </c>
      <c r="AA59" s="15">
        <f>IF(FreightType="Lethbridge-Stewart Freight ",ROUND(2.99+IF(N59&gt;0.75,(N59-0.75)*2.25,0)*S59,2),IF(MarkupType="Supplier Markup",V59+V59*SupplierMarkup,"Error at finding value"))</f>
        <v>3.33</v>
      </c>
      <c r="AB59" s="15">
        <f t="shared" si="21"/>
        <v>0</v>
      </c>
    </row>
    <row r="60" spans="1:28" x14ac:dyDescent="0.25">
      <c r="A60" s="16">
        <f>OrdersTable!A60</f>
        <v>474</v>
      </c>
      <c r="B60" s="15" t="str">
        <f t="shared" si="0"/>
        <v>Mr</v>
      </c>
      <c r="C60" s="15" t="str">
        <f t="shared" si="22"/>
        <v>Jooste</v>
      </c>
      <c r="D60" s="15" t="str">
        <f t="shared" si="2"/>
        <v>Nicholas</v>
      </c>
      <c r="E60" s="15" t="str">
        <f t="shared" si="3"/>
        <v>32 Dover Road</v>
      </c>
      <c r="F60" s="15" t="str">
        <f t="shared" si="4"/>
        <v>Belford</v>
      </c>
      <c r="G60" s="15" t="str">
        <f t="shared" si="5"/>
        <v>NSW</v>
      </c>
      <c r="H60" s="15">
        <f t="shared" si="6"/>
        <v>2335</v>
      </c>
      <c r="I60" s="15">
        <f t="shared" si="17"/>
        <v>716</v>
      </c>
      <c r="J60" s="15">
        <f>OrdersTable!B60</f>
        <v>541</v>
      </c>
      <c r="K60" s="15" t="str">
        <f t="shared" si="7"/>
        <v>Giftware</v>
      </c>
      <c r="L60" s="15" t="str">
        <f t="shared" si="8"/>
        <v>Doctor Who: Salt and Pepper Shakers: TARDIS</v>
      </c>
      <c r="M60" s="15" t="str">
        <f t="shared" si="9"/>
        <v>-</v>
      </c>
      <c r="N60" s="15">
        <f t="shared" si="10"/>
        <v>0.6</v>
      </c>
      <c r="O60" s="15" t="str">
        <f t="shared" si="11"/>
        <v>A10</v>
      </c>
      <c r="P60" s="15" t="str">
        <f t="shared" si="12"/>
        <v>Gallifrey International</v>
      </c>
      <c r="Q60" s="15" t="str">
        <f t="shared" si="13"/>
        <v>181 Arcadia Street</v>
      </c>
      <c r="R60" s="3">
        <f>OrdersTable!C60</f>
        <v>44566</v>
      </c>
      <c r="S60" s="15">
        <f>OrdersTable!E60</f>
        <v>3</v>
      </c>
      <c r="T60" s="15">
        <f t="shared" si="14"/>
        <v>11.99</v>
      </c>
      <c r="U60" s="15">
        <f t="shared" si="15"/>
        <v>16.62</v>
      </c>
      <c r="V60" s="15">
        <f t="shared" si="16"/>
        <v>19.420000000000002</v>
      </c>
      <c r="W60" s="15">
        <f>IF(MarkupType="Store Markup",ROUND(V60+V60*StoreMarkup,2),IF(MarkupType="Supplier Markup",V60+V60*SupplierMarkup,"Error at finding value"))</f>
        <v>30.59</v>
      </c>
      <c r="X60" s="32" t="str">
        <f t="shared" si="18"/>
        <v>0.00</v>
      </c>
      <c r="Y60" s="15">
        <f t="shared" si="19"/>
        <v>58.26</v>
      </c>
      <c r="Z60" s="15">
        <f t="shared" si="20"/>
        <v>91.77</v>
      </c>
      <c r="AA60" s="15">
        <f>IF(FreightType="Lethbridge-Stewart Freight ",ROUND(2.99+IF(N60&gt;0.75,(N60-0.75)*2.25,0)*S60,2),IF(MarkupType="Supplier Markup",V60+V60*SupplierMarkup,"Error at finding value"))</f>
        <v>2.99</v>
      </c>
      <c r="AB60" s="15">
        <f t="shared" si="21"/>
        <v>0</v>
      </c>
    </row>
    <row r="61" spans="1:28" x14ac:dyDescent="0.25">
      <c r="A61" s="16">
        <f>OrdersTable!A61</f>
        <v>515</v>
      </c>
      <c r="B61" s="15" t="str">
        <f t="shared" si="0"/>
        <v>Mr</v>
      </c>
      <c r="C61" s="15" t="str">
        <f t="shared" si="22"/>
        <v>Noffke</v>
      </c>
      <c r="D61" s="15" t="str">
        <f t="shared" si="2"/>
        <v>William Thomas</v>
      </c>
      <c r="E61" s="15" t="str">
        <f t="shared" si="3"/>
        <v>20 Tyler Drive</v>
      </c>
      <c r="F61" s="15" t="str">
        <f t="shared" si="4"/>
        <v>Areegra</v>
      </c>
      <c r="G61" s="15" t="str">
        <f t="shared" si="5"/>
        <v>VIC</v>
      </c>
      <c r="H61" s="15">
        <f t="shared" si="6"/>
        <v>3480</v>
      </c>
      <c r="I61" s="15">
        <f t="shared" si="17"/>
        <v>1559</v>
      </c>
      <c r="J61" s="15">
        <f>OrdersTable!B61</f>
        <v>692</v>
      </c>
      <c r="K61" s="15" t="str">
        <f t="shared" si="7"/>
        <v>Posters, Prints and Standees</v>
      </c>
      <c r="L61" s="15" t="str">
        <f t="shared" si="8"/>
        <v>Doctor Who: 16'x12' Framed Print: Exploding TARDIS</v>
      </c>
      <c r="M61" s="15" t="str">
        <f t="shared" si="9"/>
        <v>-</v>
      </c>
      <c r="N61" s="15">
        <f t="shared" si="10"/>
        <v>0.75</v>
      </c>
      <c r="O61" s="15" t="str">
        <f t="shared" si="11"/>
        <v>A30</v>
      </c>
      <c r="P61" s="15" t="str">
        <f t="shared" si="12"/>
        <v>Chesterton Enterprises</v>
      </c>
      <c r="Q61" s="15" t="str">
        <f t="shared" si="13"/>
        <v>41 William Russell Road</v>
      </c>
      <c r="R61" s="3">
        <f>OrdersTable!C61</f>
        <v>44566</v>
      </c>
      <c r="S61" s="15">
        <f>OrdersTable!E61</f>
        <v>2</v>
      </c>
      <c r="T61" s="15">
        <f t="shared" si="14"/>
        <v>14.99</v>
      </c>
      <c r="U61" s="15">
        <f t="shared" si="15"/>
        <v>20.54</v>
      </c>
      <c r="V61" s="15">
        <f t="shared" si="16"/>
        <v>24.28</v>
      </c>
      <c r="W61" s="15">
        <f>IF(MarkupType="Store Markup",ROUND(V61+V61*StoreMarkup,2),IF(MarkupType="Supplier Markup",V61+V61*SupplierMarkup,"Error at finding value"))</f>
        <v>38.24</v>
      </c>
      <c r="X61" s="32" t="str">
        <f t="shared" si="18"/>
        <v>0.00</v>
      </c>
      <c r="Y61" s="15">
        <f t="shared" si="19"/>
        <v>48.56</v>
      </c>
      <c r="Z61" s="15">
        <f t="shared" si="20"/>
        <v>76.48</v>
      </c>
      <c r="AA61" s="15">
        <f>IF(FreightType="Lethbridge-Stewart Freight ",ROUND(2.99+IF(N61&gt;0.75,(N61-0.75)*2.25,0)*S61,2),IF(MarkupType="Supplier Markup",V61+V61*SupplierMarkup,"Error at finding value"))</f>
        <v>2.99</v>
      </c>
      <c r="AB61" s="15">
        <f t="shared" si="21"/>
        <v>0</v>
      </c>
    </row>
    <row r="62" spans="1:28" x14ac:dyDescent="0.25">
      <c r="A62" s="16">
        <f>OrdersTable!A62</f>
        <v>544</v>
      </c>
      <c r="B62" s="15" t="str">
        <f t="shared" si="0"/>
        <v>Mr</v>
      </c>
      <c r="C62" s="15" t="str">
        <f t="shared" si="22"/>
        <v>Sullivan</v>
      </c>
      <c r="D62" s="15" t="str">
        <f t="shared" si="2"/>
        <v>Lawrence Bernard</v>
      </c>
      <c r="E62" s="15" t="str">
        <f t="shared" si="3"/>
        <v>11 Haydon Boulevard</v>
      </c>
      <c r="F62" s="15" t="str">
        <f t="shared" si="4"/>
        <v>Breakwater</v>
      </c>
      <c r="G62" s="15" t="str">
        <f t="shared" si="5"/>
        <v>VIC</v>
      </c>
      <c r="H62" s="15">
        <f t="shared" si="6"/>
        <v>3219</v>
      </c>
      <c r="I62" s="15">
        <f t="shared" si="17"/>
        <v>1596</v>
      </c>
      <c r="J62" s="15">
        <f>OrdersTable!B62</f>
        <v>580</v>
      </c>
      <c r="K62" s="15" t="str">
        <f t="shared" si="7"/>
        <v>Giftware</v>
      </c>
      <c r="L62" s="15" t="str">
        <f t="shared" si="8"/>
        <v>Doctor Who: Wallpaper: Classic TARDIS Columns</v>
      </c>
      <c r="M62" s="15" t="str">
        <f t="shared" si="9"/>
        <v>-</v>
      </c>
      <c r="N62" s="15">
        <f t="shared" si="10"/>
        <v>0.65500000000000003</v>
      </c>
      <c r="O62" s="15" t="str">
        <f t="shared" si="11"/>
        <v>A50</v>
      </c>
      <c r="P62" s="15" t="str">
        <f t="shared" si="12"/>
        <v>Rassilon Ltd.</v>
      </c>
      <c r="Q62" s="15" t="str">
        <f t="shared" si="13"/>
        <v>82 Richard Mathews Road</v>
      </c>
      <c r="R62" s="3">
        <f>OrdersTable!C62</f>
        <v>44566</v>
      </c>
      <c r="S62" s="15">
        <f>OrdersTable!E62</f>
        <v>7</v>
      </c>
      <c r="T62" s="15">
        <f t="shared" si="14"/>
        <v>13.11</v>
      </c>
      <c r="U62" s="15">
        <f t="shared" si="15"/>
        <v>18.18</v>
      </c>
      <c r="V62" s="15">
        <f t="shared" si="16"/>
        <v>21.24</v>
      </c>
      <c r="W62" s="15">
        <f>IF(MarkupType="Store Markup",ROUND(V62+V62*StoreMarkup,2),IF(MarkupType="Supplier Markup",V62+V62*SupplierMarkup,"Error at finding value"))</f>
        <v>33.450000000000003</v>
      </c>
      <c r="X62" s="32" t="str">
        <f t="shared" si="18"/>
        <v>0.00</v>
      </c>
      <c r="Y62" s="15">
        <f t="shared" si="19"/>
        <v>148.68</v>
      </c>
      <c r="Z62" s="15">
        <f t="shared" si="20"/>
        <v>234.15</v>
      </c>
      <c r="AA62" s="15">
        <f>IF(FreightType="Lethbridge-Stewart Freight ",ROUND(2.99+IF(N62&gt;0.75,(N62-0.75)*2.25,0)*S62,2),IF(MarkupType="Supplier Markup",V62+V62*SupplierMarkup,"Error at finding value"))</f>
        <v>2.99</v>
      </c>
      <c r="AB62" s="15">
        <f t="shared" si="21"/>
        <v>0</v>
      </c>
    </row>
    <row r="63" spans="1:28" x14ac:dyDescent="0.25">
      <c r="A63" s="16">
        <f>OrdersTable!A63</f>
        <v>585</v>
      </c>
      <c r="B63" s="15" t="str">
        <f t="shared" si="0"/>
        <v>Miss</v>
      </c>
      <c r="C63" s="15" t="str">
        <f t="shared" si="22"/>
        <v>Long</v>
      </c>
      <c r="D63" s="15" t="str">
        <f t="shared" si="2"/>
        <v>Bellinda May</v>
      </c>
      <c r="E63" s="15" t="str">
        <f t="shared" si="3"/>
        <v>5 Hutcheson Avenue</v>
      </c>
      <c r="F63" s="15" t="str">
        <f t="shared" si="4"/>
        <v>Glenfern</v>
      </c>
      <c r="G63" s="15" t="str">
        <f t="shared" si="5"/>
        <v>QLD</v>
      </c>
      <c r="H63" s="15">
        <f t="shared" si="6"/>
        <v>4515</v>
      </c>
      <c r="I63" s="15">
        <f t="shared" si="17"/>
        <v>128</v>
      </c>
      <c r="J63" s="15">
        <f>OrdersTable!B63</f>
        <v>778</v>
      </c>
      <c r="K63" s="15" t="str">
        <f t="shared" si="7"/>
        <v>Statues and Busts</v>
      </c>
      <c r="L63" s="15" t="str">
        <f t="shared" si="8"/>
        <v>Doctor Who: Legends Forever Bust: William Hartnell</v>
      </c>
      <c r="M63" s="15" t="str">
        <f t="shared" si="9"/>
        <v>-</v>
      </c>
      <c r="N63" s="15">
        <f t="shared" si="10"/>
        <v>1.375</v>
      </c>
      <c r="O63" s="15" t="str">
        <f t="shared" si="11"/>
        <v>A40</v>
      </c>
      <c r="P63" s="15" t="str">
        <f t="shared" si="12"/>
        <v>Romana Imports</v>
      </c>
      <c r="Q63" s="15" t="str">
        <f t="shared" si="13"/>
        <v>17 Lalla Ward Road</v>
      </c>
      <c r="R63" s="3">
        <f>OrdersTable!C63</f>
        <v>44566</v>
      </c>
      <c r="S63" s="15">
        <f>OrdersTable!E63</f>
        <v>5</v>
      </c>
      <c r="T63" s="15">
        <f t="shared" si="14"/>
        <v>27.5</v>
      </c>
      <c r="U63" s="15">
        <f t="shared" si="15"/>
        <v>37.520000000000003</v>
      </c>
      <c r="V63" s="15">
        <f t="shared" si="16"/>
        <v>44.55</v>
      </c>
      <c r="W63" s="15">
        <f>IF(MarkupType="Store Markup",ROUND(V63+V63*StoreMarkup,2),IF(MarkupType="Supplier Markup",V63+V63*SupplierMarkup,"Error at finding value"))</f>
        <v>70.17</v>
      </c>
      <c r="X63" s="32" t="str">
        <f t="shared" si="18"/>
        <v>0.00</v>
      </c>
      <c r="Y63" s="15">
        <f t="shared" si="19"/>
        <v>222.75</v>
      </c>
      <c r="Z63" s="15">
        <f t="shared" si="20"/>
        <v>350.85</v>
      </c>
      <c r="AA63" s="15">
        <f>IF(FreightType="Lethbridge-Stewart Freight ",ROUND(2.99+IF(N63&gt;0.75,(N63-0.75)*2.25,0)*S63,2),IF(MarkupType="Supplier Markup",V63+V63*SupplierMarkup,"Error at finding value"))</f>
        <v>10.02</v>
      </c>
      <c r="AB63" s="15">
        <f t="shared" si="21"/>
        <v>0</v>
      </c>
    </row>
    <row r="64" spans="1:28" x14ac:dyDescent="0.25">
      <c r="A64" s="16">
        <f>OrdersTable!A64</f>
        <v>594</v>
      </c>
      <c r="B64" s="15" t="str">
        <f t="shared" si="0"/>
        <v>Mrs</v>
      </c>
      <c r="C64" s="15" t="str">
        <f t="shared" si="22"/>
        <v>Entriken</v>
      </c>
      <c r="D64" s="15" t="str">
        <f t="shared" si="2"/>
        <v>Gwenda Dawn</v>
      </c>
      <c r="E64" s="15" t="str">
        <f t="shared" si="3"/>
        <v>8 Miljkovic Drive</v>
      </c>
      <c r="F64" s="15" t="str">
        <f t="shared" si="4"/>
        <v>Nayook</v>
      </c>
      <c r="G64" s="15" t="str">
        <f t="shared" si="5"/>
        <v>VIC</v>
      </c>
      <c r="H64" s="15">
        <f t="shared" si="6"/>
        <v>3832</v>
      </c>
      <c r="I64" s="15">
        <f t="shared" si="17"/>
        <v>1552</v>
      </c>
      <c r="J64" s="15">
        <f>OrdersTable!B64</f>
        <v>543</v>
      </c>
      <c r="K64" s="15" t="str">
        <f t="shared" si="7"/>
        <v>Giftware</v>
      </c>
      <c r="L64" s="15" t="str">
        <f t="shared" si="8"/>
        <v>Doctor Who: Sonic Screwdriver Pen</v>
      </c>
      <c r="M64" s="15" t="str">
        <f t="shared" si="9"/>
        <v>-</v>
      </c>
      <c r="N64" s="15">
        <f t="shared" si="10"/>
        <v>0.65</v>
      </c>
      <c r="O64" s="15" t="str">
        <f t="shared" si="11"/>
        <v>A20</v>
      </c>
      <c r="P64" s="15" t="str">
        <f t="shared" si="12"/>
        <v>Morbius Inc.</v>
      </c>
      <c r="Q64" s="15" t="str">
        <f t="shared" si="13"/>
        <v>56 Michael Spice Hwy</v>
      </c>
      <c r="R64" s="3">
        <f>OrdersTable!C64</f>
        <v>44566</v>
      </c>
      <c r="S64" s="15">
        <f>OrdersTable!E64</f>
        <v>6</v>
      </c>
      <c r="T64" s="15">
        <f t="shared" si="14"/>
        <v>12.99</v>
      </c>
      <c r="U64" s="15">
        <f t="shared" si="15"/>
        <v>18.02</v>
      </c>
      <c r="V64" s="15">
        <f t="shared" si="16"/>
        <v>21.04</v>
      </c>
      <c r="W64" s="15">
        <f>IF(MarkupType="Store Markup",ROUND(V64+V64*StoreMarkup,2),IF(MarkupType="Supplier Markup",V64+V64*SupplierMarkup,"Error at finding value"))</f>
        <v>33.14</v>
      </c>
      <c r="X64" s="32" t="str">
        <f t="shared" si="18"/>
        <v>0.00</v>
      </c>
      <c r="Y64" s="15">
        <f t="shared" si="19"/>
        <v>126.24</v>
      </c>
      <c r="Z64" s="15">
        <f t="shared" si="20"/>
        <v>198.84</v>
      </c>
      <c r="AA64" s="15">
        <f>IF(FreightType="Lethbridge-Stewart Freight ",ROUND(2.99+IF(N64&gt;0.75,(N64-0.75)*2.25,0)*S64,2),IF(MarkupType="Supplier Markup",V64+V64*SupplierMarkup,"Error at finding value"))</f>
        <v>2.99</v>
      </c>
      <c r="AB64" s="15">
        <f t="shared" si="21"/>
        <v>0</v>
      </c>
    </row>
    <row r="65" spans="1:28" x14ac:dyDescent="0.25">
      <c r="A65" s="16">
        <f>OrdersTable!A65</f>
        <v>594</v>
      </c>
      <c r="B65" s="15" t="str">
        <f t="shared" si="0"/>
        <v>Mrs</v>
      </c>
      <c r="C65" s="15" t="str">
        <f t="shared" si="22"/>
        <v>Entriken</v>
      </c>
      <c r="D65" s="15" t="str">
        <f t="shared" si="2"/>
        <v>Gwenda Dawn</v>
      </c>
      <c r="E65" s="15" t="str">
        <f t="shared" si="3"/>
        <v>8 Miljkovic Drive</v>
      </c>
      <c r="F65" s="15" t="str">
        <f t="shared" si="4"/>
        <v>Nayook</v>
      </c>
      <c r="G65" s="15" t="str">
        <f t="shared" si="5"/>
        <v>VIC</v>
      </c>
      <c r="H65" s="15">
        <f t="shared" si="6"/>
        <v>3832</v>
      </c>
      <c r="I65" s="15">
        <f t="shared" si="17"/>
        <v>1552</v>
      </c>
      <c r="J65" s="15">
        <f>OrdersTable!B65</f>
        <v>726</v>
      </c>
      <c r="K65" s="15" t="str">
        <f t="shared" si="7"/>
        <v>Props and Replicas</v>
      </c>
      <c r="L65" s="15" t="str">
        <f t="shared" si="8"/>
        <v>Doctor Who: Dalek Death Ray</v>
      </c>
      <c r="M65" s="15" t="str">
        <f t="shared" si="9"/>
        <v>-</v>
      </c>
      <c r="N65" s="15">
        <f t="shared" si="10"/>
        <v>18</v>
      </c>
      <c r="O65" s="15" t="str">
        <f t="shared" si="11"/>
        <v>A30</v>
      </c>
      <c r="P65" s="15" t="str">
        <f t="shared" si="12"/>
        <v>Chesterton Enterprises</v>
      </c>
      <c r="Q65" s="15" t="str">
        <f t="shared" si="13"/>
        <v>41 William Russell Road</v>
      </c>
      <c r="R65" s="3">
        <f>OrdersTable!C65</f>
        <v>44566</v>
      </c>
      <c r="S65" s="15">
        <f>OrdersTable!E65</f>
        <v>1</v>
      </c>
      <c r="T65" s="15">
        <f t="shared" si="14"/>
        <v>359.99</v>
      </c>
      <c r="U65" s="15">
        <f t="shared" si="15"/>
        <v>491.12</v>
      </c>
      <c r="V65" s="15">
        <f t="shared" si="16"/>
        <v>583.17999999999995</v>
      </c>
      <c r="W65" s="15">
        <f>IF(MarkupType="Store Markup",ROUND(V65+V65*StoreMarkup,2),IF(MarkupType="Supplier Markup",V65+V65*SupplierMarkup,"Error at finding value"))</f>
        <v>918.51</v>
      </c>
      <c r="X65" s="32" t="str">
        <f t="shared" si="18"/>
        <v>0.00</v>
      </c>
      <c r="Y65" s="15">
        <f t="shared" si="19"/>
        <v>583.17999999999995</v>
      </c>
      <c r="Z65" s="15">
        <f t="shared" si="20"/>
        <v>918.51</v>
      </c>
      <c r="AA65" s="15">
        <f>IF(FreightType="Lethbridge-Stewart Freight ",ROUND(2.99+IF(N65&gt;0.75,(N65-0.75)*2.25,0)*S65,2),IF(MarkupType="Supplier Markup",V65+V65*SupplierMarkup,"Error at finding value"))</f>
        <v>41.8</v>
      </c>
      <c r="AB65" s="15">
        <f t="shared" si="21"/>
        <v>0</v>
      </c>
    </row>
    <row r="66" spans="1:28" x14ac:dyDescent="0.25">
      <c r="A66" s="16">
        <f>OrdersTable!A66</f>
        <v>634</v>
      </c>
      <c r="B66" s="15" t="str">
        <f t="shared" si="0"/>
        <v>Miss</v>
      </c>
      <c r="C66" s="15" t="str">
        <f t="shared" si="22"/>
        <v>Betts</v>
      </c>
      <c r="D66" s="15" t="str">
        <f t="shared" si="2"/>
        <v>Melissa Leigh</v>
      </c>
      <c r="E66" s="15" t="str">
        <f t="shared" si="3"/>
        <v>4 Aitcheson Drive</v>
      </c>
      <c r="F66" s="15" t="str">
        <f t="shared" si="4"/>
        <v>Bray Park</v>
      </c>
      <c r="G66" s="15" t="str">
        <f t="shared" si="5"/>
        <v>QLD</v>
      </c>
      <c r="H66" s="15">
        <f t="shared" si="6"/>
        <v>4500</v>
      </c>
      <c r="I66" s="15">
        <f t="shared" si="17"/>
        <v>139</v>
      </c>
      <c r="J66" s="15">
        <f>OrdersTable!B66</f>
        <v>769</v>
      </c>
      <c r="K66" s="15" t="str">
        <f t="shared" si="7"/>
        <v>Statues and Busts</v>
      </c>
      <c r="L66" s="15" t="str">
        <f t="shared" si="8"/>
        <v>Doctor Who: Legends Forever Bust: Tom Baker</v>
      </c>
      <c r="M66" s="15" t="str">
        <f t="shared" si="9"/>
        <v>-</v>
      </c>
      <c r="N66" s="15">
        <f t="shared" si="10"/>
        <v>1.375</v>
      </c>
      <c r="O66" s="15" t="str">
        <f t="shared" si="11"/>
        <v>A30</v>
      </c>
      <c r="P66" s="15" t="str">
        <f t="shared" si="12"/>
        <v>Chesterton Enterprises</v>
      </c>
      <c r="Q66" s="15" t="str">
        <f t="shared" si="13"/>
        <v>41 William Russell Road</v>
      </c>
      <c r="R66" s="3">
        <f>OrdersTable!C66</f>
        <v>44566</v>
      </c>
      <c r="S66" s="15">
        <f>OrdersTable!E66</f>
        <v>2</v>
      </c>
      <c r="T66" s="15">
        <f t="shared" si="14"/>
        <v>27.5</v>
      </c>
      <c r="U66" s="15">
        <f t="shared" si="15"/>
        <v>37.76</v>
      </c>
      <c r="V66" s="15">
        <f t="shared" si="16"/>
        <v>44.55</v>
      </c>
      <c r="W66" s="15">
        <f>IF(MarkupType="Store Markup",ROUND(V66+V66*StoreMarkup,2),IF(MarkupType="Supplier Markup",V66+V66*SupplierMarkup,"Error at finding value"))</f>
        <v>70.17</v>
      </c>
      <c r="X66" s="32" t="str">
        <f t="shared" si="18"/>
        <v>0.00</v>
      </c>
      <c r="Y66" s="15">
        <f t="shared" si="19"/>
        <v>89.1</v>
      </c>
      <c r="Z66" s="15">
        <f t="shared" si="20"/>
        <v>140.34</v>
      </c>
      <c r="AA66" s="15">
        <f>IF(FreightType="Lethbridge-Stewart Freight ",ROUND(2.99+IF(N66&gt;0.75,(N66-0.75)*2.25,0)*S66,2),IF(MarkupType="Supplier Markup",V66+V66*SupplierMarkup,"Error at finding value"))</f>
        <v>5.8</v>
      </c>
      <c r="AB66" s="15">
        <f t="shared" si="21"/>
        <v>0</v>
      </c>
    </row>
    <row r="67" spans="1:28" x14ac:dyDescent="0.25">
      <c r="A67" s="16">
        <f>OrdersTable!A67</f>
        <v>659</v>
      </c>
      <c r="B67" s="15" t="str">
        <f t="shared" si="0"/>
        <v>Mr</v>
      </c>
      <c r="C67" s="15" t="str">
        <f t="shared" si="22"/>
        <v>Douglas</v>
      </c>
      <c r="D67" s="15" t="str">
        <f t="shared" si="2"/>
        <v>Jason Richard</v>
      </c>
      <c r="E67" s="15" t="str">
        <f t="shared" si="3"/>
        <v>14 Young Crescent</v>
      </c>
      <c r="F67" s="15" t="str">
        <f t="shared" si="4"/>
        <v>Caliph</v>
      </c>
      <c r="G67" s="15" t="str">
        <f t="shared" si="5"/>
        <v>SA</v>
      </c>
      <c r="H67" s="15">
        <f t="shared" si="6"/>
        <v>5310</v>
      </c>
      <c r="I67" s="15">
        <f t="shared" si="17"/>
        <v>1720</v>
      </c>
      <c r="J67" s="15">
        <f>OrdersTable!B67</f>
        <v>673</v>
      </c>
      <c r="K67" s="15" t="str">
        <f t="shared" si="7"/>
        <v>Mugs</v>
      </c>
      <c r="L67" s="15" t="str">
        <f t="shared" si="8"/>
        <v>Doctor Who: Mug: TARDIS With Lid</v>
      </c>
      <c r="M67" s="15" t="str">
        <f t="shared" si="9"/>
        <v>-</v>
      </c>
      <c r="N67" s="15">
        <f t="shared" si="10"/>
        <v>0.58499999999999996</v>
      </c>
      <c r="O67" s="15" t="str">
        <f t="shared" si="11"/>
        <v>A10</v>
      </c>
      <c r="P67" s="15" t="str">
        <f t="shared" si="12"/>
        <v>Gallifrey International</v>
      </c>
      <c r="Q67" s="15" t="str">
        <f t="shared" si="13"/>
        <v>181 Arcadia Street</v>
      </c>
      <c r="R67" s="3">
        <f>OrdersTable!C67</f>
        <v>44566</v>
      </c>
      <c r="S67" s="15">
        <f>OrdersTable!E67</f>
        <v>1</v>
      </c>
      <c r="T67" s="15">
        <f t="shared" si="14"/>
        <v>11.69</v>
      </c>
      <c r="U67" s="15">
        <f t="shared" si="15"/>
        <v>16.190000000000001</v>
      </c>
      <c r="V67" s="15">
        <f t="shared" si="16"/>
        <v>18.940000000000001</v>
      </c>
      <c r="W67" s="15">
        <f>IF(MarkupType="Store Markup",ROUND(V67+V67*StoreMarkup,2),IF(MarkupType="Supplier Markup",V67+V67*SupplierMarkup,"Error at finding value"))</f>
        <v>29.83</v>
      </c>
      <c r="X67" s="32" t="str">
        <f t="shared" si="18"/>
        <v>0.00</v>
      </c>
      <c r="Y67" s="15">
        <f t="shared" si="19"/>
        <v>18.940000000000001</v>
      </c>
      <c r="Z67" s="15">
        <f t="shared" si="20"/>
        <v>29.83</v>
      </c>
      <c r="AA67" s="15">
        <f>IF(FreightType="Lethbridge-Stewart Freight ",ROUND(2.99+IF(N67&gt;0.75,(N67-0.75)*2.25,0)*S67,2),IF(MarkupType="Supplier Markup",V67+V67*SupplierMarkup,"Error at finding value"))</f>
        <v>2.99</v>
      </c>
      <c r="AB67" s="15">
        <f t="shared" si="21"/>
        <v>0</v>
      </c>
    </row>
    <row r="68" spans="1:28" x14ac:dyDescent="0.25">
      <c r="A68" s="16">
        <f>OrdersTable!A68</f>
        <v>669</v>
      </c>
      <c r="B68" s="15" t="str">
        <f t="shared" ref="B68:B131" si="23">VLOOKUP($A68,Cust,2,0)</f>
        <v>Dr</v>
      </c>
      <c r="C68" s="15" t="str">
        <f t="shared" si="22"/>
        <v>Ferjani</v>
      </c>
      <c r="D68" s="15" t="str">
        <f t="shared" ref="D68:D131" si="24">VLOOKUP($A68,Cust,4,0)</f>
        <v>Rabah</v>
      </c>
      <c r="E68" s="15" t="str">
        <f t="shared" ref="E68:E131" si="25">VLOOKUP($A68,Cust,6,0)</f>
        <v>2 Codrington Street</v>
      </c>
      <c r="F68" s="15" t="str">
        <f t="shared" ref="F68:F131" si="26">VLOOKUP($A68,Cust,7,0)</f>
        <v>Belford</v>
      </c>
      <c r="G68" s="15" t="str">
        <f t="shared" ref="G68:G131" si="27">VLOOKUP($A68,Cust,8,0)</f>
        <v>NSW</v>
      </c>
      <c r="H68" s="15">
        <f t="shared" ref="H68:H131" si="28">VLOOKUP($A68,Cust,9,0)</f>
        <v>2335</v>
      </c>
      <c r="I68" s="15">
        <f t="shared" si="17"/>
        <v>716</v>
      </c>
      <c r="J68" s="15">
        <f>OrdersTable!B68</f>
        <v>196</v>
      </c>
      <c r="K68" s="15" t="str">
        <f t="shared" ref="K68:K131" si="29">VLOOKUP($J68,Itms,2,0)</f>
        <v>Clothing and Apparel</v>
      </c>
      <c r="L68" s="15" t="str">
        <f t="shared" ref="L68:L131" si="30">VLOOKUP($J68,Itms,3,0)</f>
        <v>Doctor Who: 12 Foot Tom Baker Scarf</v>
      </c>
      <c r="M68" s="15" t="str">
        <f t="shared" ref="M68:M131" si="31">VLOOKUP($J68,Itms,4,0)</f>
        <v>-</v>
      </c>
      <c r="N68" s="15">
        <f t="shared" ref="N68:N131" si="32">VLOOKUP($J68,Itms,5,0)</f>
        <v>2.5</v>
      </c>
      <c r="O68" s="15" t="str">
        <f t="shared" ref="O68:O131" si="33">VLOOKUP($J68,Itms,6,0)</f>
        <v>A40</v>
      </c>
      <c r="P68" s="15" t="str">
        <f t="shared" ref="P68:P131" si="34">VLOOKUP($O68,Supp,2,0)</f>
        <v>Romana Imports</v>
      </c>
      <c r="Q68" s="15" t="str">
        <f t="shared" ref="Q68:Q131" si="35">VLOOKUP($O68,Supp,3,0)</f>
        <v>17 Lalla Ward Road</v>
      </c>
      <c r="R68" s="3">
        <f>OrdersTable!C68</f>
        <v>44566</v>
      </c>
      <c r="S68" s="15">
        <f>OrdersTable!E68</f>
        <v>3</v>
      </c>
      <c r="T68" s="15">
        <f t="shared" ref="T68:T131" si="36">VLOOKUP($J68,Itms,9,0)</f>
        <v>49.99</v>
      </c>
      <c r="U68" s="15">
        <f t="shared" ref="U68:U131" si="37">VLOOKUP($J68,Itms,10,0)</f>
        <v>68.28</v>
      </c>
      <c r="V68" s="15">
        <f t="shared" ref="V68:V131" si="38">IF(ExchRateType="IR",ROUND(T68*ExchRateIR,2),IF(ExchRateType="CA",ROUND(U68*ExchRateCA,2),"Error at finding value"))</f>
        <v>80.98</v>
      </c>
      <c r="W68" s="15">
        <f>IF(MarkupType="Store Markup",ROUND(V68+V68*StoreMarkup,2),IF(MarkupType="Supplier Markup",V68+V68*SupplierMarkup,"Error at finding value"))</f>
        <v>127.54</v>
      </c>
      <c r="X68" s="32">
        <f t="shared" si="18"/>
        <v>9.09</v>
      </c>
      <c r="Y68" s="15">
        <f t="shared" si="19"/>
        <v>242.94</v>
      </c>
      <c r="Z68" s="15">
        <f t="shared" si="20"/>
        <v>355.35</v>
      </c>
      <c r="AA68" s="15">
        <f>IF(FreightType="Lethbridge-Stewart Freight ",ROUND(2.99+IF(N68&gt;0.75,(N68-0.75)*2.25,0)*S68,2),IF(MarkupType="Supplier Markup",V68+V68*SupplierMarkup,"Error at finding value"))</f>
        <v>14.8</v>
      </c>
      <c r="AB68" s="15">
        <f t="shared" si="21"/>
        <v>27.27</v>
      </c>
    </row>
    <row r="69" spans="1:28" x14ac:dyDescent="0.25">
      <c r="A69" s="16">
        <f>OrdersTable!A69</f>
        <v>669</v>
      </c>
      <c r="B69" s="15" t="str">
        <f t="shared" si="23"/>
        <v>Dr</v>
      </c>
      <c r="C69" s="15" t="str">
        <f t="shared" si="22"/>
        <v>Ferjani</v>
      </c>
      <c r="D69" s="15" t="str">
        <f t="shared" si="24"/>
        <v>Rabah</v>
      </c>
      <c r="E69" s="15" t="str">
        <f t="shared" si="25"/>
        <v>2 Codrington Street</v>
      </c>
      <c r="F69" s="15" t="str">
        <f t="shared" si="26"/>
        <v>Belford</v>
      </c>
      <c r="G69" s="15" t="str">
        <f t="shared" si="27"/>
        <v>NSW</v>
      </c>
      <c r="H69" s="15">
        <f t="shared" si="28"/>
        <v>2335</v>
      </c>
      <c r="I69" s="15">
        <f t="shared" ref="I69:I132" si="39">VLOOKUP($A69,Cust,10,0)</f>
        <v>716</v>
      </c>
      <c r="J69" s="15">
        <f>OrdersTable!B69</f>
        <v>826</v>
      </c>
      <c r="K69" s="15" t="str">
        <f t="shared" si="29"/>
        <v>Statues and Busts</v>
      </c>
      <c r="L69" s="15" t="str">
        <f t="shared" si="30"/>
        <v>Doctor Who: Mini Bust: Cyberman</v>
      </c>
      <c r="M69" s="15" t="str">
        <f t="shared" si="31"/>
        <v>-</v>
      </c>
      <c r="N69" s="15">
        <f t="shared" si="32"/>
        <v>1.8</v>
      </c>
      <c r="O69" s="15" t="str">
        <f t="shared" si="33"/>
        <v>A40</v>
      </c>
      <c r="P69" s="15" t="str">
        <f t="shared" si="34"/>
        <v>Romana Imports</v>
      </c>
      <c r="Q69" s="15" t="str">
        <f t="shared" si="35"/>
        <v>17 Lalla Ward Road</v>
      </c>
      <c r="R69" s="3">
        <f>OrdersTable!C69</f>
        <v>44566</v>
      </c>
      <c r="S69" s="15">
        <f>OrdersTable!E69</f>
        <v>9</v>
      </c>
      <c r="T69" s="15">
        <f t="shared" si="36"/>
        <v>35.99</v>
      </c>
      <c r="U69" s="15">
        <f t="shared" si="37"/>
        <v>49.13</v>
      </c>
      <c r="V69" s="15">
        <f t="shared" si="38"/>
        <v>58.3</v>
      </c>
      <c r="W69" s="15">
        <f>IF(MarkupType="Store Markup",ROUND(V69+V69*StoreMarkup,2),IF(MarkupType="Supplier Markup",V69+V69*SupplierMarkup,"Error at finding value"))</f>
        <v>91.82</v>
      </c>
      <c r="X69" s="32" t="str">
        <f t="shared" ref="X69:X132" si="40">IF(AND(W69&gt;100,S69&gt;=3),ROUND(0.07125*W69,2),"0.00")</f>
        <v>0.00</v>
      </c>
      <c r="Y69" s="15">
        <f t="shared" ref="Y69:Y132" si="41">ROUND(V69*S69,2)</f>
        <v>524.70000000000005</v>
      </c>
      <c r="Z69" s="15">
        <f t="shared" ref="Z69:Z132" si="42">ROUND((W69-X69)*S69,2)</f>
        <v>826.38</v>
      </c>
      <c r="AA69" s="15">
        <f>IF(FreightType="Lethbridge-Stewart Freight ",ROUND(2.99+IF(N69&gt;0.75,(N69-0.75)*2.25,0)*S69,2),IF(MarkupType="Supplier Markup",V69+V69*SupplierMarkup,"Error at finding value"))</f>
        <v>24.25</v>
      </c>
      <c r="AB69" s="15">
        <f t="shared" ref="AB69:AB132" si="43">ROUND(X69*S69,2)</f>
        <v>0</v>
      </c>
    </row>
    <row r="70" spans="1:28" x14ac:dyDescent="0.25">
      <c r="A70" s="16">
        <f>OrdersTable!A70</f>
        <v>827</v>
      </c>
      <c r="B70" s="15" t="str">
        <f t="shared" si="23"/>
        <v>Ms</v>
      </c>
      <c r="C70" s="15" t="str">
        <f t="shared" si="22"/>
        <v>Ottaway</v>
      </c>
      <c r="D70" s="15" t="str">
        <f t="shared" si="24"/>
        <v>Katherine</v>
      </c>
      <c r="E70" s="15" t="str">
        <f t="shared" si="25"/>
        <v>7 Morrison Street</v>
      </c>
      <c r="F70" s="15" t="str">
        <f t="shared" si="26"/>
        <v>Glenfern</v>
      </c>
      <c r="G70" s="15" t="str">
        <f t="shared" si="27"/>
        <v>QLD</v>
      </c>
      <c r="H70" s="15">
        <f t="shared" si="28"/>
        <v>4515</v>
      </c>
      <c r="I70" s="15">
        <f t="shared" si="39"/>
        <v>128</v>
      </c>
      <c r="J70" s="15">
        <f>OrdersTable!B70</f>
        <v>762</v>
      </c>
      <c r="K70" s="15" t="str">
        <f t="shared" si="29"/>
        <v>Statues and Busts</v>
      </c>
      <c r="L70" s="15" t="str">
        <f t="shared" si="30"/>
        <v>Doctor Who: Legends Forever Bust: Patrick Troughton</v>
      </c>
      <c r="M70" s="15" t="str">
        <f t="shared" si="31"/>
        <v>-</v>
      </c>
      <c r="N70" s="15">
        <f t="shared" si="32"/>
        <v>1.375</v>
      </c>
      <c r="O70" s="15" t="str">
        <f t="shared" si="33"/>
        <v>A40</v>
      </c>
      <c r="P70" s="15" t="str">
        <f t="shared" si="34"/>
        <v>Romana Imports</v>
      </c>
      <c r="Q70" s="15" t="str">
        <f t="shared" si="35"/>
        <v>17 Lalla Ward Road</v>
      </c>
      <c r="R70" s="3">
        <f>OrdersTable!C70</f>
        <v>44566</v>
      </c>
      <c r="S70" s="15">
        <f>OrdersTable!E70</f>
        <v>3</v>
      </c>
      <c r="T70" s="15">
        <f t="shared" si="36"/>
        <v>27.5</v>
      </c>
      <c r="U70" s="15">
        <f t="shared" si="37"/>
        <v>37.799999999999997</v>
      </c>
      <c r="V70" s="15">
        <f t="shared" si="38"/>
        <v>44.55</v>
      </c>
      <c r="W70" s="15">
        <f>IF(MarkupType="Store Markup",ROUND(V70+V70*StoreMarkup,2),IF(MarkupType="Supplier Markup",V70+V70*SupplierMarkup,"Error at finding value"))</f>
        <v>70.17</v>
      </c>
      <c r="X70" s="32" t="str">
        <f t="shared" si="40"/>
        <v>0.00</v>
      </c>
      <c r="Y70" s="15">
        <f t="shared" si="41"/>
        <v>133.65</v>
      </c>
      <c r="Z70" s="15">
        <f t="shared" si="42"/>
        <v>210.51</v>
      </c>
      <c r="AA70" s="15">
        <f>IF(FreightType="Lethbridge-Stewart Freight ",ROUND(2.99+IF(N70&gt;0.75,(N70-0.75)*2.25,0)*S70,2),IF(MarkupType="Supplier Markup",V70+V70*SupplierMarkup,"Error at finding value"))</f>
        <v>7.21</v>
      </c>
      <c r="AB70" s="15">
        <f t="shared" si="43"/>
        <v>0</v>
      </c>
    </row>
    <row r="71" spans="1:28" x14ac:dyDescent="0.25">
      <c r="A71" s="16">
        <f>OrdersTable!A71</f>
        <v>843</v>
      </c>
      <c r="B71" s="15" t="str">
        <f t="shared" si="23"/>
        <v>Mr</v>
      </c>
      <c r="C71" s="15" t="str">
        <f t="shared" si="22"/>
        <v>Goodwin</v>
      </c>
      <c r="D71" s="15" t="str">
        <f t="shared" si="24"/>
        <v>Damon Joel</v>
      </c>
      <c r="E71" s="15" t="str">
        <f t="shared" si="25"/>
        <v>40 Powell Boulevard</v>
      </c>
      <c r="F71" s="15" t="str">
        <f t="shared" si="26"/>
        <v>Abington</v>
      </c>
      <c r="G71" s="15" t="str">
        <f t="shared" si="27"/>
        <v>QLD</v>
      </c>
      <c r="H71" s="15">
        <f t="shared" si="28"/>
        <v>4660</v>
      </c>
      <c r="I71" s="15">
        <f t="shared" si="39"/>
        <v>336</v>
      </c>
      <c r="J71" s="15">
        <f>OrdersTable!B71</f>
        <v>834</v>
      </c>
      <c r="K71" s="15" t="str">
        <f t="shared" si="29"/>
        <v>Statues and Busts</v>
      </c>
      <c r="L71" s="15" t="str">
        <f t="shared" si="30"/>
        <v>Doctor Who: Signature Edition Statue: Gallifrey Edition: Matt Smith</v>
      </c>
      <c r="M71" s="15" t="str">
        <f t="shared" si="31"/>
        <v>-</v>
      </c>
      <c r="N71" s="15">
        <f t="shared" si="32"/>
        <v>2.5</v>
      </c>
      <c r="O71" s="15" t="str">
        <f t="shared" si="33"/>
        <v>A30</v>
      </c>
      <c r="P71" s="15" t="str">
        <f t="shared" si="34"/>
        <v>Chesterton Enterprises</v>
      </c>
      <c r="Q71" s="15" t="str">
        <f t="shared" si="35"/>
        <v>41 William Russell Road</v>
      </c>
      <c r="R71" s="3">
        <f>OrdersTable!C71</f>
        <v>44566</v>
      </c>
      <c r="S71" s="15">
        <f>OrdersTable!E71</f>
        <v>3</v>
      </c>
      <c r="T71" s="15">
        <f t="shared" si="36"/>
        <v>49.99</v>
      </c>
      <c r="U71" s="15">
        <f t="shared" si="37"/>
        <v>68.52</v>
      </c>
      <c r="V71" s="15">
        <f t="shared" si="38"/>
        <v>80.98</v>
      </c>
      <c r="W71" s="15">
        <f>IF(MarkupType="Store Markup",ROUND(V71+V71*StoreMarkup,2),IF(MarkupType="Supplier Markup",V71+V71*SupplierMarkup,"Error at finding value"))</f>
        <v>127.54</v>
      </c>
      <c r="X71" s="32">
        <f t="shared" si="40"/>
        <v>9.09</v>
      </c>
      <c r="Y71" s="15">
        <f t="shared" si="41"/>
        <v>242.94</v>
      </c>
      <c r="Z71" s="15">
        <f t="shared" si="42"/>
        <v>355.35</v>
      </c>
      <c r="AA71" s="15">
        <f>IF(FreightType="Lethbridge-Stewart Freight ",ROUND(2.99+IF(N71&gt;0.75,(N71-0.75)*2.25,0)*S71,2),IF(MarkupType="Supplier Markup",V71+V71*SupplierMarkup,"Error at finding value"))</f>
        <v>14.8</v>
      </c>
      <c r="AB71" s="15">
        <f t="shared" si="43"/>
        <v>27.27</v>
      </c>
    </row>
    <row r="72" spans="1:28" x14ac:dyDescent="0.25">
      <c r="A72" s="16">
        <f>OrdersTable!A72</f>
        <v>81</v>
      </c>
      <c r="B72" s="15" t="str">
        <f t="shared" si="23"/>
        <v>Ms</v>
      </c>
      <c r="C72" s="15" t="str">
        <f t="shared" si="22"/>
        <v>Madsen</v>
      </c>
      <c r="D72" s="15" t="str">
        <f t="shared" si="24"/>
        <v>Kim Marie</v>
      </c>
      <c r="E72" s="15" t="str">
        <f t="shared" si="25"/>
        <v>42 Singh Drive</v>
      </c>
      <c r="F72" s="15" t="str">
        <f t="shared" si="26"/>
        <v>Caliph</v>
      </c>
      <c r="G72" s="15" t="str">
        <f t="shared" si="27"/>
        <v>SA</v>
      </c>
      <c r="H72" s="15">
        <f t="shared" si="28"/>
        <v>5310</v>
      </c>
      <c r="I72" s="15">
        <f t="shared" si="39"/>
        <v>1720</v>
      </c>
      <c r="J72" s="15">
        <f>OrdersTable!B72</f>
        <v>341</v>
      </c>
      <c r="K72" s="15" t="str">
        <f t="shared" si="29"/>
        <v>Clothing and Apparel</v>
      </c>
      <c r="L72" s="15" t="str">
        <f t="shared" si="30"/>
        <v xml:space="preserve">Doctor Who: T-Shirts: 4th Doctor Costume </v>
      </c>
      <c r="M72" s="15" t="str">
        <f t="shared" si="31"/>
        <v>XL</v>
      </c>
      <c r="N72" s="15">
        <f t="shared" si="32"/>
        <v>0.8</v>
      </c>
      <c r="O72" s="15" t="str">
        <f t="shared" si="33"/>
        <v>A20</v>
      </c>
      <c r="P72" s="15" t="str">
        <f t="shared" si="34"/>
        <v>Morbius Inc.</v>
      </c>
      <c r="Q72" s="15" t="str">
        <f t="shared" si="35"/>
        <v>56 Michael Spice Hwy</v>
      </c>
      <c r="R72" s="3">
        <f>OrdersTable!C72</f>
        <v>44567</v>
      </c>
      <c r="S72" s="15">
        <f>OrdersTable!E72</f>
        <v>1</v>
      </c>
      <c r="T72" s="15">
        <f t="shared" si="36"/>
        <v>15.99</v>
      </c>
      <c r="U72" s="15">
        <f t="shared" si="37"/>
        <v>22.05</v>
      </c>
      <c r="V72" s="15">
        <f t="shared" si="38"/>
        <v>25.9</v>
      </c>
      <c r="W72" s="15">
        <f>IF(MarkupType="Store Markup",ROUND(V72+V72*StoreMarkup,2),IF(MarkupType="Supplier Markup",V72+V72*SupplierMarkup,"Error at finding value"))</f>
        <v>40.79</v>
      </c>
      <c r="X72" s="32" t="str">
        <f t="shared" si="40"/>
        <v>0.00</v>
      </c>
      <c r="Y72" s="15">
        <f t="shared" si="41"/>
        <v>25.9</v>
      </c>
      <c r="Z72" s="15">
        <f t="shared" si="42"/>
        <v>40.79</v>
      </c>
      <c r="AA72" s="15">
        <f>IF(FreightType="Lethbridge-Stewart Freight ",ROUND(2.99+IF(N72&gt;0.75,(N72-0.75)*2.25,0)*S72,2),IF(MarkupType="Supplier Markup",V72+V72*SupplierMarkup,"Error at finding value"))</f>
        <v>3.1</v>
      </c>
      <c r="AB72" s="15">
        <f t="shared" si="43"/>
        <v>0</v>
      </c>
    </row>
    <row r="73" spans="1:28" x14ac:dyDescent="0.25">
      <c r="A73" s="16">
        <f>OrdersTable!A73</f>
        <v>81</v>
      </c>
      <c r="B73" s="15" t="str">
        <f t="shared" si="23"/>
        <v>Ms</v>
      </c>
      <c r="C73" s="15" t="str">
        <f t="shared" si="22"/>
        <v>Madsen</v>
      </c>
      <c r="D73" s="15" t="str">
        <f t="shared" si="24"/>
        <v>Kim Marie</v>
      </c>
      <c r="E73" s="15" t="str">
        <f t="shared" si="25"/>
        <v>42 Singh Drive</v>
      </c>
      <c r="F73" s="15" t="str">
        <f t="shared" si="26"/>
        <v>Caliph</v>
      </c>
      <c r="G73" s="15" t="str">
        <f t="shared" si="27"/>
        <v>SA</v>
      </c>
      <c r="H73" s="15">
        <f t="shared" si="28"/>
        <v>5310</v>
      </c>
      <c r="I73" s="15">
        <f t="shared" si="39"/>
        <v>1720</v>
      </c>
      <c r="J73" s="15">
        <f>OrdersTable!B73</f>
        <v>701</v>
      </c>
      <c r="K73" s="15" t="str">
        <f t="shared" si="29"/>
        <v>Posters, Prints and Standees</v>
      </c>
      <c r="L73" s="15" t="str">
        <f t="shared" si="30"/>
        <v>Doctor Who: Half Sized Standee: The TARDIS</v>
      </c>
      <c r="M73" s="15" t="str">
        <f t="shared" si="31"/>
        <v>-</v>
      </c>
      <c r="N73" s="15">
        <f t="shared" si="32"/>
        <v>0.5</v>
      </c>
      <c r="O73" s="15" t="str">
        <f t="shared" si="33"/>
        <v>A40</v>
      </c>
      <c r="P73" s="15" t="str">
        <f t="shared" si="34"/>
        <v>Romana Imports</v>
      </c>
      <c r="Q73" s="15" t="str">
        <f t="shared" si="35"/>
        <v>17 Lalla Ward Road</v>
      </c>
      <c r="R73" s="3">
        <f>OrdersTable!C73</f>
        <v>44567</v>
      </c>
      <c r="S73" s="15">
        <f>OrdersTable!E73</f>
        <v>6</v>
      </c>
      <c r="T73" s="15">
        <f t="shared" si="36"/>
        <v>9.99</v>
      </c>
      <c r="U73" s="15">
        <f t="shared" si="37"/>
        <v>13.83</v>
      </c>
      <c r="V73" s="15">
        <f t="shared" si="38"/>
        <v>16.18</v>
      </c>
      <c r="W73" s="15">
        <f>IF(MarkupType="Store Markup",ROUND(V73+V73*StoreMarkup,2),IF(MarkupType="Supplier Markup",V73+V73*SupplierMarkup,"Error at finding value"))</f>
        <v>25.48</v>
      </c>
      <c r="X73" s="32" t="str">
        <f t="shared" si="40"/>
        <v>0.00</v>
      </c>
      <c r="Y73" s="15">
        <f t="shared" si="41"/>
        <v>97.08</v>
      </c>
      <c r="Z73" s="15">
        <f t="shared" si="42"/>
        <v>152.88</v>
      </c>
      <c r="AA73" s="15">
        <f>IF(FreightType="Lethbridge-Stewart Freight ",ROUND(2.99+IF(N73&gt;0.75,(N73-0.75)*2.25,0)*S73,2),IF(MarkupType="Supplier Markup",V73+V73*SupplierMarkup,"Error at finding value"))</f>
        <v>2.99</v>
      </c>
      <c r="AB73" s="15">
        <f t="shared" si="43"/>
        <v>0</v>
      </c>
    </row>
    <row r="74" spans="1:28" x14ac:dyDescent="0.25">
      <c r="A74" s="16">
        <f>OrdersTable!A74</f>
        <v>150</v>
      </c>
      <c r="B74" s="15" t="str">
        <f t="shared" si="23"/>
        <v>Dr</v>
      </c>
      <c r="C74" s="15" t="str">
        <f t="shared" si="22"/>
        <v>Taumalolo</v>
      </c>
      <c r="D74" s="15" t="str">
        <f t="shared" si="24"/>
        <v>Latai Fono-Ki-Moana</v>
      </c>
      <c r="E74" s="15" t="str">
        <f t="shared" si="25"/>
        <v>13 Taylor Way</v>
      </c>
      <c r="F74" s="15" t="str">
        <f t="shared" si="26"/>
        <v>Bamboo</v>
      </c>
      <c r="G74" s="15" t="str">
        <f t="shared" si="27"/>
        <v>QLD</v>
      </c>
      <c r="H74" s="15">
        <f t="shared" si="28"/>
        <v>4873</v>
      </c>
      <c r="I74" s="15">
        <f t="shared" si="39"/>
        <v>1741</v>
      </c>
      <c r="J74" s="15">
        <f>OrdersTable!B74</f>
        <v>358</v>
      </c>
      <c r="K74" s="15" t="str">
        <f t="shared" si="29"/>
        <v>Clothing and Apparel</v>
      </c>
      <c r="L74" s="15" t="str">
        <f t="shared" si="30"/>
        <v xml:space="preserve">Doctor Who: T-Shirts: 5th Doctor Costume </v>
      </c>
      <c r="M74" s="15" t="str">
        <f t="shared" si="31"/>
        <v>M</v>
      </c>
      <c r="N74" s="15">
        <f t="shared" si="32"/>
        <v>0.8</v>
      </c>
      <c r="O74" s="15" t="str">
        <f t="shared" si="33"/>
        <v>A30</v>
      </c>
      <c r="P74" s="15" t="str">
        <f t="shared" si="34"/>
        <v>Chesterton Enterprises</v>
      </c>
      <c r="Q74" s="15" t="str">
        <f t="shared" si="35"/>
        <v>41 William Russell Road</v>
      </c>
      <c r="R74" s="3">
        <f>OrdersTable!C74</f>
        <v>44567</v>
      </c>
      <c r="S74" s="15">
        <f>OrdersTable!E74</f>
        <v>6</v>
      </c>
      <c r="T74" s="15">
        <f t="shared" si="36"/>
        <v>15.99</v>
      </c>
      <c r="U74" s="15">
        <f t="shared" si="37"/>
        <v>21.96</v>
      </c>
      <c r="V74" s="15">
        <f t="shared" si="38"/>
        <v>25.9</v>
      </c>
      <c r="W74" s="15">
        <f>IF(MarkupType="Store Markup",ROUND(V74+V74*StoreMarkup,2),IF(MarkupType="Supplier Markup",V74+V74*SupplierMarkup,"Error at finding value"))</f>
        <v>40.79</v>
      </c>
      <c r="X74" s="32" t="str">
        <f t="shared" si="40"/>
        <v>0.00</v>
      </c>
      <c r="Y74" s="15">
        <f t="shared" si="41"/>
        <v>155.4</v>
      </c>
      <c r="Z74" s="15">
        <f t="shared" si="42"/>
        <v>244.74</v>
      </c>
      <c r="AA74" s="15">
        <f>IF(FreightType="Lethbridge-Stewart Freight ",ROUND(2.99+IF(N74&gt;0.75,(N74-0.75)*2.25,0)*S74,2),IF(MarkupType="Supplier Markup",V74+V74*SupplierMarkup,"Error at finding value"))</f>
        <v>3.67</v>
      </c>
      <c r="AB74" s="15">
        <f t="shared" si="43"/>
        <v>0</v>
      </c>
    </row>
    <row r="75" spans="1:28" x14ac:dyDescent="0.25">
      <c r="A75" s="16">
        <f>OrdersTable!A75</f>
        <v>285</v>
      </c>
      <c r="B75" s="15" t="str">
        <f t="shared" si="23"/>
        <v>Mr</v>
      </c>
      <c r="C75" s="15" t="str">
        <f t="shared" ref="C75:C138" si="44">VLOOKUP($A75,Cust,3,0)</f>
        <v>Temple Morgan</v>
      </c>
      <c r="D75" s="15" t="str">
        <f t="shared" si="24"/>
        <v>Mathew Peter</v>
      </c>
      <c r="E75" s="15" t="str">
        <f t="shared" si="25"/>
        <v>19 Tansky Court</v>
      </c>
      <c r="F75" s="15" t="str">
        <f t="shared" si="26"/>
        <v>Belford</v>
      </c>
      <c r="G75" s="15" t="str">
        <f t="shared" si="27"/>
        <v>NSW</v>
      </c>
      <c r="H75" s="15">
        <f t="shared" si="28"/>
        <v>2335</v>
      </c>
      <c r="I75" s="15">
        <f t="shared" si="39"/>
        <v>716</v>
      </c>
      <c r="J75" s="15">
        <f>OrdersTable!B75</f>
        <v>817</v>
      </c>
      <c r="K75" s="15" t="str">
        <f t="shared" si="29"/>
        <v>Statues and Busts</v>
      </c>
      <c r="L75" s="15" t="str">
        <f t="shared" si="30"/>
        <v>Doctor Who: Masterpiece Collection Maxi Bust: Torchwood Captain Jack Harkness</v>
      </c>
      <c r="M75" s="15" t="str">
        <f t="shared" si="31"/>
        <v>-</v>
      </c>
      <c r="N75" s="15">
        <f t="shared" si="32"/>
        <v>2.5</v>
      </c>
      <c r="O75" s="15" t="str">
        <f t="shared" si="33"/>
        <v>A10</v>
      </c>
      <c r="P75" s="15" t="str">
        <f t="shared" si="34"/>
        <v>Gallifrey International</v>
      </c>
      <c r="Q75" s="15" t="str">
        <f t="shared" si="35"/>
        <v>181 Arcadia Street</v>
      </c>
      <c r="R75" s="3">
        <f>OrdersTable!C75</f>
        <v>44567</v>
      </c>
      <c r="S75" s="15">
        <f>OrdersTable!E75</f>
        <v>10</v>
      </c>
      <c r="T75" s="15">
        <f t="shared" si="36"/>
        <v>49.99</v>
      </c>
      <c r="U75" s="15">
        <f t="shared" si="37"/>
        <v>68.44</v>
      </c>
      <c r="V75" s="15">
        <f t="shared" si="38"/>
        <v>80.98</v>
      </c>
      <c r="W75" s="15">
        <f>IF(MarkupType="Store Markup",ROUND(V75+V75*StoreMarkup,2),IF(MarkupType="Supplier Markup",V75+V75*SupplierMarkup,"Error at finding value"))</f>
        <v>127.54</v>
      </c>
      <c r="X75" s="32">
        <f t="shared" si="40"/>
        <v>9.09</v>
      </c>
      <c r="Y75" s="15">
        <f t="shared" si="41"/>
        <v>809.8</v>
      </c>
      <c r="Z75" s="15">
        <f t="shared" si="42"/>
        <v>1184.5</v>
      </c>
      <c r="AA75" s="15">
        <f>IF(FreightType="Lethbridge-Stewart Freight ",ROUND(2.99+IF(N75&gt;0.75,(N75-0.75)*2.25,0)*S75,2),IF(MarkupType="Supplier Markup",V75+V75*SupplierMarkup,"Error at finding value"))</f>
        <v>42.37</v>
      </c>
      <c r="AB75" s="15">
        <f t="shared" si="43"/>
        <v>90.9</v>
      </c>
    </row>
    <row r="76" spans="1:28" x14ac:dyDescent="0.25">
      <c r="A76" s="16">
        <f>OrdersTable!A76</f>
        <v>331</v>
      </c>
      <c r="B76" s="15" t="str">
        <f t="shared" si="23"/>
        <v>Mrs</v>
      </c>
      <c r="C76" s="15" t="str">
        <f t="shared" si="44"/>
        <v>McKenzie</v>
      </c>
      <c r="D76" s="15" t="str">
        <f t="shared" si="24"/>
        <v>Melinda Kate</v>
      </c>
      <c r="E76" s="15" t="str">
        <f t="shared" si="25"/>
        <v>49 McKay Way</v>
      </c>
      <c r="F76" s="15" t="str">
        <f t="shared" si="26"/>
        <v>Black Hills</v>
      </c>
      <c r="G76" s="15" t="str">
        <f t="shared" si="27"/>
        <v>TAS</v>
      </c>
      <c r="H76" s="15">
        <f t="shared" si="28"/>
        <v>7140</v>
      </c>
      <c r="I76" s="15">
        <f t="shared" si="39"/>
        <v>2191</v>
      </c>
      <c r="J76" s="15">
        <f>OrdersTable!B76</f>
        <v>219</v>
      </c>
      <c r="K76" s="15" t="str">
        <f t="shared" si="29"/>
        <v>Clothing and Apparel</v>
      </c>
      <c r="L76" s="15" t="str">
        <f t="shared" si="30"/>
        <v>Doctor Who: Men's Winter Pyjamas</v>
      </c>
      <c r="M76" s="15" t="str">
        <f t="shared" si="31"/>
        <v>M</v>
      </c>
      <c r="N76" s="15">
        <f t="shared" si="32"/>
        <v>1.5</v>
      </c>
      <c r="O76" s="15" t="str">
        <f t="shared" si="33"/>
        <v>A40</v>
      </c>
      <c r="P76" s="15" t="str">
        <f t="shared" si="34"/>
        <v>Romana Imports</v>
      </c>
      <c r="Q76" s="15" t="str">
        <f t="shared" si="35"/>
        <v>17 Lalla Ward Road</v>
      </c>
      <c r="R76" s="3">
        <f>OrdersTable!C76</f>
        <v>44567</v>
      </c>
      <c r="S76" s="15">
        <f>OrdersTable!E76</f>
        <v>6</v>
      </c>
      <c r="T76" s="15">
        <f t="shared" si="36"/>
        <v>29.99</v>
      </c>
      <c r="U76" s="15">
        <f t="shared" si="37"/>
        <v>41.24</v>
      </c>
      <c r="V76" s="15">
        <f t="shared" si="38"/>
        <v>48.58</v>
      </c>
      <c r="W76" s="15">
        <f>IF(MarkupType="Store Markup",ROUND(V76+V76*StoreMarkup,2),IF(MarkupType="Supplier Markup",V76+V76*SupplierMarkup,"Error at finding value"))</f>
        <v>76.510000000000005</v>
      </c>
      <c r="X76" s="32" t="str">
        <f t="shared" si="40"/>
        <v>0.00</v>
      </c>
      <c r="Y76" s="15">
        <f t="shared" si="41"/>
        <v>291.48</v>
      </c>
      <c r="Z76" s="15">
        <f t="shared" si="42"/>
        <v>459.06</v>
      </c>
      <c r="AA76" s="15">
        <f>IF(FreightType="Lethbridge-Stewart Freight ",ROUND(2.99+IF(N76&gt;0.75,(N76-0.75)*2.25,0)*S76,2),IF(MarkupType="Supplier Markup",V76+V76*SupplierMarkup,"Error at finding value"))</f>
        <v>13.12</v>
      </c>
      <c r="AB76" s="15">
        <f t="shared" si="43"/>
        <v>0</v>
      </c>
    </row>
    <row r="77" spans="1:28" x14ac:dyDescent="0.25">
      <c r="A77" s="16">
        <f>OrdersTable!A77</f>
        <v>333</v>
      </c>
      <c r="B77" s="15" t="str">
        <f t="shared" si="23"/>
        <v>Mr</v>
      </c>
      <c r="C77" s="15" t="str">
        <f t="shared" si="44"/>
        <v>Martin</v>
      </c>
      <c r="D77" s="15" t="str">
        <f t="shared" si="24"/>
        <v>Damien Roger</v>
      </c>
      <c r="E77" s="15" t="str">
        <f t="shared" si="25"/>
        <v>23 Quennell Way</v>
      </c>
      <c r="F77" s="15" t="str">
        <f t="shared" si="26"/>
        <v>Aberfoyle</v>
      </c>
      <c r="G77" s="15" t="str">
        <f t="shared" si="27"/>
        <v>NSW</v>
      </c>
      <c r="H77" s="15">
        <f t="shared" si="28"/>
        <v>2350</v>
      </c>
      <c r="I77" s="15">
        <f t="shared" si="39"/>
        <v>363</v>
      </c>
      <c r="J77" s="15">
        <f>OrdersTable!B77</f>
        <v>782</v>
      </c>
      <c r="K77" s="15" t="str">
        <f t="shared" si="29"/>
        <v>Statues and Busts</v>
      </c>
      <c r="L77" s="15" t="str">
        <f t="shared" si="30"/>
        <v>Doctor Who: Masterpiece Collection Maxi Bust: 10th Doctor</v>
      </c>
      <c r="M77" s="15" t="str">
        <f t="shared" si="31"/>
        <v>-</v>
      </c>
      <c r="N77" s="15">
        <f t="shared" si="32"/>
        <v>2.5</v>
      </c>
      <c r="O77" s="15" t="str">
        <f t="shared" si="33"/>
        <v>A30</v>
      </c>
      <c r="P77" s="15" t="str">
        <f t="shared" si="34"/>
        <v>Chesterton Enterprises</v>
      </c>
      <c r="Q77" s="15" t="str">
        <f t="shared" si="35"/>
        <v>41 William Russell Road</v>
      </c>
      <c r="R77" s="3">
        <f>OrdersTable!C77</f>
        <v>44567</v>
      </c>
      <c r="S77" s="15">
        <f>OrdersTable!E77</f>
        <v>7</v>
      </c>
      <c r="T77" s="15">
        <f t="shared" si="36"/>
        <v>49.99</v>
      </c>
      <c r="U77" s="15">
        <f t="shared" si="37"/>
        <v>68.5</v>
      </c>
      <c r="V77" s="15">
        <f t="shared" si="38"/>
        <v>80.98</v>
      </c>
      <c r="W77" s="15">
        <f>IF(MarkupType="Store Markup",ROUND(V77+V77*StoreMarkup,2),IF(MarkupType="Supplier Markup",V77+V77*SupplierMarkup,"Error at finding value"))</f>
        <v>127.54</v>
      </c>
      <c r="X77" s="32">
        <f t="shared" si="40"/>
        <v>9.09</v>
      </c>
      <c r="Y77" s="15">
        <f t="shared" si="41"/>
        <v>566.86</v>
      </c>
      <c r="Z77" s="15">
        <f t="shared" si="42"/>
        <v>829.15</v>
      </c>
      <c r="AA77" s="15">
        <f>IF(FreightType="Lethbridge-Stewart Freight ",ROUND(2.99+IF(N77&gt;0.75,(N77-0.75)*2.25,0)*S77,2),IF(MarkupType="Supplier Markup",V77+V77*SupplierMarkup,"Error at finding value"))</f>
        <v>30.55</v>
      </c>
      <c r="AB77" s="15">
        <f t="shared" si="43"/>
        <v>63.63</v>
      </c>
    </row>
    <row r="78" spans="1:28" x14ac:dyDescent="0.25">
      <c r="A78" s="16">
        <f>OrdersTable!A78</f>
        <v>526</v>
      </c>
      <c r="B78" s="15" t="str">
        <f t="shared" si="23"/>
        <v>Mrs</v>
      </c>
      <c r="C78" s="15" t="str">
        <f t="shared" si="44"/>
        <v>Bradford</v>
      </c>
      <c r="D78" s="15" t="str">
        <f t="shared" si="24"/>
        <v>Haleigh Renae Ann</v>
      </c>
      <c r="E78" s="15" t="str">
        <f t="shared" si="25"/>
        <v>31 Johnston Road</v>
      </c>
      <c r="F78" s="15" t="str">
        <f t="shared" si="26"/>
        <v>Ashford</v>
      </c>
      <c r="G78" s="15" t="str">
        <f t="shared" si="27"/>
        <v>SA</v>
      </c>
      <c r="H78" s="15">
        <f t="shared" si="28"/>
        <v>5035</v>
      </c>
      <c r="I78" s="15">
        <f t="shared" si="39"/>
        <v>1877</v>
      </c>
      <c r="J78" s="15">
        <f>OrdersTable!B78</f>
        <v>757</v>
      </c>
      <c r="K78" s="15" t="str">
        <f t="shared" si="29"/>
        <v>Statues and Busts</v>
      </c>
      <c r="L78" s="15" t="str">
        <f t="shared" si="30"/>
        <v>Doctor Who: Helmet: Ice Warrior</v>
      </c>
      <c r="M78" s="15" t="str">
        <f t="shared" si="31"/>
        <v>-</v>
      </c>
      <c r="N78" s="15">
        <f t="shared" si="32"/>
        <v>1.75</v>
      </c>
      <c r="O78" s="15" t="str">
        <f t="shared" si="33"/>
        <v>A20</v>
      </c>
      <c r="P78" s="15" t="str">
        <f t="shared" si="34"/>
        <v>Morbius Inc.</v>
      </c>
      <c r="Q78" s="15" t="str">
        <f t="shared" si="35"/>
        <v>56 Michael Spice Hwy</v>
      </c>
      <c r="R78" s="3">
        <f>OrdersTable!C78</f>
        <v>44567</v>
      </c>
      <c r="S78" s="15">
        <f>OrdersTable!E78</f>
        <v>5</v>
      </c>
      <c r="T78" s="15">
        <f t="shared" si="36"/>
        <v>34.99</v>
      </c>
      <c r="U78" s="15">
        <f t="shared" si="37"/>
        <v>47.88</v>
      </c>
      <c r="V78" s="15">
        <f t="shared" si="38"/>
        <v>56.68</v>
      </c>
      <c r="W78" s="15">
        <f>IF(MarkupType="Store Markup",ROUND(V78+V78*StoreMarkup,2),IF(MarkupType="Supplier Markup",V78+V78*SupplierMarkup,"Error at finding value"))</f>
        <v>89.27</v>
      </c>
      <c r="X78" s="32" t="str">
        <f t="shared" si="40"/>
        <v>0.00</v>
      </c>
      <c r="Y78" s="15">
        <f t="shared" si="41"/>
        <v>283.39999999999998</v>
      </c>
      <c r="Z78" s="15">
        <f t="shared" si="42"/>
        <v>446.35</v>
      </c>
      <c r="AA78" s="15">
        <f>IF(FreightType="Lethbridge-Stewart Freight ",ROUND(2.99+IF(N78&gt;0.75,(N78-0.75)*2.25,0)*S78,2),IF(MarkupType="Supplier Markup",V78+V78*SupplierMarkup,"Error at finding value"))</f>
        <v>14.24</v>
      </c>
      <c r="AB78" s="15">
        <f t="shared" si="43"/>
        <v>0</v>
      </c>
    </row>
    <row r="79" spans="1:28" x14ac:dyDescent="0.25">
      <c r="A79" s="16">
        <f>OrdersTable!A79</f>
        <v>544</v>
      </c>
      <c r="B79" s="15" t="str">
        <f t="shared" si="23"/>
        <v>Mr</v>
      </c>
      <c r="C79" s="15" t="str">
        <f t="shared" si="44"/>
        <v>Sullivan</v>
      </c>
      <c r="D79" s="15" t="str">
        <f t="shared" si="24"/>
        <v>Lawrence Bernard</v>
      </c>
      <c r="E79" s="15" t="str">
        <f t="shared" si="25"/>
        <v>11 Haydon Boulevard</v>
      </c>
      <c r="F79" s="15" t="str">
        <f t="shared" si="26"/>
        <v>Breakwater</v>
      </c>
      <c r="G79" s="15" t="str">
        <f t="shared" si="27"/>
        <v>VIC</v>
      </c>
      <c r="H79" s="15">
        <f t="shared" si="28"/>
        <v>3219</v>
      </c>
      <c r="I79" s="15">
        <f t="shared" si="39"/>
        <v>1596</v>
      </c>
      <c r="J79" s="15">
        <f>OrdersTable!B79</f>
        <v>585</v>
      </c>
      <c r="K79" s="15" t="str">
        <f t="shared" si="29"/>
        <v>iPhone Skins</v>
      </c>
      <c r="L79" s="15" t="str">
        <f t="shared" si="30"/>
        <v>Doctor Who: iPhone Skin: Dalek To Victory</v>
      </c>
      <c r="M79" s="15" t="str">
        <f t="shared" si="31"/>
        <v>-</v>
      </c>
      <c r="N79" s="15">
        <f t="shared" si="32"/>
        <v>0.5</v>
      </c>
      <c r="O79" s="15" t="str">
        <f t="shared" si="33"/>
        <v>A10</v>
      </c>
      <c r="P79" s="15" t="str">
        <f t="shared" si="34"/>
        <v>Gallifrey International</v>
      </c>
      <c r="Q79" s="15" t="str">
        <f t="shared" si="35"/>
        <v>181 Arcadia Street</v>
      </c>
      <c r="R79" s="3">
        <f>OrdersTable!C79</f>
        <v>44567</v>
      </c>
      <c r="S79" s="15">
        <f>OrdersTable!E79</f>
        <v>5</v>
      </c>
      <c r="T79" s="15">
        <f t="shared" si="36"/>
        <v>9.99</v>
      </c>
      <c r="U79" s="15">
        <f t="shared" si="37"/>
        <v>13.7</v>
      </c>
      <c r="V79" s="15">
        <f t="shared" si="38"/>
        <v>16.18</v>
      </c>
      <c r="W79" s="15">
        <f>IF(MarkupType="Store Markup",ROUND(V79+V79*StoreMarkup,2),IF(MarkupType="Supplier Markup",V79+V79*SupplierMarkup,"Error at finding value"))</f>
        <v>25.48</v>
      </c>
      <c r="X79" s="32" t="str">
        <f t="shared" si="40"/>
        <v>0.00</v>
      </c>
      <c r="Y79" s="15">
        <f t="shared" si="41"/>
        <v>80.900000000000006</v>
      </c>
      <c r="Z79" s="15">
        <f t="shared" si="42"/>
        <v>127.4</v>
      </c>
      <c r="AA79" s="15">
        <f>IF(FreightType="Lethbridge-Stewart Freight ",ROUND(2.99+IF(N79&gt;0.75,(N79-0.75)*2.25,0)*S79,2),IF(MarkupType="Supplier Markup",V79+V79*SupplierMarkup,"Error at finding value"))</f>
        <v>2.99</v>
      </c>
      <c r="AB79" s="15">
        <f t="shared" si="43"/>
        <v>0</v>
      </c>
    </row>
    <row r="80" spans="1:28" x14ac:dyDescent="0.25">
      <c r="A80" s="16">
        <f>OrdersTable!A80</f>
        <v>561</v>
      </c>
      <c r="B80" s="15" t="str">
        <f t="shared" si="23"/>
        <v>Ms</v>
      </c>
      <c r="C80" s="15" t="str">
        <f t="shared" si="44"/>
        <v>Mulcahy</v>
      </c>
      <c r="D80" s="15" t="str">
        <f t="shared" si="24"/>
        <v>Jodie Leigh</v>
      </c>
      <c r="E80" s="15" t="str">
        <f t="shared" si="25"/>
        <v>32 Scott Crescent</v>
      </c>
      <c r="F80" s="15" t="str">
        <f t="shared" si="26"/>
        <v>Bray Park</v>
      </c>
      <c r="G80" s="15" t="str">
        <f t="shared" si="27"/>
        <v>QLD</v>
      </c>
      <c r="H80" s="15">
        <f t="shared" si="28"/>
        <v>4500</v>
      </c>
      <c r="I80" s="15">
        <f t="shared" si="39"/>
        <v>139</v>
      </c>
      <c r="J80" s="15">
        <f>OrdersTable!B80</f>
        <v>607</v>
      </c>
      <c r="K80" s="15" t="str">
        <f t="shared" si="29"/>
        <v>iPhone Skins</v>
      </c>
      <c r="L80" s="15" t="str">
        <f t="shared" si="30"/>
        <v>Doctor Who: iPhone Skin: Keep Calm I'm The Doctor</v>
      </c>
      <c r="M80" s="15" t="str">
        <f t="shared" si="31"/>
        <v>-</v>
      </c>
      <c r="N80" s="15">
        <f t="shared" si="32"/>
        <v>0.5</v>
      </c>
      <c r="O80" s="15" t="str">
        <f t="shared" si="33"/>
        <v>A40</v>
      </c>
      <c r="P80" s="15" t="str">
        <f t="shared" si="34"/>
        <v>Romana Imports</v>
      </c>
      <c r="Q80" s="15" t="str">
        <f t="shared" si="35"/>
        <v>17 Lalla Ward Road</v>
      </c>
      <c r="R80" s="3">
        <f>OrdersTable!C80</f>
        <v>44567</v>
      </c>
      <c r="S80" s="15">
        <f>OrdersTable!E80</f>
        <v>2</v>
      </c>
      <c r="T80" s="15">
        <f t="shared" si="36"/>
        <v>9.99</v>
      </c>
      <c r="U80" s="15">
        <f t="shared" si="37"/>
        <v>13.81</v>
      </c>
      <c r="V80" s="15">
        <f t="shared" si="38"/>
        <v>16.18</v>
      </c>
      <c r="W80" s="15">
        <f>IF(MarkupType="Store Markup",ROUND(V80+V80*StoreMarkup,2),IF(MarkupType="Supplier Markup",V80+V80*SupplierMarkup,"Error at finding value"))</f>
        <v>25.48</v>
      </c>
      <c r="X80" s="32" t="str">
        <f t="shared" si="40"/>
        <v>0.00</v>
      </c>
      <c r="Y80" s="15">
        <f t="shared" si="41"/>
        <v>32.36</v>
      </c>
      <c r="Z80" s="15">
        <f t="shared" si="42"/>
        <v>50.96</v>
      </c>
      <c r="AA80" s="15">
        <f>IF(FreightType="Lethbridge-Stewart Freight ",ROUND(2.99+IF(N80&gt;0.75,(N80-0.75)*2.25,0)*S80,2),IF(MarkupType="Supplier Markup",V80+V80*SupplierMarkup,"Error at finding value"))</f>
        <v>2.99</v>
      </c>
      <c r="AB80" s="15">
        <f t="shared" si="43"/>
        <v>0</v>
      </c>
    </row>
    <row r="81" spans="1:28" x14ac:dyDescent="0.25">
      <c r="A81" s="16">
        <f>OrdersTable!A81</f>
        <v>669</v>
      </c>
      <c r="B81" s="15" t="str">
        <f t="shared" si="23"/>
        <v>Dr</v>
      </c>
      <c r="C81" s="15" t="str">
        <f t="shared" si="44"/>
        <v>Ferjani</v>
      </c>
      <c r="D81" s="15" t="str">
        <f t="shared" si="24"/>
        <v>Rabah</v>
      </c>
      <c r="E81" s="15" t="str">
        <f t="shared" si="25"/>
        <v>2 Codrington Street</v>
      </c>
      <c r="F81" s="15" t="str">
        <f t="shared" si="26"/>
        <v>Belford</v>
      </c>
      <c r="G81" s="15" t="str">
        <f t="shared" si="27"/>
        <v>NSW</v>
      </c>
      <c r="H81" s="15">
        <f t="shared" si="28"/>
        <v>2335</v>
      </c>
      <c r="I81" s="15">
        <f t="shared" si="39"/>
        <v>716</v>
      </c>
      <c r="J81" s="15">
        <f>OrdersTable!B81</f>
        <v>710</v>
      </c>
      <c r="K81" s="15" t="str">
        <f t="shared" si="29"/>
        <v>Posters, Prints and Standees</v>
      </c>
      <c r="L81" s="15" t="str">
        <f t="shared" si="30"/>
        <v>Doctor Who: Poster: Regenerate</v>
      </c>
      <c r="M81" s="15" t="str">
        <f t="shared" si="31"/>
        <v>-</v>
      </c>
      <c r="N81" s="15">
        <f t="shared" si="32"/>
        <v>0.2</v>
      </c>
      <c r="O81" s="15" t="str">
        <f t="shared" si="33"/>
        <v>A40</v>
      </c>
      <c r="P81" s="15" t="str">
        <f t="shared" si="34"/>
        <v>Romana Imports</v>
      </c>
      <c r="Q81" s="15" t="str">
        <f t="shared" si="35"/>
        <v>17 Lalla Ward Road</v>
      </c>
      <c r="R81" s="3">
        <f>OrdersTable!C81</f>
        <v>44567</v>
      </c>
      <c r="S81" s="15">
        <f>OrdersTable!E81</f>
        <v>8</v>
      </c>
      <c r="T81" s="15">
        <f t="shared" si="36"/>
        <v>3.99</v>
      </c>
      <c r="U81" s="15">
        <f t="shared" si="37"/>
        <v>5.5</v>
      </c>
      <c r="V81" s="15">
        <f t="shared" si="38"/>
        <v>6.46</v>
      </c>
      <c r="W81" s="15">
        <f>IF(MarkupType="Store Markup",ROUND(V81+V81*StoreMarkup,2),IF(MarkupType="Supplier Markup",V81+V81*SupplierMarkup,"Error at finding value"))</f>
        <v>10.17</v>
      </c>
      <c r="X81" s="32" t="str">
        <f t="shared" si="40"/>
        <v>0.00</v>
      </c>
      <c r="Y81" s="15">
        <f t="shared" si="41"/>
        <v>51.68</v>
      </c>
      <c r="Z81" s="15">
        <f t="shared" si="42"/>
        <v>81.36</v>
      </c>
      <c r="AA81" s="15">
        <f>IF(FreightType="Lethbridge-Stewart Freight ",ROUND(2.99+IF(N81&gt;0.75,(N81-0.75)*2.25,0)*S81,2),IF(MarkupType="Supplier Markup",V81+V81*SupplierMarkup,"Error at finding value"))</f>
        <v>2.99</v>
      </c>
      <c r="AB81" s="15">
        <f t="shared" si="43"/>
        <v>0</v>
      </c>
    </row>
    <row r="82" spans="1:28" x14ac:dyDescent="0.25">
      <c r="A82" s="16">
        <f>OrdersTable!A82</f>
        <v>802</v>
      </c>
      <c r="B82" s="15" t="str">
        <f t="shared" si="23"/>
        <v>Mr</v>
      </c>
      <c r="C82" s="15" t="str">
        <f t="shared" si="44"/>
        <v>Carlton</v>
      </c>
      <c r="D82" s="15" t="str">
        <f t="shared" si="24"/>
        <v>Lawrence</v>
      </c>
      <c r="E82" s="15" t="str">
        <f t="shared" si="25"/>
        <v>39 Walsh Way</v>
      </c>
      <c r="F82" s="15" t="str">
        <f t="shared" si="26"/>
        <v>Breakwater</v>
      </c>
      <c r="G82" s="15" t="str">
        <f t="shared" si="27"/>
        <v>VIC</v>
      </c>
      <c r="H82" s="15">
        <f t="shared" si="28"/>
        <v>3219</v>
      </c>
      <c r="I82" s="15">
        <f t="shared" si="39"/>
        <v>1596</v>
      </c>
      <c r="J82" s="15">
        <f>OrdersTable!B82</f>
        <v>692</v>
      </c>
      <c r="K82" s="15" t="str">
        <f t="shared" si="29"/>
        <v>Posters, Prints and Standees</v>
      </c>
      <c r="L82" s="15" t="str">
        <f t="shared" si="30"/>
        <v>Doctor Who: 16'x12' Framed Print: Exploding TARDIS</v>
      </c>
      <c r="M82" s="15" t="str">
        <f t="shared" si="31"/>
        <v>-</v>
      </c>
      <c r="N82" s="15">
        <f t="shared" si="32"/>
        <v>0.75</v>
      </c>
      <c r="O82" s="15" t="str">
        <f t="shared" si="33"/>
        <v>A30</v>
      </c>
      <c r="P82" s="15" t="str">
        <f t="shared" si="34"/>
        <v>Chesterton Enterprises</v>
      </c>
      <c r="Q82" s="15" t="str">
        <f t="shared" si="35"/>
        <v>41 William Russell Road</v>
      </c>
      <c r="R82" s="3">
        <f>OrdersTable!C82</f>
        <v>44567</v>
      </c>
      <c r="S82" s="15">
        <f>OrdersTable!E82</f>
        <v>10</v>
      </c>
      <c r="T82" s="15">
        <f t="shared" si="36"/>
        <v>14.99</v>
      </c>
      <c r="U82" s="15">
        <f t="shared" si="37"/>
        <v>20.54</v>
      </c>
      <c r="V82" s="15">
        <f t="shared" si="38"/>
        <v>24.28</v>
      </c>
      <c r="W82" s="15">
        <f>IF(MarkupType="Store Markup",ROUND(V82+V82*StoreMarkup,2),IF(MarkupType="Supplier Markup",V82+V82*SupplierMarkup,"Error at finding value"))</f>
        <v>38.24</v>
      </c>
      <c r="X82" s="32" t="str">
        <f t="shared" si="40"/>
        <v>0.00</v>
      </c>
      <c r="Y82" s="15">
        <f t="shared" si="41"/>
        <v>242.8</v>
      </c>
      <c r="Z82" s="15">
        <f t="shared" si="42"/>
        <v>382.4</v>
      </c>
      <c r="AA82" s="15">
        <f>IF(FreightType="Lethbridge-Stewart Freight ",ROUND(2.99+IF(N82&gt;0.75,(N82-0.75)*2.25,0)*S82,2),IF(MarkupType="Supplier Markup",V82+V82*SupplierMarkup,"Error at finding value"))</f>
        <v>2.99</v>
      </c>
      <c r="AB82" s="15">
        <f t="shared" si="43"/>
        <v>0</v>
      </c>
    </row>
    <row r="83" spans="1:28" x14ac:dyDescent="0.25">
      <c r="A83" s="16">
        <f>OrdersTable!A83</f>
        <v>802</v>
      </c>
      <c r="B83" s="15" t="str">
        <f t="shared" si="23"/>
        <v>Mr</v>
      </c>
      <c r="C83" s="15" t="str">
        <f t="shared" si="44"/>
        <v>Carlton</v>
      </c>
      <c r="D83" s="15" t="str">
        <f t="shared" si="24"/>
        <v>Lawrence</v>
      </c>
      <c r="E83" s="15" t="str">
        <f t="shared" si="25"/>
        <v>39 Walsh Way</v>
      </c>
      <c r="F83" s="15" t="str">
        <f t="shared" si="26"/>
        <v>Breakwater</v>
      </c>
      <c r="G83" s="15" t="str">
        <f t="shared" si="27"/>
        <v>VIC</v>
      </c>
      <c r="H83" s="15">
        <f t="shared" si="28"/>
        <v>3219</v>
      </c>
      <c r="I83" s="15">
        <f t="shared" si="39"/>
        <v>1596</v>
      </c>
      <c r="J83" s="15">
        <f>OrdersTable!B83</f>
        <v>752</v>
      </c>
      <c r="K83" s="15" t="str">
        <f t="shared" si="29"/>
        <v>Statues and Busts</v>
      </c>
      <c r="L83" s="15" t="str">
        <f t="shared" si="30"/>
        <v>Doctor Who: Helmet: Cyberman Leader</v>
      </c>
      <c r="M83" s="15" t="str">
        <f t="shared" si="31"/>
        <v>-</v>
      </c>
      <c r="N83" s="15">
        <f t="shared" si="32"/>
        <v>2</v>
      </c>
      <c r="O83" s="15" t="str">
        <f t="shared" si="33"/>
        <v>A30</v>
      </c>
      <c r="P83" s="15" t="str">
        <f t="shared" si="34"/>
        <v>Chesterton Enterprises</v>
      </c>
      <c r="Q83" s="15" t="str">
        <f t="shared" si="35"/>
        <v>41 William Russell Road</v>
      </c>
      <c r="R83" s="3">
        <f>OrdersTable!C83</f>
        <v>44567</v>
      </c>
      <c r="S83" s="15">
        <f>OrdersTable!E83</f>
        <v>1</v>
      </c>
      <c r="T83" s="15">
        <f t="shared" si="36"/>
        <v>39.99</v>
      </c>
      <c r="U83" s="15">
        <f t="shared" si="37"/>
        <v>54.85</v>
      </c>
      <c r="V83" s="15">
        <f t="shared" si="38"/>
        <v>64.78</v>
      </c>
      <c r="W83" s="15">
        <f>IF(MarkupType="Store Markup",ROUND(V83+V83*StoreMarkup,2),IF(MarkupType="Supplier Markup",V83+V83*SupplierMarkup,"Error at finding value"))</f>
        <v>102.03</v>
      </c>
      <c r="X83" s="32" t="str">
        <f t="shared" si="40"/>
        <v>0.00</v>
      </c>
      <c r="Y83" s="15">
        <f t="shared" si="41"/>
        <v>64.78</v>
      </c>
      <c r="Z83" s="15">
        <f t="shared" si="42"/>
        <v>102.03</v>
      </c>
      <c r="AA83" s="15">
        <f>IF(FreightType="Lethbridge-Stewart Freight ",ROUND(2.99+IF(N83&gt;0.75,(N83-0.75)*2.25,0)*S83,2),IF(MarkupType="Supplier Markup",V83+V83*SupplierMarkup,"Error at finding value"))</f>
        <v>5.8</v>
      </c>
      <c r="AB83" s="15">
        <f t="shared" si="43"/>
        <v>0</v>
      </c>
    </row>
    <row r="84" spans="1:28" x14ac:dyDescent="0.25">
      <c r="A84" s="16">
        <f>OrdersTable!A84</f>
        <v>830</v>
      </c>
      <c r="B84" s="15" t="str">
        <f t="shared" si="23"/>
        <v>Miss</v>
      </c>
      <c r="C84" s="15" t="str">
        <f t="shared" si="44"/>
        <v>Blakeney</v>
      </c>
      <c r="D84" s="15" t="str">
        <f t="shared" si="24"/>
        <v>Hannah</v>
      </c>
      <c r="E84" s="15" t="str">
        <f t="shared" si="25"/>
        <v>31 Sproule Street</v>
      </c>
      <c r="F84" s="15" t="str">
        <f t="shared" si="26"/>
        <v>Belford</v>
      </c>
      <c r="G84" s="15" t="str">
        <f t="shared" si="27"/>
        <v>NSW</v>
      </c>
      <c r="H84" s="15">
        <f t="shared" si="28"/>
        <v>2335</v>
      </c>
      <c r="I84" s="15">
        <f t="shared" si="39"/>
        <v>716</v>
      </c>
      <c r="J84" s="15">
        <f>OrdersTable!B84</f>
        <v>710</v>
      </c>
      <c r="K84" s="15" t="str">
        <f t="shared" si="29"/>
        <v>Posters, Prints and Standees</v>
      </c>
      <c r="L84" s="15" t="str">
        <f t="shared" si="30"/>
        <v>Doctor Who: Poster: Regenerate</v>
      </c>
      <c r="M84" s="15" t="str">
        <f t="shared" si="31"/>
        <v>-</v>
      </c>
      <c r="N84" s="15">
        <f t="shared" si="32"/>
        <v>0.2</v>
      </c>
      <c r="O84" s="15" t="str">
        <f t="shared" si="33"/>
        <v>A40</v>
      </c>
      <c r="P84" s="15" t="str">
        <f t="shared" si="34"/>
        <v>Romana Imports</v>
      </c>
      <c r="Q84" s="15" t="str">
        <f t="shared" si="35"/>
        <v>17 Lalla Ward Road</v>
      </c>
      <c r="R84" s="3">
        <f>OrdersTable!C84</f>
        <v>44567</v>
      </c>
      <c r="S84" s="15">
        <f>OrdersTable!E84</f>
        <v>7</v>
      </c>
      <c r="T84" s="15">
        <f t="shared" si="36"/>
        <v>3.99</v>
      </c>
      <c r="U84" s="15">
        <f t="shared" si="37"/>
        <v>5.5</v>
      </c>
      <c r="V84" s="15">
        <f t="shared" si="38"/>
        <v>6.46</v>
      </c>
      <c r="W84" s="15">
        <f>IF(MarkupType="Store Markup",ROUND(V84+V84*StoreMarkup,2),IF(MarkupType="Supplier Markup",V84+V84*SupplierMarkup,"Error at finding value"))</f>
        <v>10.17</v>
      </c>
      <c r="X84" s="32" t="str">
        <f t="shared" si="40"/>
        <v>0.00</v>
      </c>
      <c r="Y84" s="15">
        <f t="shared" si="41"/>
        <v>45.22</v>
      </c>
      <c r="Z84" s="15">
        <f t="shared" si="42"/>
        <v>71.19</v>
      </c>
      <c r="AA84" s="15">
        <f>IF(FreightType="Lethbridge-Stewart Freight ",ROUND(2.99+IF(N84&gt;0.75,(N84-0.75)*2.25,0)*S84,2),IF(MarkupType="Supplier Markup",V84+V84*SupplierMarkup,"Error at finding value"))</f>
        <v>2.99</v>
      </c>
      <c r="AB84" s="15">
        <f t="shared" si="43"/>
        <v>0</v>
      </c>
    </row>
    <row r="85" spans="1:28" x14ac:dyDescent="0.25">
      <c r="A85" s="16">
        <f>OrdersTable!A85</f>
        <v>141</v>
      </c>
      <c r="B85" s="15" t="str">
        <f t="shared" si="23"/>
        <v>Mr</v>
      </c>
      <c r="C85" s="15" t="str">
        <f t="shared" si="44"/>
        <v>Bergmann</v>
      </c>
      <c r="D85" s="15" t="str">
        <f t="shared" si="24"/>
        <v>Beau Jay</v>
      </c>
      <c r="E85" s="15" t="str">
        <f t="shared" si="25"/>
        <v>47 McCullough Circuit</v>
      </c>
      <c r="F85" s="15" t="str">
        <f t="shared" si="26"/>
        <v>Breakwater</v>
      </c>
      <c r="G85" s="15" t="str">
        <f t="shared" si="27"/>
        <v>VIC</v>
      </c>
      <c r="H85" s="15">
        <f t="shared" si="28"/>
        <v>3219</v>
      </c>
      <c r="I85" s="15">
        <f t="shared" si="39"/>
        <v>1596</v>
      </c>
      <c r="J85" s="15">
        <f>OrdersTable!B85</f>
        <v>692</v>
      </c>
      <c r="K85" s="15" t="str">
        <f t="shared" si="29"/>
        <v>Posters, Prints and Standees</v>
      </c>
      <c r="L85" s="15" t="str">
        <f t="shared" si="30"/>
        <v>Doctor Who: 16'x12' Framed Print: Exploding TARDIS</v>
      </c>
      <c r="M85" s="15" t="str">
        <f t="shared" si="31"/>
        <v>-</v>
      </c>
      <c r="N85" s="15">
        <f t="shared" si="32"/>
        <v>0.75</v>
      </c>
      <c r="O85" s="15" t="str">
        <f t="shared" si="33"/>
        <v>A30</v>
      </c>
      <c r="P85" s="15" t="str">
        <f t="shared" si="34"/>
        <v>Chesterton Enterprises</v>
      </c>
      <c r="Q85" s="15" t="str">
        <f t="shared" si="35"/>
        <v>41 William Russell Road</v>
      </c>
      <c r="R85" s="3">
        <f>OrdersTable!C85</f>
        <v>44568</v>
      </c>
      <c r="S85" s="15">
        <f>OrdersTable!E85</f>
        <v>1</v>
      </c>
      <c r="T85" s="15">
        <f t="shared" si="36"/>
        <v>14.99</v>
      </c>
      <c r="U85" s="15">
        <f t="shared" si="37"/>
        <v>20.54</v>
      </c>
      <c r="V85" s="15">
        <f t="shared" si="38"/>
        <v>24.28</v>
      </c>
      <c r="W85" s="15">
        <f>IF(MarkupType="Store Markup",ROUND(V85+V85*StoreMarkup,2),IF(MarkupType="Supplier Markup",V85+V85*SupplierMarkup,"Error at finding value"))</f>
        <v>38.24</v>
      </c>
      <c r="X85" s="32" t="str">
        <f t="shared" si="40"/>
        <v>0.00</v>
      </c>
      <c r="Y85" s="15">
        <f t="shared" si="41"/>
        <v>24.28</v>
      </c>
      <c r="Z85" s="15">
        <f t="shared" si="42"/>
        <v>38.24</v>
      </c>
      <c r="AA85" s="15">
        <f>IF(FreightType="Lethbridge-Stewart Freight ",ROUND(2.99+IF(N85&gt;0.75,(N85-0.75)*2.25,0)*S85,2),IF(MarkupType="Supplier Markup",V85+V85*SupplierMarkup,"Error at finding value"))</f>
        <v>2.99</v>
      </c>
      <c r="AB85" s="15">
        <f t="shared" si="43"/>
        <v>0</v>
      </c>
    </row>
    <row r="86" spans="1:28" x14ac:dyDescent="0.25">
      <c r="A86" s="16">
        <f>OrdersTable!A86</f>
        <v>142</v>
      </c>
      <c r="B86" s="15" t="str">
        <f t="shared" si="23"/>
        <v>Miss</v>
      </c>
      <c r="C86" s="15" t="str">
        <f t="shared" si="44"/>
        <v>Western</v>
      </c>
      <c r="D86" s="15" t="str">
        <f t="shared" si="24"/>
        <v>Lee Reuben</v>
      </c>
      <c r="E86" s="15" t="str">
        <f t="shared" si="25"/>
        <v>14 Fields Road</v>
      </c>
      <c r="F86" s="15" t="str">
        <f t="shared" si="26"/>
        <v>Airly</v>
      </c>
      <c r="G86" s="15" t="str">
        <f t="shared" si="27"/>
        <v>VIC</v>
      </c>
      <c r="H86" s="15">
        <f t="shared" si="28"/>
        <v>3851</v>
      </c>
      <c r="I86" s="15">
        <f t="shared" si="39"/>
        <v>1583</v>
      </c>
      <c r="J86" s="15">
        <f>OrdersTable!B86</f>
        <v>464</v>
      </c>
      <c r="K86" s="15" t="str">
        <f t="shared" si="29"/>
        <v>Giftware</v>
      </c>
      <c r="L86" s="15" t="str">
        <f t="shared" si="30"/>
        <v>Doctor Who: Collectable License Plate: My Other Car Is A TARDIS</v>
      </c>
      <c r="M86" s="15" t="str">
        <f t="shared" si="31"/>
        <v>-</v>
      </c>
      <c r="N86" s="15">
        <f t="shared" si="32"/>
        <v>0.6</v>
      </c>
      <c r="O86" s="15" t="str">
        <f t="shared" si="33"/>
        <v>A50</v>
      </c>
      <c r="P86" s="15" t="str">
        <f t="shared" si="34"/>
        <v>Rassilon Ltd.</v>
      </c>
      <c r="Q86" s="15" t="str">
        <f t="shared" si="35"/>
        <v>82 Richard Mathews Road</v>
      </c>
      <c r="R86" s="3">
        <f>OrdersTable!C86</f>
        <v>44568</v>
      </c>
      <c r="S86" s="15">
        <f>OrdersTable!E86</f>
        <v>3</v>
      </c>
      <c r="T86" s="15">
        <f t="shared" si="36"/>
        <v>11.99</v>
      </c>
      <c r="U86" s="15">
        <f t="shared" si="37"/>
        <v>16.579999999999998</v>
      </c>
      <c r="V86" s="15">
        <f t="shared" si="38"/>
        <v>19.420000000000002</v>
      </c>
      <c r="W86" s="15">
        <f>IF(MarkupType="Store Markup",ROUND(V86+V86*StoreMarkup,2),IF(MarkupType="Supplier Markup",V86+V86*SupplierMarkup,"Error at finding value"))</f>
        <v>30.59</v>
      </c>
      <c r="X86" s="32" t="str">
        <f t="shared" si="40"/>
        <v>0.00</v>
      </c>
      <c r="Y86" s="15">
        <f t="shared" si="41"/>
        <v>58.26</v>
      </c>
      <c r="Z86" s="15">
        <f t="shared" si="42"/>
        <v>91.77</v>
      </c>
      <c r="AA86" s="15">
        <f>IF(FreightType="Lethbridge-Stewart Freight ",ROUND(2.99+IF(N86&gt;0.75,(N86-0.75)*2.25,0)*S86,2),IF(MarkupType="Supplier Markup",V86+V86*SupplierMarkup,"Error at finding value"))</f>
        <v>2.99</v>
      </c>
      <c r="AB86" s="15">
        <f t="shared" si="43"/>
        <v>0</v>
      </c>
    </row>
    <row r="87" spans="1:28" x14ac:dyDescent="0.25">
      <c r="A87" s="16">
        <f>OrdersTable!A87</f>
        <v>308</v>
      </c>
      <c r="B87" s="15" t="str">
        <f t="shared" si="23"/>
        <v>Dr</v>
      </c>
      <c r="C87" s="15" t="str">
        <f t="shared" si="44"/>
        <v>Azar</v>
      </c>
      <c r="D87" s="15" t="str">
        <f t="shared" si="24"/>
        <v>Mariam</v>
      </c>
      <c r="E87" s="15" t="str">
        <f t="shared" si="25"/>
        <v>26 Osmond Road</v>
      </c>
      <c r="F87" s="15" t="str">
        <f t="shared" si="26"/>
        <v>Boston</v>
      </c>
      <c r="G87" s="15" t="str">
        <f t="shared" si="27"/>
        <v>SA</v>
      </c>
      <c r="H87" s="15">
        <f t="shared" si="28"/>
        <v>5607</v>
      </c>
      <c r="I87" s="15">
        <f t="shared" si="39"/>
        <v>2076</v>
      </c>
      <c r="J87" s="15">
        <f>OrdersTable!B87</f>
        <v>219</v>
      </c>
      <c r="K87" s="15" t="str">
        <f t="shared" si="29"/>
        <v>Clothing and Apparel</v>
      </c>
      <c r="L87" s="15" t="str">
        <f t="shared" si="30"/>
        <v>Doctor Who: Men's Winter Pyjamas</v>
      </c>
      <c r="M87" s="15" t="str">
        <f t="shared" si="31"/>
        <v>M</v>
      </c>
      <c r="N87" s="15">
        <f t="shared" si="32"/>
        <v>1.5</v>
      </c>
      <c r="O87" s="15" t="str">
        <f t="shared" si="33"/>
        <v>A40</v>
      </c>
      <c r="P87" s="15" t="str">
        <f t="shared" si="34"/>
        <v>Romana Imports</v>
      </c>
      <c r="Q87" s="15" t="str">
        <f t="shared" si="35"/>
        <v>17 Lalla Ward Road</v>
      </c>
      <c r="R87" s="3">
        <f>OrdersTable!C87</f>
        <v>44568</v>
      </c>
      <c r="S87" s="15">
        <f>OrdersTable!E87</f>
        <v>10</v>
      </c>
      <c r="T87" s="15">
        <f t="shared" si="36"/>
        <v>29.99</v>
      </c>
      <c r="U87" s="15">
        <f t="shared" si="37"/>
        <v>41.24</v>
      </c>
      <c r="V87" s="15">
        <f t="shared" si="38"/>
        <v>48.58</v>
      </c>
      <c r="W87" s="15">
        <f>IF(MarkupType="Store Markup",ROUND(V87+V87*StoreMarkup,2),IF(MarkupType="Supplier Markup",V87+V87*SupplierMarkup,"Error at finding value"))</f>
        <v>76.510000000000005</v>
      </c>
      <c r="X87" s="32" t="str">
        <f t="shared" si="40"/>
        <v>0.00</v>
      </c>
      <c r="Y87" s="15">
        <f t="shared" si="41"/>
        <v>485.8</v>
      </c>
      <c r="Z87" s="15">
        <f t="shared" si="42"/>
        <v>765.1</v>
      </c>
      <c r="AA87" s="15">
        <f>IF(FreightType="Lethbridge-Stewart Freight ",ROUND(2.99+IF(N87&gt;0.75,(N87-0.75)*2.25,0)*S87,2),IF(MarkupType="Supplier Markup",V87+V87*SupplierMarkup,"Error at finding value"))</f>
        <v>19.87</v>
      </c>
      <c r="AB87" s="15">
        <f t="shared" si="43"/>
        <v>0</v>
      </c>
    </row>
    <row r="88" spans="1:28" x14ac:dyDescent="0.25">
      <c r="A88" s="16">
        <f>OrdersTable!A88</f>
        <v>332</v>
      </c>
      <c r="B88" s="15" t="str">
        <f t="shared" si="23"/>
        <v>Mr</v>
      </c>
      <c r="C88" s="15" t="str">
        <f t="shared" si="44"/>
        <v>Selman</v>
      </c>
      <c r="D88" s="15" t="str">
        <f t="shared" si="24"/>
        <v>Jack Ryan</v>
      </c>
      <c r="E88" s="15" t="str">
        <f t="shared" si="25"/>
        <v>17 Van Essen Street</v>
      </c>
      <c r="F88" s="15" t="str">
        <f t="shared" si="26"/>
        <v>Airly</v>
      </c>
      <c r="G88" s="15" t="str">
        <f t="shared" si="27"/>
        <v>VIC</v>
      </c>
      <c r="H88" s="15">
        <f t="shared" si="28"/>
        <v>3851</v>
      </c>
      <c r="I88" s="15">
        <f t="shared" si="39"/>
        <v>1583</v>
      </c>
      <c r="J88" s="15">
        <f>OrdersTable!B88</f>
        <v>826</v>
      </c>
      <c r="K88" s="15" t="str">
        <f t="shared" si="29"/>
        <v>Statues and Busts</v>
      </c>
      <c r="L88" s="15" t="str">
        <f t="shared" si="30"/>
        <v>Doctor Who: Mini Bust: Cyberman</v>
      </c>
      <c r="M88" s="15" t="str">
        <f t="shared" si="31"/>
        <v>-</v>
      </c>
      <c r="N88" s="15">
        <f t="shared" si="32"/>
        <v>1.8</v>
      </c>
      <c r="O88" s="15" t="str">
        <f t="shared" si="33"/>
        <v>A40</v>
      </c>
      <c r="P88" s="15" t="str">
        <f t="shared" si="34"/>
        <v>Romana Imports</v>
      </c>
      <c r="Q88" s="15" t="str">
        <f t="shared" si="35"/>
        <v>17 Lalla Ward Road</v>
      </c>
      <c r="R88" s="3">
        <f>OrdersTable!C88</f>
        <v>44568</v>
      </c>
      <c r="S88" s="15">
        <f>OrdersTable!E88</f>
        <v>7</v>
      </c>
      <c r="T88" s="15">
        <f t="shared" si="36"/>
        <v>35.99</v>
      </c>
      <c r="U88" s="15">
        <f t="shared" si="37"/>
        <v>49.13</v>
      </c>
      <c r="V88" s="15">
        <f t="shared" si="38"/>
        <v>58.3</v>
      </c>
      <c r="W88" s="15">
        <f>IF(MarkupType="Store Markup",ROUND(V88+V88*StoreMarkup,2),IF(MarkupType="Supplier Markup",V88+V88*SupplierMarkup,"Error at finding value"))</f>
        <v>91.82</v>
      </c>
      <c r="X88" s="32" t="str">
        <f t="shared" si="40"/>
        <v>0.00</v>
      </c>
      <c r="Y88" s="15">
        <f t="shared" si="41"/>
        <v>408.1</v>
      </c>
      <c r="Z88" s="15">
        <f t="shared" si="42"/>
        <v>642.74</v>
      </c>
      <c r="AA88" s="15">
        <f>IF(FreightType="Lethbridge-Stewart Freight ",ROUND(2.99+IF(N88&gt;0.75,(N88-0.75)*2.25,0)*S88,2),IF(MarkupType="Supplier Markup",V88+V88*SupplierMarkup,"Error at finding value"))</f>
        <v>19.53</v>
      </c>
      <c r="AB88" s="15">
        <f t="shared" si="43"/>
        <v>0</v>
      </c>
    </row>
    <row r="89" spans="1:28" x14ac:dyDescent="0.25">
      <c r="A89" s="16">
        <f>OrdersTable!A89</f>
        <v>364</v>
      </c>
      <c r="B89" s="15" t="str">
        <f t="shared" si="23"/>
        <v>Dr</v>
      </c>
      <c r="C89" s="15" t="str">
        <f t="shared" si="44"/>
        <v>Reibelt</v>
      </c>
      <c r="D89" s="15" t="str">
        <f t="shared" si="24"/>
        <v>Corey James</v>
      </c>
      <c r="E89" s="15" t="str">
        <f t="shared" si="25"/>
        <v>23 Burns Drive</v>
      </c>
      <c r="F89" s="15" t="str">
        <f t="shared" si="26"/>
        <v>Caliph</v>
      </c>
      <c r="G89" s="15" t="str">
        <f t="shared" si="27"/>
        <v>SA</v>
      </c>
      <c r="H89" s="15">
        <f t="shared" si="28"/>
        <v>5310</v>
      </c>
      <c r="I89" s="15">
        <f t="shared" si="39"/>
        <v>1720</v>
      </c>
      <c r="J89" s="15">
        <f>OrdersTable!B89</f>
        <v>668</v>
      </c>
      <c r="K89" s="15" t="str">
        <f t="shared" si="29"/>
        <v>Mugs</v>
      </c>
      <c r="L89" s="15" t="str">
        <f t="shared" si="30"/>
        <v>Doctor Who: Mug: Silver TARDIS</v>
      </c>
      <c r="M89" s="15" t="str">
        <f t="shared" si="31"/>
        <v>-</v>
      </c>
      <c r="N89" s="15">
        <f t="shared" si="32"/>
        <v>1.1499999999999999</v>
      </c>
      <c r="O89" s="15" t="str">
        <f t="shared" si="33"/>
        <v>A50</v>
      </c>
      <c r="P89" s="15" t="str">
        <f t="shared" si="34"/>
        <v>Rassilon Ltd.</v>
      </c>
      <c r="Q89" s="15" t="str">
        <f t="shared" si="35"/>
        <v>82 Richard Mathews Road</v>
      </c>
      <c r="R89" s="3">
        <f>OrdersTable!C89</f>
        <v>44568</v>
      </c>
      <c r="S89" s="15">
        <f>OrdersTable!E89</f>
        <v>5</v>
      </c>
      <c r="T89" s="15">
        <f t="shared" si="36"/>
        <v>22.99</v>
      </c>
      <c r="U89" s="15">
        <f t="shared" si="37"/>
        <v>31.53</v>
      </c>
      <c r="V89" s="15">
        <f t="shared" si="38"/>
        <v>37.24</v>
      </c>
      <c r="W89" s="15">
        <f>IF(MarkupType="Store Markup",ROUND(V89+V89*StoreMarkup,2),IF(MarkupType="Supplier Markup",V89+V89*SupplierMarkup,"Error at finding value"))</f>
        <v>58.65</v>
      </c>
      <c r="X89" s="32" t="str">
        <f t="shared" si="40"/>
        <v>0.00</v>
      </c>
      <c r="Y89" s="15">
        <f t="shared" si="41"/>
        <v>186.2</v>
      </c>
      <c r="Z89" s="15">
        <f t="shared" si="42"/>
        <v>293.25</v>
      </c>
      <c r="AA89" s="15">
        <f>IF(FreightType="Lethbridge-Stewart Freight ",ROUND(2.99+IF(N89&gt;0.75,(N89-0.75)*2.25,0)*S89,2),IF(MarkupType="Supplier Markup",V89+V89*SupplierMarkup,"Error at finding value"))</f>
        <v>7.49</v>
      </c>
      <c r="AB89" s="15">
        <f t="shared" si="43"/>
        <v>0</v>
      </c>
    </row>
    <row r="90" spans="1:28" x14ac:dyDescent="0.25">
      <c r="A90" s="16">
        <f>OrdersTable!A90</f>
        <v>448</v>
      </c>
      <c r="B90" s="15" t="str">
        <f t="shared" si="23"/>
        <v>Mr</v>
      </c>
      <c r="C90" s="15" t="str">
        <f t="shared" si="44"/>
        <v>Earl</v>
      </c>
      <c r="D90" s="15" t="str">
        <f t="shared" si="24"/>
        <v>Benn Robert</v>
      </c>
      <c r="E90" s="15" t="str">
        <f t="shared" si="25"/>
        <v>31 Kae Drive</v>
      </c>
      <c r="F90" s="15" t="str">
        <f t="shared" si="26"/>
        <v>Belford</v>
      </c>
      <c r="G90" s="15" t="str">
        <f t="shared" si="27"/>
        <v>NSW</v>
      </c>
      <c r="H90" s="15">
        <f t="shared" si="28"/>
        <v>2335</v>
      </c>
      <c r="I90" s="15">
        <f t="shared" si="39"/>
        <v>716</v>
      </c>
      <c r="J90" s="15">
        <f>OrdersTable!B90</f>
        <v>358</v>
      </c>
      <c r="K90" s="15" t="str">
        <f t="shared" si="29"/>
        <v>Clothing and Apparel</v>
      </c>
      <c r="L90" s="15" t="str">
        <f t="shared" si="30"/>
        <v xml:space="preserve">Doctor Who: T-Shirts: 5th Doctor Costume </v>
      </c>
      <c r="M90" s="15" t="str">
        <f t="shared" si="31"/>
        <v>M</v>
      </c>
      <c r="N90" s="15">
        <f t="shared" si="32"/>
        <v>0.8</v>
      </c>
      <c r="O90" s="15" t="str">
        <f t="shared" si="33"/>
        <v>A30</v>
      </c>
      <c r="P90" s="15" t="str">
        <f t="shared" si="34"/>
        <v>Chesterton Enterprises</v>
      </c>
      <c r="Q90" s="15" t="str">
        <f t="shared" si="35"/>
        <v>41 William Russell Road</v>
      </c>
      <c r="R90" s="3">
        <f>OrdersTable!C90</f>
        <v>44568</v>
      </c>
      <c r="S90" s="15">
        <f>OrdersTable!E90</f>
        <v>9</v>
      </c>
      <c r="T90" s="15">
        <f t="shared" si="36"/>
        <v>15.99</v>
      </c>
      <c r="U90" s="15">
        <f t="shared" si="37"/>
        <v>21.96</v>
      </c>
      <c r="V90" s="15">
        <f t="shared" si="38"/>
        <v>25.9</v>
      </c>
      <c r="W90" s="15">
        <f>IF(MarkupType="Store Markup",ROUND(V90+V90*StoreMarkup,2),IF(MarkupType="Supplier Markup",V90+V90*SupplierMarkup,"Error at finding value"))</f>
        <v>40.79</v>
      </c>
      <c r="X90" s="32" t="str">
        <f t="shared" si="40"/>
        <v>0.00</v>
      </c>
      <c r="Y90" s="15">
        <f t="shared" si="41"/>
        <v>233.1</v>
      </c>
      <c r="Z90" s="15">
        <f t="shared" si="42"/>
        <v>367.11</v>
      </c>
      <c r="AA90" s="15">
        <f>IF(FreightType="Lethbridge-Stewart Freight ",ROUND(2.99+IF(N90&gt;0.75,(N90-0.75)*2.25,0)*S90,2),IF(MarkupType="Supplier Markup",V90+V90*SupplierMarkup,"Error at finding value"))</f>
        <v>4</v>
      </c>
      <c r="AB90" s="15">
        <f t="shared" si="43"/>
        <v>0</v>
      </c>
    </row>
    <row r="91" spans="1:28" x14ac:dyDescent="0.25">
      <c r="A91" s="16">
        <f>OrdersTable!A91</f>
        <v>580</v>
      </c>
      <c r="B91" s="15" t="str">
        <f t="shared" si="23"/>
        <v>Mr</v>
      </c>
      <c r="C91" s="15" t="str">
        <f t="shared" si="44"/>
        <v>Faatoafe</v>
      </c>
      <c r="D91" s="15" t="str">
        <f t="shared" si="24"/>
        <v>Jasson Iosefa</v>
      </c>
      <c r="E91" s="15" t="str">
        <f t="shared" si="25"/>
        <v>29 Schaffer Boulevard</v>
      </c>
      <c r="F91" s="15" t="str">
        <f t="shared" si="26"/>
        <v>Binduli</v>
      </c>
      <c r="G91" s="15" t="str">
        <f t="shared" si="27"/>
        <v>WA</v>
      </c>
      <c r="H91" s="15">
        <f t="shared" si="28"/>
        <v>6430</v>
      </c>
      <c r="I91" s="15">
        <f t="shared" si="39"/>
        <v>3543</v>
      </c>
      <c r="J91" s="15">
        <f>OrdersTable!B91</f>
        <v>373</v>
      </c>
      <c r="K91" s="15" t="str">
        <f t="shared" si="29"/>
        <v>Clothing and Apparel</v>
      </c>
      <c r="L91" s="15" t="str">
        <f t="shared" si="30"/>
        <v xml:space="preserve">Doctor Who: T-Shirts: 5th Doctor Costume </v>
      </c>
      <c r="M91" s="15" t="str">
        <f t="shared" si="31"/>
        <v>L</v>
      </c>
      <c r="N91" s="15">
        <f t="shared" si="32"/>
        <v>0.8</v>
      </c>
      <c r="O91" s="15" t="str">
        <f t="shared" si="33"/>
        <v>A20</v>
      </c>
      <c r="P91" s="15" t="str">
        <f t="shared" si="34"/>
        <v>Morbius Inc.</v>
      </c>
      <c r="Q91" s="15" t="str">
        <f t="shared" si="35"/>
        <v>56 Michael Spice Hwy</v>
      </c>
      <c r="R91" s="3">
        <f>OrdersTable!C91</f>
        <v>44568</v>
      </c>
      <c r="S91" s="15">
        <f>OrdersTable!E91</f>
        <v>4</v>
      </c>
      <c r="T91" s="15">
        <f t="shared" si="36"/>
        <v>15.99</v>
      </c>
      <c r="U91" s="15">
        <f t="shared" si="37"/>
        <v>22.09</v>
      </c>
      <c r="V91" s="15">
        <f t="shared" si="38"/>
        <v>25.9</v>
      </c>
      <c r="W91" s="15">
        <f>IF(MarkupType="Store Markup",ROUND(V91+V91*StoreMarkup,2),IF(MarkupType="Supplier Markup",V91+V91*SupplierMarkup,"Error at finding value"))</f>
        <v>40.79</v>
      </c>
      <c r="X91" s="32" t="str">
        <f t="shared" si="40"/>
        <v>0.00</v>
      </c>
      <c r="Y91" s="15">
        <f t="shared" si="41"/>
        <v>103.6</v>
      </c>
      <c r="Z91" s="15">
        <f t="shared" si="42"/>
        <v>163.16</v>
      </c>
      <c r="AA91" s="15">
        <f>IF(FreightType="Lethbridge-Stewart Freight ",ROUND(2.99+IF(N91&gt;0.75,(N91-0.75)*2.25,0)*S91,2),IF(MarkupType="Supplier Markup",V91+V91*SupplierMarkup,"Error at finding value"))</f>
        <v>3.44</v>
      </c>
      <c r="AB91" s="15">
        <f t="shared" si="43"/>
        <v>0</v>
      </c>
    </row>
    <row r="92" spans="1:28" x14ac:dyDescent="0.25">
      <c r="A92" s="16">
        <f>OrdersTable!A92</f>
        <v>600</v>
      </c>
      <c r="B92" s="15" t="str">
        <f t="shared" si="23"/>
        <v>Dr</v>
      </c>
      <c r="C92" s="15" t="str">
        <f t="shared" si="44"/>
        <v>McConnell</v>
      </c>
      <c r="D92" s="15" t="str">
        <f t="shared" si="24"/>
        <v>Hannah Clair</v>
      </c>
      <c r="E92" s="15" t="str">
        <f t="shared" si="25"/>
        <v>27 Mccarthy Circuit</v>
      </c>
      <c r="F92" s="15" t="str">
        <f t="shared" si="26"/>
        <v>Ashford</v>
      </c>
      <c r="G92" s="15" t="str">
        <f t="shared" si="27"/>
        <v>SA</v>
      </c>
      <c r="H92" s="15">
        <f t="shared" si="28"/>
        <v>5035</v>
      </c>
      <c r="I92" s="15">
        <f t="shared" si="39"/>
        <v>1877</v>
      </c>
      <c r="J92" s="15">
        <f>OrdersTable!B92</f>
        <v>583</v>
      </c>
      <c r="K92" s="15" t="str">
        <f t="shared" si="29"/>
        <v>iPhone Skins</v>
      </c>
      <c r="L92" s="15" t="str">
        <f t="shared" si="30"/>
        <v>Doctor Who: iPhone Skin: Cyberman Delete</v>
      </c>
      <c r="M92" s="15" t="str">
        <f t="shared" si="31"/>
        <v>-</v>
      </c>
      <c r="N92" s="15">
        <f t="shared" si="32"/>
        <v>0.3</v>
      </c>
      <c r="O92" s="15" t="str">
        <f t="shared" si="33"/>
        <v>A50</v>
      </c>
      <c r="P92" s="15" t="str">
        <f t="shared" si="34"/>
        <v>Rassilon Ltd.</v>
      </c>
      <c r="Q92" s="15" t="str">
        <f t="shared" si="35"/>
        <v>82 Richard Mathews Road</v>
      </c>
      <c r="R92" s="3">
        <f>OrdersTable!C92</f>
        <v>44568</v>
      </c>
      <c r="S92" s="15">
        <f>OrdersTable!E92</f>
        <v>3</v>
      </c>
      <c r="T92" s="15">
        <f t="shared" si="36"/>
        <v>5.99</v>
      </c>
      <c r="U92" s="15">
        <f t="shared" si="37"/>
        <v>8.23</v>
      </c>
      <c r="V92" s="15">
        <f t="shared" si="38"/>
        <v>9.6999999999999993</v>
      </c>
      <c r="W92" s="15">
        <f>IF(MarkupType="Store Markup",ROUND(V92+V92*StoreMarkup,2),IF(MarkupType="Supplier Markup",V92+V92*SupplierMarkup,"Error at finding value"))</f>
        <v>15.28</v>
      </c>
      <c r="X92" s="32" t="str">
        <f t="shared" si="40"/>
        <v>0.00</v>
      </c>
      <c r="Y92" s="15">
        <f t="shared" si="41"/>
        <v>29.1</v>
      </c>
      <c r="Z92" s="15">
        <f t="shared" si="42"/>
        <v>45.84</v>
      </c>
      <c r="AA92" s="15">
        <f>IF(FreightType="Lethbridge-Stewart Freight ",ROUND(2.99+IF(N92&gt;0.75,(N92-0.75)*2.25,0)*S92,2),IF(MarkupType="Supplier Markup",V92+V92*SupplierMarkup,"Error at finding value"))</f>
        <v>2.99</v>
      </c>
      <c r="AB92" s="15">
        <f t="shared" si="43"/>
        <v>0</v>
      </c>
    </row>
    <row r="93" spans="1:28" x14ac:dyDescent="0.25">
      <c r="A93" s="16">
        <f>OrdersTable!A93</f>
        <v>600</v>
      </c>
      <c r="B93" s="15" t="str">
        <f t="shared" si="23"/>
        <v>Dr</v>
      </c>
      <c r="C93" s="15" t="str">
        <f t="shared" si="44"/>
        <v>McConnell</v>
      </c>
      <c r="D93" s="15" t="str">
        <f t="shared" si="24"/>
        <v>Hannah Clair</v>
      </c>
      <c r="E93" s="15" t="str">
        <f t="shared" si="25"/>
        <v>27 Mccarthy Circuit</v>
      </c>
      <c r="F93" s="15" t="str">
        <f t="shared" si="26"/>
        <v>Ashford</v>
      </c>
      <c r="G93" s="15" t="str">
        <f t="shared" si="27"/>
        <v>SA</v>
      </c>
      <c r="H93" s="15">
        <f t="shared" si="28"/>
        <v>5035</v>
      </c>
      <c r="I93" s="15">
        <f t="shared" si="39"/>
        <v>1877</v>
      </c>
      <c r="J93" s="15">
        <f>OrdersTable!B93</f>
        <v>726</v>
      </c>
      <c r="K93" s="15" t="str">
        <f t="shared" si="29"/>
        <v>Props and Replicas</v>
      </c>
      <c r="L93" s="15" t="str">
        <f t="shared" si="30"/>
        <v>Doctor Who: Dalek Death Ray</v>
      </c>
      <c r="M93" s="15" t="str">
        <f t="shared" si="31"/>
        <v>-</v>
      </c>
      <c r="N93" s="15">
        <f t="shared" si="32"/>
        <v>18</v>
      </c>
      <c r="O93" s="15" t="str">
        <f t="shared" si="33"/>
        <v>A30</v>
      </c>
      <c r="P93" s="15" t="str">
        <f t="shared" si="34"/>
        <v>Chesterton Enterprises</v>
      </c>
      <c r="Q93" s="15" t="str">
        <f t="shared" si="35"/>
        <v>41 William Russell Road</v>
      </c>
      <c r="R93" s="3">
        <f>OrdersTable!C93</f>
        <v>44568</v>
      </c>
      <c r="S93" s="15">
        <f>OrdersTable!E93</f>
        <v>5</v>
      </c>
      <c r="T93" s="15">
        <f t="shared" si="36"/>
        <v>359.99</v>
      </c>
      <c r="U93" s="15">
        <f t="shared" si="37"/>
        <v>491.12</v>
      </c>
      <c r="V93" s="15">
        <f t="shared" si="38"/>
        <v>583.17999999999995</v>
      </c>
      <c r="W93" s="15">
        <f>IF(MarkupType="Store Markup",ROUND(V93+V93*StoreMarkup,2),IF(MarkupType="Supplier Markup",V93+V93*SupplierMarkup,"Error at finding value"))</f>
        <v>918.51</v>
      </c>
      <c r="X93" s="32">
        <f t="shared" si="40"/>
        <v>65.44</v>
      </c>
      <c r="Y93" s="15">
        <f t="shared" si="41"/>
        <v>2915.9</v>
      </c>
      <c r="Z93" s="15">
        <f t="shared" si="42"/>
        <v>4265.3500000000004</v>
      </c>
      <c r="AA93" s="15">
        <f>IF(FreightType="Lethbridge-Stewart Freight ",ROUND(2.99+IF(N93&gt;0.75,(N93-0.75)*2.25,0)*S93,2),IF(MarkupType="Supplier Markup",V93+V93*SupplierMarkup,"Error at finding value"))</f>
        <v>197.05</v>
      </c>
      <c r="AB93" s="15">
        <f t="shared" si="43"/>
        <v>327.2</v>
      </c>
    </row>
    <row r="94" spans="1:28" x14ac:dyDescent="0.25">
      <c r="A94" s="16">
        <f>OrdersTable!A94</f>
        <v>657</v>
      </c>
      <c r="B94" s="15" t="str">
        <f t="shared" si="23"/>
        <v>Mr</v>
      </c>
      <c r="C94" s="15" t="str">
        <f t="shared" si="44"/>
        <v>Poljak</v>
      </c>
      <c r="D94" s="15" t="str">
        <f t="shared" si="24"/>
        <v>Anthony</v>
      </c>
      <c r="E94" s="15" t="str">
        <f t="shared" si="25"/>
        <v>45 Robertson Boulevard</v>
      </c>
      <c r="F94" s="15" t="str">
        <f t="shared" si="26"/>
        <v>Iluka</v>
      </c>
      <c r="G94" s="15" t="str">
        <f t="shared" si="27"/>
        <v>NSW</v>
      </c>
      <c r="H94" s="15">
        <f t="shared" si="28"/>
        <v>2466</v>
      </c>
      <c r="I94" s="15">
        <f t="shared" si="39"/>
        <v>347</v>
      </c>
      <c r="J94" s="15">
        <f>OrdersTable!B94</f>
        <v>643</v>
      </c>
      <c r="K94" s="15" t="str">
        <f t="shared" si="29"/>
        <v>Mugs</v>
      </c>
      <c r="L94" s="15" t="str">
        <f t="shared" si="30"/>
        <v>Doctor Who: Giant Mug: Logo</v>
      </c>
      <c r="M94" s="15" t="str">
        <f t="shared" si="31"/>
        <v>-</v>
      </c>
      <c r="N94" s="15">
        <f t="shared" si="32"/>
        <v>0.44500000000000001</v>
      </c>
      <c r="O94" s="15" t="str">
        <f t="shared" si="33"/>
        <v>A10</v>
      </c>
      <c r="P94" s="15" t="str">
        <f t="shared" si="34"/>
        <v>Gallifrey International</v>
      </c>
      <c r="Q94" s="15" t="str">
        <f t="shared" si="35"/>
        <v>181 Arcadia Street</v>
      </c>
      <c r="R94" s="3">
        <f>OrdersTable!C94</f>
        <v>44568</v>
      </c>
      <c r="S94" s="15">
        <f>OrdersTable!E94</f>
        <v>5</v>
      </c>
      <c r="T94" s="15">
        <f t="shared" si="36"/>
        <v>8.89</v>
      </c>
      <c r="U94" s="15">
        <f t="shared" si="37"/>
        <v>12.19</v>
      </c>
      <c r="V94" s="15">
        <f t="shared" si="38"/>
        <v>14.4</v>
      </c>
      <c r="W94" s="15">
        <f>IF(MarkupType="Store Markup",ROUND(V94+V94*StoreMarkup,2),IF(MarkupType="Supplier Markup",V94+V94*SupplierMarkup,"Error at finding value"))</f>
        <v>22.68</v>
      </c>
      <c r="X94" s="32" t="str">
        <f t="shared" si="40"/>
        <v>0.00</v>
      </c>
      <c r="Y94" s="15">
        <f t="shared" si="41"/>
        <v>72</v>
      </c>
      <c r="Z94" s="15">
        <f t="shared" si="42"/>
        <v>113.4</v>
      </c>
      <c r="AA94" s="15">
        <f>IF(FreightType="Lethbridge-Stewart Freight ",ROUND(2.99+IF(N94&gt;0.75,(N94-0.75)*2.25,0)*S94,2),IF(MarkupType="Supplier Markup",V94+V94*SupplierMarkup,"Error at finding value"))</f>
        <v>2.99</v>
      </c>
      <c r="AB94" s="15">
        <f t="shared" si="43"/>
        <v>0</v>
      </c>
    </row>
    <row r="95" spans="1:28" x14ac:dyDescent="0.25">
      <c r="A95" s="16">
        <f>OrdersTable!A95</f>
        <v>771</v>
      </c>
      <c r="B95" s="15" t="str">
        <f t="shared" si="23"/>
        <v>Dr</v>
      </c>
      <c r="C95" s="15" t="str">
        <f t="shared" si="44"/>
        <v>Virk</v>
      </c>
      <c r="D95" s="15" t="str">
        <f t="shared" si="24"/>
        <v>Balraj Singh</v>
      </c>
      <c r="E95" s="15" t="str">
        <f t="shared" si="25"/>
        <v>39 Napanje Drive</v>
      </c>
      <c r="F95" s="15" t="str">
        <f t="shared" si="26"/>
        <v>Abington</v>
      </c>
      <c r="G95" s="15" t="str">
        <f t="shared" si="27"/>
        <v>QLD</v>
      </c>
      <c r="H95" s="15">
        <f t="shared" si="28"/>
        <v>4660</v>
      </c>
      <c r="I95" s="15">
        <f t="shared" si="39"/>
        <v>336</v>
      </c>
      <c r="J95" s="15">
        <f>OrdersTable!B95</f>
        <v>681</v>
      </c>
      <c r="K95" s="15" t="str">
        <f t="shared" si="29"/>
        <v>Mugs</v>
      </c>
      <c r="L95" s="15" t="str">
        <f t="shared" si="30"/>
        <v>Doctor Who: Mug: The First Doctor</v>
      </c>
      <c r="M95" s="15" t="str">
        <f t="shared" si="31"/>
        <v>-</v>
      </c>
      <c r="N95" s="15">
        <f t="shared" si="32"/>
        <v>0.45</v>
      </c>
      <c r="O95" s="15" t="str">
        <f t="shared" si="33"/>
        <v>A20</v>
      </c>
      <c r="P95" s="15" t="str">
        <f t="shared" si="34"/>
        <v>Morbius Inc.</v>
      </c>
      <c r="Q95" s="15" t="str">
        <f t="shared" si="35"/>
        <v>56 Michael Spice Hwy</v>
      </c>
      <c r="R95" s="3">
        <f>OrdersTable!C95</f>
        <v>44568</v>
      </c>
      <c r="S95" s="15">
        <f>OrdersTable!E95</f>
        <v>6</v>
      </c>
      <c r="T95" s="15">
        <f t="shared" si="36"/>
        <v>8.99</v>
      </c>
      <c r="U95" s="15">
        <f t="shared" si="37"/>
        <v>12.51</v>
      </c>
      <c r="V95" s="15">
        <f t="shared" si="38"/>
        <v>14.56</v>
      </c>
      <c r="W95" s="15">
        <f>IF(MarkupType="Store Markup",ROUND(V95+V95*StoreMarkup,2),IF(MarkupType="Supplier Markup",V95+V95*SupplierMarkup,"Error at finding value"))</f>
        <v>22.93</v>
      </c>
      <c r="X95" s="32" t="str">
        <f t="shared" si="40"/>
        <v>0.00</v>
      </c>
      <c r="Y95" s="15">
        <f t="shared" si="41"/>
        <v>87.36</v>
      </c>
      <c r="Z95" s="15">
        <f t="shared" si="42"/>
        <v>137.58000000000001</v>
      </c>
      <c r="AA95" s="15">
        <f>IF(FreightType="Lethbridge-Stewart Freight ",ROUND(2.99+IF(N95&gt;0.75,(N95-0.75)*2.25,0)*S95,2),IF(MarkupType="Supplier Markup",V95+V95*SupplierMarkup,"Error at finding value"))</f>
        <v>2.99</v>
      </c>
      <c r="AB95" s="15">
        <f t="shared" si="43"/>
        <v>0</v>
      </c>
    </row>
    <row r="96" spans="1:28" x14ac:dyDescent="0.25">
      <c r="A96" s="16">
        <f>OrdersTable!A96</f>
        <v>827</v>
      </c>
      <c r="B96" s="15" t="str">
        <f t="shared" si="23"/>
        <v>Ms</v>
      </c>
      <c r="C96" s="15" t="str">
        <f t="shared" si="44"/>
        <v>Ottaway</v>
      </c>
      <c r="D96" s="15" t="str">
        <f t="shared" si="24"/>
        <v>Katherine</v>
      </c>
      <c r="E96" s="15" t="str">
        <f t="shared" si="25"/>
        <v>7 Morrison Street</v>
      </c>
      <c r="F96" s="15" t="str">
        <f t="shared" si="26"/>
        <v>Glenfern</v>
      </c>
      <c r="G96" s="15" t="str">
        <f t="shared" si="27"/>
        <v>QLD</v>
      </c>
      <c r="H96" s="15">
        <f t="shared" si="28"/>
        <v>4515</v>
      </c>
      <c r="I96" s="15">
        <f t="shared" si="39"/>
        <v>128</v>
      </c>
      <c r="J96" s="15">
        <f>OrdersTable!B96</f>
        <v>374</v>
      </c>
      <c r="K96" s="15" t="str">
        <f t="shared" si="29"/>
        <v>Clothing and Apparel</v>
      </c>
      <c r="L96" s="15" t="str">
        <f t="shared" si="30"/>
        <v xml:space="preserve">Doctor Who: T-Shirts: 5th Doctor Costume </v>
      </c>
      <c r="M96" s="15" t="str">
        <f t="shared" si="31"/>
        <v>XL</v>
      </c>
      <c r="N96" s="15">
        <f t="shared" si="32"/>
        <v>0.8</v>
      </c>
      <c r="O96" s="15" t="str">
        <f t="shared" si="33"/>
        <v>A50</v>
      </c>
      <c r="P96" s="15" t="str">
        <f t="shared" si="34"/>
        <v>Rassilon Ltd.</v>
      </c>
      <c r="Q96" s="15" t="str">
        <f t="shared" si="35"/>
        <v>82 Richard Mathews Road</v>
      </c>
      <c r="R96" s="3">
        <f>OrdersTable!C96</f>
        <v>44568</v>
      </c>
      <c r="S96" s="15">
        <f>OrdersTable!E96</f>
        <v>4</v>
      </c>
      <c r="T96" s="15">
        <f t="shared" si="36"/>
        <v>15.99</v>
      </c>
      <c r="U96" s="15">
        <f t="shared" si="37"/>
        <v>21.97</v>
      </c>
      <c r="V96" s="15">
        <f t="shared" si="38"/>
        <v>25.9</v>
      </c>
      <c r="W96" s="15">
        <f>IF(MarkupType="Store Markup",ROUND(V96+V96*StoreMarkup,2),IF(MarkupType="Supplier Markup",V96+V96*SupplierMarkup,"Error at finding value"))</f>
        <v>40.79</v>
      </c>
      <c r="X96" s="32" t="str">
        <f t="shared" si="40"/>
        <v>0.00</v>
      </c>
      <c r="Y96" s="15">
        <f t="shared" si="41"/>
        <v>103.6</v>
      </c>
      <c r="Z96" s="15">
        <f t="shared" si="42"/>
        <v>163.16</v>
      </c>
      <c r="AA96" s="15">
        <f>IF(FreightType="Lethbridge-Stewart Freight ",ROUND(2.99+IF(N96&gt;0.75,(N96-0.75)*2.25,0)*S96,2),IF(MarkupType="Supplier Markup",V96+V96*SupplierMarkup,"Error at finding value"))</f>
        <v>3.44</v>
      </c>
      <c r="AB96" s="15">
        <f t="shared" si="43"/>
        <v>0</v>
      </c>
    </row>
    <row r="97" spans="1:28" x14ac:dyDescent="0.25">
      <c r="A97" s="16">
        <f>OrdersTable!A97</f>
        <v>830</v>
      </c>
      <c r="B97" s="15" t="str">
        <f t="shared" si="23"/>
        <v>Miss</v>
      </c>
      <c r="C97" s="15" t="str">
        <f t="shared" si="44"/>
        <v>Blakeney</v>
      </c>
      <c r="D97" s="15" t="str">
        <f t="shared" si="24"/>
        <v>Hannah</v>
      </c>
      <c r="E97" s="15" t="str">
        <f t="shared" si="25"/>
        <v>31 Sproule Street</v>
      </c>
      <c r="F97" s="15" t="str">
        <f t="shared" si="26"/>
        <v>Belford</v>
      </c>
      <c r="G97" s="15" t="str">
        <f t="shared" si="27"/>
        <v>NSW</v>
      </c>
      <c r="H97" s="15">
        <f t="shared" si="28"/>
        <v>2335</v>
      </c>
      <c r="I97" s="15">
        <f t="shared" si="39"/>
        <v>716</v>
      </c>
      <c r="J97" s="15">
        <f>OrdersTable!B97</f>
        <v>810</v>
      </c>
      <c r="K97" s="15" t="str">
        <f t="shared" si="29"/>
        <v>Statues and Busts</v>
      </c>
      <c r="L97" s="15" t="str">
        <f t="shared" si="30"/>
        <v>Doctor Who: Masterpiece Collection Maxi Bust: Amy Pond</v>
      </c>
      <c r="M97" s="15" t="str">
        <f t="shared" si="31"/>
        <v>-</v>
      </c>
      <c r="N97" s="15">
        <f t="shared" si="32"/>
        <v>2.5</v>
      </c>
      <c r="O97" s="15" t="str">
        <f t="shared" si="33"/>
        <v>A50</v>
      </c>
      <c r="P97" s="15" t="str">
        <f t="shared" si="34"/>
        <v>Rassilon Ltd.</v>
      </c>
      <c r="Q97" s="15" t="str">
        <f t="shared" si="35"/>
        <v>82 Richard Mathews Road</v>
      </c>
      <c r="R97" s="3">
        <f>OrdersTable!C97</f>
        <v>44568</v>
      </c>
      <c r="S97" s="15">
        <f>OrdersTable!E97</f>
        <v>2</v>
      </c>
      <c r="T97" s="15">
        <f t="shared" si="36"/>
        <v>49.99</v>
      </c>
      <c r="U97" s="15">
        <f t="shared" si="37"/>
        <v>68.260000000000005</v>
      </c>
      <c r="V97" s="15">
        <f t="shared" si="38"/>
        <v>80.98</v>
      </c>
      <c r="W97" s="15">
        <f>IF(MarkupType="Store Markup",ROUND(V97+V97*StoreMarkup,2),IF(MarkupType="Supplier Markup",V97+V97*SupplierMarkup,"Error at finding value"))</f>
        <v>127.54</v>
      </c>
      <c r="X97" s="32" t="str">
        <f t="shared" si="40"/>
        <v>0.00</v>
      </c>
      <c r="Y97" s="15">
        <f t="shared" si="41"/>
        <v>161.96</v>
      </c>
      <c r="Z97" s="15">
        <f t="shared" si="42"/>
        <v>255.08</v>
      </c>
      <c r="AA97" s="15">
        <f>IF(FreightType="Lethbridge-Stewart Freight ",ROUND(2.99+IF(N97&gt;0.75,(N97-0.75)*2.25,0)*S97,2),IF(MarkupType="Supplier Markup",V97+V97*SupplierMarkup,"Error at finding value"))</f>
        <v>10.87</v>
      </c>
      <c r="AB97" s="15">
        <f t="shared" si="43"/>
        <v>0</v>
      </c>
    </row>
    <row r="98" spans="1:28" x14ac:dyDescent="0.25">
      <c r="A98" s="16">
        <f>OrdersTable!A98</f>
        <v>843</v>
      </c>
      <c r="B98" s="15" t="str">
        <f t="shared" si="23"/>
        <v>Mr</v>
      </c>
      <c r="C98" s="15" t="str">
        <f t="shared" si="44"/>
        <v>Goodwin</v>
      </c>
      <c r="D98" s="15" t="str">
        <f t="shared" si="24"/>
        <v>Damon Joel</v>
      </c>
      <c r="E98" s="15" t="str">
        <f t="shared" si="25"/>
        <v>40 Powell Boulevard</v>
      </c>
      <c r="F98" s="15" t="str">
        <f t="shared" si="26"/>
        <v>Abington</v>
      </c>
      <c r="G98" s="15" t="str">
        <f t="shared" si="27"/>
        <v>QLD</v>
      </c>
      <c r="H98" s="15">
        <f t="shared" si="28"/>
        <v>4660</v>
      </c>
      <c r="I98" s="15">
        <f t="shared" si="39"/>
        <v>336</v>
      </c>
      <c r="J98" s="15">
        <f>OrdersTable!B98</f>
        <v>515</v>
      </c>
      <c r="K98" s="15" t="str">
        <f t="shared" si="29"/>
        <v>Giftware</v>
      </c>
      <c r="L98" s="15" t="str">
        <f t="shared" si="30"/>
        <v>Doctor Who: Keyring K9</v>
      </c>
      <c r="M98" s="15" t="str">
        <f t="shared" si="31"/>
        <v>-</v>
      </c>
      <c r="N98" s="15">
        <f t="shared" si="32"/>
        <v>0.25</v>
      </c>
      <c r="O98" s="15" t="str">
        <f t="shared" si="33"/>
        <v>A50</v>
      </c>
      <c r="P98" s="15" t="str">
        <f t="shared" si="34"/>
        <v>Rassilon Ltd.</v>
      </c>
      <c r="Q98" s="15" t="str">
        <f t="shared" si="35"/>
        <v>82 Richard Mathews Road</v>
      </c>
      <c r="R98" s="3">
        <f>OrdersTable!C98</f>
        <v>44568</v>
      </c>
      <c r="S98" s="15">
        <f>OrdersTable!E98</f>
        <v>3</v>
      </c>
      <c r="T98" s="15">
        <f t="shared" si="36"/>
        <v>4.99</v>
      </c>
      <c r="U98" s="15">
        <f t="shared" si="37"/>
        <v>6.91</v>
      </c>
      <c r="V98" s="15">
        <f t="shared" si="38"/>
        <v>8.08</v>
      </c>
      <c r="W98" s="15">
        <f>IF(MarkupType="Store Markup",ROUND(V98+V98*StoreMarkup,2),IF(MarkupType="Supplier Markup",V98+V98*SupplierMarkup,"Error at finding value"))</f>
        <v>12.73</v>
      </c>
      <c r="X98" s="32" t="str">
        <f t="shared" si="40"/>
        <v>0.00</v>
      </c>
      <c r="Y98" s="15">
        <f t="shared" si="41"/>
        <v>24.24</v>
      </c>
      <c r="Z98" s="15">
        <f t="shared" si="42"/>
        <v>38.19</v>
      </c>
      <c r="AA98" s="15">
        <f>IF(FreightType="Lethbridge-Stewart Freight ",ROUND(2.99+IF(N98&gt;0.75,(N98-0.75)*2.25,0)*S98,2),IF(MarkupType="Supplier Markup",V98+V98*SupplierMarkup,"Error at finding value"))</f>
        <v>2.99</v>
      </c>
      <c r="AB98" s="15">
        <f t="shared" si="43"/>
        <v>0</v>
      </c>
    </row>
    <row r="99" spans="1:28" x14ac:dyDescent="0.25">
      <c r="A99" s="16">
        <f>OrdersTable!A99</f>
        <v>983</v>
      </c>
      <c r="B99" s="15" t="str">
        <f t="shared" si="23"/>
        <v>Mrs</v>
      </c>
      <c r="C99" s="15" t="str">
        <f t="shared" si="44"/>
        <v>Bennett</v>
      </c>
      <c r="D99" s="15" t="str">
        <f t="shared" si="24"/>
        <v>Mikayla Elizabeth</v>
      </c>
      <c r="E99" s="15" t="str">
        <f t="shared" si="25"/>
        <v>35 Khanal Crescent</v>
      </c>
      <c r="F99" s="15" t="str">
        <f t="shared" si="26"/>
        <v>Bamboo</v>
      </c>
      <c r="G99" s="15" t="str">
        <f t="shared" si="27"/>
        <v>QLD</v>
      </c>
      <c r="H99" s="15">
        <f t="shared" si="28"/>
        <v>4873</v>
      </c>
      <c r="I99" s="15">
        <f t="shared" si="39"/>
        <v>1741</v>
      </c>
      <c r="J99" s="15">
        <f>OrdersTable!B99</f>
        <v>145</v>
      </c>
      <c r="K99" s="15" t="str">
        <f t="shared" si="29"/>
        <v>Bobbleheads</v>
      </c>
      <c r="L99" s="15" t="str">
        <f t="shared" si="30"/>
        <v>Doctor Who: Bobblehead: Eleventh Doctor</v>
      </c>
      <c r="M99" s="15" t="str">
        <f t="shared" si="31"/>
        <v>-</v>
      </c>
      <c r="N99" s="15">
        <f t="shared" si="32"/>
        <v>1</v>
      </c>
      <c r="O99" s="15" t="str">
        <f t="shared" si="33"/>
        <v>A30</v>
      </c>
      <c r="P99" s="15" t="str">
        <f t="shared" si="34"/>
        <v>Chesterton Enterprises</v>
      </c>
      <c r="Q99" s="15" t="str">
        <f t="shared" si="35"/>
        <v>41 William Russell Road</v>
      </c>
      <c r="R99" s="3">
        <f>OrdersTable!C99</f>
        <v>44568</v>
      </c>
      <c r="S99" s="15">
        <f>OrdersTable!E99</f>
        <v>10</v>
      </c>
      <c r="T99" s="15">
        <f t="shared" si="36"/>
        <v>19.989999999999998</v>
      </c>
      <c r="U99" s="15">
        <f t="shared" si="37"/>
        <v>27.54</v>
      </c>
      <c r="V99" s="15">
        <f t="shared" si="38"/>
        <v>32.380000000000003</v>
      </c>
      <c r="W99" s="15">
        <f>IF(MarkupType="Store Markup",ROUND(V99+V99*StoreMarkup,2),IF(MarkupType="Supplier Markup",V99+V99*SupplierMarkup,"Error at finding value"))</f>
        <v>51</v>
      </c>
      <c r="X99" s="32" t="str">
        <f t="shared" si="40"/>
        <v>0.00</v>
      </c>
      <c r="Y99" s="15">
        <f t="shared" si="41"/>
        <v>323.8</v>
      </c>
      <c r="Z99" s="15">
        <f t="shared" si="42"/>
        <v>510</v>
      </c>
      <c r="AA99" s="15">
        <f>IF(FreightType="Lethbridge-Stewart Freight ",ROUND(2.99+IF(N99&gt;0.75,(N99-0.75)*2.25,0)*S99,2),IF(MarkupType="Supplier Markup",V99+V99*SupplierMarkup,"Error at finding value"))</f>
        <v>8.6199999999999992</v>
      </c>
      <c r="AB99" s="15">
        <f t="shared" si="43"/>
        <v>0</v>
      </c>
    </row>
    <row r="100" spans="1:28" x14ac:dyDescent="0.25">
      <c r="A100" s="16">
        <f>OrdersTable!A100</f>
        <v>47</v>
      </c>
      <c r="B100" s="15" t="str">
        <f t="shared" si="23"/>
        <v>Dr</v>
      </c>
      <c r="C100" s="15" t="str">
        <f t="shared" si="44"/>
        <v>Kaur</v>
      </c>
      <c r="D100" s="15" t="str">
        <f t="shared" si="24"/>
        <v>Jasleen</v>
      </c>
      <c r="E100" s="15" t="str">
        <f t="shared" si="25"/>
        <v>7 Hong Road</v>
      </c>
      <c r="F100" s="15" t="str">
        <f t="shared" si="26"/>
        <v>Belconnen</v>
      </c>
      <c r="G100" s="15" t="str">
        <f t="shared" si="27"/>
        <v>ACT</v>
      </c>
      <c r="H100" s="15">
        <f t="shared" si="28"/>
        <v>2617</v>
      </c>
      <c r="I100" s="15">
        <f t="shared" si="39"/>
        <v>1194</v>
      </c>
      <c r="J100" s="15">
        <f>OrdersTable!B100</f>
        <v>453</v>
      </c>
      <c r="K100" s="15" t="str">
        <f t="shared" si="29"/>
        <v>Giftware</v>
      </c>
      <c r="L100" s="15" t="str">
        <f t="shared" si="30"/>
        <v>Doctor Who: Ceramic Cookie Jar: TARDIS</v>
      </c>
      <c r="M100" s="15" t="str">
        <f t="shared" si="31"/>
        <v>-</v>
      </c>
      <c r="N100" s="15">
        <f t="shared" si="32"/>
        <v>1.35</v>
      </c>
      <c r="O100" s="15" t="str">
        <f t="shared" si="33"/>
        <v>A40</v>
      </c>
      <c r="P100" s="15" t="str">
        <f t="shared" si="34"/>
        <v>Romana Imports</v>
      </c>
      <c r="Q100" s="15" t="str">
        <f t="shared" si="35"/>
        <v>17 Lalla Ward Road</v>
      </c>
      <c r="R100" s="3">
        <f>OrdersTable!C100</f>
        <v>44569</v>
      </c>
      <c r="S100" s="15">
        <f>OrdersTable!E100</f>
        <v>10</v>
      </c>
      <c r="T100" s="15">
        <f t="shared" si="36"/>
        <v>26.99</v>
      </c>
      <c r="U100" s="15">
        <f t="shared" si="37"/>
        <v>37.119999999999997</v>
      </c>
      <c r="V100" s="15">
        <f t="shared" si="38"/>
        <v>43.72</v>
      </c>
      <c r="W100" s="15">
        <f>IF(MarkupType="Store Markup",ROUND(V100+V100*StoreMarkup,2),IF(MarkupType="Supplier Markup",V100+V100*SupplierMarkup,"Error at finding value"))</f>
        <v>68.86</v>
      </c>
      <c r="X100" s="32" t="str">
        <f t="shared" si="40"/>
        <v>0.00</v>
      </c>
      <c r="Y100" s="15">
        <f t="shared" si="41"/>
        <v>437.2</v>
      </c>
      <c r="Z100" s="15">
        <f t="shared" si="42"/>
        <v>688.6</v>
      </c>
      <c r="AA100" s="15">
        <f>IF(FreightType="Lethbridge-Stewart Freight ",ROUND(2.99+IF(N100&gt;0.75,(N100-0.75)*2.25,0)*S100,2),IF(MarkupType="Supplier Markup",V100+V100*SupplierMarkup,"Error at finding value"))</f>
        <v>16.489999999999998</v>
      </c>
      <c r="AB100" s="15">
        <f t="shared" si="43"/>
        <v>0</v>
      </c>
    </row>
    <row r="101" spans="1:28" x14ac:dyDescent="0.25">
      <c r="A101" s="16">
        <f>OrdersTable!A101</f>
        <v>66</v>
      </c>
      <c r="B101" s="15" t="str">
        <f t="shared" si="23"/>
        <v>Mr</v>
      </c>
      <c r="C101" s="15" t="str">
        <f t="shared" si="44"/>
        <v>Bachmann</v>
      </c>
      <c r="D101" s="15" t="str">
        <f t="shared" si="24"/>
        <v>Aaron</v>
      </c>
      <c r="E101" s="15" t="str">
        <f t="shared" si="25"/>
        <v>3 Csabai Avenue</v>
      </c>
      <c r="F101" s="15" t="str">
        <f t="shared" si="26"/>
        <v>Bridgewater</v>
      </c>
      <c r="G101" s="15" t="str">
        <f t="shared" si="27"/>
        <v>VIC</v>
      </c>
      <c r="H101" s="15">
        <f t="shared" si="28"/>
        <v>3516</v>
      </c>
      <c r="I101" s="15">
        <f t="shared" si="39"/>
        <v>1486</v>
      </c>
      <c r="J101" s="15">
        <f>OrdersTable!B101</f>
        <v>331</v>
      </c>
      <c r="K101" s="15" t="str">
        <f t="shared" si="29"/>
        <v>Clothing and Apparel</v>
      </c>
      <c r="L101" s="15" t="str">
        <f t="shared" si="30"/>
        <v xml:space="preserve">Doctor Who: T-Shirts: 4th Doctor Costume </v>
      </c>
      <c r="M101" s="15" t="str">
        <f t="shared" si="31"/>
        <v>L</v>
      </c>
      <c r="N101" s="15">
        <f t="shared" si="32"/>
        <v>0.8</v>
      </c>
      <c r="O101" s="15" t="str">
        <f t="shared" si="33"/>
        <v>A20</v>
      </c>
      <c r="P101" s="15" t="str">
        <f t="shared" si="34"/>
        <v>Morbius Inc.</v>
      </c>
      <c r="Q101" s="15" t="str">
        <f t="shared" si="35"/>
        <v>56 Michael Spice Hwy</v>
      </c>
      <c r="R101" s="3">
        <f>OrdersTable!C101</f>
        <v>44569</v>
      </c>
      <c r="S101" s="15">
        <f>OrdersTable!E101</f>
        <v>2</v>
      </c>
      <c r="T101" s="15">
        <f t="shared" si="36"/>
        <v>15.99</v>
      </c>
      <c r="U101" s="15">
        <f t="shared" si="37"/>
        <v>22.08</v>
      </c>
      <c r="V101" s="15">
        <f t="shared" si="38"/>
        <v>25.9</v>
      </c>
      <c r="W101" s="15">
        <f>IF(MarkupType="Store Markup",ROUND(V101+V101*StoreMarkup,2),IF(MarkupType="Supplier Markup",V101+V101*SupplierMarkup,"Error at finding value"))</f>
        <v>40.79</v>
      </c>
      <c r="X101" s="32" t="str">
        <f t="shared" si="40"/>
        <v>0.00</v>
      </c>
      <c r="Y101" s="15">
        <f t="shared" si="41"/>
        <v>51.8</v>
      </c>
      <c r="Z101" s="15">
        <f t="shared" si="42"/>
        <v>81.58</v>
      </c>
      <c r="AA101" s="15">
        <f>IF(FreightType="Lethbridge-Stewart Freight ",ROUND(2.99+IF(N101&gt;0.75,(N101-0.75)*2.25,0)*S101,2),IF(MarkupType="Supplier Markup",V101+V101*SupplierMarkup,"Error at finding value"))</f>
        <v>3.22</v>
      </c>
      <c r="AB101" s="15">
        <f t="shared" si="43"/>
        <v>0</v>
      </c>
    </row>
    <row r="102" spans="1:28" x14ac:dyDescent="0.25">
      <c r="A102" s="16">
        <f>OrdersTable!A102</f>
        <v>190</v>
      </c>
      <c r="B102" s="15" t="str">
        <f t="shared" si="23"/>
        <v>Mr</v>
      </c>
      <c r="C102" s="15" t="str">
        <f t="shared" si="44"/>
        <v>Azar</v>
      </c>
      <c r="D102" s="15" t="str">
        <f t="shared" si="24"/>
        <v>Hector Antonio</v>
      </c>
      <c r="E102" s="15" t="str">
        <f t="shared" si="25"/>
        <v>38 Hope Avenue</v>
      </c>
      <c r="F102" s="15" t="str">
        <f t="shared" si="26"/>
        <v>Glenfern</v>
      </c>
      <c r="G102" s="15" t="str">
        <f t="shared" si="27"/>
        <v>QLD</v>
      </c>
      <c r="H102" s="15">
        <f t="shared" si="28"/>
        <v>4515</v>
      </c>
      <c r="I102" s="15">
        <f t="shared" si="39"/>
        <v>128</v>
      </c>
      <c r="J102" s="15">
        <f>OrdersTable!B102</f>
        <v>282</v>
      </c>
      <c r="K102" s="15" t="str">
        <f t="shared" si="29"/>
        <v>Clothing and Apparel</v>
      </c>
      <c r="L102" s="15" t="str">
        <f t="shared" si="30"/>
        <v>Doctor Who: Tardis Laplander Hat</v>
      </c>
      <c r="M102" s="15" t="str">
        <f t="shared" si="31"/>
        <v>-</v>
      </c>
      <c r="N102" s="15">
        <f t="shared" si="32"/>
        <v>0.97499999999999998</v>
      </c>
      <c r="O102" s="15" t="str">
        <f t="shared" si="33"/>
        <v>A10</v>
      </c>
      <c r="P102" s="15" t="str">
        <f t="shared" si="34"/>
        <v>Gallifrey International</v>
      </c>
      <c r="Q102" s="15" t="str">
        <f t="shared" si="35"/>
        <v>181 Arcadia Street</v>
      </c>
      <c r="R102" s="3">
        <f>OrdersTable!C102</f>
        <v>44569</v>
      </c>
      <c r="S102" s="15">
        <f>OrdersTable!E102</f>
        <v>3</v>
      </c>
      <c r="T102" s="15">
        <f t="shared" si="36"/>
        <v>19.5</v>
      </c>
      <c r="U102" s="15">
        <f t="shared" si="37"/>
        <v>26.93</v>
      </c>
      <c r="V102" s="15">
        <f t="shared" si="38"/>
        <v>31.59</v>
      </c>
      <c r="W102" s="15">
        <f>IF(MarkupType="Store Markup",ROUND(V102+V102*StoreMarkup,2),IF(MarkupType="Supplier Markup",V102+V102*SupplierMarkup,"Error at finding value"))</f>
        <v>49.75</v>
      </c>
      <c r="X102" s="32" t="str">
        <f t="shared" si="40"/>
        <v>0.00</v>
      </c>
      <c r="Y102" s="15">
        <f t="shared" si="41"/>
        <v>94.77</v>
      </c>
      <c r="Z102" s="15">
        <f t="shared" si="42"/>
        <v>149.25</v>
      </c>
      <c r="AA102" s="15">
        <f>IF(FreightType="Lethbridge-Stewart Freight ",ROUND(2.99+IF(N102&gt;0.75,(N102-0.75)*2.25,0)*S102,2),IF(MarkupType="Supplier Markup",V102+V102*SupplierMarkup,"Error at finding value"))</f>
        <v>4.51</v>
      </c>
      <c r="AB102" s="15">
        <f t="shared" si="43"/>
        <v>0</v>
      </c>
    </row>
    <row r="103" spans="1:28" x14ac:dyDescent="0.25">
      <c r="A103" s="16">
        <f>OrdersTable!A103</f>
        <v>296</v>
      </c>
      <c r="B103" s="15" t="str">
        <f t="shared" si="23"/>
        <v>Miss</v>
      </c>
      <c r="C103" s="15" t="str">
        <f t="shared" si="44"/>
        <v>Kussrow</v>
      </c>
      <c r="D103" s="15" t="str">
        <f t="shared" si="24"/>
        <v>Katherine Anne</v>
      </c>
      <c r="E103" s="15" t="str">
        <f t="shared" si="25"/>
        <v>10 Downes Street</v>
      </c>
      <c r="F103" s="15" t="str">
        <f t="shared" si="26"/>
        <v>Breakwater</v>
      </c>
      <c r="G103" s="15" t="str">
        <f t="shared" si="27"/>
        <v>VIC</v>
      </c>
      <c r="H103" s="15">
        <f t="shared" si="28"/>
        <v>3219</v>
      </c>
      <c r="I103" s="15">
        <f t="shared" si="39"/>
        <v>1596</v>
      </c>
      <c r="J103" s="15">
        <f>OrdersTable!B103</f>
        <v>745</v>
      </c>
      <c r="K103" s="15" t="str">
        <f t="shared" si="29"/>
        <v>Props and Replicas</v>
      </c>
      <c r="L103" s="15" t="str">
        <f t="shared" si="30"/>
        <v>Doctor Who: TARDIS Type 40 Plaque</v>
      </c>
      <c r="M103" s="15" t="str">
        <f t="shared" si="31"/>
        <v>-</v>
      </c>
      <c r="N103" s="15">
        <f t="shared" si="32"/>
        <v>1.75</v>
      </c>
      <c r="O103" s="15" t="str">
        <f t="shared" si="33"/>
        <v>A30</v>
      </c>
      <c r="P103" s="15" t="str">
        <f t="shared" si="34"/>
        <v>Chesterton Enterprises</v>
      </c>
      <c r="Q103" s="15" t="str">
        <f t="shared" si="35"/>
        <v>41 William Russell Road</v>
      </c>
      <c r="R103" s="3">
        <f>OrdersTable!C103</f>
        <v>44569</v>
      </c>
      <c r="S103" s="15">
        <f>OrdersTable!E103</f>
        <v>9</v>
      </c>
      <c r="T103" s="15">
        <f t="shared" si="36"/>
        <v>34.99</v>
      </c>
      <c r="U103" s="15">
        <f t="shared" si="37"/>
        <v>47.86</v>
      </c>
      <c r="V103" s="15">
        <f t="shared" si="38"/>
        <v>56.68</v>
      </c>
      <c r="W103" s="15">
        <f>IF(MarkupType="Store Markup",ROUND(V103+V103*StoreMarkup,2),IF(MarkupType="Supplier Markup",V103+V103*SupplierMarkup,"Error at finding value"))</f>
        <v>89.27</v>
      </c>
      <c r="X103" s="32" t="str">
        <f t="shared" si="40"/>
        <v>0.00</v>
      </c>
      <c r="Y103" s="15">
        <f t="shared" si="41"/>
        <v>510.12</v>
      </c>
      <c r="Z103" s="15">
        <f t="shared" si="42"/>
        <v>803.43</v>
      </c>
      <c r="AA103" s="15">
        <f>IF(FreightType="Lethbridge-Stewart Freight ",ROUND(2.99+IF(N103&gt;0.75,(N103-0.75)*2.25,0)*S103,2),IF(MarkupType="Supplier Markup",V103+V103*SupplierMarkup,"Error at finding value"))</f>
        <v>23.24</v>
      </c>
      <c r="AB103" s="15">
        <f t="shared" si="43"/>
        <v>0</v>
      </c>
    </row>
    <row r="104" spans="1:28" x14ac:dyDescent="0.25">
      <c r="A104" s="16">
        <f>OrdersTable!A104</f>
        <v>302</v>
      </c>
      <c r="B104" s="15" t="str">
        <f t="shared" si="23"/>
        <v>Ms</v>
      </c>
      <c r="C104" s="15" t="str">
        <f t="shared" si="44"/>
        <v>Lamshed</v>
      </c>
      <c r="D104" s="15" t="str">
        <f t="shared" si="24"/>
        <v>Laura Clare</v>
      </c>
      <c r="E104" s="15" t="str">
        <f t="shared" si="25"/>
        <v>22 Edser Drive</v>
      </c>
      <c r="F104" s="15" t="str">
        <f t="shared" si="26"/>
        <v>Caliph</v>
      </c>
      <c r="G104" s="15" t="str">
        <f t="shared" si="27"/>
        <v>SA</v>
      </c>
      <c r="H104" s="15">
        <f t="shared" si="28"/>
        <v>5310</v>
      </c>
      <c r="I104" s="15">
        <f t="shared" si="39"/>
        <v>1720</v>
      </c>
      <c r="J104" s="15">
        <f>OrdersTable!B104</f>
        <v>331</v>
      </c>
      <c r="K104" s="15" t="str">
        <f t="shared" si="29"/>
        <v>Clothing and Apparel</v>
      </c>
      <c r="L104" s="15" t="str">
        <f t="shared" si="30"/>
        <v xml:space="preserve">Doctor Who: T-Shirts: 4th Doctor Costume </v>
      </c>
      <c r="M104" s="15" t="str">
        <f t="shared" si="31"/>
        <v>L</v>
      </c>
      <c r="N104" s="15">
        <f t="shared" si="32"/>
        <v>0.8</v>
      </c>
      <c r="O104" s="15" t="str">
        <f t="shared" si="33"/>
        <v>A20</v>
      </c>
      <c r="P104" s="15" t="str">
        <f t="shared" si="34"/>
        <v>Morbius Inc.</v>
      </c>
      <c r="Q104" s="15" t="str">
        <f t="shared" si="35"/>
        <v>56 Michael Spice Hwy</v>
      </c>
      <c r="R104" s="3">
        <f>OrdersTable!C104</f>
        <v>44569</v>
      </c>
      <c r="S104" s="15">
        <f>OrdersTable!E104</f>
        <v>1</v>
      </c>
      <c r="T104" s="15">
        <f t="shared" si="36"/>
        <v>15.99</v>
      </c>
      <c r="U104" s="15">
        <f t="shared" si="37"/>
        <v>22.08</v>
      </c>
      <c r="V104" s="15">
        <f t="shared" si="38"/>
        <v>25.9</v>
      </c>
      <c r="W104" s="15">
        <f>IF(MarkupType="Store Markup",ROUND(V104+V104*StoreMarkup,2),IF(MarkupType="Supplier Markup",V104+V104*SupplierMarkup,"Error at finding value"))</f>
        <v>40.79</v>
      </c>
      <c r="X104" s="32" t="str">
        <f t="shared" si="40"/>
        <v>0.00</v>
      </c>
      <c r="Y104" s="15">
        <f t="shared" si="41"/>
        <v>25.9</v>
      </c>
      <c r="Z104" s="15">
        <f t="shared" si="42"/>
        <v>40.79</v>
      </c>
      <c r="AA104" s="15">
        <f>IF(FreightType="Lethbridge-Stewart Freight ",ROUND(2.99+IF(N104&gt;0.75,(N104-0.75)*2.25,0)*S104,2),IF(MarkupType="Supplier Markup",V104+V104*SupplierMarkup,"Error at finding value"))</f>
        <v>3.1</v>
      </c>
      <c r="AB104" s="15">
        <f t="shared" si="43"/>
        <v>0</v>
      </c>
    </row>
    <row r="105" spans="1:28" x14ac:dyDescent="0.25">
      <c r="A105" s="16">
        <f>OrdersTable!A105</f>
        <v>331</v>
      </c>
      <c r="B105" s="15" t="str">
        <f t="shared" si="23"/>
        <v>Mrs</v>
      </c>
      <c r="C105" s="15" t="str">
        <f t="shared" si="44"/>
        <v>McKenzie</v>
      </c>
      <c r="D105" s="15" t="str">
        <f t="shared" si="24"/>
        <v>Melinda Kate</v>
      </c>
      <c r="E105" s="15" t="str">
        <f t="shared" si="25"/>
        <v>49 McKay Way</v>
      </c>
      <c r="F105" s="15" t="str">
        <f t="shared" si="26"/>
        <v>Black Hills</v>
      </c>
      <c r="G105" s="15" t="str">
        <f t="shared" si="27"/>
        <v>TAS</v>
      </c>
      <c r="H105" s="15">
        <f t="shared" si="28"/>
        <v>7140</v>
      </c>
      <c r="I105" s="15">
        <f t="shared" si="39"/>
        <v>2191</v>
      </c>
      <c r="J105" s="15">
        <f>OrdersTable!B105</f>
        <v>849</v>
      </c>
      <c r="K105" s="15" t="str">
        <f t="shared" si="29"/>
        <v>Statues and Busts</v>
      </c>
      <c r="L105" s="15" t="str">
        <f t="shared" si="30"/>
        <v>Doctor Who: Statue: Cyber Controller</v>
      </c>
      <c r="M105" s="15" t="str">
        <f t="shared" si="31"/>
        <v>-</v>
      </c>
      <c r="N105" s="15">
        <f t="shared" si="32"/>
        <v>5</v>
      </c>
      <c r="O105" s="15" t="str">
        <f t="shared" si="33"/>
        <v>A10</v>
      </c>
      <c r="P105" s="15" t="str">
        <f t="shared" si="34"/>
        <v>Gallifrey International</v>
      </c>
      <c r="Q105" s="15" t="str">
        <f t="shared" si="35"/>
        <v>181 Arcadia Street</v>
      </c>
      <c r="R105" s="3">
        <f>OrdersTable!C105</f>
        <v>44569</v>
      </c>
      <c r="S105" s="15">
        <f>OrdersTable!E105</f>
        <v>8</v>
      </c>
      <c r="T105" s="15">
        <f t="shared" si="36"/>
        <v>99.99</v>
      </c>
      <c r="U105" s="15">
        <f t="shared" si="37"/>
        <v>136.41</v>
      </c>
      <c r="V105" s="15">
        <f t="shared" si="38"/>
        <v>161.97999999999999</v>
      </c>
      <c r="W105" s="15">
        <f>IF(MarkupType="Store Markup",ROUND(V105+V105*StoreMarkup,2),IF(MarkupType="Supplier Markup",V105+V105*SupplierMarkup,"Error at finding value"))</f>
        <v>255.12</v>
      </c>
      <c r="X105" s="32">
        <f t="shared" si="40"/>
        <v>18.18</v>
      </c>
      <c r="Y105" s="15">
        <f t="shared" si="41"/>
        <v>1295.8399999999999</v>
      </c>
      <c r="Z105" s="15">
        <f t="shared" si="42"/>
        <v>1895.52</v>
      </c>
      <c r="AA105" s="15">
        <f>IF(FreightType="Lethbridge-Stewart Freight ",ROUND(2.99+IF(N105&gt;0.75,(N105-0.75)*2.25,0)*S105,2),IF(MarkupType="Supplier Markup",V105+V105*SupplierMarkup,"Error at finding value"))</f>
        <v>79.489999999999995</v>
      </c>
      <c r="AB105" s="15">
        <f t="shared" si="43"/>
        <v>145.44</v>
      </c>
    </row>
    <row r="106" spans="1:28" x14ac:dyDescent="0.25">
      <c r="A106" s="16">
        <f>OrdersTable!A106</f>
        <v>332</v>
      </c>
      <c r="B106" s="15" t="str">
        <f t="shared" si="23"/>
        <v>Mr</v>
      </c>
      <c r="C106" s="15" t="str">
        <f t="shared" si="44"/>
        <v>Selman</v>
      </c>
      <c r="D106" s="15" t="str">
        <f t="shared" si="24"/>
        <v>Jack Ryan</v>
      </c>
      <c r="E106" s="15" t="str">
        <f t="shared" si="25"/>
        <v>17 Van Essen Street</v>
      </c>
      <c r="F106" s="15" t="str">
        <f t="shared" si="26"/>
        <v>Airly</v>
      </c>
      <c r="G106" s="15" t="str">
        <f t="shared" si="27"/>
        <v>VIC</v>
      </c>
      <c r="H106" s="15">
        <f t="shared" si="28"/>
        <v>3851</v>
      </c>
      <c r="I106" s="15">
        <f t="shared" si="39"/>
        <v>1583</v>
      </c>
      <c r="J106" s="15">
        <f>OrdersTable!B106</f>
        <v>701</v>
      </c>
      <c r="K106" s="15" t="str">
        <f t="shared" si="29"/>
        <v>Posters, Prints and Standees</v>
      </c>
      <c r="L106" s="15" t="str">
        <f t="shared" si="30"/>
        <v>Doctor Who: Half Sized Standee: The TARDIS</v>
      </c>
      <c r="M106" s="15" t="str">
        <f t="shared" si="31"/>
        <v>-</v>
      </c>
      <c r="N106" s="15">
        <f t="shared" si="32"/>
        <v>0.5</v>
      </c>
      <c r="O106" s="15" t="str">
        <f t="shared" si="33"/>
        <v>A40</v>
      </c>
      <c r="P106" s="15" t="str">
        <f t="shared" si="34"/>
        <v>Romana Imports</v>
      </c>
      <c r="Q106" s="15" t="str">
        <f t="shared" si="35"/>
        <v>17 Lalla Ward Road</v>
      </c>
      <c r="R106" s="3">
        <f>OrdersTable!C106</f>
        <v>44569</v>
      </c>
      <c r="S106" s="15">
        <f>OrdersTable!E106</f>
        <v>4</v>
      </c>
      <c r="T106" s="15">
        <f t="shared" si="36"/>
        <v>9.99</v>
      </c>
      <c r="U106" s="15">
        <f t="shared" si="37"/>
        <v>13.83</v>
      </c>
      <c r="V106" s="15">
        <f t="shared" si="38"/>
        <v>16.18</v>
      </c>
      <c r="W106" s="15">
        <f>IF(MarkupType="Store Markup",ROUND(V106+V106*StoreMarkup,2),IF(MarkupType="Supplier Markup",V106+V106*SupplierMarkup,"Error at finding value"))</f>
        <v>25.48</v>
      </c>
      <c r="X106" s="32" t="str">
        <f t="shared" si="40"/>
        <v>0.00</v>
      </c>
      <c r="Y106" s="15">
        <f t="shared" si="41"/>
        <v>64.72</v>
      </c>
      <c r="Z106" s="15">
        <f t="shared" si="42"/>
        <v>101.92</v>
      </c>
      <c r="AA106" s="15">
        <f>IF(FreightType="Lethbridge-Stewart Freight ",ROUND(2.99+IF(N106&gt;0.75,(N106-0.75)*2.25,0)*S106,2),IF(MarkupType="Supplier Markup",V106+V106*SupplierMarkup,"Error at finding value"))</f>
        <v>2.99</v>
      </c>
      <c r="AB106" s="15">
        <f t="shared" si="43"/>
        <v>0</v>
      </c>
    </row>
    <row r="107" spans="1:28" x14ac:dyDescent="0.25">
      <c r="A107" s="16">
        <f>OrdersTable!A107</f>
        <v>491</v>
      </c>
      <c r="B107" s="15" t="str">
        <f t="shared" si="23"/>
        <v>Miss</v>
      </c>
      <c r="C107" s="15" t="str">
        <f t="shared" si="44"/>
        <v>Winks</v>
      </c>
      <c r="D107" s="15" t="str">
        <f t="shared" si="24"/>
        <v>Lori-Ann</v>
      </c>
      <c r="E107" s="15" t="str">
        <f t="shared" si="25"/>
        <v>40 Lyne Street</v>
      </c>
      <c r="F107" s="15" t="str">
        <f t="shared" si="26"/>
        <v>Bray Park</v>
      </c>
      <c r="G107" s="15" t="str">
        <f t="shared" si="27"/>
        <v>QLD</v>
      </c>
      <c r="H107" s="15">
        <f t="shared" si="28"/>
        <v>4500</v>
      </c>
      <c r="I107" s="15">
        <f t="shared" si="39"/>
        <v>139</v>
      </c>
      <c r="J107" s="15">
        <f>OrdersTable!B107</f>
        <v>692</v>
      </c>
      <c r="K107" s="15" t="str">
        <f t="shared" si="29"/>
        <v>Posters, Prints and Standees</v>
      </c>
      <c r="L107" s="15" t="str">
        <f t="shared" si="30"/>
        <v>Doctor Who: 16'x12' Framed Print: Exploding TARDIS</v>
      </c>
      <c r="M107" s="15" t="str">
        <f t="shared" si="31"/>
        <v>-</v>
      </c>
      <c r="N107" s="15">
        <f t="shared" si="32"/>
        <v>0.75</v>
      </c>
      <c r="O107" s="15" t="str">
        <f t="shared" si="33"/>
        <v>A30</v>
      </c>
      <c r="P107" s="15" t="str">
        <f t="shared" si="34"/>
        <v>Chesterton Enterprises</v>
      </c>
      <c r="Q107" s="15" t="str">
        <f t="shared" si="35"/>
        <v>41 William Russell Road</v>
      </c>
      <c r="R107" s="3">
        <f>OrdersTable!C107</f>
        <v>44569</v>
      </c>
      <c r="S107" s="15">
        <f>OrdersTable!E107</f>
        <v>2</v>
      </c>
      <c r="T107" s="15">
        <f t="shared" si="36"/>
        <v>14.99</v>
      </c>
      <c r="U107" s="15">
        <f t="shared" si="37"/>
        <v>20.54</v>
      </c>
      <c r="V107" s="15">
        <f t="shared" si="38"/>
        <v>24.28</v>
      </c>
      <c r="W107" s="15">
        <f>IF(MarkupType="Store Markup",ROUND(V107+V107*StoreMarkup,2),IF(MarkupType="Supplier Markup",V107+V107*SupplierMarkup,"Error at finding value"))</f>
        <v>38.24</v>
      </c>
      <c r="X107" s="32" t="str">
        <f t="shared" si="40"/>
        <v>0.00</v>
      </c>
      <c r="Y107" s="15">
        <f t="shared" si="41"/>
        <v>48.56</v>
      </c>
      <c r="Z107" s="15">
        <f t="shared" si="42"/>
        <v>76.48</v>
      </c>
      <c r="AA107" s="15">
        <f>IF(FreightType="Lethbridge-Stewart Freight ",ROUND(2.99+IF(N107&gt;0.75,(N107-0.75)*2.25,0)*S107,2),IF(MarkupType="Supplier Markup",V107+V107*SupplierMarkup,"Error at finding value"))</f>
        <v>2.99</v>
      </c>
      <c r="AB107" s="15">
        <f t="shared" si="43"/>
        <v>0</v>
      </c>
    </row>
    <row r="108" spans="1:28" x14ac:dyDescent="0.25">
      <c r="A108" s="16">
        <f>OrdersTable!A108</f>
        <v>491</v>
      </c>
      <c r="B108" s="15" t="str">
        <f t="shared" si="23"/>
        <v>Miss</v>
      </c>
      <c r="C108" s="15" t="str">
        <f t="shared" si="44"/>
        <v>Winks</v>
      </c>
      <c r="D108" s="15" t="str">
        <f t="shared" si="24"/>
        <v>Lori-Ann</v>
      </c>
      <c r="E108" s="15" t="str">
        <f t="shared" si="25"/>
        <v>40 Lyne Street</v>
      </c>
      <c r="F108" s="15" t="str">
        <f t="shared" si="26"/>
        <v>Bray Park</v>
      </c>
      <c r="G108" s="15" t="str">
        <f t="shared" si="27"/>
        <v>QLD</v>
      </c>
      <c r="H108" s="15">
        <f t="shared" si="28"/>
        <v>4500</v>
      </c>
      <c r="I108" s="15">
        <f t="shared" si="39"/>
        <v>139</v>
      </c>
      <c r="J108" s="15">
        <f>OrdersTable!B108</f>
        <v>757</v>
      </c>
      <c r="K108" s="15" t="str">
        <f t="shared" si="29"/>
        <v>Statues and Busts</v>
      </c>
      <c r="L108" s="15" t="str">
        <f t="shared" si="30"/>
        <v>Doctor Who: Helmet: Ice Warrior</v>
      </c>
      <c r="M108" s="15" t="str">
        <f t="shared" si="31"/>
        <v>-</v>
      </c>
      <c r="N108" s="15">
        <f t="shared" si="32"/>
        <v>1.75</v>
      </c>
      <c r="O108" s="15" t="str">
        <f t="shared" si="33"/>
        <v>A20</v>
      </c>
      <c r="P108" s="15" t="str">
        <f t="shared" si="34"/>
        <v>Morbius Inc.</v>
      </c>
      <c r="Q108" s="15" t="str">
        <f t="shared" si="35"/>
        <v>56 Michael Spice Hwy</v>
      </c>
      <c r="R108" s="3">
        <f>OrdersTable!C108</f>
        <v>44569</v>
      </c>
      <c r="S108" s="15">
        <f>OrdersTable!E108</f>
        <v>7</v>
      </c>
      <c r="T108" s="15">
        <f t="shared" si="36"/>
        <v>34.99</v>
      </c>
      <c r="U108" s="15">
        <f t="shared" si="37"/>
        <v>47.88</v>
      </c>
      <c r="V108" s="15">
        <f t="shared" si="38"/>
        <v>56.68</v>
      </c>
      <c r="W108" s="15">
        <f>IF(MarkupType="Store Markup",ROUND(V108+V108*StoreMarkup,2),IF(MarkupType="Supplier Markup",V108+V108*SupplierMarkup,"Error at finding value"))</f>
        <v>89.27</v>
      </c>
      <c r="X108" s="32" t="str">
        <f t="shared" si="40"/>
        <v>0.00</v>
      </c>
      <c r="Y108" s="15">
        <f t="shared" si="41"/>
        <v>396.76</v>
      </c>
      <c r="Z108" s="15">
        <f t="shared" si="42"/>
        <v>624.89</v>
      </c>
      <c r="AA108" s="15">
        <f>IF(FreightType="Lethbridge-Stewart Freight ",ROUND(2.99+IF(N108&gt;0.75,(N108-0.75)*2.25,0)*S108,2),IF(MarkupType="Supplier Markup",V108+V108*SupplierMarkup,"Error at finding value"))</f>
        <v>18.739999999999998</v>
      </c>
      <c r="AB108" s="15">
        <f t="shared" si="43"/>
        <v>0</v>
      </c>
    </row>
    <row r="109" spans="1:28" x14ac:dyDescent="0.25">
      <c r="A109" s="16">
        <f>OrdersTable!A109</f>
        <v>515</v>
      </c>
      <c r="B109" s="15" t="str">
        <f t="shared" si="23"/>
        <v>Mr</v>
      </c>
      <c r="C109" s="15" t="str">
        <f t="shared" si="44"/>
        <v>Noffke</v>
      </c>
      <c r="D109" s="15" t="str">
        <f t="shared" si="24"/>
        <v>William Thomas</v>
      </c>
      <c r="E109" s="15" t="str">
        <f t="shared" si="25"/>
        <v>20 Tyler Drive</v>
      </c>
      <c r="F109" s="15" t="str">
        <f t="shared" si="26"/>
        <v>Areegra</v>
      </c>
      <c r="G109" s="15" t="str">
        <f t="shared" si="27"/>
        <v>VIC</v>
      </c>
      <c r="H109" s="15">
        <f t="shared" si="28"/>
        <v>3480</v>
      </c>
      <c r="I109" s="15">
        <f t="shared" si="39"/>
        <v>1559</v>
      </c>
      <c r="J109" s="15">
        <f>OrdersTable!B109</f>
        <v>679</v>
      </c>
      <c r="K109" s="15" t="str">
        <f t="shared" si="29"/>
        <v>Mugs</v>
      </c>
      <c r="L109" s="15" t="str">
        <f t="shared" si="30"/>
        <v>Doctor Who: Mug: The Fifth Doctor</v>
      </c>
      <c r="M109" s="15" t="str">
        <f t="shared" si="31"/>
        <v>-</v>
      </c>
      <c r="N109" s="15">
        <f t="shared" si="32"/>
        <v>0.45</v>
      </c>
      <c r="O109" s="15" t="str">
        <f t="shared" si="33"/>
        <v>A40</v>
      </c>
      <c r="P109" s="15" t="str">
        <f t="shared" si="34"/>
        <v>Romana Imports</v>
      </c>
      <c r="Q109" s="15" t="str">
        <f t="shared" si="35"/>
        <v>17 Lalla Ward Road</v>
      </c>
      <c r="R109" s="3">
        <f>OrdersTable!C109</f>
        <v>44569</v>
      </c>
      <c r="S109" s="15">
        <f>OrdersTable!E109</f>
        <v>1</v>
      </c>
      <c r="T109" s="15">
        <f t="shared" si="36"/>
        <v>8.99</v>
      </c>
      <c r="U109" s="15">
        <f t="shared" si="37"/>
        <v>12.28</v>
      </c>
      <c r="V109" s="15">
        <f t="shared" si="38"/>
        <v>14.56</v>
      </c>
      <c r="W109" s="15">
        <f>IF(MarkupType="Store Markup",ROUND(V109+V109*StoreMarkup,2),IF(MarkupType="Supplier Markup",V109+V109*SupplierMarkup,"Error at finding value"))</f>
        <v>22.93</v>
      </c>
      <c r="X109" s="32" t="str">
        <f t="shared" si="40"/>
        <v>0.00</v>
      </c>
      <c r="Y109" s="15">
        <f t="shared" si="41"/>
        <v>14.56</v>
      </c>
      <c r="Z109" s="15">
        <f t="shared" si="42"/>
        <v>22.93</v>
      </c>
      <c r="AA109" s="15">
        <f>IF(FreightType="Lethbridge-Stewart Freight ",ROUND(2.99+IF(N109&gt;0.75,(N109-0.75)*2.25,0)*S109,2),IF(MarkupType="Supplier Markup",V109+V109*SupplierMarkup,"Error at finding value"))</f>
        <v>2.99</v>
      </c>
      <c r="AB109" s="15">
        <f t="shared" si="43"/>
        <v>0</v>
      </c>
    </row>
    <row r="110" spans="1:28" x14ac:dyDescent="0.25">
      <c r="A110" s="16">
        <f>OrdersTable!A110</f>
        <v>540</v>
      </c>
      <c r="B110" s="15" t="str">
        <f t="shared" si="23"/>
        <v>Dr</v>
      </c>
      <c r="C110" s="15" t="str">
        <f t="shared" si="44"/>
        <v>Hackett</v>
      </c>
      <c r="D110" s="15" t="str">
        <f t="shared" si="24"/>
        <v>Patrick</v>
      </c>
      <c r="E110" s="15" t="str">
        <f t="shared" si="25"/>
        <v>25 Sweet Drive</v>
      </c>
      <c r="F110" s="15" t="str">
        <f t="shared" si="26"/>
        <v>Bridgewater</v>
      </c>
      <c r="G110" s="15" t="str">
        <f t="shared" si="27"/>
        <v>VIC</v>
      </c>
      <c r="H110" s="15">
        <f t="shared" si="28"/>
        <v>3516</v>
      </c>
      <c r="I110" s="15">
        <f t="shared" si="39"/>
        <v>1486</v>
      </c>
      <c r="J110" s="15">
        <f>OrdersTable!B110</f>
        <v>707</v>
      </c>
      <c r="K110" s="15" t="str">
        <f t="shared" si="29"/>
        <v>Posters, Prints and Standees</v>
      </c>
      <c r="L110" s="15" t="str">
        <f t="shared" si="30"/>
        <v>Doctor Who: Poster: Ironside Dalek Blueprint</v>
      </c>
      <c r="M110" s="15" t="str">
        <f t="shared" si="31"/>
        <v>-</v>
      </c>
      <c r="N110" s="15">
        <f t="shared" si="32"/>
        <v>0.2</v>
      </c>
      <c r="O110" s="15" t="str">
        <f t="shared" si="33"/>
        <v>A20</v>
      </c>
      <c r="P110" s="15" t="str">
        <f t="shared" si="34"/>
        <v>Morbius Inc.</v>
      </c>
      <c r="Q110" s="15" t="str">
        <f t="shared" si="35"/>
        <v>56 Michael Spice Hwy</v>
      </c>
      <c r="R110" s="3">
        <f>OrdersTable!C110</f>
        <v>44569</v>
      </c>
      <c r="S110" s="15">
        <f>OrdersTable!E110</f>
        <v>7</v>
      </c>
      <c r="T110" s="15">
        <f t="shared" si="36"/>
        <v>3.99</v>
      </c>
      <c r="U110" s="15">
        <f t="shared" si="37"/>
        <v>5.48</v>
      </c>
      <c r="V110" s="15">
        <f t="shared" si="38"/>
        <v>6.46</v>
      </c>
      <c r="W110" s="15">
        <f>IF(MarkupType="Store Markup",ROUND(V110+V110*StoreMarkup,2),IF(MarkupType="Supplier Markup",V110+V110*SupplierMarkup,"Error at finding value"))</f>
        <v>10.17</v>
      </c>
      <c r="X110" s="32" t="str">
        <f t="shared" si="40"/>
        <v>0.00</v>
      </c>
      <c r="Y110" s="15">
        <f t="shared" si="41"/>
        <v>45.22</v>
      </c>
      <c r="Z110" s="15">
        <f t="shared" si="42"/>
        <v>71.19</v>
      </c>
      <c r="AA110" s="15">
        <f>IF(FreightType="Lethbridge-Stewart Freight ",ROUND(2.99+IF(N110&gt;0.75,(N110-0.75)*2.25,0)*S110,2),IF(MarkupType="Supplier Markup",V110+V110*SupplierMarkup,"Error at finding value"))</f>
        <v>2.99</v>
      </c>
      <c r="AB110" s="15">
        <f t="shared" si="43"/>
        <v>0</v>
      </c>
    </row>
    <row r="111" spans="1:28" x14ac:dyDescent="0.25">
      <c r="A111" s="16">
        <f>OrdersTable!A111</f>
        <v>544</v>
      </c>
      <c r="B111" s="15" t="str">
        <f t="shared" si="23"/>
        <v>Mr</v>
      </c>
      <c r="C111" s="15" t="str">
        <f t="shared" si="44"/>
        <v>Sullivan</v>
      </c>
      <c r="D111" s="15" t="str">
        <f t="shared" si="24"/>
        <v>Lawrence Bernard</v>
      </c>
      <c r="E111" s="15" t="str">
        <f t="shared" si="25"/>
        <v>11 Haydon Boulevard</v>
      </c>
      <c r="F111" s="15" t="str">
        <f t="shared" si="26"/>
        <v>Breakwater</v>
      </c>
      <c r="G111" s="15" t="str">
        <f t="shared" si="27"/>
        <v>VIC</v>
      </c>
      <c r="H111" s="15">
        <f t="shared" si="28"/>
        <v>3219</v>
      </c>
      <c r="I111" s="15">
        <f t="shared" si="39"/>
        <v>1596</v>
      </c>
      <c r="J111" s="15">
        <f>OrdersTable!B111</f>
        <v>643</v>
      </c>
      <c r="K111" s="15" t="str">
        <f t="shared" si="29"/>
        <v>Mugs</v>
      </c>
      <c r="L111" s="15" t="str">
        <f t="shared" si="30"/>
        <v>Doctor Who: Giant Mug: Logo</v>
      </c>
      <c r="M111" s="15" t="str">
        <f t="shared" si="31"/>
        <v>-</v>
      </c>
      <c r="N111" s="15">
        <f t="shared" si="32"/>
        <v>0.44500000000000001</v>
      </c>
      <c r="O111" s="15" t="str">
        <f t="shared" si="33"/>
        <v>A10</v>
      </c>
      <c r="P111" s="15" t="str">
        <f t="shared" si="34"/>
        <v>Gallifrey International</v>
      </c>
      <c r="Q111" s="15" t="str">
        <f t="shared" si="35"/>
        <v>181 Arcadia Street</v>
      </c>
      <c r="R111" s="3">
        <f>OrdersTable!C111</f>
        <v>44569</v>
      </c>
      <c r="S111" s="15">
        <f>OrdersTable!E111</f>
        <v>2</v>
      </c>
      <c r="T111" s="15">
        <f t="shared" si="36"/>
        <v>8.89</v>
      </c>
      <c r="U111" s="15">
        <f t="shared" si="37"/>
        <v>12.19</v>
      </c>
      <c r="V111" s="15">
        <f t="shared" si="38"/>
        <v>14.4</v>
      </c>
      <c r="W111" s="15">
        <f>IF(MarkupType="Store Markup",ROUND(V111+V111*StoreMarkup,2),IF(MarkupType="Supplier Markup",V111+V111*SupplierMarkup,"Error at finding value"))</f>
        <v>22.68</v>
      </c>
      <c r="X111" s="32" t="str">
        <f t="shared" si="40"/>
        <v>0.00</v>
      </c>
      <c r="Y111" s="15">
        <f t="shared" si="41"/>
        <v>28.8</v>
      </c>
      <c r="Z111" s="15">
        <f t="shared" si="42"/>
        <v>45.36</v>
      </c>
      <c r="AA111" s="15">
        <f>IF(FreightType="Lethbridge-Stewart Freight ",ROUND(2.99+IF(N111&gt;0.75,(N111-0.75)*2.25,0)*S111,2),IF(MarkupType="Supplier Markup",V111+V111*SupplierMarkup,"Error at finding value"))</f>
        <v>2.99</v>
      </c>
      <c r="AB111" s="15">
        <f t="shared" si="43"/>
        <v>0</v>
      </c>
    </row>
    <row r="112" spans="1:28" x14ac:dyDescent="0.25">
      <c r="A112" s="16">
        <f>OrdersTable!A112</f>
        <v>544</v>
      </c>
      <c r="B112" s="15" t="str">
        <f t="shared" si="23"/>
        <v>Mr</v>
      </c>
      <c r="C112" s="15" t="str">
        <f t="shared" si="44"/>
        <v>Sullivan</v>
      </c>
      <c r="D112" s="15" t="str">
        <f t="shared" si="24"/>
        <v>Lawrence Bernard</v>
      </c>
      <c r="E112" s="15" t="str">
        <f t="shared" si="25"/>
        <v>11 Haydon Boulevard</v>
      </c>
      <c r="F112" s="15" t="str">
        <f t="shared" si="26"/>
        <v>Breakwater</v>
      </c>
      <c r="G112" s="15" t="str">
        <f t="shared" si="27"/>
        <v>VIC</v>
      </c>
      <c r="H112" s="15">
        <f t="shared" si="28"/>
        <v>3219</v>
      </c>
      <c r="I112" s="15">
        <f t="shared" si="39"/>
        <v>1596</v>
      </c>
      <c r="J112" s="15">
        <f>OrdersTable!B112</f>
        <v>671</v>
      </c>
      <c r="K112" s="15" t="str">
        <f t="shared" si="29"/>
        <v>Mugs</v>
      </c>
      <c r="L112" s="15" t="str">
        <f t="shared" si="30"/>
        <v>Doctor Who: Mug: TARDIS Inside</v>
      </c>
      <c r="M112" s="15" t="str">
        <f t="shared" si="31"/>
        <v>-</v>
      </c>
      <c r="N112" s="15">
        <f t="shared" si="32"/>
        <v>0.6</v>
      </c>
      <c r="O112" s="15" t="str">
        <f t="shared" si="33"/>
        <v>A30</v>
      </c>
      <c r="P112" s="15" t="str">
        <f t="shared" si="34"/>
        <v>Chesterton Enterprises</v>
      </c>
      <c r="Q112" s="15" t="str">
        <f t="shared" si="35"/>
        <v>41 William Russell Road</v>
      </c>
      <c r="R112" s="3">
        <f>OrdersTable!C112</f>
        <v>44569</v>
      </c>
      <c r="S112" s="15">
        <f>OrdersTable!E112</f>
        <v>7</v>
      </c>
      <c r="T112" s="15">
        <f t="shared" si="36"/>
        <v>11.99</v>
      </c>
      <c r="U112" s="15">
        <f t="shared" si="37"/>
        <v>16.690000000000001</v>
      </c>
      <c r="V112" s="15">
        <f t="shared" si="38"/>
        <v>19.420000000000002</v>
      </c>
      <c r="W112" s="15">
        <f>IF(MarkupType="Store Markup",ROUND(V112+V112*StoreMarkup,2),IF(MarkupType="Supplier Markup",V112+V112*SupplierMarkup,"Error at finding value"))</f>
        <v>30.59</v>
      </c>
      <c r="X112" s="32" t="str">
        <f t="shared" si="40"/>
        <v>0.00</v>
      </c>
      <c r="Y112" s="15">
        <f t="shared" si="41"/>
        <v>135.94</v>
      </c>
      <c r="Z112" s="15">
        <f t="shared" si="42"/>
        <v>214.13</v>
      </c>
      <c r="AA112" s="15">
        <f>IF(FreightType="Lethbridge-Stewart Freight ",ROUND(2.99+IF(N112&gt;0.75,(N112-0.75)*2.25,0)*S112,2),IF(MarkupType="Supplier Markup",V112+V112*SupplierMarkup,"Error at finding value"))</f>
        <v>2.99</v>
      </c>
      <c r="AB112" s="15">
        <f t="shared" si="43"/>
        <v>0</v>
      </c>
    </row>
    <row r="113" spans="1:28" x14ac:dyDescent="0.25">
      <c r="A113" s="16">
        <f>OrdersTable!A113</f>
        <v>570</v>
      </c>
      <c r="B113" s="15" t="str">
        <f t="shared" si="23"/>
        <v>Mr</v>
      </c>
      <c r="C113" s="15" t="str">
        <f t="shared" si="44"/>
        <v>Adams</v>
      </c>
      <c r="D113" s="15" t="str">
        <f t="shared" si="24"/>
        <v>Matthew</v>
      </c>
      <c r="E113" s="15" t="str">
        <f t="shared" si="25"/>
        <v>36 Fenech Avenue</v>
      </c>
      <c r="F113" s="15" t="str">
        <f t="shared" si="26"/>
        <v>Bray Park</v>
      </c>
      <c r="G113" s="15" t="str">
        <f t="shared" si="27"/>
        <v>QLD</v>
      </c>
      <c r="H113" s="15">
        <f t="shared" si="28"/>
        <v>4500</v>
      </c>
      <c r="I113" s="15">
        <f t="shared" si="39"/>
        <v>139</v>
      </c>
      <c r="J113" s="15">
        <f>OrdersTable!B113</f>
        <v>853</v>
      </c>
      <c r="K113" s="15" t="str">
        <f t="shared" si="29"/>
        <v>Statues and Busts</v>
      </c>
      <c r="L113" s="15" t="str">
        <f t="shared" si="30"/>
        <v>Doctor Who: Statue: The Master And Auton</v>
      </c>
      <c r="M113" s="15" t="str">
        <f t="shared" si="31"/>
        <v>-</v>
      </c>
      <c r="N113" s="15">
        <f t="shared" si="32"/>
        <v>3.5</v>
      </c>
      <c r="O113" s="15" t="str">
        <f t="shared" si="33"/>
        <v>A50</v>
      </c>
      <c r="P113" s="15" t="str">
        <f t="shared" si="34"/>
        <v>Rassilon Ltd.</v>
      </c>
      <c r="Q113" s="15" t="str">
        <f t="shared" si="35"/>
        <v>82 Richard Mathews Road</v>
      </c>
      <c r="R113" s="3">
        <f>OrdersTable!C113</f>
        <v>44569</v>
      </c>
      <c r="S113" s="15">
        <f>OrdersTable!E113</f>
        <v>6</v>
      </c>
      <c r="T113" s="15">
        <f t="shared" si="36"/>
        <v>69.989999999999995</v>
      </c>
      <c r="U113" s="15">
        <f t="shared" si="37"/>
        <v>95.51</v>
      </c>
      <c r="V113" s="15">
        <f t="shared" si="38"/>
        <v>113.38</v>
      </c>
      <c r="W113" s="15">
        <f>IF(MarkupType="Store Markup",ROUND(V113+V113*StoreMarkup,2),IF(MarkupType="Supplier Markup",V113+V113*SupplierMarkup,"Error at finding value"))</f>
        <v>178.57</v>
      </c>
      <c r="X113" s="32">
        <f t="shared" si="40"/>
        <v>12.72</v>
      </c>
      <c r="Y113" s="15">
        <f t="shared" si="41"/>
        <v>680.28</v>
      </c>
      <c r="Z113" s="15">
        <f t="shared" si="42"/>
        <v>995.1</v>
      </c>
      <c r="AA113" s="15">
        <f>IF(FreightType="Lethbridge-Stewart Freight ",ROUND(2.99+IF(N113&gt;0.75,(N113-0.75)*2.25,0)*S113,2),IF(MarkupType="Supplier Markup",V113+V113*SupplierMarkup,"Error at finding value"))</f>
        <v>40.119999999999997</v>
      </c>
      <c r="AB113" s="15">
        <f t="shared" si="43"/>
        <v>76.319999999999993</v>
      </c>
    </row>
    <row r="114" spans="1:28" x14ac:dyDescent="0.25">
      <c r="A114" s="16">
        <f>OrdersTable!A114</f>
        <v>586</v>
      </c>
      <c r="B114" s="15" t="str">
        <f t="shared" si="23"/>
        <v>Dr</v>
      </c>
      <c r="C114" s="15" t="str">
        <f t="shared" si="44"/>
        <v>Coetzee</v>
      </c>
      <c r="D114" s="15" t="str">
        <f t="shared" si="24"/>
        <v>Riekert</v>
      </c>
      <c r="E114" s="15" t="str">
        <f t="shared" si="25"/>
        <v>5 Western Road</v>
      </c>
      <c r="F114" s="15" t="str">
        <f t="shared" si="26"/>
        <v>Alfredtown</v>
      </c>
      <c r="G114" s="15" t="str">
        <f t="shared" si="27"/>
        <v>NSW</v>
      </c>
      <c r="H114" s="15">
        <f t="shared" si="28"/>
        <v>2650</v>
      </c>
      <c r="I114" s="15">
        <f t="shared" si="39"/>
        <v>1124</v>
      </c>
      <c r="J114" s="15">
        <f>OrdersTable!B114</f>
        <v>719</v>
      </c>
      <c r="K114" s="15" t="str">
        <f t="shared" si="29"/>
        <v>Posters, Prints and Standees</v>
      </c>
      <c r="L114" s="15" t="str">
        <f t="shared" si="30"/>
        <v>Doctor Who: Standee: Supreme Dalek</v>
      </c>
      <c r="M114" s="15" t="str">
        <f t="shared" si="31"/>
        <v>-</v>
      </c>
      <c r="N114" s="15">
        <f t="shared" si="32"/>
        <v>1.125</v>
      </c>
      <c r="O114" s="15" t="str">
        <f t="shared" si="33"/>
        <v>A50</v>
      </c>
      <c r="P114" s="15" t="str">
        <f t="shared" si="34"/>
        <v>Rassilon Ltd.</v>
      </c>
      <c r="Q114" s="15" t="str">
        <f t="shared" si="35"/>
        <v>82 Richard Mathews Road</v>
      </c>
      <c r="R114" s="3">
        <f>OrdersTable!C114</f>
        <v>44569</v>
      </c>
      <c r="S114" s="15">
        <f>OrdersTable!E114</f>
        <v>5</v>
      </c>
      <c r="T114" s="15">
        <f t="shared" si="36"/>
        <v>22.49</v>
      </c>
      <c r="U114" s="15">
        <f t="shared" si="37"/>
        <v>30.76</v>
      </c>
      <c r="V114" s="15">
        <f t="shared" si="38"/>
        <v>36.43</v>
      </c>
      <c r="W114" s="15">
        <f>IF(MarkupType="Store Markup",ROUND(V114+V114*StoreMarkup,2),IF(MarkupType="Supplier Markup",V114+V114*SupplierMarkup,"Error at finding value"))</f>
        <v>57.38</v>
      </c>
      <c r="X114" s="32" t="str">
        <f t="shared" si="40"/>
        <v>0.00</v>
      </c>
      <c r="Y114" s="15">
        <f t="shared" si="41"/>
        <v>182.15</v>
      </c>
      <c r="Z114" s="15">
        <f t="shared" si="42"/>
        <v>286.89999999999998</v>
      </c>
      <c r="AA114" s="15">
        <f>IF(FreightType="Lethbridge-Stewart Freight ",ROUND(2.99+IF(N114&gt;0.75,(N114-0.75)*2.25,0)*S114,2),IF(MarkupType="Supplier Markup",V114+V114*SupplierMarkup,"Error at finding value"))</f>
        <v>7.21</v>
      </c>
      <c r="AB114" s="15">
        <f t="shared" si="43"/>
        <v>0</v>
      </c>
    </row>
    <row r="115" spans="1:28" x14ac:dyDescent="0.25">
      <c r="A115" s="16">
        <f>OrdersTable!A115</f>
        <v>594</v>
      </c>
      <c r="B115" s="15" t="str">
        <f t="shared" si="23"/>
        <v>Mrs</v>
      </c>
      <c r="C115" s="15" t="str">
        <f t="shared" si="44"/>
        <v>Entriken</v>
      </c>
      <c r="D115" s="15" t="str">
        <f t="shared" si="24"/>
        <v>Gwenda Dawn</v>
      </c>
      <c r="E115" s="15" t="str">
        <f t="shared" si="25"/>
        <v>8 Miljkovic Drive</v>
      </c>
      <c r="F115" s="15" t="str">
        <f t="shared" si="26"/>
        <v>Nayook</v>
      </c>
      <c r="G115" s="15" t="str">
        <f t="shared" si="27"/>
        <v>VIC</v>
      </c>
      <c r="H115" s="15">
        <f t="shared" si="28"/>
        <v>3832</v>
      </c>
      <c r="I115" s="15">
        <f t="shared" si="39"/>
        <v>1552</v>
      </c>
      <c r="J115" s="15">
        <f>OrdersTable!B115</f>
        <v>418</v>
      </c>
      <c r="K115" s="15" t="str">
        <f t="shared" si="29"/>
        <v>Clothing and Apparel</v>
      </c>
      <c r="L115" s="15" t="str">
        <f t="shared" si="30"/>
        <v>Doctor Who: Women's Winter Pyjamas</v>
      </c>
      <c r="M115" s="15" t="str">
        <f t="shared" si="31"/>
        <v>M</v>
      </c>
      <c r="N115" s="15">
        <f t="shared" si="32"/>
        <v>1.5</v>
      </c>
      <c r="O115" s="15" t="str">
        <f t="shared" si="33"/>
        <v>A30</v>
      </c>
      <c r="P115" s="15" t="str">
        <f t="shared" si="34"/>
        <v>Chesterton Enterprises</v>
      </c>
      <c r="Q115" s="15" t="str">
        <f t="shared" si="35"/>
        <v>41 William Russell Road</v>
      </c>
      <c r="R115" s="3">
        <f>OrdersTable!C115</f>
        <v>44569</v>
      </c>
      <c r="S115" s="15">
        <f>OrdersTable!E115</f>
        <v>10</v>
      </c>
      <c r="T115" s="15">
        <f t="shared" si="36"/>
        <v>29.99</v>
      </c>
      <c r="U115" s="15">
        <f t="shared" si="37"/>
        <v>40.96</v>
      </c>
      <c r="V115" s="15">
        <f t="shared" si="38"/>
        <v>48.58</v>
      </c>
      <c r="W115" s="15">
        <f>IF(MarkupType="Store Markup",ROUND(V115+V115*StoreMarkup,2),IF(MarkupType="Supplier Markup",V115+V115*SupplierMarkup,"Error at finding value"))</f>
        <v>76.510000000000005</v>
      </c>
      <c r="X115" s="32" t="str">
        <f t="shared" si="40"/>
        <v>0.00</v>
      </c>
      <c r="Y115" s="15">
        <f t="shared" si="41"/>
        <v>485.8</v>
      </c>
      <c r="Z115" s="15">
        <f t="shared" si="42"/>
        <v>765.1</v>
      </c>
      <c r="AA115" s="15">
        <f>IF(FreightType="Lethbridge-Stewart Freight ",ROUND(2.99+IF(N115&gt;0.75,(N115-0.75)*2.25,0)*S115,2),IF(MarkupType="Supplier Markup",V115+V115*SupplierMarkup,"Error at finding value"))</f>
        <v>19.87</v>
      </c>
      <c r="AB115" s="15">
        <f t="shared" si="43"/>
        <v>0</v>
      </c>
    </row>
    <row r="116" spans="1:28" x14ac:dyDescent="0.25">
      <c r="A116" s="16">
        <f>OrdersTable!A116</f>
        <v>600</v>
      </c>
      <c r="B116" s="15" t="str">
        <f t="shared" si="23"/>
        <v>Dr</v>
      </c>
      <c r="C116" s="15" t="str">
        <f t="shared" si="44"/>
        <v>McConnell</v>
      </c>
      <c r="D116" s="15" t="str">
        <f t="shared" si="24"/>
        <v>Hannah Clair</v>
      </c>
      <c r="E116" s="15" t="str">
        <f t="shared" si="25"/>
        <v>27 Mccarthy Circuit</v>
      </c>
      <c r="F116" s="15" t="str">
        <f t="shared" si="26"/>
        <v>Ashford</v>
      </c>
      <c r="G116" s="15" t="str">
        <f t="shared" si="27"/>
        <v>SA</v>
      </c>
      <c r="H116" s="15">
        <f t="shared" si="28"/>
        <v>5035</v>
      </c>
      <c r="I116" s="15">
        <f t="shared" si="39"/>
        <v>1877</v>
      </c>
      <c r="J116" s="15">
        <f>OrdersTable!B116</f>
        <v>436</v>
      </c>
      <c r="K116" s="15" t="str">
        <f t="shared" si="29"/>
        <v>Giftware</v>
      </c>
      <c r="L116" s="15" t="str">
        <f t="shared" si="30"/>
        <v>Doctor Who: Adult Watch: TARDIS</v>
      </c>
      <c r="M116" s="15" t="str">
        <f t="shared" si="31"/>
        <v>-</v>
      </c>
      <c r="N116" s="15">
        <f t="shared" si="32"/>
        <v>1.5</v>
      </c>
      <c r="O116" s="15" t="str">
        <f t="shared" si="33"/>
        <v>A20</v>
      </c>
      <c r="P116" s="15" t="str">
        <f t="shared" si="34"/>
        <v>Morbius Inc.</v>
      </c>
      <c r="Q116" s="15" t="str">
        <f t="shared" si="35"/>
        <v>56 Michael Spice Hwy</v>
      </c>
      <c r="R116" s="3">
        <f>OrdersTable!C116</f>
        <v>44569</v>
      </c>
      <c r="S116" s="15">
        <f>OrdersTable!E116</f>
        <v>9</v>
      </c>
      <c r="T116" s="15">
        <f t="shared" si="36"/>
        <v>29.99</v>
      </c>
      <c r="U116" s="15">
        <f t="shared" si="37"/>
        <v>40.96</v>
      </c>
      <c r="V116" s="15">
        <f t="shared" si="38"/>
        <v>48.58</v>
      </c>
      <c r="W116" s="15">
        <f>IF(MarkupType="Store Markup",ROUND(V116+V116*StoreMarkup,2),IF(MarkupType="Supplier Markup",V116+V116*SupplierMarkup,"Error at finding value"))</f>
        <v>76.510000000000005</v>
      </c>
      <c r="X116" s="32" t="str">
        <f t="shared" si="40"/>
        <v>0.00</v>
      </c>
      <c r="Y116" s="15">
        <f t="shared" si="41"/>
        <v>437.22</v>
      </c>
      <c r="Z116" s="15">
        <f t="shared" si="42"/>
        <v>688.59</v>
      </c>
      <c r="AA116" s="15">
        <f>IF(FreightType="Lethbridge-Stewart Freight ",ROUND(2.99+IF(N116&gt;0.75,(N116-0.75)*2.25,0)*S116,2),IF(MarkupType="Supplier Markup",V116+V116*SupplierMarkup,"Error at finding value"))</f>
        <v>18.18</v>
      </c>
      <c r="AB116" s="15">
        <f t="shared" si="43"/>
        <v>0</v>
      </c>
    </row>
    <row r="117" spans="1:28" x14ac:dyDescent="0.25">
      <c r="A117" s="16">
        <f>OrdersTable!A117</f>
        <v>750</v>
      </c>
      <c r="B117" s="15" t="str">
        <f t="shared" si="23"/>
        <v>Ms</v>
      </c>
      <c r="C117" s="15" t="str">
        <f t="shared" si="44"/>
        <v>Talbot</v>
      </c>
      <c r="D117" s="15" t="str">
        <f t="shared" si="24"/>
        <v>Carlie Wenderly</v>
      </c>
      <c r="E117" s="15" t="str">
        <f t="shared" si="25"/>
        <v>31 Somerville Way</v>
      </c>
      <c r="F117" s="15" t="str">
        <f t="shared" si="26"/>
        <v>Boston</v>
      </c>
      <c r="G117" s="15" t="str">
        <f t="shared" si="27"/>
        <v>SA</v>
      </c>
      <c r="H117" s="15">
        <f t="shared" si="28"/>
        <v>5607</v>
      </c>
      <c r="I117" s="15">
        <f t="shared" si="39"/>
        <v>2076</v>
      </c>
      <c r="J117" s="15">
        <f>OrdersTable!B117</f>
        <v>177</v>
      </c>
      <c r="K117" s="15" t="str">
        <f t="shared" si="29"/>
        <v>Bobbleheads</v>
      </c>
      <c r="L117" s="15" t="str">
        <f t="shared" si="30"/>
        <v>Doctor Who: Bobblehead: TARDIS (With Sound)</v>
      </c>
      <c r="M117" s="15" t="str">
        <f t="shared" si="31"/>
        <v>-</v>
      </c>
      <c r="N117" s="15">
        <f t="shared" si="32"/>
        <v>1</v>
      </c>
      <c r="O117" s="15" t="str">
        <f t="shared" si="33"/>
        <v>A30</v>
      </c>
      <c r="P117" s="15" t="str">
        <f t="shared" si="34"/>
        <v>Chesterton Enterprises</v>
      </c>
      <c r="Q117" s="15" t="str">
        <f t="shared" si="35"/>
        <v>41 William Russell Road</v>
      </c>
      <c r="R117" s="3">
        <f>OrdersTable!C117</f>
        <v>44569</v>
      </c>
      <c r="S117" s="15">
        <f>OrdersTable!E117</f>
        <v>10</v>
      </c>
      <c r="T117" s="15">
        <f t="shared" si="36"/>
        <v>19.989999999999998</v>
      </c>
      <c r="U117" s="15">
        <f t="shared" si="37"/>
        <v>27.6</v>
      </c>
      <c r="V117" s="15">
        <f t="shared" si="38"/>
        <v>32.380000000000003</v>
      </c>
      <c r="W117" s="15">
        <f>IF(MarkupType="Store Markup",ROUND(V117+V117*StoreMarkup,2),IF(MarkupType="Supplier Markup",V117+V117*SupplierMarkup,"Error at finding value"))</f>
        <v>51</v>
      </c>
      <c r="X117" s="32" t="str">
        <f t="shared" si="40"/>
        <v>0.00</v>
      </c>
      <c r="Y117" s="15">
        <f t="shared" si="41"/>
        <v>323.8</v>
      </c>
      <c r="Z117" s="15">
        <f t="shared" si="42"/>
        <v>510</v>
      </c>
      <c r="AA117" s="15">
        <f>IF(FreightType="Lethbridge-Stewart Freight ",ROUND(2.99+IF(N117&gt;0.75,(N117-0.75)*2.25,0)*S117,2),IF(MarkupType="Supplier Markup",V117+V117*SupplierMarkup,"Error at finding value"))</f>
        <v>8.6199999999999992</v>
      </c>
      <c r="AB117" s="15">
        <f t="shared" si="43"/>
        <v>0</v>
      </c>
    </row>
    <row r="118" spans="1:28" x14ac:dyDescent="0.25">
      <c r="A118" s="16">
        <f>OrdersTable!A118</f>
        <v>47</v>
      </c>
      <c r="B118" s="15" t="str">
        <f t="shared" si="23"/>
        <v>Dr</v>
      </c>
      <c r="C118" s="15" t="str">
        <f t="shared" si="44"/>
        <v>Kaur</v>
      </c>
      <c r="D118" s="15" t="str">
        <f t="shared" si="24"/>
        <v>Jasleen</v>
      </c>
      <c r="E118" s="15" t="str">
        <f t="shared" si="25"/>
        <v>7 Hong Road</v>
      </c>
      <c r="F118" s="15" t="str">
        <f t="shared" si="26"/>
        <v>Belconnen</v>
      </c>
      <c r="G118" s="15" t="str">
        <f t="shared" si="27"/>
        <v>ACT</v>
      </c>
      <c r="H118" s="15">
        <f t="shared" si="28"/>
        <v>2617</v>
      </c>
      <c r="I118" s="15">
        <f t="shared" si="39"/>
        <v>1194</v>
      </c>
      <c r="J118" s="15">
        <f>OrdersTable!B118</f>
        <v>694</v>
      </c>
      <c r="K118" s="15" t="str">
        <f t="shared" si="29"/>
        <v>Posters, Prints and Standees</v>
      </c>
      <c r="L118" s="15" t="str">
        <f t="shared" si="30"/>
        <v>Doctor Who: 16'x12' Framed Print: Hide</v>
      </c>
      <c r="M118" s="15" t="str">
        <f t="shared" si="31"/>
        <v>-</v>
      </c>
      <c r="N118" s="15">
        <f t="shared" si="32"/>
        <v>0.75</v>
      </c>
      <c r="O118" s="15" t="str">
        <f t="shared" si="33"/>
        <v>A40</v>
      </c>
      <c r="P118" s="15" t="str">
        <f t="shared" si="34"/>
        <v>Romana Imports</v>
      </c>
      <c r="Q118" s="15" t="str">
        <f t="shared" si="35"/>
        <v>17 Lalla Ward Road</v>
      </c>
      <c r="R118" s="3">
        <f>OrdersTable!C118</f>
        <v>44570</v>
      </c>
      <c r="S118" s="15">
        <f>OrdersTable!E118</f>
        <v>1</v>
      </c>
      <c r="T118" s="15">
        <f t="shared" si="36"/>
        <v>14.99</v>
      </c>
      <c r="U118" s="15">
        <f t="shared" si="37"/>
        <v>20.49</v>
      </c>
      <c r="V118" s="15">
        <f t="shared" si="38"/>
        <v>24.28</v>
      </c>
      <c r="W118" s="15">
        <f>IF(MarkupType="Store Markup",ROUND(V118+V118*StoreMarkup,2),IF(MarkupType="Supplier Markup",V118+V118*SupplierMarkup,"Error at finding value"))</f>
        <v>38.24</v>
      </c>
      <c r="X118" s="32" t="str">
        <f t="shared" si="40"/>
        <v>0.00</v>
      </c>
      <c r="Y118" s="15">
        <f t="shared" si="41"/>
        <v>24.28</v>
      </c>
      <c r="Z118" s="15">
        <f t="shared" si="42"/>
        <v>38.24</v>
      </c>
      <c r="AA118" s="15">
        <f>IF(FreightType="Lethbridge-Stewart Freight ",ROUND(2.99+IF(N118&gt;0.75,(N118-0.75)*2.25,0)*S118,2),IF(MarkupType="Supplier Markup",V118+V118*SupplierMarkup,"Error at finding value"))</f>
        <v>2.99</v>
      </c>
      <c r="AB118" s="15">
        <f t="shared" si="43"/>
        <v>0</v>
      </c>
    </row>
    <row r="119" spans="1:28" x14ac:dyDescent="0.25">
      <c r="A119" s="16">
        <f>OrdersTable!A119</f>
        <v>142</v>
      </c>
      <c r="B119" s="15" t="str">
        <f t="shared" si="23"/>
        <v>Miss</v>
      </c>
      <c r="C119" s="15" t="str">
        <f t="shared" si="44"/>
        <v>Western</v>
      </c>
      <c r="D119" s="15" t="str">
        <f t="shared" si="24"/>
        <v>Lee Reuben</v>
      </c>
      <c r="E119" s="15" t="str">
        <f t="shared" si="25"/>
        <v>14 Fields Road</v>
      </c>
      <c r="F119" s="15" t="str">
        <f t="shared" si="26"/>
        <v>Airly</v>
      </c>
      <c r="G119" s="15" t="str">
        <f t="shared" si="27"/>
        <v>VIC</v>
      </c>
      <c r="H119" s="15">
        <f t="shared" si="28"/>
        <v>3851</v>
      </c>
      <c r="I119" s="15">
        <f t="shared" si="39"/>
        <v>1583</v>
      </c>
      <c r="J119" s="15">
        <f>OrdersTable!B119</f>
        <v>582</v>
      </c>
      <c r="K119" s="15" t="str">
        <f t="shared" si="29"/>
        <v>Giftware</v>
      </c>
      <c r="L119" s="15" t="str">
        <f t="shared" si="30"/>
        <v>Doctor Who: Wallpaper: Classic TARDIS Roundels</v>
      </c>
      <c r="M119" s="15" t="str">
        <f t="shared" si="31"/>
        <v>-</v>
      </c>
      <c r="N119" s="15">
        <f t="shared" si="32"/>
        <v>1.75</v>
      </c>
      <c r="O119" s="15" t="str">
        <f t="shared" si="33"/>
        <v>A40</v>
      </c>
      <c r="P119" s="15" t="str">
        <f t="shared" si="34"/>
        <v>Romana Imports</v>
      </c>
      <c r="Q119" s="15" t="str">
        <f t="shared" si="35"/>
        <v>17 Lalla Ward Road</v>
      </c>
      <c r="R119" s="3">
        <f>OrdersTable!C119</f>
        <v>44570</v>
      </c>
      <c r="S119" s="15">
        <f>OrdersTable!E119</f>
        <v>10</v>
      </c>
      <c r="T119" s="15">
        <f t="shared" si="36"/>
        <v>34.99</v>
      </c>
      <c r="U119" s="15">
        <f t="shared" si="37"/>
        <v>47.77</v>
      </c>
      <c r="V119" s="15">
        <f t="shared" si="38"/>
        <v>56.68</v>
      </c>
      <c r="W119" s="15">
        <f>IF(MarkupType="Store Markup",ROUND(V119+V119*StoreMarkup,2),IF(MarkupType="Supplier Markup",V119+V119*SupplierMarkup,"Error at finding value"))</f>
        <v>89.27</v>
      </c>
      <c r="X119" s="32" t="str">
        <f t="shared" si="40"/>
        <v>0.00</v>
      </c>
      <c r="Y119" s="15">
        <f t="shared" si="41"/>
        <v>566.79999999999995</v>
      </c>
      <c r="Z119" s="15">
        <f t="shared" si="42"/>
        <v>892.7</v>
      </c>
      <c r="AA119" s="15">
        <f>IF(FreightType="Lethbridge-Stewart Freight ",ROUND(2.99+IF(N119&gt;0.75,(N119-0.75)*2.25,0)*S119,2),IF(MarkupType="Supplier Markup",V119+V119*SupplierMarkup,"Error at finding value"))</f>
        <v>25.49</v>
      </c>
      <c r="AB119" s="15">
        <f t="shared" si="43"/>
        <v>0</v>
      </c>
    </row>
    <row r="120" spans="1:28" x14ac:dyDescent="0.25">
      <c r="A120" s="16">
        <f>OrdersTable!A120</f>
        <v>254</v>
      </c>
      <c r="B120" s="15" t="str">
        <f t="shared" si="23"/>
        <v>Miss</v>
      </c>
      <c r="C120" s="15" t="str">
        <f t="shared" si="44"/>
        <v>Hoolihan</v>
      </c>
      <c r="D120" s="15" t="str">
        <f t="shared" si="24"/>
        <v>Crystal Claire Grace</v>
      </c>
      <c r="E120" s="15" t="str">
        <f t="shared" si="25"/>
        <v>7 Van Riet Avenue</v>
      </c>
      <c r="F120" s="15" t="str">
        <f t="shared" si="26"/>
        <v>Aberfoyle</v>
      </c>
      <c r="G120" s="15" t="str">
        <f t="shared" si="27"/>
        <v>NSW</v>
      </c>
      <c r="H120" s="15">
        <f t="shared" si="28"/>
        <v>2350</v>
      </c>
      <c r="I120" s="15">
        <f t="shared" si="39"/>
        <v>363</v>
      </c>
      <c r="J120" s="15">
        <f>OrdersTable!B120</f>
        <v>694</v>
      </c>
      <c r="K120" s="15" t="str">
        <f t="shared" si="29"/>
        <v>Posters, Prints and Standees</v>
      </c>
      <c r="L120" s="15" t="str">
        <f t="shared" si="30"/>
        <v>Doctor Who: 16'x12' Framed Print: Hide</v>
      </c>
      <c r="M120" s="15" t="str">
        <f t="shared" si="31"/>
        <v>-</v>
      </c>
      <c r="N120" s="15">
        <f t="shared" si="32"/>
        <v>0.75</v>
      </c>
      <c r="O120" s="15" t="str">
        <f t="shared" si="33"/>
        <v>A40</v>
      </c>
      <c r="P120" s="15" t="str">
        <f t="shared" si="34"/>
        <v>Romana Imports</v>
      </c>
      <c r="Q120" s="15" t="str">
        <f t="shared" si="35"/>
        <v>17 Lalla Ward Road</v>
      </c>
      <c r="R120" s="3">
        <f>OrdersTable!C120</f>
        <v>44570</v>
      </c>
      <c r="S120" s="15">
        <f>OrdersTable!E120</f>
        <v>5</v>
      </c>
      <c r="T120" s="15">
        <f t="shared" si="36"/>
        <v>14.99</v>
      </c>
      <c r="U120" s="15">
        <f t="shared" si="37"/>
        <v>20.49</v>
      </c>
      <c r="V120" s="15">
        <f t="shared" si="38"/>
        <v>24.28</v>
      </c>
      <c r="W120" s="15">
        <f>IF(MarkupType="Store Markup",ROUND(V120+V120*StoreMarkup,2),IF(MarkupType="Supplier Markup",V120+V120*SupplierMarkup,"Error at finding value"))</f>
        <v>38.24</v>
      </c>
      <c r="X120" s="32" t="str">
        <f t="shared" si="40"/>
        <v>0.00</v>
      </c>
      <c r="Y120" s="15">
        <f t="shared" si="41"/>
        <v>121.4</v>
      </c>
      <c r="Z120" s="15">
        <f t="shared" si="42"/>
        <v>191.2</v>
      </c>
      <c r="AA120" s="15">
        <f>IF(FreightType="Lethbridge-Stewart Freight ",ROUND(2.99+IF(N120&gt;0.75,(N120-0.75)*2.25,0)*S120,2),IF(MarkupType="Supplier Markup",V120+V120*SupplierMarkup,"Error at finding value"))</f>
        <v>2.99</v>
      </c>
      <c r="AB120" s="15">
        <f t="shared" si="43"/>
        <v>0</v>
      </c>
    </row>
    <row r="121" spans="1:28" x14ac:dyDescent="0.25">
      <c r="A121" s="16">
        <f>OrdersTable!A121</f>
        <v>254</v>
      </c>
      <c r="B121" s="15" t="str">
        <f t="shared" si="23"/>
        <v>Miss</v>
      </c>
      <c r="C121" s="15" t="str">
        <f t="shared" si="44"/>
        <v>Hoolihan</v>
      </c>
      <c r="D121" s="15" t="str">
        <f t="shared" si="24"/>
        <v>Crystal Claire Grace</v>
      </c>
      <c r="E121" s="15" t="str">
        <f t="shared" si="25"/>
        <v>7 Van Riet Avenue</v>
      </c>
      <c r="F121" s="15" t="str">
        <f t="shared" si="26"/>
        <v>Aberfoyle</v>
      </c>
      <c r="G121" s="15" t="str">
        <f t="shared" si="27"/>
        <v>NSW</v>
      </c>
      <c r="H121" s="15">
        <f t="shared" si="28"/>
        <v>2350</v>
      </c>
      <c r="I121" s="15">
        <f t="shared" si="39"/>
        <v>363</v>
      </c>
      <c r="J121" s="15">
        <f>OrdersTable!B121</f>
        <v>805</v>
      </c>
      <c r="K121" s="15" t="str">
        <f t="shared" si="29"/>
        <v>Statues and Busts</v>
      </c>
      <c r="L121" s="15" t="str">
        <f t="shared" si="30"/>
        <v>Doctor Who: Masterpiece Collection Maxi Bust: 5th Doctor</v>
      </c>
      <c r="M121" s="15" t="str">
        <f t="shared" si="31"/>
        <v>-</v>
      </c>
      <c r="N121" s="15">
        <f t="shared" si="32"/>
        <v>2.5</v>
      </c>
      <c r="O121" s="15" t="str">
        <f t="shared" si="33"/>
        <v>A20</v>
      </c>
      <c r="P121" s="15" t="str">
        <f t="shared" si="34"/>
        <v>Morbius Inc.</v>
      </c>
      <c r="Q121" s="15" t="str">
        <f t="shared" si="35"/>
        <v>56 Michael Spice Hwy</v>
      </c>
      <c r="R121" s="3">
        <f>OrdersTable!C121</f>
        <v>44570</v>
      </c>
      <c r="S121" s="15">
        <f>OrdersTable!E121</f>
        <v>4</v>
      </c>
      <c r="T121" s="15">
        <f t="shared" si="36"/>
        <v>49.99</v>
      </c>
      <c r="U121" s="15">
        <f t="shared" si="37"/>
        <v>68.42</v>
      </c>
      <c r="V121" s="15">
        <f t="shared" si="38"/>
        <v>80.98</v>
      </c>
      <c r="W121" s="15">
        <f>IF(MarkupType="Store Markup",ROUND(V121+V121*StoreMarkup,2),IF(MarkupType="Supplier Markup",V121+V121*SupplierMarkup,"Error at finding value"))</f>
        <v>127.54</v>
      </c>
      <c r="X121" s="32">
        <f t="shared" si="40"/>
        <v>9.09</v>
      </c>
      <c r="Y121" s="15">
        <f t="shared" si="41"/>
        <v>323.92</v>
      </c>
      <c r="Z121" s="15">
        <f t="shared" si="42"/>
        <v>473.8</v>
      </c>
      <c r="AA121" s="15">
        <f>IF(FreightType="Lethbridge-Stewart Freight ",ROUND(2.99+IF(N121&gt;0.75,(N121-0.75)*2.25,0)*S121,2),IF(MarkupType="Supplier Markup",V121+V121*SupplierMarkup,"Error at finding value"))</f>
        <v>18.739999999999998</v>
      </c>
      <c r="AB121" s="15">
        <f t="shared" si="43"/>
        <v>36.36</v>
      </c>
    </row>
    <row r="122" spans="1:28" x14ac:dyDescent="0.25">
      <c r="A122" s="16">
        <f>OrdersTable!A122</f>
        <v>328</v>
      </c>
      <c r="B122" s="15" t="str">
        <f t="shared" si="23"/>
        <v>Dr</v>
      </c>
      <c r="C122" s="15" t="str">
        <f t="shared" si="44"/>
        <v>Ward</v>
      </c>
      <c r="D122" s="15" t="str">
        <f t="shared" si="24"/>
        <v>Keiren Nicholas</v>
      </c>
      <c r="E122" s="15" t="str">
        <f t="shared" si="25"/>
        <v>13 Green Crescent</v>
      </c>
      <c r="F122" s="15" t="str">
        <f t="shared" si="26"/>
        <v>Breakwater</v>
      </c>
      <c r="G122" s="15" t="str">
        <f t="shared" si="27"/>
        <v>VIC</v>
      </c>
      <c r="H122" s="15">
        <f t="shared" si="28"/>
        <v>3219</v>
      </c>
      <c r="I122" s="15">
        <f t="shared" si="39"/>
        <v>1596</v>
      </c>
      <c r="J122" s="15">
        <f>OrdersTable!B122</f>
        <v>358</v>
      </c>
      <c r="K122" s="15" t="str">
        <f t="shared" si="29"/>
        <v>Clothing and Apparel</v>
      </c>
      <c r="L122" s="15" t="str">
        <f t="shared" si="30"/>
        <v xml:space="preserve">Doctor Who: T-Shirts: 5th Doctor Costume </v>
      </c>
      <c r="M122" s="15" t="str">
        <f t="shared" si="31"/>
        <v>M</v>
      </c>
      <c r="N122" s="15">
        <f t="shared" si="32"/>
        <v>0.8</v>
      </c>
      <c r="O122" s="15" t="str">
        <f t="shared" si="33"/>
        <v>A30</v>
      </c>
      <c r="P122" s="15" t="str">
        <f t="shared" si="34"/>
        <v>Chesterton Enterprises</v>
      </c>
      <c r="Q122" s="15" t="str">
        <f t="shared" si="35"/>
        <v>41 William Russell Road</v>
      </c>
      <c r="R122" s="3">
        <f>OrdersTable!C122</f>
        <v>44570</v>
      </c>
      <c r="S122" s="15">
        <f>OrdersTable!E122</f>
        <v>6</v>
      </c>
      <c r="T122" s="15">
        <f t="shared" si="36"/>
        <v>15.99</v>
      </c>
      <c r="U122" s="15">
        <f t="shared" si="37"/>
        <v>21.96</v>
      </c>
      <c r="V122" s="15">
        <f t="shared" si="38"/>
        <v>25.9</v>
      </c>
      <c r="W122" s="15">
        <f>IF(MarkupType="Store Markup",ROUND(V122+V122*StoreMarkup,2),IF(MarkupType="Supplier Markup",V122+V122*SupplierMarkup,"Error at finding value"))</f>
        <v>40.79</v>
      </c>
      <c r="X122" s="32" t="str">
        <f t="shared" si="40"/>
        <v>0.00</v>
      </c>
      <c r="Y122" s="15">
        <f t="shared" si="41"/>
        <v>155.4</v>
      </c>
      <c r="Z122" s="15">
        <f t="shared" si="42"/>
        <v>244.74</v>
      </c>
      <c r="AA122" s="15">
        <f>IF(FreightType="Lethbridge-Stewart Freight ",ROUND(2.99+IF(N122&gt;0.75,(N122-0.75)*2.25,0)*S122,2),IF(MarkupType="Supplier Markup",V122+V122*SupplierMarkup,"Error at finding value"))</f>
        <v>3.67</v>
      </c>
      <c r="AB122" s="15">
        <f t="shared" si="43"/>
        <v>0</v>
      </c>
    </row>
    <row r="123" spans="1:28" x14ac:dyDescent="0.25">
      <c r="A123" s="16">
        <f>OrdersTable!A123</f>
        <v>370</v>
      </c>
      <c r="B123" s="15" t="str">
        <f t="shared" si="23"/>
        <v>Mr</v>
      </c>
      <c r="C123" s="15" t="str">
        <f t="shared" si="44"/>
        <v>Kennedy</v>
      </c>
      <c r="D123" s="15" t="str">
        <f t="shared" si="24"/>
        <v>Joseph Dominic</v>
      </c>
      <c r="E123" s="15" t="str">
        <f t="shared" si="25"/>
        <v>43 Barton Road</v>
      </c>
      <c r="F123" s="15" t="str">
        <f t="shared" si="26"/>
        <v>Boston</v>
      </c>
      <c r="G123" s="15" t="str">
        <f t="shared" si="27"/>
        <v>SA</v>
      </c>
      <c r="H123" s="15">
        <f t="shared" si="28"/>
        <v>5607</v>
      </c>
      <c r="I123" s="15">
        <f t="shared" si="39"/>
        <v>2076</v>
      </c>
      <c r="J123" s="15">
        <f>OrdersTable!B123</f>
        <v>213</v>
      </c>
      <c r="K123" s="15" t="str">
        <f t="shared" si="29"/>
        <v>Clothing and Apparel</v>
      </c>
      <c r="L123" s="15" t="str">
        <f t="shared" si="30"/>
        <v>Doctor Who: Fez and Bow Tie</v>
      </c>
      <c r="M123" s="15" t="str">
        <f t="shared" si="31"/>
        <v>-</v>
      </c>
      <c r="N123" s="15">
        <f t="shared" si="32"/>
        <v>0.97499999999999998</v>
      </c>
      <c r="O123" s="15" t="str">
        <f t="shared" si="33"/>
        <v>A50</v>
      </c>
      <c r="P123" s="15" t="str">
        <f t="shared" si="34"/>
        <v>Rassilon Ltd.</v>
      </c>
      <c r="Q123" s="15" t="str">
        <f t="shared" si="35"/>
        <v>82 Richard Mathews Road</v>
      </c>
      <c r="R123" s="3">
        <f>OrdersTable!C123</f>
        <v>44570</v>
      </c>
      <c r="S123" s="15">
        <f>OrdersTable!E123</f>
        <v>2</v>
      </c>
      <c r="T123" s="15">
        <f t="shared" si="36"/>
        <v>19.5</v>
      </c>
      <c r="U123" s="15">
        <f t="shared" si="37"/>
        <v>26.88</v>
      </c>
      <c r="V123" s="15">
        <f t="shared" si="38"/>
        <v>31.59</v>
      </c>
      <c r="W123" s="15">
        <f>IF(MarkupType="Store Markup",ROUND(V123+V123*StoreMarkup,2),IF(MarkupType="Supplier Markup",V123+V123*SupplierMarkup,"Error at finding value"))</f>
        <v>49.75</v>
      </c>
      <c r="X123" s="32" t="str">
        <f t="shared" si="40"/>
        <v>0.00</v>
      </c>
      <c r="Y123" s="15">
        <f t="shared" si="41"/>
        <v>63.18</v>
      </c>
      <c r="Z123" s="15">
        <f t="shared" si="42"/>
        <v>99.5</v>
      </c>
      <c r="AA123" s="15">
        <f>IF(FreightType="Lethbridge-Stewart Freight ",ROUND(2.99+IF(N123&gt;0.75,(N123-0.75)*2.25,0)*S123,2),IF(MarkupType="Supplier Markup",V123+V123*SupplierMarkup,"Error at finding value"))</f>
        <v>4</v>
      </c>
      <c r="AB123" s="15">
        <f t="shared" si="43"/>
        <v>0</v>
      </c>
    </row>
    <row r="124" spans="1:28" x14ac:dyDescent="0.25">
      <c r="A124" s="16">
        <f>OrdersTable!A124</f>
        <v>544</v>
      </c>
      <c r="B124" s="15" t="str">
        <f t="shared" si="23"/>
        <v>Mr</v>
      </c>
      <c r="C124" s="15" t="str">
        <f t="shared" si="44"/>
        <v>Sullivan</v>
      </c>
      <c r="D124" s="15" t="str">
        <f t="shared" si="24"/>
        <v>Lawrence Bernard</v>
      </c>
      <c r="E124" s="15" t="str">
        <f t="shared" si="25"/>
        <v>11 Haydon Boulevard</v>
      </c>
      <c r="F124" s="15" t="str">
        <f t="shared" si="26"/>
        <v>Breakwater</v>
      </c>
      <c r="G124" s="15" t="str">
        <f t="shared" si="27"/>
        <v>VIC</v>
      </c>
      <c r="H124" s="15">
        <f t="shared" si="28"/>
        <v>3219</v>
      </c>
      <c r="I124" s="15">
        <f t="shared" si="39"/>
        <v>1596</v>
      </c>
      <c r="J124" s="15">
        <f>OrdersTable!B124</f>
        <v>725</v>
      </c>
      <c r="K124" s="15" t="str">
        <f t="shared" si="29"/>
        <v>Props and Replicas</v>
      </c>
      <c r="L124" s="15" t="str">
        <f t="shared" si="30"/>
        <v>Doctor Who: Captain Jack Sonic Blaster</v>
      </c>
      <c r="M124" s="15" t="str">
        <f t="shared" si="31"/>
        <v>-</v>
      </c>
      <c r="N124" s="15">
        <f t="shared" si="32"/>
        <v>14.8</v>
      </c>
      <c r="O124" s="15" t="str">
        <f t="shared" si="33"/>
        <v>A30</v>
      </c>
      <c r="P124" s="15" t="str">
        <f t="shared" si="34"/>
        <v>Chesterton Enterprises</v>
      </c>
      <c r="Q124" s="15" t="str">
        <f t="shared" si="35"/>
        <v>41 William Russell Road</v>
      </c>
      <c r="R124" s="3">
        <f>OrdersTable!C124</f>
        <v>44570</v>
      </c>
      <c r="S124" s="15">
        <f>OrdersTable!E124</f>
        <v>6</v>
      </c>
      <c r="T124" s="15">
        <f t="shared" si="36"/>
        <v>295.99</v>
      </c>
      <c r="U124" s="15">
        <f t="shared" si="37"/>
        <v>403.88</v>
      </c>
      <c r="V124" s="15">
        <f t="shared" si="38"/>
        <v>479.5</v>
      </c>
      <c r="W124" s="15">
        <f>IF(MarkupType="Store Markup",ROUND(V124+V124*StoreMarkup,2),IF(MarkupType="Supplier Markup",V124+V124*SupplierMarkup,"Error at finding value"))</f>
        <v>755.21</v>
      </c>
      <c r="X124" s="32">
        <f t="shared" si="40"/>
        <v>53.81</v>
      </c>
      <c r="Y124" s="15">
        <f t="shared" si="41"/>
        <v>2877</v>
      </c>
      <c r="Z124" s="15">
        <f t="shared" si="42"/>
        <v>4208.3999999999996</v>
      </c>
      <c r="AA124" s="15">
        <f>IF(FreightType="Lethbridge-Stewart Freight ",ROUND(2.99+IF(N124&gt;0.75,(N124-0.75)*2.25,0)*S124,2),IF(MarkupType="Supplier Markup",V124+V124*SupplierMarkup,"Error at finding value"))</f>
        <v>192.67</v>
      </c>
      <c r="AB124" s="15">
        <f t="shared" si="43"/>
        <v>322.86</v>
      </c>
    </row>
    <row r="125" spans="1:28" x14ac:dyDescent="0.25">
      <c r="A125" s="16">
        <f>OrdersTable!A125</f>
        <v>561</v>
      </c>
      <c r="B125" s="15" t="str">
        <f t="shared" si="23"/>
        <v>Ms</v>
      </c>
      <c r="C125" s="15" t="str">
        <f t="shared" si="44"/>
        <v>Mulcahy</v>
      </c>
      <c r="D125" s="15" t="str">
        <f t="shared" si="24"/>
        <v>Jodie Leigh</v>
      </c>
      <c r="E125" s="15" t="str">
        <f t="shared" si="25"/>
        <v>32 Scott Crescent</v>
      </c>
      <c r="F125" s="15" t="str">
        <f t="shared" si="26"/>
        <v>Bray Park</v>
      </c>
      <c r="G125" s="15" t="str">
        <f t="shared" si="27"/>
        <v>QLD</v>
      </c>
      <c r="H125" s="15">
        <f t="shared" si="28"/>
        <v>4500</v>
      </c>
      <c r="I125" s="15">
        <f t="shared" si="39"/>
        <v>139</v>
      </c>
      <c r="J125" s="15">
        <f>OrdersTable!B125</f>
        <v>778</v>
      </c>
      <c r="K125" s="15" t="str">
        <f t="shared" si="29"/>
        <v>Statues and Busts</v>
      </c>
      <c r="L125" s="15" t="str">
        <f t="shared" si="30"/>
        <v>Doctor Who: Legends Forever Bust: William Hartnell</v>
      </c>
      <c r="M125" s="15" t="str">
        <f t="shared" si="31"/>
        <v>-</v>
      </c>
      <c r="N125" s="15">
        <f t="shared" si="32"/>
        <v>1.375</v>
      </c>
      <c r="O125" s="15" t="str">
        <f t="shared" si="33"/>
        <v>A40</v>
      </c>
      <c r="P125" s="15" t="str">
        <f t="shared" si="34"/>
        <v>Romana Imports</v>
      </c>
      <c r="Q125" s="15" t="str">
        <f t="shared" si="35"/>
        <v>17 Lalla Ward Road</v>
      </c>
      <c r="R125" s="3">
        <f>OrdersTable!C125</f>
        <v>44570</v>
      </c>
      <c r="S125" s="15">
        <f>OrdersTable!E125</f>
        <v>6</v>
      </c>
      <c r="T125" s="15">
        <f t="shared" si="36"/>
        <v>27.5</v>
      </c>
      <c r="U125" s="15">
        <f t="shared" si="37"/>
        <v>37.520000000000003</v>
      </c>
      <c r="V125" s="15">
        <f t="shared" si="38"/>
        <v>44.55</v>
      </c>
      <c r="W125" s="15">
        <f>IF(MarkupType="Store Markup",ROUND(V125+V125*StoreMarkup,2),IF(MarkupType="Supplier Markup",V125+V125*SupplierMarkup,"Error at finding value"))</f>
        <v>70.17</v>
      </c>
      <c r="X125" s="32" t="str">
        <f t="shared" si="40"/>
        <v>0.00</v>
      </c>
      <c r="Y125" s="15">
        <f t="shared" si="41"/>
        <v>267.3</v>
      </c>
      <c r="Z125" s="15">
        <f t="shared" si="42"/>
        <v>421.02</v>
      </c>
      <c r="AA125" s="15">
        <f>IF(FreightType="Lethbridge-Stewart Freight ",ROUND(2.99+IF(N125&gt;0.75,(N125-0.75)*2.25,0)*S125,2),IF(MarkupType="Supplier Markup",V125+V125*SupplierMarkup,"Error at finding value"))</f>
        <v>11.43</v>
      </c>
      <c r="AB125" s="15">
        <f t="shared" si="43"/>
        <v>0</v>
      </c>
    </row>
    <row r="126" spans="1:28" x14ac:dyDescent="0.25">
      <c r="A126" s="16">
        <f>OrdersTable!A126</f>
        <v>750</v>
      </c>
      <c r="B126" s="15" t="str">
        <f t="shared" si="23"/>
        <v>Ms</v>
      </c>
      <c r="C126" s="15" t="str">
        <f t="shared" si="44"/>
        <v>Talbot</v>
      </c>
      <c r="D126" s="15" t="str">
        <f t="shared" si="24"/>
        <v>Carlie Wenderly</v>
      </c>
      <c r="E126" s="15" t="str">
        <f t="shared" si="25"/>
        <v>31 Somerville Way</v>
      </c>
      <c r="F126" s="15" t="str">
        <f t="shared" si="26"/>
        <v>Boston</v>
      </c>
      <c r="G126" s="15" t="str">
        <f t="shared" si="27"/>
        <v>SA</v>
      </c>
      <c r="H126" s="15">
        <f t="shared" si="28"/>
        <v>5607</v>
      </c>
      <c r="I126" s="15">
        <f t="shared" si="39"/>
        <v>2076</v>
      </c>
      <c r="J126" s="15">
        <f>OrdersTable!B126</f>
        <v>479</v>
      </c>
      <c r="K126" s="15" t="str">
        <f t="shared" si="29"/>
        <v>Giftware</v>
      </c>
      <c r="L126" s="15" t="str">
        <f t="shared" si="30"/>
        <v>Doctor Who: Keyring Dalek</v>
      </c>
      <c r="M126" s="15" t="str">
        <f t="shared" si="31"/>
        <v>-</v>
      </c>
      <c r="N126" s="15">
        <f t="shared" si="32"/>
        <v>0.25</v>
      </c>
      <c r="O126" s="15" t="str">
        <f t="shared" si="33"/>
        <v>A10</v>
      </c>
      <c r="P126" s="15" t="str">
        <f t="shared" si="34"/>
        <v>Gallifrey International</v>
      </c>
      <c r="Q126" s="15" t="str">
        <f t="shared" si="35"/>
        <v>181 Arcadia Street</v>
      </c>
      <c r="R126" s="3">
        <f>OrdersTable!C126</f>
        <v>44570</v>
      </c>
      <c r="S126" s="15">
        <f>OrdersTable!E126</f>
        <v>10</v>
      </c>
      <c r="T126" s="15">
        <f t="shared" si="36"/>
        <v>4.99</v>
      </c>
      <c r="U126" s="15">
        <f t="shared" si="37"/>
        <v>6.86</v>
      </c>
      <c r="V126" s="15">
        <f t="shared" si="38"/>
        <v>8.08</v>
      </c>
      <c r="W126" s="15">
        <f>IF(MarkupType="Store Markup",ROUND(V126+V126*StoreMarkup,2),IF(MarkupType="Supplier Markup",V126+V126*SupplierMarkup,"Error at finding value"))</f>
        <v>12.73</v>
      </c>
      <c r="X126" s="32" t="str">
        <f t="shared" si="40"/>
        <v>0.00</v>
      </c>
      <c r="Y126" s="15">
        <f t="shared" si="41"/>
        <v>80.8</v>
      </c>
      <c r="Z126" s="15">
        <f t="shared" si="42"/>
        <v>127.3</v>
      </c>
      <c r="AA126" s="15">
        <f>IF(FreightType="Lethbridge-Stewart Freight ",ROUND(2.99+IF(N126&gt;0.75,(N126-0.75)*2.25,0)*S126,2),IF(MarkupType="Supplier Markup",V126+V126*SupplierMarkup,"Error at finding value"))</f>
        <v>2.99</v>
      </c>
      <c r="AB126" s="15">
        <f t="shared" si="43"/>
        <v>0</v>
      </c>
    </row>
    <row r="127" spans="1:28" x14ac:dyDescent="0.25">
      <c r="A127" s="16">
        <f>OrdersTable!A127</f>
        <v>771</v>
      </c>
      <c r="B127" s="15" t="str">
        <f t="shared" si="23"/>
        <v>Dr</v>
      </c>
      <c r="C127" s="15" t="str">
        <f t="shared" si="44"/>
        <v>Virk</v>
      </c>
      <c r="D127" s="15" t="str">
        <f t="shared" si="24"/>
        <v>Balraj Singh</v>
      </c>
      <c r="E127" s="15" t="str">
        <f t="shared" si="25"/>
        <v>39 Napanje Drive</v>
      </c>
      <c r="F127" s="15" t="str">
        <f t="shared" si="26"/>
        <v>Abington</v>
      </c>
      <c r="G127" s="15" t="str">
        <f t="shared" si="27"/>
        <v>QLD</v>
      </c>
      <c r="H127" s="15">
        <f t="shared" si="28"/>
        <v>4660</v>
      </c>
      <c r="I127" s="15">
        <f t="shared" si="39"/>
        <v>336</v>
      </c>
      <c r="J127" s="15">
        <f>OrdersTable!B127</f>
        <v>145</v>
      </c>
      <c r="K127" s="15" t="str">
        <f t="shared" si="29"/>
        <v>Bobbleheads</v>
      </c>
      <c r="L127" s="15" t="str">
        <f t="shared" si="30"/>
        <v>Doctor Who: Bobblehead: Eleventh Doctor</v>
      </c>
      <c r="M127" s="15" t="str">
        <f t="shared" si="31"/>
        <v>-</v>
      </c>
      <c r="N127" s="15">
        <f t="shared" si="32"/>
        <v>1</v>
      </c>
      <c r="O127" s="15" t="str">
        <f t="shared" si="33"/>
        <v>A30</v>
      </c>
      <c r="P127" s="15" t="str">
        <f t="shared" si="34"/>
        <v>Chesterton Enterprises</v>
      </c>
      <c r="Q127" s="15" t="str">
        <f t="shared" si="35"/>
        <v>41 William Russell Road</v>
      </c>
      <c r="R127" s="3">
        <f>OrdersTable!C127</f>
        <v>44570</v>
      </c>
      <c r="S127" s="15">
        <f>OrdersTable!E127</f>
        <v>3</v>
      </c>
      <c r="T127" s="15">
        <f t="shared" si="36"/>
        <v>19.989999999999998</v>
      </c>
      <c r="U127" s="15">
        <f t="shared" si="37"/>
        <v>27.54</v>
      </c>
      <c r="V127" s="15">
        <f t="shared" si="38"/>
        <v>32.380000000000003</v>
      </c>
      <c r="W127" s="15">
        <f>IF(MarkupType="Store Markup",ROUND(V127+V127*StoreMarkup,2),IF(MarkupType="Supplier Markup",V127+V127*SupplierMarkup,"Error at finding value"))</f>
        <v>51</v>
      </c>
      <c r="X127" s="32" t="str">
        <f t="shared" si="40"/>
        <v>0.00</v>
      </c>
      <c r="Y127" s="15">
        <f t="shared" si="41"/>
        <v>97.14</v>
      </c>
      <c r="Z127" s="15">
        <f t="shared" si="42"/>
        <v>153</v>
      </c>
      <c r="AA127" s="15">
        <f>IF(FreightType="Lethbridge-Stewart Freight ",ROUND(2.99+IF(N127&gt;0.75,(N127-0.75)*2.25,0)*S127,2),IF(MarkupType="Supplier Markup",V127+V127*SupplierMarkup,"Error at finding value"))</f>
        <v>4.68</v>
      </c>
      <c r="AB127" s="15">
        <f t="shared" si="43"/>
        <v>0</v>
      </c>
    </row>
    <row r="128" spans="1:28" x14ac:dyDescent="0.25">
      <c r="A128" s="16">
        <f>OrdersTable!A128</f>
        <v>771</v>
      </c>
      <c r="B128" s="15" t="str">
        <f t="shared" si="23"/>
        <v>Dr</v>
      </c>
      <c r="C128" s="15" t="str">
        <f t="shared" si="44"/>
        <v>Virk</v>
      </c>
      <c r="D128" s="15" t="str">
        <f t="shared" si="24"/>
        <v>Balraj Singh</v>
      </c>
      <c r="E128" s="15" t="str">
        <f t="shared" si="25"/>
        <v>39 Napanje Drive</v>
      </c>
      <c r="F128" s="15" t="str">
        <f t="shared" si="26"/>
        <v>Abington</v>
      </c>
      <c r="G128" s="15" t="str">
        <f t="shared" si="27"/>
        <v>QLD</v>
      </c>
      <c r="H128" s="15">
        <f t="shared" si="28"/>
        <v>4660</v>
      </c>
      <c r="I128" s="15">
        <f t="shared" si="39"/>
        <v>336</v>
      </c>
      <c r="J128" s="15">
        <f>OrdersTable!B128</f>
        <v>747</v>
      </c>
      <c r="K128" s="15" t="str">
        <f t="shared" si="29"/>
        <v>Props and Replicas</v>
      </c>
      <c r="L128" s="15" t="str">
        <f t="shared" si="30"/>
        <v>Doctor Who: The Master's Fob Watch</v>
      </c>
      <c r="M128" s="15" t="str">
        <f t="shared" si="31"/>
        <v>-</v>
      </c>
      <c r="N128" s="15">
        <f t="shared" si="32"/>
        <v>2.25</v>
      </c>
      <c r="O128" s="15" t="str">
        <f t="shared" si="33"/>
        <v>A10</v>
      </c>
      <c r="P128" s="15" t="str">
        <f t="shared" si="34"/>
        <v>Gallifrey International</v>
      </c>
      <c r="Q128" s="15" t="str">
        <f t="shared" si="35"/>
        <v>181 Arcadia Street</v>
      </c>
      <c r="R128" s="3">
        <f>OrdersTable!C128</f>
        <v>44570</v>
      </c>
      <c r="S128" s="15">
        <f>OrdersTable!E128</f>
        <v>4</v>
      </c>
      <c r="T128" s="15">
        <f t="shared" si="36"/>
        <v>44.99</v>
      </c>
      <c r="U128" s="15">
        <f t="shared" si="37"/>
        <v>61.7</v>
      </c>
      <c r="V128" s="15">
        <f t="shared" si="38"/>
        <v>72.88</v>
      </c>
      <c r="W128" s="15">
        <f>IF(MarkupType="Store Markup",ROUND(V128+V128*StoreMarkup,2),IF(MarkupType="Supplier Markup",V128+V128*SupplierMarkup,"Error at finding value"))</f>
        <v>114.79</v>
      </c>
      <c r="X128" s="32">
        <f t="shared" si="40"/>
        <v>8.18</v>
      </c>
      <c r="Y128" s="15">
        <f t="shared" si="41"/>
        <v>291.52</v>
      </c>
      <c r="Z128" s="15">
        <f t="shared" si="42"/>
        <v>426.44</v>
      </c>
      <c r="AA128" s="15">
        <f>IF(FreightType="Lethbridge-Stewart Freight ",ROUND(2.99+IF(N128&gt;0.75,(N128-0.75)*2.25,0)*S128,2),IF(MarkupType="Supplier Markup",V128+V128*SupplierMarkup,"Error at finding value"))</f>
        <v>16.489999999999998</v>
      </c>
      <c r="AB128" s="15">
        <f t="shared" si="43"/>
        <v>32.72</v>
      </c>
    </row>
    <row r="129" spans="1:28" x14ac:dyDescent="0.25">
      <c r="A129" s="16">
        <f>OrdersTable!A129</f>
        <v>784</v>
      </c>
      <c r="B129" s="15" t="str">
        <f t="shared" si="23"/>
        <v>Ms</v>
      </c>
      <c r="C129" s="15" t="str">
        <f t="shared" si="44"/>
        <v>Hansen</v>
      </c>
      <c r="D129" s="15" t="str">
        <f t="shared" si="24"/>
        <v>Courtney Michelle</v>
      </c>
      <c r="E129" s="15" t="str">
        <f t="shared" si="25"/>
        <v>22 Elliot Crescent</v>
      </c>
      <c r="F129" s="15" t="str">
        <f t="shared" si="26"/>
        <v>Alfredtown</v>
      </c>
      <c r="G129" s="15" t="str">
        <f t="shared" si="27"/>
        <v>NSW</v>
      </c>
      <c r="H129" s="15">
        <f t="shared" si="28"/>
        <v>2650</v>
      </c>
      <c r="I129" s="15">
        <f t="shared" si="39"/>
        <v>1124</v>
      </c>
      <c r="J129" s="15">
        <f>OrdersTable!B129</f>
        <v>580</v>
      </c>
      <c r="K129" s="15" t="str">
        <f t="shared" si="29"/>
        <v>Giftware</v>
      </c>
      <c r="L129" s="15" t="str">
        <f t="shared" si="30"/>
        <v>Doctor Who: Wallpaper: Classic TARDIS Columns</v>
      </c>
      <c r="M129" s="15" t="str">
        <f t="shared" si="31"/>
        <v>-</v>
      </c>
      <c r="N129" s="15">
        <f t="shared" si="32"/>
        <v>0.65500000000000003</v>
      </c>
      <c r="O129" s="15" t="str">
        <f t="shared" si="33"/>
        <v>A50</v>
      </c>
      <c r="P129" s="15" t="str">
        <f t="shared" si="34"/>
        <v>Rassilon Ltd.</v>
      </c>
      <c r="Q129" s="15" t="str">
        <f t="shared" si="35"/>
        <v>82 Richard Mathews Road</v>
      </c>
      <c r="R129" s="3">
        <f>OrdersTable!C129</f>
        <v>44570</v>
      </c>
      <c r="S129" s="15">
        <f>OrdersTable!E129</f>
        <v>4</v>
      </c>
      <c r="T129" s="15">
        <f t="shared" si="36"/>
        <v>13.11</v>
      </c>
      <c r="U129" s="15">
        <f t="shared" si="37"/>
        <v>18.18</v>
      </c>
      <c r="V129" s="15">
        <f t="shared" si="38"/>
        <v>21.24</v>
      </c>
      <c r="W129" s="15">
        <f>IF(MarkupType="Store Markup",ROUND(V129+V129*StoreMarkup,2),IF(MarkupType="Supplier Markup",V129+V129*SupplierMarkup,"Error at finding value"))</f>
        <v>33.450000000000003</v>
      </c>
      <c r="X129" s="32" t="str">
        <f t="shared" si="40"/>
        <v>0.00</v>
      </c>
      <c r="Y129" s="15">
        <f t="shared" si="41"/>
        <v>84.96</v>
      </c>
      <c r="Z129" s="15">
        <f t="shared" si="42"/>
        <v>133.80000000000001</v>
      </c>
      <c r="AA129" s="15">
        <f>IF(FreightType="Lethbridge-Stewart Freight ",ROUND(2.99+IF(N129&gt;0.75,(N129-0.75)*2.25,0)*S129,2),IF(MarkupType="Supplier Markup",V129+V129*SupplierMarkup,"Error at finding value"))</f>
        <v>2.99</v>
      </c>
      <c r="AB129" s="15">
        <f t="shared" si="43"/>
        <v>0</v>
      </c>
    </row>
    <row r="130" spans="1:28" x14ac:dyDescent="0.25">
      <c r="A130" s="16">
        <f>OrdersTable!A130</f>
        <v>830</v>
      </c>
      <c r="B130" s="15" t="str">
        <f t="shared" si="23"/>
        <v>Miss</v>
      </c>
      <c r="C130" s="15" t="str">
        <f t="shared" si="44"/>
        <v>Blakeney</v>
      </c>
      <c r="D130" s="15" t="str">
        <f t="shared" si="24"/>
        <v>Hannah</v>
      </c>
      <c r="E130" s="15" t="str">
        <f t="shared" si="25"/>
        <v>31 Sproule Street</v>
      </c>
      <c r="F130" s="15" t="str">
        <f t="shared" si="26"/>
        <v>Belford</v>
      </c>
      <c r="G130" s="15" t="str">
        <f t="shared" si="27"/>
        <v>NSW</v>
      </c>
      <c r="H130" s="15">
        <f t="shared" si="28"/>
        <v>2335</v>
      </c>
      <c r="I130" s="15">
        <f t="shared" si="39"/>
        <v>716</v>
      </c>
      <c r="J130" s="15">
        <f>OrdersTable!B130</f>
        <v>709</v>
      </c>
      <c r="K130" s="15" t="str">
        <f t="shared" si="29"/>
        <v>Posters, Prints and Standees</v>
      </c>
      <c r="L130" s="15" t="str">
        <f t="shared" si="30"/>
        <v>Doctor Who: Poster: Metallic TARDIS</v>
      </c>
      <c r="M130" s="15" t="str">
        <f t="shared" si="31"/>
        <v>-</v>
      </c>
      <c r="N130" s="15">
        <f t="shared" si="32"/>
        <v>0.2</v>
      </c>
      <c r="O130" s="15" t="str">
        <f t="shared" si="33"/>
        <v>A10</v>
      </c>
      <c r="P130" s="15" t="str">
        <f t="shared" si="34"/>
        <v>Gallifrey International</v>
      </c>
      <c r="Q130" s="15" t="str">
        <f t="shared" si="35"/>
        <v>181 Arcadia Street</v>
      </c>
      <c r="R130" s="3">
        <f>OrdersTable!C130</f>
        <v>44570</v>
      </c>
      <c r="S130" s="15">
        <f>OrdersTable!E130</f>
        <v>10</v>
      </c>
      <c r="T130" s="15">
        <f t="shared" si="36"/>
        <v>3.99</v>
      </c>
      <c r="U130" s="15">
        <f t="shared" si="37"/>
        <v>5.71</v>
      </c>
      <c r="V130" s="15">
        <f t="shared" si="38"/>
        <v>6.46</v>
      </c>
      <c r="W130" s="15">
        <f>IF(MarkupType="Store Markup",ROUND(V130+V130*StoreMarkup,2),IF(MarkupType="Supplier Markup",V130+V130*SupplierMarkup,"Error at finding value"))</f>
        <v>10.17</v>
      </c>
      <c r="X130" s="32" t="str">
        <f t="shared" si="40"/>
        <v>0.00</v>
      </c>
      <c r="Y130" s="15">
        <f t="shared" si="41"/>
        <v>64.599999999999994</v>
      </c>
      <c r="Z130" s="15">
        <f t="shared" si="42"/>
        <v>101.7</v>
      </c>
      <c r="AA130" s="15">
        <f>IF(FreightType="Lethbridge-Stewart Freight ",ROUND(2.99+IF(N130&gt;0.75,(N130-0.75)*2.25,0)*S130,2),IF(MarkupType="Supplier Markup",V130+V130*SupplierMarkup,"Error at finding value"))</f>
        <v>2.99</v>
      </c>
      <c r="AB130" s="15">
        <f t="shared" si="43"/>
        <v>0</v>
      </c>
    </row>
    <row r="131" spans="1:28" x14ac:dyDescent="0.25">
      <c r="A131" s="16">
        <f>OrdersTable!A131</f>
        <v>849</v>
      </c>
      <c r="B131" s="15" t="str">
        <f t="shared" si="23"/>
        <v>Dr</v>
      </c>
      <c r="C131" s="15" t="str">
        <f t="shared" si="44"/>
        <v>Blair</v>
      </c>
      <c r="D131" s="15" t="str">
        <f t="shared" si="24"/>
        <v>Taylor Ashleigh</v>
      </c>
      <c r="E131" s="15" t="str">
        <f t="shared" si="25"/>
        <v>42 Ward Avenue</v>
      </c>
      <c r="F131" s="15" t="str">
        <f t="shared" si="26"/>
        <v>Airly</v>
      </c>
      <c r="G131" s="15" t="str">
        <f t="shared" si="27"/>
        <v>VIC</v>
      </c>
      <c r="H131" s="15">
        <f t="shared" si="28"/>
        <v>3851</v>
      </c>
      <c r="I131" s="15">
        <f t="shared" si="39"/>
        <v>1583</v>
      </c>
      <c r="J131" s="15">
        <f>OrdersTable!B131</f>
        <v>668</v>
      </c>
      <c r="K131" s="15" t="str">
        <f t="shared" si="29"/>
        <v>Mugs</v>
      </c>
      <c r="L131" s="15" t="str">
        <f t="shared" si="30"/>
        <v>Doctor Who: Mug: Silver TARDIS</v>
      </c>
      <c r="M131" s="15" t="str">
        <f t="shared" si="31"/>
        <v>-</v>
      </c>
      <c r="N131" s="15">
        <f t="shared" si="32"/>
        <v>1.1499999999999999</v>
      </c>
      <c r="O131" s="15" t="str">
        <f t="shared" si="33"/>
        <v>A50</v>
      </c>
      <c r="P131" s="15" t="str">
        <f t="shared" si="34"/>
        <v>Rassilon Ltd.</v>
      </c>
      <c r="Q131" s="15" t="str">
        <f t="shared" si="35"/>
        <v>82 Richard Mathews Road</v>
      </c>
      <c r="R131" s="3">
        <f>OrdersTable!C131</f>
        <v>44570</v>
      </c>
      <c r="S131" s="15">
        <f>OrdersTable!E131</f>
        <v>10</v>
      </c>
      <c r="T131" s="15">
        <f t="shared" si="36"/>
        <v>22.99</v>
      </c>
      <c r="U131" s="15">
        <f t="shared" si="37"/>
        <v>31.53</v>
      </c>
      <c r="V131" s="15">
        <f t="shared" si="38"/>
        <v>37.24</v>
      </c>
      <c r="W131" s="15">
        <f>IF(MarkupType="Store Markup",ROUND(V131+V131*StoreMarkup,2),IF(MarkupType="Supplier Markup",V131+V131*SupplierMarkup,"Error at finding value"))</f>
        <v>58.65</v>
      </c>
      <c r="X131" s="32" t="str">
        <f t="shared" si="40"/>
        <v>0.00</v>
      </c>
      <c r="Y131" s="15">
        <f t="shared" si="41"/>
        <v>372.4</v>
      </c>
      <c r="Z131" s="15">
        <f t="shared" si="42"/>
        <v>586.5</v>
      </c>
      <c r="AA131" s="15">
        <f>IF(FreightType="Lethbridge-Stewart Freight ",ROUND(2.99+IF(N131&gt;0.75,(N131-0.75)*2.25,0)*S131,2),IF(MarkupType="Supplier Markup",V131+V131*SupplierMarkup,"Error at finding value"))</f>
        <v>11.99</v>
      </c>
      <c r="AB131" s="15">
        <f t="shared" si="43"/>
        <v>0</v>
      </c>
    </row>
    <row r="132" spans="1:28" x14ac:dyDescent="0.25">
      <c r="A132" s="16">
        <f>OrdersTable!A132</f>
        <v>923</v>
      </c>
      <c r="B132" s="15" t="str">
        <f t="shared" ref="B132:B195" si="45">VLOOKUP($A132,Cust,2,0)</f>
        <v>Ms</v>
      </c>
      <c r="C132" s="15" t="str">
        <f t="shared" si="44"/>
        <v>Savage</v>
      </c>
      <c r="D132" s="15" t="str">
        <f t="shared" ref="D132:D195" si="46">VLOOKUP($A132,Cust,4,0)</f>
        <v>Eliza Margaret</v>
      </c>
      <c r="E132" s="15" t="str">
        <f t="shared" ref="E132:E195" si="47">VLOOKUP($A132,Cust,6,0)</f>
        <v>28 Whisson Crescent</v>
      </c>
      <c r="F132" s="15" t="str">
        <f t="shared" ref="F132:F195" si="48">VLOOKUP($A132,Cust,7,0)</f>
        <v>Belconnen</v>
      </c>
      <c r="G132" s="15" t="str">
        <f t="shared" ref="G132:G195" si="49">VLOOKUP($A132,Cust,8,0)</f>
        <v>ACT</v>
      </c>
      <c r="H132" s="15">
        <f t="shared" ref="H132:H195" si="50">VLOOKUP($A132,Cust,9,0)</f>
        <v>2617</v>
      </c>
      <c r="I132" s="15">
        <f t="shared" si="39"/>
        <v>1194</v>
      </c>
      <c r="J132" s="15">
        <f>OrdersTable!B132</f>
        <v>585</v>
      </c>
      <c r="K132" s="15" t="str">
        <f t="shared" ref="K132:K195" si="51">VLOOKUP($J132,Itms,2,0)</f>
        <v>iPhone Skins</v>
      </c>
      <c r="L132" s="15" t="str">
        <f t="shared" ref="L132:L195" si="52">VLOOKUP($J132,Itms,3,0)</f>
        <v>Doctor Who: iPhone Skin: Dalek To Victory</v>
      </c>
      <c r="M132" s="15" t="str">
        <f t="shared" ref="M132:M195" si="53">VLOOKUP($J132,Itms,4,0)</f>
        <v>-</v>
      </c>
      <c r="N132" s="15">
        <f t="shared" ref="N132:N195" si="54">VLOOKUP($J132,Itms,5,0)</f>
        <v>0.5</v>
      </c>
      <c r="O132" s="15" t="str">
        <f t="shared" ref="O132:O195" si="55">VLOOKUP($J132,Itms,6,0)</f>
        <v>A10</v>
      </c>
      <c r="P132" s="15" t="str">
        <f t="shared" ref="P132:P195" si="56">VLOOKUP($O132,Supp,2,0)</f>
        <v>Gallifrey International</v>
      </c>
      <c r="Q132" s="15" t="str">
        <f t="shared" ref="Q132:Q195" si="57">VLOOKUP($O132,Supp,3,0)</f>
        <v>181 Arcadia Street</v>
      </c>
      <c r="R132" s="3">
        <f>OrdersTable!C132</f>
        <v>44570</v>
      </c>
      <c r="S132" s="15">
        <f>OrdersTable!E132</f>
        <v>3</v>
      </c>
      <c r="T132" s="15">
        <f t="shared" ref="T132:T195" si="58">VLOOKUP($J132,Itms,9,0)</f>
        <v>9.99</v>
      </c>
      <c r="U132" s="15">
        <f t="shared" ref="U132:U195" si="59">VLOOKUP($J132,Itms,10,0)</f>
        <v>13.7</v>
      </c>
      <c r="V132" s="15">
        <f t="shared" ref="V132:V195" si="60">IF(ExchRateType="IR",ROUND(T132*ExchRateIR,2),IF(ExchRateType="CA",ROUND(U132*ExchRateCA,2),"Error at finding value"))</f>
        <v>16.18</v>
      </c>
      <c r="W132" s="15">
        <f>IF(MarkupType="Store Markup",ROUND(V132+V132*StoreMarkup,2),IF(MarkupType="Supplier Markup",V132+V132*SupplierMarkup,"Error at finding value"))</f>
        <v>25.48</v>
      </c>
      <c r="X132" s="32" t="str">
        <f t="shared" si="40"/>
        <v>0.00</v>
      </c>
      <c r="Y132" s="15">
        <f t="shared" si="41"/>
        <v>48.54</v>
      </c>
      <c r="Z132" s="15">
        <f t="shared" si="42"/>
        <v>76.44</v>
      </c>
      <c r="AA132" s="15">
        <f>IF(FreightType="Lethbridge-Stewart Freight ",ROUND(2.99+IF(N132&gt;0.75,(N132-0.75)*2.25,0)*S132,2),IF(MarkupType="Supplier Markup",V132+V132*SupplierMarkup,"Error at finding value"))</f>
        <v>2.99</v>
      </c>
      <c r="AB132" s="15">
        <f t="shared" si="43"/>
        <v>0</v>
      </c>
    </row>
    <row r="133" spans="1:28" x14ac:dyDescent="0.25">
      <c r="A133" s="16">
        <f>OrdersTable!A133</f>
        <v>989</v>
      </c>
      <c r="B133" s="15" t="str">
        <f t="shared" si="45"/>
        <v>Miss</v>
      </c>
      <c r="C133" s="15" t="str">
        <f t="shared" si="44"/>
        <v>McInnes</v>
      </c>
      <c r="D133" s="15" t="str">
        <f t="shared" si="46"/>
        <v>Nina Marie</v>
      </c>
      <c r="E133" s="15" t="str">
        <f t="shared" si="47"/>
        <v>28 Caruss Road</v>
      </c>
      <c r="F133" s="15" t="str">
        <f t="shared" si="48"/>
        <v>Belford</v>
      </c>
      <c r="G133" s="15" t="str">
        <f t="shared" si="49"/>
        <v>NSW</v>
      </c>
      <c r="H133" s="15">
        <f t="shared" si="50"/>
        <v>2335</v>
      </c>
      <c r="I133" s="15">
        <f t="shared" ref="I133:I196" si="61">VLOOKUP($A133,Cust,10,0)</f>
        <v>716</v>
      </c>
      <c r="J133" s="15">
        <f>OrdersTable!B133</f>
        <v>689</v>
      </c>
      <c r="K133" s="15" t="str">
        <f t="shared" si="51"/>
        <v>Posters, Prints and Standees</v>
      </c>
      <c r="L133" s="15" t="str">
        <f t="shared" si="52"/>
        <v>Doctor Who: 16'x12' Framed Print: Cold War</v>
      </c>
      <c r="M133" s="15" t="str">
        <f t="shared" si="53"/>
        <v>-</v>
      </c>
      <c r="N133" s="15">
        <f t="shared" si="54"/>
        <v>0.75</v>
      </c>
      <c r="O133" s="15" t="str">
        <f t="shared" si="55"/>
        <v>A50</v>
      </c>
      <c r="P133" s="15" t="str">
        <f t="shared" si="56"/>
        <v>Rassilon Ltd.</v>
      </c>
      <c r="Q133" s="15" t="str">
        <f t="shared" si="57"/>
        <v>82 Richard Mathews Road</v>
      </c>
      <c r="R133" s="3">
        <f>OrdersTable!C133</f>
        <v>44570</v>
      </c>
      <c r="S133" s="15">
        <f>OrdersTable!E133</f>
        <v>9</v>
      </c>
      <c r="T133" s="15">
        <f t="shared" si="58"/>
        <v>14.99</v>
      </c>
      <c r="U133" s="15">
        <f t="shared" si="59"/>
        <v>20.77</v>
      </c>
      <c r="V133" s="15">
        <f t="shared" si="60"/>
        <v>24.28</v>
      </c>
      <c r="W133" s="15">
        <f>IF(MarkupType="Store Markup",ROUND(V133+V133*StoreMarkup,2),IF(MarkupType="Supplier Markup",V133+V133*SupplierMarkup,"Error at finding value"))</f>
        <v>38.24</v>
      </c>
      <c r="X133" s="32" t="str">
        <f t="shared" ref="X133:X196" si="62">IF(AND(W133&gt;100,S133&gt;=3),ROUND(0.07125*W133,2),"0.00")</f>
        <v>0.00</v>
      </c>
      <c r="Y133" s="15">
        <f t="shared" ref="Y133:Y196" si="63">ROUND(V133*S133,2)</f>
        <v>218.52</v>
      </c>
      <c r="Z133" s="15">
        <f t="shared" ref="Z133:Z196" si="64">ROUND((W133-X133)*S133,2)</f>
        <v>344.16</v>
      </c>
      <c r="AA133" s="15">
        <f>IF(FreightType="Lethbridge-Stewart Freight ",ROUND(2.99+IF(N133&gt;0.75,(N133-0.75)*2.25,0)*S133,2),IF(MarkupType="Supplier Markup",V133+V133*SupplierMarkup,"Error at finding value"))</f>
        <v>2.99</v>
      </c>
      <c r="AB133" s="15">
        <f t="shared" ref="AB133:AB196" si="65">ROUND(X133*S133,2)</f>
        <v>0</v>
      </c>
    </row>
    <row r="134" spans="1:28" x14ac:dyDescent="0.25">
      <c r="A134" s="16">
        <f>OrdersTable!A134</f>
        <v>81</v>
      </c>
      <c r="B134" s="15" t="str">
        <f t="shared" si="45"/>
        <v>Ms</v>
      </c>
      <c r="C134" s="15" t="str">
        <f t="shared" si="44"/>
        <v>Madsen</v>
      </c>
      <c r="D134" s="15" t="str">
        <f t="shared" si="46"/>
        <v>Kim Marie</v>
      </c>
      <c r="E134" s="15" t="str">
        <f t="shared" si="47"/>
        <v>42 Singh Drive</v>
      </c>
      <c r="F134" s="15" t="str">
        <f t="shared" si="48"/>
        <v>Caliph</v>
      </c>
      <c r="G134" s="15" t="str">
        <f t="shared" si="49"/>
        <v>SA</v>
      </c>
      <c r="H134" s="15">
        <f t="shared" si="50"/>
        <v>5310</v>
      </c>
      <c r="I134" s="15">
        <f t="shared" si="61"/>
        <v>1720</v>
      </c>
      <c r="J134" s="15">
        <f>OrdersTable!B134</f>
        <v>843</v>
      </c>
      <c r="K134" s="15" t="str">
        <f t="shared" si="51"/>
        <v>Statues and Busts</v>
      </c>
      <c r="L134" s="15" t="str">
        <f t="shared" si="52"/>
        <v>Doctor Who: Signature Edition Statue: Gallifrey Edition: Tom Baker</v>
      </c>
      <c r="M134" s="15" t="str">
        <f t="shared" si="53"/>
        <v>-</v>
      </c>
      <c r="N134" s="15">
        <f t="shared" si="54"/>
        <v>2.5</v>
      </c>
      <c r="O134" s="15" t="str">
        <f t="shared" si="55"/>
        <v>A20</v>
      </c>
      <c r="P134" s="15" t="str">
        <f t="shared" si="56"/>
        <v>Morbius Inc.</v>
      </c>
      <c r="Q134" s="15" t="str">
        <f t="shared" si="57"/>
        <v>56 Michael Spice Hwy</v>
      </c>
      <c r="R134" s="3">
        <f>OrdersTable!C134</f>
        <v>44571</v>
      </c>
      <c r="S134" s="15">
        <f>OrdersTable!E134</f>
        <v>9</v>
      </c>
      <c r="T134" s="15">
        <f t="shared" si="58"/>
        <v>49.99</v>
      </c>
      <c r="U134" s="15">
        <f t="shared" si="59"/>
        <v>68.33</v>
      </c>
      <c r="V134" s="15">
        <f t="shared" si="60"/>
        <v>80.98</v>
      </c>
      <c r="W134" s="15">
        <f>IF(MarkupType="Store Markup",ROUND(V134+V134*StoreMarkup,2),IF(MarkupType="Supplier Markup",V134+V134*SupplierMarkup,"Error at finding value"))</f>
        <v>127.54</v>
      </c>
      <c r="X134" s="32">
        <f t="shared" si="62"/>
        <v>9.09</v>
      </c>
      <c r="Y134" s="15">
        <f t="shared" si="63"/>
        <v>728.82</v>
      </c>
      <c r="Z134" s="15">
        <f t="shared" si="64"/>
        <v>1066.05</v>
      </c>
      <c r="AA134" s="15">
        <f>IF(FreightType="Lethbridge-Stewart Freight ",ROUND(2.99+IF(N134&gt;0.75,(N134-0.75)*2.25,0)*S134,2),IF(MarkupType="Supplier Markup",V134+V134*SupplierMarkup,"Error at finding value"))</f>
        <v>38.43</v>
      </c>
      <c r="AB134" s="15">
        <f t="shared" si="65"/>
        <v>81.81</v>
      </c>
    </row>
    <row r="135" spans="1:28" x14ac:dyDescent="0.25">
      <c r="A135" s="16">
        <f>OrdersTable!A135</f>
        <v>142</v>
      </c>
      <c r="B135" s="15" t="str">
        <f t="shared" si="45"/>
        <v>Miss</v>
      </c>
      <c r="C135" s="15" t="str">
        <f t="shared" si="44"/>
        <v>Western</v>
      </c>
      <c r="D135" s="15" t="str">
        <f t="shared" si="46"/>
        <v>Lee Reuben</v>
      </c>
      <c r="E135" s="15" t="str">
        <f t="shared" si="47"/>
        <v>14 Fields Road</v>
      </c>
      <c r="F135" s="15" t="str">
        <f t="shared" si="48"/>
        <v>Airly</v>
      </c>
      <c r="G135" s="15" t="str">
        <f t="shared" si="49"/>
        <v>VIC</v>
      </c>
      <c r="H135" s="15">
        <f t="shared" si="50"/>
        <v>3851</v>
      </c>
      <c r="I135" s="15">
        <f t="shared" si="61"/>
        <v>1583</v>
      </c>
      <c r="J135" s="15">
        <f>OrdersTable!B135</f>
        <v>769</v>
      </c>
      <c r="K135" s="15" t="str">
        <f t="shared" si="51"/>
        <v>Statues and Busts</v>
      </c>
      <c r="L135" s="15" t="str">
        <f t="shared" si="52"/>
        <v>Doctor Who: Legends Forever Bust: Tom Baker</v>
      </c>
      <c r="M135" s="15" t="str">
        <f t="shared" si="53"/>
        <v>-</v>
      </c>
      <c r="N135" s="15">
        <f t="shared" si="54"/>
        <v>1.375</v>
      </c>
      <c r="O135" s="15" t="str">
        <f t="shared" si="55"/>
        <v>A30</v>
      </c>
      <c r="P135" s="15" t="str">
        <f t="shared" si="56"/>
        <v>Chesterton Enterprises</v>
      </c>
      <c r="Q135" s="15" t="str">
        <f t="shared" si="57"/>
        <v>41 William Russell Road</v>
      </c>
      <c r="R135" s="3">
        <f>OrdersTable!C135</f>
        <v>44571</v>
      </c>
      <c r="S135" s="15">
        <f>OrdersTable!E135</f>
        <v>10</v>
      </c>
      <c r="T135" s="15">
        <f t="shared" si="58"/>
        <v>27.5</v>
      </c>
      <c r="U135" s="15">
        <f t="shared" si="59"/>
        <v>37.76</v>
      </c>
      <c r="V135" s="15">
        <f t="shared" si="60"/>
        <v>44.55</v>
      </c>
      <c r="W135" s="15">
        <f>IF(MarkupType="Store Markup",ROUND(V135+V135*StoreMarkup,2),IF(MarkupType="Supplier Markup",V135+V135*SupplierMarkup,"Error at finding value"))</f>
        <v>70.17</v>
      </c>
      <c r="X135" s="32" t="str">
        <f t="shared" si="62"/>
        <v>0.00</v>
      </c>
      <c r="Y135" s="15">
        <f t="shared" si="63"/>
        <v>445.5</v>
      </c>
      <c r="Z135" s="15">
        <f t="shared" si="64"/>
        <v>701.7</v>
      </c>
      <c r="AA135" s="15">
        <f>IF(FreightType="Lethbridge-Stewart Freight ",ROUND(2.99+IF(N135&gt;0.75,(N135-0.75)*2.25,0)*S135,2),IF(MarkupType="Supplier Markup",V135+V135*SupplierMarkup,"Error at finding value"))</f>
        <v>17.05</v>
      </c>
      <c r="AB135" s="15">
        <f t="shared" si="65"/>
        <v>0</v>
      </c>
    </row>
    <row r="136" spans="1:28" x14ac:dyDescent="0.25">
      <c r="A136" s="16">
        <f>OrdersTable!A136</f>
        <v>146</v>
      </c>
      <c r="B136" s="15" t="str">
        <f t="shared" si="45"/>
        <v>Miss</v>
      </c>
      <c r="C136" s="15" t="str">
        <f t="shared" si="44"/>
        <v>Brown</v>
      </c>
      <c r="D136" s="15" t="str">
        <f t="shared" si="46"/>
        <v>Sarah Danielle</v>
      </c>
      <c r="E136" s="15" t="str">
        <f t="shared" si="47"/>
        <v>50 Brieschke Court</v>
      </c>
      <c r="F136" s="15" t="str">
        <f t="shared" si="48"/>
        <v>Bray Park</v>
      </c>
      <c r="G136" s="15" t="str">
        <f t="shared" si="49"/>
        <v>QLD</v>
      </c>
      <c r="H136" s="15">
        <f t="shared" si="50"/>
        <v>4500</v>
      </c>
      <c r="I136" s="15">
        <f t="shared" si="61"/>
        <v>139</v>
      </c>
      <c r="J136" s="15">
        <f>OrdersTable!B136</f>
        <v>541</v>
      </c>
      <c r="K136" s="15" t="str">
        <f t="shared" si="51"/>
        <v>Giftware</v>
      </c>
      <c r="L136" s="15" t="str">
        <f t="shared" si="52"/>
        <v>Doctor Who: Salt and Pepper Shakers: TARDIS</v>
      </c>
      <c r="M136" s="15" t="str">
        <f t="shared" si="53"/>
        <v>-</v>
      </c>
      <c r="N136" s="15">
        <f t="shared" si="54"/>
        <v>0.6</v>
      </c>
      <c r="O136" s="15" t="str">
        <f t="shared" si="55"/>
        <v>A10</v>
      </c>
      <c r="P136" s="15" t="str">
        <f t="shared" si="56"/>
        <v>Gallifrey International</v>
      </c>
      <c r="Q136" s="15" t="str">
        <f t="shared" si="57"/>
        <v>181 Arcadia Street</v>
      </c>
      <c r="R136" s="3">
        <f>OrdersTable!C136</f>
        <v>44571</v>
      </c>
      <c r="S136" s="15">
        <f>OrdersTable!E136</f>
        <v>6</v>
      </c>
      <c r="T136" s="15">
        <f t="shared" si="58"/>
        <v>11.99</v>
      </c>
      <c r="U136" s="15">
        <f t="shared" si="59"/>
        <v>16.62</v>
      </c>
      <c r="V136" s="15">
        <f t="shared" si="60"/>
        <v>19.420000000000002</v>
      </c>
      <c r="W136" s="15">
        <f>IF(MarkupType="Store Markup",ROUND(V136+V136*StoreMarkup,2),IF(MarkupType="Supplier Markup",V136+V136*SupplierMarkup,"Error at finding value"))</f>
        <v>30.59</v>
      </c>
      <c r="X136" s="32" t="str">
        <f t="shared" si="62"/>
        <v>0.00</v>
      </c>
      <c r="Y136" s="15">
        <f t="shared" si="63"/>
        <v>116.52</v>
      </c>
      <c r="Z136" s="15">
        <f t="shared" si="64"/>
        <v>183.54</v>
      </c>
      <c r="AA136" s="15">
        <f>IF(FreightType="Lethbridge-Stewart Freight ",ROUND(2.99+IF(N136&gt;0.75,(N136-0.75)*2.25,0)*S136,2),IF(MarkupType="Supplier Markup",V136+V136*SupplierMarkup,"Error at finding value"))</f>
        <v>2.99</v>
      </c>
      <c r="AB136" s="15">
        <f t="shared" si="65"/>
        <v>0</v>
      </c>
    </row>
    <row r="137" spans="1:28" x14ac:dyDescent="0.25">
      <c r="A137" s="16">
        <f>OrdersTable!A137</f>
        <v>200</v>
      </c>
      <c r="B137" s="15" t="str">
        <f t="shared" si="45"/>
        <v>Ms</v>
      </c>
      <c r="C137" s="15" t="str">
        <f t="shared" si="44"/>
        <v>Barton</v>
      </c>
      <c r="D137" s="15" t="str">
        <f t="shared" si="46"/>
        <v>Kimberley</v>
      </c>
      <c r="E137" s="15" t="str">
        <f t="shared" si="47"/>
        <v>9 Decuyper Road</v>
      </c>
      <c r="F137" s="15" t="str">
        <f t="shared" si="48"/>
        <v>Ashford</v>
      </c>
      <c r="G137" s="15" t="str">
        <f t="shared" si="49"/>
        <v>SA</v>
      </c>
      <c r="H137" s="15">
        <f t="shared" si="50"/>
        <v>5035</v>
      </c>
      <c r="I137" s="15">
        <f t="shared" si="61"/>
        <v>1877</v>
      </c>
      <c r="J137" s="15">
        <f>OrdersTable!B137</f>
        <v>778</v>
      </c>
      <c r="K137" s="15" t="str">
        <f t="shared" si="51"/>
        <v>Statues and Busts</v>
      </c>
      <c r="L137" s="15" t="str">
        <f t="shared" si="52"/>
        <v>Doctor Who: Legends Forever Bust: William Hartnell</v>
      </c>
      <c r="M137" s="15" t="str">
        <f t="shared" si="53"/>
        <v>-</v>
      </c>
      <c r="N137" s="15">
        <f t="shared" si="54"/>
        <v>1.375</v>
      </c>
      <c r="O137" s="15" t="str">
        <f t="shared" si="55"/>
        <v>A40</v>
      </c>
      <c r="P137" s="15" t="str">
        <f t="shared" si="56"/>
        <v>Romana Imports</v>
      </c>
      <c r="Q137" s="15" t="str">
        <f t="shared" si="57"/>
        <v>17 Lalla Ward Road</v>
      </c>
      <c r="R137" s="3">
        <f>OrdersTable!C137</f>
        <v>44571</v>
      </c>
      <c r="S137" s="15">
        <f>OrdersTable!E137</f>
        <v>2</v>
      </c>
      <c r="T137" s="15">
        <f t="shared" si="58"/>
        <v>27.5</v>
      </c>
      <c r="U137" s="15">
        <f t="shared" si="59"/>
        <v>37.520000000000003</v>
      </c>
      <c r="V137" s="15">
        <f t="shared" si="60"/>
        <v>44.55</v>
      </c>
      <c r="W137" s="15">
        <f>IF(MarkupType="Store Markup",ROUND(V137+V137*StoreMarkup,2),IF(MarkupType="Supplier Markup",V137+V137*SupplierMarkup,"Error at finding value"))</f>
        <v>70.17</v>
      </c>
      <c r="X137" s="32" t="str">
        <f t="shared" si="62"/>
        <v>0.00</v>
      </c>
      <c r="Y137" s="15">
        <f t="shared" si="63"/>
        <v>89.1</v>
      </c>
      <c r="Z137" s="15">
        <f t="shared" si="64"/>
        <v>140.34</v>
      </c>
      <c r="AA137" s="15">
        <f>IF(FreightType="Lethbridge-Stewart Freight ",ROUND(2.99+IF(N137&gt;0.75,(N137-0.75)*2.25,0)*S137,2),IF(MarkupType="Supplier Markup",V137+V137*SupplierMarkup,"Error at finding value"))</f>
        <v>5.8</v>
      </c>
      <c r="AB137" s="15">
        <f t="shared" si="65"/>
        <v>0</v>
      </c>
    </row>
    <row r="138" spans="1:28" x14ac:dyDescent="0.25">
      <c r="A138" s="16">
        <f>OrdersTable!A138</f>
        <v>254</v>
      </c>
      <c r="B138" s="15" t="str">
        <f t="shared" si="45"/>
        <v>Miss</v>
      </c>
      <c r="C138" s="15" t="str">
        <f t="shared" si="44"/>
        <v>Hoolihan</v>
      </c>
      <c r="D138" s="15" t="str">
        <f t="shared" si="46"/>
        <v>Crystal Claire Grace</v>
      </c>
      <c r="E138" s="15" t="str">
        <f t="shared" si="47"/>
        <v>7 Van Riet Avenue</v>
      </c>
      <c r="F138" s="15" t="str">
        <f t="shared" si="48"/>
        <v>Aberfoyle</v>
      </c>
      <c r="G138" s="15" t="str">
        <f t="shared" si="49"/>
        <v>NSW</v>
      </c>
      <c r="H138" s="15">
        <f t="shared" si="50"/>
        <v>2350</v>
      </c>
      <c r="I138" s="15">
        <f t="shared" si="61"/>
        <v>363</v>
      </c>
      <c r="J138" s="15">
        <f>OrdersTable!B138</f>
        <v>376</v>
      </c>
      <c r="K138" s="15" t="str">
        <f t="shared" si="51"/>
        <v>Clothing and Apparel</v>
      </c>
      <c r="L138" s="15" t="str">
        <f t="shared" si="52"/>
        <v xml:space="preserve">Doctor Who: T-Shirts: 7th Doctor Costume </v>
      </c>
      <c r="M138" s="15" t="str">
        <f t="shared" si="53"/>
        <v>S</v>
      </c>
      <c r="N138" s="15">
        <f t="shared" si="54"/>
        <v>0.8</v>
      </c>
      <c r="O138" s="15" t="str">
        <f t="shared" si="55"/>
        <v>A10</v>
      </c>
      <c r="P138" s="15" t="str">
        <f t="shared" si="56"/>
        <v>Gallifrey International</v>
      </c>
      <c r="Q138" s="15" t="str">
        <f t="shared" si="57"/>
        <v>181 Arcadia Street</v>
      </c>
      <c r="R138" s="3">
        <f>OrdersTable!C138</f>
        <v>44571</v>
      </c>
      <c r="S138" s="15">
        <f>OrdersTable!E138</f>
        <v>10</v>
      </c>
      <c r="T138" s="15">
        <f t="shared" si="58"/>
        <v>15.99</v>
      </c>
      <c r="U138" s="15">
        <f t="shared" si="59"/>
        <v>21.83</v>
      </c>
      <c r="V138" s="15">
        <f t="shared" si="60"/>
        <v>25.9</v>
      </c>
      <c r="W138" s="15">
        <f>IF(MarkupType="Store Markup",ROUND(V138+V138*StoreMarkup,2),IF(MarkupType="Supplier Markup",V138+V138*SupplierMarkup,"Error at finding value"))</f>
        <v>40.79</v>
      </c>
      <c r="X138" s="32" t="str">
        <f t="shared" si="62"/>
        <v>0.00</v>
      </c>
      <c r="Y138" s="15">
        <f t="shared" si="63"/>
        <v>259</v>
      </c>
      <c r="Z138" s="15">
        <f t="shared" si="64"/>
        <v>407.9</v>
      </c>
      <c r="AA138" s="15">
        <f>IF(FreightType="Lethbridge-Stewart Freight ",ROUND(2.99+IF(N138&gt;0.75,(N138-0.75)*2.25,0)*S138,2),IF(MarkupType="Supplier Markup",V138+V138*SupplierMarkup,"Error at finding value"))</f>
        <v>4.12</v>
      </c>
      <c r="AB138" s="15">
        <f t="shared" si="65"/>
        <v>0</v>
      </c>
    </row>
    <row r="139" spans="1:28" x14ac:dyDescent="0.25">
      <c r="A139" s="16">
        <f>OrdersTable!A139</f>
        <v>282</v>
      </c>
      <c r="B139" s="15" t="str">
        <f t="shared" si="45"/>
        <v>Dr</v>
      </c>
      <c r="C139" s="15" t="str">
        <f t="shared" ref="C139:C202" si="66">VLOOKUP($A139,Cust,3,0)</f>
        <v>Johnson</v>
      </c>
      <c r="D139" s="15" t="str">
        <f t="shared" si="46"/>
        <v>Samantha Emily Louise</v>
      </c>
      <c r="E139" s="15" t="str">
        <f t="shared" si="47"/>
        <v>2 Wiggan Avenue</v>
      </c>
      <c r="F139" s="15" t="str">
        <f t="shared" si="48"/>
        <v>Boston</v>
      </c>
      <c r="G139" s="15" t="str">
        <f t="shared" si="49"/>
        <v>SA</v>
      </c>
      <c r="H139" s="15">
        <f t="shared" si="50"/>
        <v>5607</v>
      </c>
      <c r="I139" s="15">
        <f t="shared" si="61"/>
        <v>2076</v>
      </c>
      <c r="J139" s="15">
        <f>OrdersTable!B139</f>
        <v>752</v>
      </c>
      <c r="K139" s="15" t="str">
        <f t="shared" si="51"/>
        <v>Statues and Busts</v>
      </c>
      <c r="L139" s="15" t="str">
        <f t="shared" si="52"/>
        <v>Doctor Who: Helmet: Cyberman Leader</v>
      </c>
      <c r="M139" s="15" t="str">
        <f t="shared" si="53"/>
        <v>-</v>
      </c>
      <c r="N139" s="15">
        <f t="shared" si="54"/>
        <v>2</v>
      </c>
      <c r="O139" s="15" t="str">
        <f t="shared" si="55"/>
        <v>A30</v>
      </c>
      <c r="P139" s="15" t="str">
        <f t="shared" si="56"/>
        <v>Chesterton Enterprises</v>
      </c>
      <c r="Q139" s="15" t="str">
        <f t="shared" si="57"/>
        <v>41 William Russell Road</v>
      </c>
      <c r="R139" s="3">
        <f>OrdersTable!C139</f>
        <v>44571</v>
      </c>
      <c r="S139" s="15">
        <f>OrdersTable!E139</f>
        <v>4</v>
      </c>
      <c r="T139" s="15">
        <f t="shared" si="58"/>
        <v>39.99</v>
      </c>
      <c r="U139" s="15">
        <f t="shared" si="59"/>
        <v>54.85</v>
      </c>
      <c r="V139" s="15">
        <f t="shared" si="60"/>
        <v>64.78</v>
      </c>
      <c r="W139" s="15">
        <f>IF(MarkupType="Store Markup",ROUND(V139+V139*StoreMarkup,2),IF(MarkupType="Supplier Markup",V139+V139*SupplierMarkup,"Error at finding value"))</f>
        <v>102.03</v>
      </c>
      <c r="X139" s="32">
        <f t="shared" si="62"/>
        <v>7.27</v>
      </c>
      <c r="Y139" s="15">
        <f t="shared" si="63"/>
        <v>259.12</v>
      </c>
      <c r="Z139" s="15">
        <f t="shared" si="64"/>
        <v>379.04</v>
      </c>
      <c r="AA139" s="15">
        <f>IF(FreightType="Lethbridge-Stewart Freight ",ROUND(2.99+IF(N139&gt;0.75,(N139-0.75)*2.25,0)*S139,2),IF(MarkupType="Supplier Markup",V139+V139*SupplierMarkup,"Error at finding value"))</f>
        <v>14.24</v>
      </c>
      <c r="AB139" s="15">
        <f t="shared" si="65"/>
        <v>29.08</v>
      </c>
    </row>
    <row r="140" spans="1:28" x14ac:dyDescent="0.25">
      <c r="A140" s="16">
        <f>OrdersTable!A140</f>
        <v>323</v>
      </c>
      <c r="B140" s="15" t="str">
        <f t="shared" si="45"/>
        <v>Dr</v>
      </c>
      <c r="C140" s="15" t="str">
        <f t="shared" si="66"/>
        <v>King</v>
      </c>
      <c r="D140" s="15" t="str">
        <f t="shared" si="46"/>
        <v>Leith</v>
      </c>
      <c r="E140" s="15" t="str">
        <f t="shared" si="47"/>
        <v>25 Carbone Court</v>
      </c>
      <c r="F140" s="15" t="str">
        <f t="shared" si="48"/>
        <v>Nayook</v>
      </c>
      <c r="G140" s="15" t="str">
        <f t="shared" si="49"/>
        <v>VIC</v>
      </c>
      <c r="H140" s="15">
        <f t="shared" si="50"/>
        <v>3832</v>
      </c>
      <c r="I140" s="15">
        <f t="shared" si="61"/>
        <v>1552</v>
      </c>
      <c r="J140" s="15">
        <f>OrdersTable!B140</f>
        <v>698</v>
      </c>
      <c r="K140" s="15" t="str">
        <f t="shared" si="51"/>
        <v>Posters, Prints and Standees</v>
      </c>
      <c r="L140" s="15" t="str">
        <f t="shared" si="52"/>
        <v>Doctor Who: Art Print: My Mysterious Doctor</v>
      </c>
      <c r="M140" s="15" t="str">
        <f t="shared" si="53"/>
        <v>-</v>
      </c>
      <c r="N140" s="15">
        <f t="shared" si="54"/>
        <v>0.75</v>
      </c>
      <c r="O140" s="15" t="str">
        <f t="shared" si="55"/>
        <v>A30</v>
      </c>
      <c r="P140" s="15" t="str">
        <f t="shared" si="56"/>
        <v>Chesterton Enterprises</v>
      </c>
      <c r="Q140" s="15" t="str">
        <f t="shared" si="57"/>
        <v>41 William Russell Road</v>
      </c>
      <c r="R140" s="3">
        <f>OrdersTable!C140</f>
        <v>44571</v>
      </c>
      <c r="S140" s="15">
        <f>OrdersTable!E140</f>
        <v>7</v>
      </c>
      <c r="T140" s="15">
        <f t="shared" si="58"/>
        <v>14.99</v>
      </c>
      <c r="U140" s="15">
        <f t="shared" si="59"/>
        <v>20.56</v>
      </c>
      <c r="V140" s="15">
        <f t="shared" si="60"/>
        <v>24.28</v>
      </c>
      <c r="W140" s="15">
        <f>IF(MarkupType="Store Markup",ROUND(V140+V140*StoreMarkup,2),IF(MarkupType="Supplier Markup",V140+V140*SupplierMarkup,"Error at finding value"))</f>
        <v>38.24</v>
      </c>
      <c r="X140" s="32" t="str">
        <f t="shared" si="62"/>
        <v>0.00</v>
      </c>
      <c r="Y140" s="15">
        <f t="shared" si="63"/>
        <v>169.96</v>
      </c>
      <c r="Z140" s="15">
        <f t="shared" si="64"/>
        <v>267.68</v>
      </c>
      <c r="AA140" s="15">
        <f>IF(FreightType="Lethbridge-Stewart Freight ",ROUND(2.99+IF(N140&gt;0.75,(N140-0.75)*2.25,0)*S140,2),IF(MarkupType="Supplier Markup",V140+V140*SupplierMarkup,"Error at finding value"))</f>
        <v>2.99</v>
      </c>
      <c r="AB140" s="15">
        <f t="shared" si="65"/>
        <v>0</v>
      </c>
    </row>
    <row r="141" spans="1:28" x14ac:dyDescent="0.25">
      <c r="A141" s="16">
        <f>OrdersTable!A141</f>
        <v>330</v>
      </c>
      <c r="B141" s="15" t="str">
        <f t="shared" si="45"/>
        <v>Mr</v>
      </c>
      <c r="C141" s="15" t="str">
        <f t="shared" si="66"/>
        <v>Liesegang</v>
      </c>
      <c r="D141" s="15" t="str">
        <f t="shared" si="46"/>
        <v>Darcey Michelle</v>
      </c>
      <c r="E141" s="15" t="str">
        <f t="shared" si="47"/>
        <v>50 McCann Drive</v>
      </c>
      <c r="F141" s="15" t="str">
        <f t="shared" si="48"/>
        <v>Binduli</v>
      </c>
      <c r="G141" s="15" t="str">
        <f t="shared" si="49"/>
        <v>WA</v>
      </c>
      <c r="H141" s="15">
        <f t="shared" si="50"/>
        <v>6430</v>
      </c>
      <c r="I141" s="15">
        <f t="shared" si="61"/>
        <v>3543</v>
      </c>
      <c r="J141" s="15">
        <f>OrdersTable!B141</f>
        <v>702</v>
      </c>
      <c r="K141" s="15" t="str">
        <f t="shared" si="51"/>
        <v>Posters, Prints and Standees</v>
      </c>
      <c r="L141" s="15" t="str">
        <f t="shared" si="52"/>
        <v>Doctor Who: Poster: Daleks</v>
      </c>
      <c r="M141" s="15" t="str">
        <f t="shared" si="53"/>
        <v>-</v>
      </c>
      <c r="N141" s="15">
        <f t="shared" si="54"/>
        <v>0.2</v>
      </c>
      <c r="O141" s="15" t="str">
        <f t="shared" si="55"/>
        <v>A50</v>
      </c>
      <c r="P141" s="15" t="str">
        <f t="shared" si="56"/>
        <v>Rassilon Ltd.</v>
      </c>
      <c r="Q141" s="15" t="str">
        <f t="shared" si="57"/>
        <v>82 Richard Mathews Road</v>
      </c>
      <c r="R141" s="3">
        <f>OrdersTable!C141</f>
        <v>44571</v>
      </c>
      <c r="S141" s="15">
        <f>OrdersTable!E141</f>
        <v>6</v>
      </c>
      <c r="T141" s="15">
        <f t="shared" si="58"/>
        <v>3.99</v>
      </c>
      <c r="U141" s="15">
        <f t="shared" si="59"/>
        <v>5.46</v>
      </c>
      <c r="V141" s="15">
        <f t="shared" si="60"/>
        <v>6.46</v>
      </c>
      <c r="W141" s="15">
        <f>IF(MarkupType="Store Markup",ROUND(V141+V141*StoreMarkup,2),IF(MarkupType="Supplier Markup",V141+V141*SupplierMarkup,"Error at finding value"))</f>
        <v>10.17</v>
      </c>
      <c r="X141" s="32" t="str">
        <f t="shared" si="62"/>
        <v>0.00</v>
      </c>
      <c r="Y141" s="15">
        <f t="shared" si="63"/>
        <v>38.76</v>
      </c>
      <c r="Z141" s="15">
        <f t="shared" si="64"/>
        <v>61.02</v>
      </c>
      <c r="AA141" s="15">
        <f>IF(FreightType="Lethbridge-Stewart Freight ",ROUND(2.99+IF(N141&gt;0.75,(N141-0.75)*2.25,0)*S141,2),IF(MarkupType="Supplier Markup",V141+V141*SupplierMarkup,"Error at finding value"))</f>
        <v>2.99</v>
      </c>
      <c r="AB141" s="15">
        <f t="shared" si="65"/>
        <v>0</v>
      </c>
    </row>
    <row r="142" spans="1:28" x14ac:dyDescent="0.25">
      <c r="A142" s="16">
        <f>OrdersTable!A142</f>
        <v>546</v>
      </c>
      <c r="B142" s="15" t="str">
        <f t="shared" si="45"/>
        <v>Ms</v>
      </c>
      <c r="C142" s="15" t="str">
        <f t="shared" si="66"/>
        <v>Shortt</v>
      </c>
      <c r="D142" s="15" t="str">
        <f t="shared" si="46"/>
        <v>Rickylee Sidonia</v>
      </c>
      <c r="E142" s="15" t="str">
        <f t="shared" si="47"/>
        <v>4 Hughes Road</v>
      </c>
      <c r="F142" s="15" t="str">
        <f t="shared" si="48"/>
        <v>Glenfern</v>
      </c>
      <c r="G142" s="15" t="str">
        <f t="shared" si="49"/>
        <v>QLD</v>
      </c>
      <c r="H142" s="15">
        <f t="shared" si="50"/>
        <v>4515</v>
      </c>
      <c r="I142" s="15">
        <f t="shared" si="61"/>
        <v>128</v>
      </c>
      <c r="J142" s="15">
        <f>OrdersTable!B142</f>
        <v>398</v>
      </c>
      <c r="K142" s="15" t="str">
        <f t="shared" si="51"/>
        <v>Clothing and Apparel</v>
      </c>
      <c r="L142" s="15" t="str">
        <f t="shared" si="52"/>
        <v>Doctor Who: Women's Winter Pyjamas</v>
      </c>
      <c r="M142" s="15" t="str">
        <f t="shared" si="53"/>
        <v>S</v>
      </c>
      <c r="N142" s="15">
        <f t="shared" si="54"/>
        <v>1.5</v>
      </c>
      <c r="O142" s="15" t="str">
        <f t="shared" si="55"/>
        <v>A40</v>
      </c>
      <c r="P142" s="15" t="str">
        <f t="shared" si="56"/>
        <v>Romana Imports</v>
      </c>
      <c r="Q142" s="15" t="str">
        <f t="shared" si="57"/>
        <v>17 Lalla Ward Road</v>
      </c>
      <c r="R142" s="3">
        <f>OrdersTable!C142</f>
        <v>44571</v>
      </c>
      <c r="S142" s="15">
        <f>OrdersTable!E142</f>
        <v>2</v>
      </c>
      <c r="T142" s="15">
        <f t="shared" si="58"/>
        <v>29.99</v>
      </c>
      <c r="U142" s="15">
        <f t="shared" si="59"/>
        <v>41.07</v>
      </c>
      <c r="V142" s="15">
        <f t="shared" si="60"/>
        <v>48.58</v>
      </c>
      <c r="W142" s="15">
        <f>IF(MarkupType="Store Markup",ROUND(V142+V142*StoreMarkup,2),IF(MarkupType="Supplier Markup",V142+V142*SupplierMarkup,"Error at finding value"))</f>
        <v>76.510000000000005</v>
      </c>
      <c r="X142" s="32" t="str">
        <f t="shared" si="62"/>
        <v>0.00</v>
      </c>
      <c r="Y142" s="15">
        <f t="shared" si="63"/>
        <v>97.16</v>
      </c>
      <c r="Z142" s="15">
        <f t="shared" si="64"/>
        <v>153.02000000000001</v>
      </c>
      <c r="AA142" s="15">
        <f>IF(FreightType="Lethbridge-Stewart Freight ",ROUND(2.99+IF(N142&gt;0.75,(N142-0.75)*2.25,0)*S142,2),IF(MarkupType="Supplier Markup",V142+V142*SupplierMarkup,"Error at finding value"))</f>
        <v>6.37</v>
      </c>
      <c r="AB142" s="15">
        <f t="shared" si="65"/>
        <v>0</v>
      </c>
    </row>
    <row r="143" spans="1:28" x14ac:dyDescent="0.25">
      <c r="A143" s="16">
        <f>OrdersTable!A143</f>
        <v>573</v>
      </c>
      <c r="B143" s="15" t="str">
        <f t="shared" si="45"/>
        <v>Mrs</v>
      </c>
      <c r="C143" s="15" t="str">
        <f t="shared" si="66"/>
        <v>Hollonds</v>
      </c>
      <c r="D143" s="15" t="str">
        <f t="shared" si="46"/>
        <v>Suzan</v>
      </c>
      <c r="E143" s="15" t="str">
        <f t="shared" si="47"/>
        <v>49 Patel Way</v>
      </c>
      <c r="F143" s="15" t="str">
        <f t="shared" si="48"/>
        <v>Belconnen</v>
      </c>
      <c r="G143" s="15" t="str">
        <f t="shared" si="49"/>
        <v>ACT</v>
      </c>
      <c r="H143" s="15">
        <f t="shared" si="50"/>
        <v>2617</v>
      </c>
      <c r="I143" s="15">
        <f t="shared" si="61"/>
        <v>1194</v>
      </c>
      <c r="J143" s="15">
        <f>OrdersTable!B143</f>
        <v>177</v>
      </c>
      <c r="K143" s="15" t="str">
        <f t="shared" si="51"/>
        <v>Bobbleheads</v>
      </c>
      <c r="L143" s="15" t="str">
        <f t="shared" si="52"/>
        <v>Doctor Who: Bobblehead: TARDIS (With Sound)</v>
      </c>
      <c r="M143" s="15" t="str">
        <f t="shared" si="53"/>
        <v>-</v>
      </c>
      <c r="N143" s="15">
        <f t="shared" si="54"/>
        <v>1</v>
      </c>
      <c r="O143" s="15" t="str">
        <f t="shared" si="55"/>
        <v>A30</v>
      </c>
      <c r="P143" s="15" t="str">
        <f t="shared" si="56"/>
        <v>Chesterton Enterprises</v>
      </c>
      <c r="Q143" s="15" t="str">
        <f t="shared" si="57"/>
        <v>41 William Russell Road</v>
      </c>
      <c r="R143" s="3">
        <f>OrdersTable!C143</f>
        <v>44571</v>
      </c>
      <c r="S143" s="15">
        <f>OrdersTable!E143</f>
        <v>4</v>
      </c>
      <c r="T143" s="15">
        <f t="shared" si="58"/>
        <v>19.989999999999998</v>
      </c>
      <c r="U143" s="15">
        <f t="shared" si="59"/>
        <v>27.6</v>
      </c>
      <c r="V143" s="15">
        <f t="shared" si="60"/>
        <v>32.380000000000003</v>
      </c>
      <c r="W143" s="15">
        <f>IF(MarkupType="Store Markup",ROUND(V143+V143*StoreMarkup,2),IF(MarkupType="Supplier Markup",V143+V143*SupplierMarkup,"Error at finding value"))</f>
        <v>51</v>
      </c>
      <c r="X143" s="32" t="str">
        <f t="shared" si="62"/>
        <v>0.00</v>
      </c>
      <c r="Y143" s="15">
        <f t="shared" si="63"/>
        <v>129.52000000000001</v>
      </c>
      <c r="Z143" s="15">
        <f t="shared" si="64"/>
        <v>204</v>
      </c>
      <c r="AA143" s="15">
        <f>IF(FreightType="Lethbridge-Stewart Freight ",ROUND(2.99+IF(N143&gt;0.75,(N143-0.75)*2.25,0)*S143,2),IF(MarkupType="Supplier Markup",V143+V143*SupplierMarkup,"Error at finding value"))</f>
        <v>5.24</v>
      </c>
      <c r="AB143" s="15">
        <f t="shared" si="65"/>
        <v>0</v>
      </c>
    </row>
    <row r="144" spans="1:28" x14ac:dyDescent="0.25">
      <c r="A144" s="16">
        <f>OrdersTable!A144</f>
        <v>602</v>
      </c>
      <c r="B144" s="15" t="str">
        <f t="shared" si="45"/>
        <v>Mr</v>
      </c>
      <c r="C144" s="15" t="str">
        <f t="shared" si="66"/>
        <v>Spinelli</v>
      </c>
      <c r="D144" s="15" t="str">
        <f t="shared" si="46"/>
        <v>Paul Walter</v>
      </c>
      <c r="E144" s="15" t="str">
        <f t="shared" si="47"/>
        <v>35 Azar Drive</v>
      </c>
      <c r="F144" s="15" t="str">
        <f t="shared" si="48"/>
        <v>Bray Park</v>
      </c>
      <c r="G144" s="15" t="str">
        <f t="shared" si="49"/>
        <v>QLD</v>
      </c>
      <c r="H144" s="15">
        <f t="shared" si="50"/>
        <v>4500</v>
      </c>
      <c r="I144" s="15">
        <f t="shared" si="61"/>
        <v>139</v>
      </c>
      <c r="J144" s="15">
        <f>OrdersTable!B144</f>
        <v>840</v>
      </c>
      <c r="K144" s="15" t="str">
        <f t="shared" si="51"/>
        <v>Statues and Busts</v>
      </c>
      <c r="L144" s="15" t="str">
        <f t="shared" si="52"/>
        <v>Doctor Who: Signature Edition Statue: Gallifrey Edition: Patrick Troughton</v>
      </c>
      <c r="M144" s="15" t="str">
        <f t="shared" si="53"/>
        <v>-</v>
      </c>
      <c r="N144" s="15">
        <f t="shared" si="54"/>
        <v>2.5</v>
      </c>
      <c r="O144" s="15" t="str">
        <f t="shared" si="55"/>
        <v>A40</v>
      </c>
      <c r="P144" s="15" t="str">
        <f t="shared" si="56"/>
        <v>Romana Imports</v>
      </c>
      <c r="Q144" s="15" t="str">
        <f t="shared" si="57"/>
        <v>17 Lalla Ward Road</v>
      </c>
      <c r="R144" s="3">
        <f>OrdersTable!C144</f>
        <v>44571</v>
      </c>
      <c r="S144" s="15">
        <f>OrdersTable!E144</f>
        <v>7</v>
      </c>
      <c r="T144" s="15">
        <f t="shared" si="58"/>
        <v>49.99</v>
      </c>
      <c r="U144" s="15">
        <f t="shared" si="59"/>
        <v>68.510000000000005</v>
      </c>
      <c r="V144" s="15">
        <f t="shared" si="60"/>
        <v>80.98</v>
      </c>
      <c r="W144" s="15">
        <f>IF(MarkupType="Store Markup",ROUND(V144+V144*StoreMarkup,2),IF(MarkupType="Supplier Markup",V144+V144*SupplierMarkup,"Error at finding value"))</f>
        <v>127.54</v>
      </c>
      <c r="X144" s="32">
        <f t="shared" si="62"/>
        <v>9.09</v>
      </c>
      <c r="Y144" s="15">
        <f t="shared" si="63"/>
        <v>566.86</v>
      </c>
      <c r="Z144" s="15">
        <f t="shared" si="64"/>
        <v>829.15</v>
      </c>
      <c r="AA144" s="15">
        <f>IF(FreightType="Lethbridge-Stewart Freight ",ROUND(2.99+IF(N144&gt;0.75,(N144-0.75)*2.25,0)*S144,2),IF(MarkupType="Supplier Markup",V144+V144*SupplierMarkup,"Error at finding value"))</f>
        <v>30.55</v>
      </c>
      <c r="AB144" s="15">
        <f t="shared" si="65"/>
        <v>63.63</v>
      </c>
    </row>
    <row r="145" spans="1:28" x14ac:dyDescent="0.25">
      <c r="A145" s="16">
        <f>OrdersTable!A145</f>
        <v>657</v>
      </c>
      <c r="B145" s="15" t="str">
        <f t="shared" si="45"/>
        <v>Mr</v>
      </c>
      <c r="C145" s="15" t="str">
        <f t="shared" si="66"/>
        <v>Poljak</v>
      </c>
      <c r="D145" s="15" t="str">
        <f t="shared" si="46"/>
        <v>Anthony</v>
      </c>
      <c r="E145" s="15" t="str">
        <f t="shared" si="47"/>
        <v>45 Robertson Boulevard</v>
      </c>
      <c r="F145" s="15" t="str">
        <f t="shared" si="48"/>
        <v>Iluka</v>
      </c>
      <c r="G145" s="15" t="str">
        <f t="shared" si="49"/>
        <v>NSW</v>
      </c>
      <c r="H145" s="15">
        <f t="shared" si="50"/>
        <v>2466</v>
      </c>
      <c r="I145" s="15">
        <f t="shared" si="61"/>
        <v>347</v>
      </c>
      <c r="J145" s="15">
        <f>OrdersTable!B145</f>
        <v>852</v>
      </c>
      <c r="K145" s="15" t="str">
        <f t="shared" si="51"/>
        <v>Statues and Busts</v>
      </c>
      <c r="L145" s="15" t="str">
        <f t="shared" si="52"/>
        <v>Doctor Who: Statue: Revenge Of The Cybermen Cyberleader</v>
      </c>
      <c r="M145" s="15" t="str">
        <f t="shared" si="53"/>
        <v>-</v>
      </c>
      <c r="N145" s="15">
        <f t="shared" si="54"/>
        <v>5.4</v>
      </c>
      <c r="O145" s="15" t="str">
        <f t="shared" si="55"/>
        <v>A50</v>
      </c>
      <c r="P145" s="15" t="str">
        <f t="shared" si="56"/>
        <v>Rassilon Ltd.</v>
      </c>
      <c r="Q145" s="15" t="str">
        <f t="shared" si="57"/>
        <v>82 Richard Mathews Road</v>
      </c>
      <c r="R145" s="3">
        <f>OrdersTable!C145</f>
        <v>44571</v>
      </c>
      <c r="S145" s="15">
        <f>OrdersTable!E145</f>
        <v>5</v>
      </c>
      <c r="T145" s="15">
        <f t="shared" si="58"/>
        <v>108</v>
      </c>
      <c r="U145" s="15">
        <f t="shared" si="59"/>
        <v>147.29</v>
      </c>
      <c r="V145" s="15">
        <f t="shared" si="60"/>
        <v>174.96</v>
      </c>
      <c r="W145" s="15">
        <f>IF(MarkupType="Store Markup",ROUND(V145+V145*StoreMarkup,2),IF(MarkupType="Supplier Markup",V145+V145*SupplierMarkup,"Error at finding value"))</f>
        <v>275.56</v>
      </c>
      <c r="X145" s="32">
        <f t="shared" si="62"/>
        <v>19.63</v>
      </c>
      <c r="Y145" s="15">
        <f t="shared" si="63"/>
        <v>874.8</v>
      </c>
      <c r="Z145" s="15">
        <f t="shared" si="64"/>
        <v>1279.6500000000001</v>
      </c>
      <c r="AA145" s="15">
        <f>IF(FreightType="Lethbridge-Stewart Freight ",ROUND(2.99+IF(N145&gt;0.75,(N145-0.75)*2.25,0)*S145,2),IF(MarkupType="Supplier Markup",V145+V145*SupplierMarkup,"Error at finding value"))</f>
        <v>55.3</v>
      </c>
      <c r="AB145" s="15">
        <f t="shared" si="65"/>
        <v>98.15</v>
      </c>
    </row>
    <row r="146" spans="1:28" x14ac:dyDescent="0.25">
      <c r="A146" s="16">
        <f>OrdersTable!A146</f>
        <v>923</v>
      </c>
      <c r="B146" s="15" t="str">
        <f t="shared" si="45"/>
        <v>Ms</v>
      </c>
      <c r="C146" s="15" t="str">
        <f t="shared" si="66"/>
        <v>Savage</v>
      </c>
      <c r="D146" s="15" t="str">
        <f t="shared" si="46"/>
        <v>Eliza Margaret</v>
      </c>
      <c r="E146" s="15" t="str">
        <f t="shared" si="47"/>
        <v>28 Whisson Crescent</v>
      </c>
      <c r="F146" s="15" t="str">
        <f t="shared" si="48"/>
        <v>Belconnen</v>
      </c>
      <c r="G146" s="15" t="str">
        <f t="shared" si="49"/>
        <v>ACT</v>
      </c>
      <c r="H146" s="15">
        <f t="shared" si="50"/>
        <v>2617</v>
      </c>
      <c r="I146" s="15">
        <f t="shared" si="61"/>
        <v>1194</v>
      </c>
      <c r="J146" s="15">
        <f>OrdersTable!B146</f>
        <v>376</v>
      </c>
      <c r="K146" s="15" t="str">
        <f t="shared" si="51"/>
        <v>Clothing and Apparel</v>
      </c>
      <c r="L146" s="15" t="str">
        <f t="shared" si="52"/>
        <v xml:space="preserve">Doctor Who: T-Shirts: 7th Doctor Costume </v>
      </c>
      <c r="M146" s="15" t="str">
        <f t="shared" si="53"/>
        <v>S</v>
      </c>
      <c r="N146" s="15">
        <f t="shared" si="54"/>
        <v>0.8</v>
      </c>
      <c r="O146" s="15" t="str">
        <f t="shared" si="55"/>
        <v>A10</v>
      </c>
      <c r="P146" s="15" t="str">
        <f t="shared" si="56"/>
        <v>Gallifrey International</v>
      </c>
      <c r="Q146" s="15" t="str">
        <f t="shared" si="57"/>
        <v>181 Arcadia Street</v>
      </c>
      <c r="R146" s="3">
        <f>OrdersTable!C146</f>
        <v>44571</v>
      </c>
      <c r="S146" s="15">
        <f>OrdersTable!E146</f>
        <v>7</v>
      </c>
      <c r="T146" s="15">
        <f t="shared" si="58"/>
        <v>15.99</v>
      </c>
      <c r="U146" s="15">
        <f t="shared" si="59"/>
        <v>21.83</v>
      </c>
      <c r="V146" s="15">
        <f t="shared" si="60"/>
        <v>25.9</v>
      </c>
      <c r="W146" s="15">
        <f>IF(MarkupType="Store Markup",ROUND(V146+V146*StoreMarkup,2),IF(MarkupType="Supplier Markup",V146+V146*SupplierMarkup,"Error at finding value"))</f>
        <v>40.79</v>
      </c>
      <c r="X146" s="32" t="str">
        <f t="shared" si="62"/>
        <v>0.00</v>
      </c>
      <c r="Y146" s="15">
        <f t="shared" si="63"/>
        <v>181.3</v>
      </c>
      <c r="Z146" s="15">
        <f t="shared" si="64"/>
        <v>285.52999999999997</v>
      </c>
      <c r="AA146" s="15">
        <f>IF(FreightType="Lethbridge-Stewart Freight ",ROUND(2.99+IF(N146&gt;0.75,(N146-0.75)*2.25,0)*S146,2),IF(MarkupType="Supplier Markup",V146+V146*SupplierMarkup,"Error at finding value"))</f>
        <v>3.78</v>
      </c>
      <c r="AB146" s="15">
        <f t="shared" si="65"/>
        <v>0</v>
      </c>
    </row>
    <row r="147" spans="1:28" x14ac:dyDescent="0.25">
      <c r="A147" s="16">
        <f>OrdersTable!A147</f>
        <v>989</v>
      </c>
      <c r="B147" s="15" t="str">
        <f t="shared" si="45"/>
        <v>Miss</v>
      </c>
      <c r="C147" s="15" t="str">
        <f t="shared" si="66"/>
        <v>McInnes</v>
      </c>
      <c r="D147" s="15" t="str">
        <f t="shared" si="46"/>
        <v>Nina Marie</v>
      </c>
      <c r="E147" s="15" t="str">
        <f t="shared" si="47"/>
        <v>28 Caruss Road</v>
      </c>
      <c r="F147" s="15" t="str">
        <f t="shared" si="48"/>
        <v>Belford</v>
      </c>
      <c r="G147" s="15" t="str">
        <f t="shared" si="49"/>
        <v>NSW</v>
      </c>
      <c r="H147" s="15">
        <f t="shared" si="50"/>
        <v>2335</v>
      </c>
      <c r="I147" s="15">
        <f t="shared" si="61"/>
        <v>716</v>
      </c>
      <c r="J147" s="15">
        <f>OrdersTable!B147</f>
        <v>683</v>
      </c>
      <c r="K147" s="15" t="str">
        <f t="shared" si="51"/>
        <v>Mugs</v>
      </c>
      <c r="L147" s="15" t="str">
        <f t="shared" si="52"/>
        <v>Doctor Who: Mug: The Tenth Doctor</v>
      </c>
      <c r="M147" s="15" t="str">
        <f t="shared" si="53"/>
        <v>-</v>
      </c>
      <c r="N147" s="15">
        <f t="shared" si="54"/>
        <v>0.45</v>
      </c>
      <c r="O147" s="15" t="str">
        <f t="shared" si="55"/>
        <v>A20</v>
      </c>
      <c r="P147" s="15" t="str">
        <f t="shared" si="56"/>
        <v>Morbius Inc.</v>
      </c>
      <c r="Q147" s="15" t="str">
        <f t="shared" si="57"/>
        <v>56 Michael Spice Hwy</v>
      </c>
      <c r="R147" s="3">
        <f>OrdersTable!C147</f>
        <v>44571</v>
      </c>
      <c r="S147" s="15">
        <f>OrdersTable!E147</f>
        <v>8</v>
      </c>
      <c r="T147" s="15">
        <f t="shared" si="58"/>
        <v>8.99</v>
      </c>
      <c r="U147" s="15">
        <f t="shared" si="59"/>
        <v>12.54</v>
      </c>
      <c r="V147" s="15">
        <f t="shared" si="60"/>
        <v>14.56</v>
      </c>
      <c r="W147" s="15">
        <f>IF(MarkupType="Store Markup",ROUND(V147+V147*StoreMarkup,2),IF(MarkupType="Supplier Markup",V147+V147*SupplierMarkup,"Error at finding value"))</f>
        <v>22.93</v>
      </c>
      <c r="X147" s="32" t="str">
        <f t="shared" si="62"/>
        <v>0.00</v>
      </c>
      <c r="Y147" s="15">
        <f t="shared" si="63"/>
        <v>116.48</v>
      </c>
      <c r="Z147" s="15">
        <f t="shared" si="64"/>
        <v>183.44</v>
      </c>
      <c r="AA147" s="15">
        <f>IF(FreightType="Lethbridge-Stewart Freight ",ROUND(2.99+IF(N147&gt;0.75,(N147-0.75)*2.25,0)*S147,2),IF(MarkupType="Supplier Markup",V147+V147*SupplierMarkup,"Error at finding value"))</f>
        <v>2.99</v>
      </c>
      <c r="AB147" s="15">
        <f t="shared" si="65"/>
        <v>0</v>
      </c>
    </row>
    <row r="148" spans="1:28" x14ac:dyDescent="0.25">
      <c r="A148" s="16">
        <f>OrdersTable!A148</f>
        <v>158</v>
      </c>
      <c r="B148" s="15" t="str">
        <f t="shared" si="45"/>
        <v>Mr</v>
      </c>
      <c r="C148" s="15" t="str">
        <f t="shared" si="66"/>
        <v>Fowler</v>
      </c>
      <c r="D148" s="15" t="str">
        <f t="shared" si="46"/>
        <v>James</v>
      </c>
      <c r="E148" s="15" t="str">
        <f t="shared" si="47"/>
        <v>30 Virk Court</v>
      </c>
      <c r="F148" s="15" t="str">
        <f t="shared" si="48"/>
        <v>Black Hills</v>
      </c>
      <c r="G148" s="15" t="str">
        <f t="shared" si="49"/>
        <v>TAS</v>
      </c>
      <c r="H148" s="15">
        <f t="shared" si="50"/>
        <v>7140</v>
      </c>
      <c r="I148" s="15">
        <f t="shared" si="61"/>
        <v>2191</v>
      </c>
      <c r="J148" s="15">
        <f>OrdersTable!B148</f>
        <v>418</v>
      </c>
      <c r="K148" s="15" t="str">
        <f t="shared" si="51"/>
        <v>Clothing and Apparel</v>
      </c>
      <c r="L148" s="15" t="str">
        <f t="shared" si="52"/>
        <v>Doctor Who: Women's Winter Pyjamas</v>
      </c>
      <c r="M148" s="15" t="str">
        <f t="shared" si="53"/>
        <v>M</v>
      </c>
      <c r="N148" s="15">
        <f t="shared" si="54"/>
        <v>1.5</v>
      </c>
      <c r="O148" s="15" t="str">
        <f t="shared" si="55"/>
        <v>A30</v>
      </c>
      <c r="P148" s="15" t="str">
        <f t="shared" si="56"/>
        <v>Chesterton Enterprises</v>
      </c>
      <c r="Q148" s="15" t="str">
        <f t="shared" si="57"/>
        <v>41 William Russell Road</v>
      </c>
      <c r="R148" s="3">
        <f>OrdersTable!C148</f>
        <v>44572</v>
      </c>
      <c r="S148" s="15">
        <f>OrdersTable!E148</f>
        <v>9</v>
      </c>
      <c r="T148" s="15">
        <f t="shared" si="58"/>
        <v>29.99</v>
      </c>
      <c r="U148" s="15">
        <f t="shared" si="59"/>
        <v>40.96</v>
      </c>
      <c r="V148" s="15">
        <f t="shared" si="60"/>
        <v>48.58</v>
      </c>
      <c r="W148" s="15">
        <f>IF(MarkupType="Store Markup",ROUND(V148+V148*StoreMarkup,2),IF(MarkupType="Supplier Markup",V148+V148*SupplierMarkup,"Error at finding value"))</f>
        <v>76.510000000000005</v>
      </c>
      <c r="X148" s="32" t="str">
        <f t="shared" si="62"/>
        <v>0.00</v>
      </c>
      <c r="Y148" s="15">
        <f t="shared" si="63"/>
        <v>437.22</v>
      </c>
      <c r="Z148" s="15">
        <f t="shared" si="64"/>
        <v>688.59</v>
      </c>
      <c r="AA148" s="15">
        <f>IF(FreightType="Lethbridge-Stewart Freight ",ROUND(2.99+IF(N148&gt;0.75,(N148-0.75)*2.25,0)*S148,2),IF(MarkupType="Supplier Markup",V148+V148*SupplierMarkup,"Error at finding value"))</f>
        <v>18.18</v>
      </c>
      <c r="AB148" s="15">
        <f t="shared" si="65"/>
        <v>0</v>
      </c>
    </row>
    <row r="149" spans="1:28" x14ac:dyDescent="0.25">
      <c r="A149" s="16">
        <f>OrdersTable!A149</f>
        <v>200</v>
      </c>
      <c r="B149" s="15" t="str">
        <f t="shared" si="45"/>
        <v>Ms</v>
      </c>
      <c r="C149" s="15" t="str">
        <f t="shared" si="66"/>
        <v>Barton</v>
      </c>
      <c r="D149" s="15" t="str">
        <f t="shared" si="46"/>
        <v>Kimberley</v>
      </c>
      <c r="E149" s="15" t="str">
        <f t="shared" si="47"/>
        <v>9 Decuyper Road</v>
      </c>
      <c r="F149" s="15" t="str">
        <f t="shared" si="48"/>
        <v>Ashford</v>
      </c>
      <c r="G149" s="15" t="str">
        <f t="shared" si="49"/>
        <v>SA</v>
      </c>
      <c r="H149" s="15">
        <f t="shared" si="50"/>
        <v>5035</v>
      </c>
      <c r="I149" s="15">
        <f t="shared" si="61"/>
        <v>1877</v>
      </c>
      <c r="J149" s="15">
        <f>OrdersTable!B149</f>
        <v>341</v>
      </c>
      <c r="K149" s="15" t="str">
        <f t="shared" si="51"/>
        <v>Clothing and Apparel</v>
      </c>
      <c r="L149" s="15" t="str">
        <f t="shared" si="52"/>
        <v xml:space="preserve">Doctor Who: T-Shirts: 4th Doctor Costume </v>
      </c>
      <c r="M149" s="15" t="str">
        <f t="shared" si="53"/>
        <v>XL</v>
      </c>
      <c r="N149" s="15">
        <f t="shared" si="54"/>
        <v>0.8</v>
      </c>
      <c r="O149" s="15" t="str">
        <f t="shared" si="55"/>
        <v>A20</v>
      </c>
      <c r="P149" s="15" t="str">
        <f t="shared" si="56"/>
        <v>Morbius Inc.</v>
      </c>
      <c r="Q149" s="15" t="str">
        <f t="shared" si="57"/>
        <v>56 Michael Spice Hwy</v>
      </c>
      <c r="R149" s="3">
        <f>OrdersTable!C149</f>
        <v>44572</v>
      </c>
      <c r="S149" s="15">
        <f>OrdersTable!E149</f>
        <v>3</v>
      </c>
      <c r="T149" s="15">
        <f t="shared" si="58"/>
        <v>15.99</v>
      </c>
      <c r="U149" s="15">
        <f t="shared" si="59"/>
        <v>22.05</v>
      </c>
      <c r="V149" s="15">
        <f t="shared" si="60"/>
        <v>25.9</v>
      </c>
      <c r="W149" s="15">
        <f>IF(MarkupType="Store Markup",ROUND(V149+V149*StoreMarkup,2),IF(MarkupType="Supplier Markup",V149+V149*SupplierMarkup,"Error at finding value"))</f>
        <v>40.79</v>
      </c>
      <c r="X149" s="32" t="str">
        <f t="shared" si="62"/>
        <v>0.00</v>
      </c>
      <c r="Y149" s="15">
        <f t="shared" si="63"/>
        <v>77.7</v>
      </c>
      <c r="Z149" s="15">
        <f t="shared" si="64"/>
        <v>122.37</v>
      </c>
      <c r="AA149" s="15">
        <f>IF(FreightType="Lethbridge-Stewart Freight ",ROUND(2.99+IF(N149&gt;0.75,(N149-0.75)*2.25,0)*S149,2),IF(MarkupType="Supplier Markup",V149+V149*SupplierMarkup,"Error at finding value"))</f>
        <v>3.33</v>
      </c>
      <c r="AB149" s="15">
        <f t="shared" si="65"/>
        <v>0</v>
      </c>
    </row>
    <row r="150" spans="1:28" x14ac:dyDescent="0.25">
      <c r="A150" s="16">
        <f>OrdersTable!A150</f>
        <v>200</v>
      </c>
      <c r="B150" s="15" t="str">
        <f t="shared" si="45"/>
        <v>Ms</v>
      </c>
      <c r="C150" s="15" t="str">
        <f t="shared" si="66"/>
        <v>Barton</v>
      </c>
      <c r="D150" s="15" t="str">
        <f t="shared" si="46"/>
        <v>Kimberley</v>
      </c>
      <c r="E150" s="15" t="str">
        <f t="shared" si="47"/>
        <v>9 Decuyper Road</v>
      </c>
      <c r="F150" s="15" t="str">
        <f t="shared" si="48"/>
        <v>Ashford</v>
      </c>
      <c r="G150" s="15" t="str">
        <f t="shared" si="49"/>
        <v>SA</v>
      </c>
      <c r="H150" s="15">
        <f t="shared" si="50"/>
        <v>5035</v>
      </c>
      <c r="I150" s="15">
        <f t="shared" si="61"/>
        <v>1877</v>
      </c>
      <c r="J150" s="15">
        <f>OrdersTable!B150</f>
        <v>373</v>
      </c>
      <c r="K150" s="15" t="str">
        <f t="shared" si="51"/>
        <v>Clothing and Apparel</v>
      </c>
      <c r="L150" s="15" t="str">
        <f t="shared" si="52"/>
        <v xml:space="preserve">Doctor Who: T-Shirts: 5th Doctor Costume </v>
      </c>
      <c r="M150" s="15" t="str">
        <f t="shared" si="53"/>
        <v>L</v>
      </c>
      <c r="N150" s="15">
        <f t="shared" si="54"/>
        <v>0.8</v>
      </c>
      <c r="O150" s="15" t="str">
        <f t="shared" si="55"/>
        <v>A20</v>
      </c>
      <c r="P150" s="15" t="str">
        <f t="shared" si="56"/>
        <v>Morbius Inc.</v>
      </c>
      <c r="Q150" s="15" t="str">
        <f t="shared" si="57"/>
        <v>56 Michael Spice Hwy</v>
      </c>
      <c r="R150" s="3">
        <f>OrdersTable!C150</f>
        <v>44572</v>
      </c>
      <c r="S150" s="15">
        <f>OrdersTable!E150</f>
        <v>5</v>
      </c>
      <c r="T150" s="15">
        <f t="shared" si="58"/>
        <v>15.99</v>
      </c>
      <c r="U150" s="15">
        <f t="shared" si="59"/>
        <v>22.09</v>
      </c>
      <c r="V150" s="15">
        <f t="shared" si="60"/>
        <v>25.9</v>
      </c>
      <c r="W150" s="15">
        <f>IF(MarkupType="Store Markup",ROUND(V150+V150*StoreMarkup,2),IF(MarkupType="Supplier Markup",V150+V150*SupplierMarkup,"Error at finding value"))</f>
        <v>40.79</v>
      </c>
      <c r="X150" s="32" t="str">
        <f t="shared" si="62"/>
        <v>0.00</v>
      </c>
      <c r="Y150" s="15">
        <f t="shared" si="63"/>
        <v>129.5</v>
      </c>
      <c r="Z150" s="15">
        <f t="shared" si="64"/>
        <v>203.95</v>
      </c>
      <c r="AA150" s="15">
        <f>IF(FreightType="Lethbridge-Stewart Freight ",ROUND(2.99+IF(N150&gt;0.75,(N150-0.75)*2.25,0)*S150,2),IF(MarkupType="Supplier Markup",V150+V150*SupplierMarkup,"Error at finding value"))</f>
        <v>3.55</v>
      </c>
      <c r="AB150" s="15">
        <f t="shared" si="65"/>
        <v>0</v>
      </c>
    </row>
    <row r="151" spans="1:28" x14ac:dyDescent="0.25">
      <c r="A151" s="16">
        <f>OrdersTable!A151</f>
        <v>448</v>
      </c>
      <c r="B151" s="15" t="str">
        <f t="shared" si="45"/>
        <v>Mr</v>
      </c>
      <c r="C151" s="15" t="str">
        <f t="shared" si="66"/>
        <v>Earl</v>
      </c>
      <c r="D151" s="15" t="str">
        <f t="shared" si="46"/>
        <v>Benn Robert</v>
      </c>
      <c r="E151" s="15" t="str">
        <f t="shared" si="47"/>
        <v>31 Kae Drive</v>
      </c>
      <c r="F151" s="15" t="str">
        <f t="shared" si="48"/>
        <v>Belford</v>
      </c>
      <c r="G151" s="15" t="str">
        <f t="shared" si="49"/>
        <v>NSW</v>
      </c>
      <c r="H151" s="15">
        <f t="shared" si="50"/>
        <v>2335</v>
      </c>
      <c r="I151" s="15">
        <f t="shared" si="61"/>
        <v>716</v>
      </c>
      <c r="J151" s="15">
        <f>OrdersTable!B151</f>
        <v>201</v>
      </c>
      <c r="K151" s="15" t="str">
        <f t="shared" si="51"/>
        <v>Clothing and Apparel</v>
      </c>
      <c r="L151" s="15" t="str">
        <f t="shared" si="52"/>
        <v>Doctor Who: Dalek Beanie</v>
      </c>
      <c r="M151" s="15" t="str">
        <f t="shared" si="53"/>
        <v>-</v>
      </c>
      <c r="N151" s="15">
        <f t="shared" si="54"/>
        <v>1.1399999999999999</v>
      </c>
      <c r="O151" s="15" t="str">
        <f t="shared" si="55"/>
        <v>A50</v>
      </c>
      <c r="P151" s="15" t="str">
        <f t="shared" si="56"/>
        <v>Rassilon Ltd.</v>
      </c>
      <c r="Q151" s="15" t="str">
        <f t="shared" si="57"/>
        <v>82 Richard Mathews Road</v>
      </c>
      <c r="R151" s="3">
        <f>OrdersTable!C151</f>
        <v>44572</v>
      </c>
      <c r="S151" s="15">
        <f>OrdersTable!E151</f>
        <v>6</v>
      </c>
      <c r="T151" s="15">
        <f t="shared" si="58"/>
        <v>22.75</v>
      </c>
      <c r="U151" s="15">
        <f t="shared" si="59"/>
        <v>31.26</v>
      </c>
      <c r="V151" s="15">
        <f t="shared" si="60"/>
        <v>36.86</v>
      </c>
      <c r="W151" s="15">
        <f>IF(MarkupType="Store Markup",ROUND(V151+V151*StoreMarkup,2),IF(MarkupType="Supplier Markup",V151+V151*SupplierMarkup,"Error at finding value"))</f>
        <v>58.05</v>
      </c>
      <c r="X151" s="32" t="str">
        <f t="shared" si="62"/>
        <v>0.00</v>
      </c>
      <c r="Y151" s="15">
        <f t="shared" si="63"/>
        <v>221.16</v>
      </c>
      <c r="Z151" s="15">
        <f t="shared" si="64"/>
        <v>348.3</v>
      </c>
      <c r="AA151" s="15">
        <f>IF(FreightType="Lethbridge-Stewart Freight ",ROUND(2.99+IF(N151&gt;0.75,(N151-0.75)*2.25,0)*S151,2),IF(MarkupType="Supplier Markup",V151+V151*SupplierMarkup,"Error at finding value"))</f>
        <v>8.26</v>
      </c>
      <c r="AB151" s="15">
        <f t="shared" si="65"/>
        <v>0</v>
      </c>
    </row>
    <row r="152" spans="1:28" x14ac:dyDescent="0.25">
      <c r="A152" s="16">
        <f>OrdersTable!A152</f>
        <v>448</v>
      </c>
      <c r="B152" s="15" t="str">
        <f t="shared" si="45"/>
        <v>Mr</v>
      </c>
      <c r="C152" s="15" t="str">
        <f t="shared" si="66"/>
        <v>Earl</v>
      </c>
      <c r="D152" s="15" t="str">
        <f t="shared" si="46"/>
        <v>Benn Robert</v>
      </c>
      <c r="E152" s="15" t="str">
        <f t="shared" si="47"/>
        <v>31 Kae Drive</v>
      </c>
      <c r="F152" s="15" t="str">
        <f t="shared" si="48"/>
        <v>Belford</v>
      </c>
      <c r="G152" s="15" t="str">
        <f t="shared" si="49"/>
        <v>NSW</v>
      </c>
      <c r="H152" s="15">
        <f t="shared" si="50"/>
        <v>2335</v>
      </c>
      <c r="I152" s="15">
        <f t="shared" si="61"/>
        <v>716</v>
      </c>
      <c r="J152" s="15">
        <f>OrdersTable!B152</f>
        <v>719</v>
      </c>
      <c r="K152" s="15" t="str">
        <f t="shared" si="51"/>
        <v>Posters, Prints and Standees</v>
      </c>
      <c r="L152" s="15" t="str">
        <f t="shared" si="52"/>
        <v>Doctor Who: Standee: Supreme Dalek</v>
      </c>
      <c r="M152" s="15" t="str">
        <f t="shared" si="53"/>
        <v>-</v>
      </c>
      <c r="N152" s="15">
        <f t="shared" si="54"/>
        <v>1.125</v>
      </c>
      <c r="O152" s="15" t="str">
        <f t="shared" si="55"/>
        <v>A50</v>
      </c>
      <c r="P152" s="15" t="str">
        <f t="shared" si="56"/>
        <v>Rassilon Ltd.</v>
      </c>
      <c r="Q152" s="15" t="str">
        <f t="shared" si="57"/>
        <v>82 Richard Mathews Road</v>
      </c>
      <c r="R152" s="3">
        <f>OrdersTable!C152</f>
        <v>44572</v>
      </c>
      <c r="S152" s="15">
        <f>OrdersTable!E152</f>
        <v>4</v>
      </c>
      <c r="T152" s="15">
        <f t="shared" si="58"/>
        <v>22.49</v>
      </c>
      <c r="U152" s="15">
        <f t="shared" si="59"/>
        <v>30.76</v>
      </c>
      <c r="V152" s="15">
        <f t="shared" si="60"/>
        <v>36.43</v>
      </c>
      <c r="W152" s="15">
        <f>IF(MarkupType="Store Markup",ROUND(V152+V152*StoreMarkup,2),IF(MarkupType="Supplier Markup",V152+V152*SupplierMarkup,"Error at finding value"))</f>
        <v>57.38</v>
      </c>
      <c r="X152" s="32" t="str">
        <f t="shared" si="62"/>
        <v>0.00</v>
      </c>
      <c r="Y152" s="15">
        <f t="shared" si="63"/>
        <v>145.72</v>
      </c>
      <c r="Z152" s="15">
        <f t="shared" si="64"/>
        <v>229.52</v>
      </c>
      <c r="AA152" s="15">
        <f>IF(FreightType="Lethbridge-Stewart Freight ",ROUND(2.99+IF(N152&gt;0.75,(N152-0.75)*2.25,0)*S152,2),IF(MarkupType="Supplier Markup",V152+V152*SupplierMarkup,"Error at finding value"))</f>
        <v>6.37</v>
      </c>
      <c r="AB152" s="15">
        <f t="shared" si="65"/>
        <v>0</v>
      </c>
    </row>
    <row r="153" spans="1:28" x14ac:dyDescent="0.25">
      <c r="A153" s="16">
        <f>OrdersTable!A153</f>
        <v>468</v>
      </c>
      <c r="B153" s="15" t="str">
        <f t="shared" si="45"/>
        <v>Mrs</v>
      </c>
      <c r="C153" s="15" t="str">
        <f t="shared" si="66"/>
        <v>Van Essen</v>
      </c>
      <c r="D153" s="15" t="str">
        <f t="shared" si="46"/>
        <v>Bianca Jane</v>
      </c>
      <c r="E153" s="15" t="str">
        <f t="shared" si="47"/>
        <v>47 Ward Circuit</v>
      </c>
      <c r="F153" s="15" t="str">
        <f t="shared" si="48"/>
        <v>Batlow</v>
      </c>
      <c r="G153" s="15" t="str">
        <f t="shared" si="49"/>
        <v>NSW</v>
      </c>
      <c r="H153" s="15">
        <f t="shared" si="50"/>
        <v>2730</v>
      </c>
      <c r="I153" s="15">
        <f t="shared" si="61"/>
        <v>1138</v>
      </c>
      <c r="J153" s="15">
        <f>OrdersTable!B153</f>
        <v>590</v>
      </c>
      <c r="K153" s="15" t="str">
        <f t="shared" si="51"/>
        <v>iPhone Skins</v>
      </c>
      <c r="L153" s="15" t="str">
        <f t="shared" si="52"/>
        <v>Doctor Who: iPhone Skin: Exploding TARDIS</v>
      </c>
      <c r="M153" s="15" t="str">
        <f t="shared" si="53"/>
        <v>-</v>
      </c>
      <c r="N153" s="15">
        <f t="shared" si="54"/>
        <v>0.5</v>
      </c>
      <c r="O153" s="15" t="str">
        <f t="shared" si="55"/>
        <v>A20</v>
      </c>
      <c r="P153" s="15" t="str">
        <f t="shared" si="56"/>
        <v>Morbius Inc.</v>
      </c>
      <c r="Q153" s="15" t="str">
        <f t="shared" si="57"/>
        <v>56 Michael Spice Hwy</v>
      </c>
      <c r="R153" s="3">
        <f>OrdersTable!C153</f>
        <v>44572</v>
      </c>
      <c r="S153" s="15">
        <f>OrdersTable!E153</f>
        <v>9</v>
      </c>
      <c r="T153" s="15">
        <f t="shared" si="58"/>
        <v>9.99</v>
      </c>
      <c r="U153" s="15">
        <f t="shared" si="59"/>
        <v>13.86</v>
      </c>
      <c r="V153" s="15">
        <f t="shared" si="60"/>
        <v>16.18</v>
      </c>
      <c r="W153" s="15">
        <f>IF(MarkupType="Store Markup",ROUND(V153+V153*StoreMarkup,2),IF(MarkupType="Supplier Markup",V153+V153*SupplierMarkup,"Error at finding value"))</f>
        <v>25.48</v>
      </c>
      <c r="X153" s="32" t="str">
        <f t="shared" si="62"/>
        <v>0.00</v>
      </c>
      <c r="Y153" s="15">
        <f t="shared" si="63"/>
        <v>145.62</v>
      </c>
      <c r="Z153" s="15">
        <f t="shared" si="64"/>
        <v>229.32</v>
      </c>
      <c r="AA153" s="15">
        <f>IF(FreightType="Lethbridge-Stewart Freight ",ROUND(2.99+IF(N153&gt;0.75,(N153-0.75)*2.25,0)*S153,2),IF(MarkupType="Supplier Markup",V153+V153*SupplierMarkup,"Error at finding value"))</f>
        <v>2.99</v>
      </c>
      <c r="AB153" s="15">
        <f t="shared" si="65"/>
        <v>0</v>
      </c>
    </row>
    <row r="154" spans="1:28" x14ac:dyDescent="0.25">
      <c r="A154" s="16">
        <f>OrdersTable!A154</f>
        <v>468</v>
      </c>
      <c r="B154" s="15" t="str">
        <f t="shared" si="45"/>
        <v>Mrs</v>
      </c>
      <c r="C154" s="15" t="str">
        <f t="shared" si="66"/>
        <v>Van Essen</v>
      </c>
      <c r="D154" s="15" t="str">
        <f t="shared" si="46"/>
        <v>Bianca Jane</v>
      </c>
      <c r="E154" s="15" t="str">
        <f t="shared" si="47"/>
        <v>47 Ward Circuit</v>
      </c>
      <c r="F154" s="15" t="str">
        <f t="shared" si="48"/>
        <v>Batlow</v>
      </c>
      <c r="G154" s="15" t="str">
        <f t="shared" si="49"/>
        <v>NSW</v>
      </c>
      <c r="H154" s="15">
        <f t="shared" si="50"/>
        <v>2730</v>
      </c>
      <c r="I154" s="15">
        <f t="shared" si="61"/>
        <v>1138</v>
      </c>
      <c r="J154" s="15">
        <f>OrdersTable!B154</f>
        <v>679</v>
      </c>
      <c r="K154" s="15" t="str">
        <f t="shared" si="51"/>
        <v>Mugs</v>
      </c>
      <c r="L154" s="15" t="str">
        <f t="shared" si="52"/>
        <v>Doctor Who: Mug: The Fifth Doctor</v>
      </c>
      <c r="M154" s="15" t="str">
        <f t="shared" si="53"/>
        <v>-</v>
      </c>
      <c r="N154" s="15">
        <f t="shared" si="54"/>
        <v>0.45</v>
      </c>
      <c r="O154" s="15" t="str">
        <f t="shared" si="55"/>
        <v>A40</v>
      </c>
      <c r="P154" s="15" t="str">
        <f t="shared" si="56"/>
        <v>Romana Imports</v>
      </c>
      <c r="Q154" s="15" t="str">
        <f t="shared" si="57"/>
        <v>17 Lalla Ward Road</v>
      </c>
      <c r="R154" s="3">
        <f>OrdersTable!C154</f>
        <v>44572</v>
      </c>
      <c r="S154" s="15">
        <f>OrdersTable!E154</f>
        <v>5</v>
      </c>
      <c r="T154" s="15">
        <f t="shared" si="58"/>
        <v>8.99</v>
      </c>
      <c r="U154" s="15">
        <f t="shared" si="59"/>
        <v>12.28</v>
      </c>
      <c r="V154" s="15">
        <f t="shared" si="60"/>
        <v>14.56</v>
      </c>
      <c r="W154" s="15">
        <f>IF(MarkupType="Store Markup",ROUND(V154+V154*StoreMarkup,2),IF(MarkupType="Supplier Markup",V154+V154*SupplierMarkup,"Error at finding value"))</f>
        <v>22.93</v>
      </c>
      <c r="X154" s="32" t="str">
        <f t="shared" si="62"/>
        <v>0.00</v>
      </c>
      <c r="Y154" s="15">
        <f t="shared" si="63"/>
        <v>72.8</v>
      </c>
      <c r="Z154" s="15">
        <f t="shared" si="64"/>
        <v>114.65</v>
      </c>
      <c r="AA154" s="15">
        <f>IF(FreightType="Lethbridge-Stewart Freight ",ROUND(2.99+IF(N154&gt;0.75,(N154-0.75)*2.25,0)*S154,2),IF(MarkupType="Supplier Markup",V154+V154*SupplierMarkup,"Error at finding value"))</f>
        <v>2.99</v>
      </c>
      <c r="AB154" s="15">
        <f t="shared" si="65"/>
        <v>0</v>
      </c>
    </row>
    <row r="155" spans="1:28" x14ac:dyDescent="0.25">
      <c r="A155" s="16">
        <f>OrdersTable!A155</f>
        <v>570</v>
      </c>
      <c r="B155" s="15" t="str">
        <f t="shared" si="45"/>
        <v>Mr</v>
      </c>
      <c r="C155" s="15" t="str">
        <f t="shared" si="66"/>
        <v>Adams</v>
      </c>
      <c r="D155" s="15" t="str">
        <f t="shared" si="46"/>
        <v>Matthew</v>
      </c>
      <c r="E155" s="15" t="str">
        <f t="shared" si="47"/>
        <v>36 Fenech Avenue</v>
      </c>
      <c r="F155" s="15" t="str">
        <f t="shared" si="48"/>
        <v>Bray Park</v>
      </c>
      <c r="G155" s="15" t="str">
        <f t="shared" si="49"/>
        <v>QLD</v>
      </c>
      <c r="H155" s="15">
        <f t="shared" si="50"/>
        <v>4500</v>
      </c>
      <c r="I155" s="15">
        <f t="shared" si="61"/>
        <v>139</v>
      </c>
      <c r="J155" s="15">
        <f>OrdersTable!B155</f>
        <v>590</v>
      </c>
      <c r="K155" s="15" t="str">
        <f t="shared" si="51"/>
        <v>iPhone Skins</v>
      </c>
      <c r="L155" s="15" t="str">
        <f t="shared" si="52"/>
        <v>Doctor Who: iPhone Skin: Exploding TARDIS</v>
      </c>
      <c r="M155" s="15" t="str">
        <f t="shared" si="53"/>
        <v>-</v>
      </c>
      <c r="N155" s="15">
        <f t="shared" si="54"/>
        <v>0.5</v>
      </c>
      <c r="O155" s="15" t="str">
        <f t="shared" si="55"/>
        <v>A20</v>
      </c>
      <c r="P155" s="15" t="str">
        <f t="shared" si="56"/>
        <v>Morbius Inc.</v>
      </c>
      <c r="Q155" s="15" t="str">
        <f t="shared" si="57"/>
        <v>56 Michael Spice Hwy</v>
      </c>
      <c r="R155" s="3">
        <f>OrdersTable!C155</f>
        <v>44572</v>
      </c>
      <c r="S155" s="15">
        <f>OrdersTable!E155</f>
        <v>6</v>
      </c>
      <c r="T155" s="15">
        <f t="shared" si="58"/>
        <v>9.99</v>
      </c>
      <c r="U155" s="15">
        <f t="shared" si="59"/>
        <v>13.86</v>
      </c>
      <c r="V155" s="15">
        <f t="shared" si="60"/>
        <v>16.18</v>
      </c>
      <c r="W155" s="15">
        <f>IF(MarkupType="Store Markup",ROUND(V155+V155*StoreMarkup,2),IF(MarkupType="Supplier Markup",V155+V155*SupplierMarkup,"Error at finding value"))</f>
        <v>25.48</v>
      </c>
      <c r="X155" s="32" t="str">
        <f t="shared" si="62"/>
        <v>0.00</v>
      </c>
      <c r="Y155" s="15">
        <f t="shared" si="63"/>
        <v>97.08</v>
      </c>
      <c r="Z155" s="15">
        <f t="shared" si="64"/>
        <v>152.88</v>
      </c>
      <c r="AA155" s="15">
        <f>IF(FreightType="Lethbridge-Stewart Freight ",ROUND(2.99+IF(N155&gt;0.75,(N155-0.75)*2.25,0)*S155,2),IF(MarkupType="Supplier Markup",V155+V155*SupplierMarkup,"Error at finding value"))</f>
        <v>2.99</v>
      </c>
      <c r="AB155" s="15">
        <f t="shared" si="65"/>
        <v>0</v>
      </c>
    </row>
    <row r="156" spans="1:28" x14ac:dyDescent="0.25">
      <c r="A156" s="16">
        <f>OrdersTable!A156</f>
        <v>586</v>
      </c>
      <c r="B156" s="15" t="str">
        <f t="shared" si="45"/>
        <v>Dr</v>
      </c>
      <c r="C156" s="15" t="str">
        <f t="shared" si="66"/>
        <v>Coetzee</v>
      </c>
      <c r="D156" s="15" t="str">
        <f t="shared" si="46"/>
        <v>Riekert</v>
      </c>
      <c r="E156" s="15" t="str">
        <f t="shared" si="47"/>
        <v>5 Western Road</v>
      </c>
      <c r="F156" s="15" t="str">
        <f t="shared" si="48"/>
        <v>Alfredtown</v>
      </c>
      <c r="G156" s="15" t="str">
        <f t="shared" si="49"/>
        <v>NSW</v>
      </c>
      <c r="H156" s="15">
        <f t="shared" si="50"/>
        <v>2650</v>
      </c>
      <c r="I156" s="15">
        <f t="shared" si="61"/>
        <v>1124</v>
      </c>
      <c r="J156" s="15">
        <f>OrdersTable!B156</f>
        <v>330</v>
      </c>
      <c r="K156" s="15" t="str">
        <f t="shared" si="51"/>
        <v>Clothing and Apparel</v>
      </c>
      <c r="L156" s="15" t="str">
        <f t="shared" si="52"/>
        <v xml:space="preserve">Doctor Who: T-Shirts: 4th Doctor Costume </v>
      </c>
      <c r="M156" s="15" t="str">
        <f t="shared" si="53"/>
        <v>M</v>
      </c>
      <c r="N156" s="15">
        <f t="shared" si="54"/>
        <v>0.8</v>
      </c>
      <c r="O156" s="15" t="str">
        <f t="shared" si="55"/>
        <v>A20</v>
      </c>
      <c r="P156" s="15" t="str">
        <f t="shared" si="56"/>
        <v>Morbius Inc.</v>
      </c>
      <c r="Q156" s="15" t="str">
        <f t="shared" si="57"/>
        <v>56 Michael Spice Hwy</v>
      </c>
      <c r="R156" s="3">
        <f>OrdersTable!C156</f>
        <v>44572</v>
      </c>
      <c r="S156" s="15">
        <f>OrdersTable!E156</f>
        <v>5</v>
      </c>
      <c r="T156" s="15">
        <f t="shared" si="58"/>
        <v>15.99</v>
      </c>
      <c r="U156" s="15">
        <f t="shared" si="59"/>
        <v>22.03</v>
      </c>
      <c r="V156" s="15">
        <f t="shared" si="60"/>
        <v>25.9</v>
      </c>
      <c r="W156" s="15">
        <f>IF(MarkupType="Store Markup",ROUND(V156+V156*StoreMarkup,2),IF(MarkupType="Supplier Markup",V156+V156*SupplierMarkup,"Error at finding value"))</f>
        <v>40.79</v>
      </c>
      <c r="X156" s="32" t="str">
        <f t="shared" si="62"/>
        <v>0.00</v>
      </c>
      <c r="Y156" s="15">
        <f t="shared" si="63"/>
        <v>129.5</v>
      </c>
      <c r="Z156" s="15">
        <f t="shared" si="64"/>
        <v>203.95</v>
      </c>
      <c r="AA156" s="15">
        <f>IF(FreightType="Lethbridge-Stewart Freight ",ROUND(2.99+IF(N156&gt;0.75,(N156-0.75)*2.25,0)*S156,2),IF(MarkupType="Supplier Markup",V156+V156*SupplierMarkup,"Error at finding value"))</f>
        <v>3.55</v>
      </c>
      <c r="AB156" s="15">
        <f t="shared" si="65"/>
        <v>0</v>
      </c>
    </row>
    <row r="157" spans="1:28" x14ac:dyDescent="0.25">
      <c r="A157" s="16">
        <f>OrdersTable!A157</f>
        <v>594</v>
      </c>
      <c r="B157" s="15" t="str">
        <f t="shared" si="45"/>
        <v>Mrs</v>
      </c>
      <c r="C157" s="15" t="str">
        <f t="shared" si="66"/>
        <v>Entriken</v>
      </c>
      <c r="D157" s="15" t="str">
        <f t="shared" si="46"/>
        <v>Gwenda Dawn</v>
      </c>
      <c r="E157" s="15" t="str">
        <f t="shared" si="47"/>
        <v>8 Miljkovic Drive</v>
      </c>
      <c r="F157" s="15" t="str">
        <f t="shared" si="48"/>
        <v>Nayook</v>
      </c>
      <c r="G157" s="15" t="str">
        <f t="shared" si="49"/>
        <v>VIC</v>
      </c>
      <c r="H157" s="15">
        <f t="shared" si="50"/>
        <v>3832</v>
      </c>
      <c r="I157" s="15">
        <f t="shared" si="61"/>
        <v>1552</v>
      </c>
      <c r="J157" s="15">
        <f>OrdersTable!B157</f>
        <v>747</v>
      </c>
      <c r="K157" s="15" t="str">
        <f t="shared" si="51"/>
        <v>Props and Replicas</v>
      </c>
      <c r="L157" s="15" t="str">
        <f t="shared" si="52"/>
        <v>Doctor Who: The Master's Fob Watch</v>
      </c>
      <c r="M157" s="15" t="str">
        <f t="shared" si="53"/>
        <v>-</v>
      </c>
      <c r="N157" s="15">
        <f t="shared" si="54"/>
        <v>2.25</v>
      </c>
      <c r="O157" s="15" t="str">
        <f t="shared" si="55"/>
        <v>A10</v>
      </c>
      <c r="P157" s="15" t="str">
        <f t="shared" si="56"/>
        <v>Gallifrey International</v>
      </c>
      <c r="Q157" s="15" t="str">
        <f t="shared" si="57"/>
        <v>181 Arcadia Street</v>
      </c>
      <c r="R157" s="3">
        <f>OrdersTable!C157</f>
        <v>44572</v>
      </c>
      <c r="S157" s="15">
        <f>OrdersTable!E157</f>
        <v>1</v>
      </c>
      <c r="T157" s="15">
        <f t="shared" si="58"/>
        <v>44.99</v>
      </c>
      <c r="U157" s="15">
        <f t="shared" si="59"/>
        <v>61.7</v>
      </c>
      <c r="V157" s="15">
        <f t="shared" si="60"/>
        <v>72.88</v>
      </c>
      <c r="W157" s="15">
        <f>IF(MarkupType="Store Markup",ROUND(V157+V157*StoreMarkup,2),IF(MarkupType="Supplier Markup",V157+V157*SupplierMarkup,"Error at finding value"))</f>
        <v>114.79</v>
      </c>
      <c r="X157" s="32" t="str">
        <f t="shared" si="62"/>
        <v>0.00</v>
      </c>
      <c r="Y157" s="15">
        <f t="shared" si="63"/>
        <v>72.88</v>
      </c>
      <c r="Z157" s="15">
        <f t="shared" si="64"/>
        <v>114.79</v>
      </c>
      <c r="AA157" s="15">
        <f>IF(FreightType="Lethbridge-Stewart Freight ",ROUND(2.99+IF(N157&gt;0.75,(N157-0.75)*2.25,0)*S157,2),IF(MarkupType="Supplier Markup",V157+V157*SupplierMarkup,"Error at finding value"))</f>
        <v>6.37</v>
      </c>
      <c r="AB157" s="15">
        <f t="shared" si="65"/>
        <v>0</v>
      </c>
    </row>
    <row r="158" spans="1:28" x14ac:dyDescent="0.25">
      <c r="A158" s="16">
        <f>OrdersTable!A158</f>
        <v>784</v>
      </c>
      <c r="B158" s="15" t="str">
        <f t="shared" si="45"/>
        <v>Ms</v>
      </c>
      <c r="C158" s="15" t="str">
        <f t="shared" si="66"/>
        <v>Hansen</v>
      </c>
      <c r="D158" s="15" t="str">
        <f t="shared" si="46"/>
        <v>Courtney Michelle</v>
      </c>
      <c r="E158" s="15" t="str">
        <f t="shared" si="47"/>
        <v>22 Elliot Crescent</v>
      </c>
      <c r="F158" s="15" t="str">
        <f t="shared" si="48"/>
        <v>Alfredtown</v>
      </c>
      <c r="G158" s="15" t="str">
        <f t="shared" si="49"/>
        <v>NSW</v>
      </c>
      <c r="H158" s="15">
        <f t="shared" si="50"/>
        <v>2650</v>
      </c>
      <c r="I158" s="15">
        <f t="shared" si="61"/>
        <v>1124</v>
      </c>
      <c r="J158" s="15">
        <f>OrdersTable!B158</f>
        <v>330</v>
      </c>
      <c r="K158" s="15" t="str">
        <f t="shared" si="51"/>
        <v>Clothing and Apparel</v>
      </c>
      <c r="L158" s="15" t="str">
        <f t="shared" si="52"/>
        <v xml:space="preserve">Doctor Who: T-Shirts: 4th Doctor Costume </v>
      </c>
      <c r="M158" s="15" t="str">
        <f t="shared" si="53"/>
        <v>M</v>
      </c>
      <c r="N158" s="15">
        <f t="shared" si="54"/>
        <v>0.8</v>
      </c>
      <c r="O158" s="15" t="str">
        <f t="shared" si="55"/>
        <v>A20</v>
      </c>
      <c r="P158" s="15" t="str">
        <f t="shared" si="56"/>
        <v>Morbius Inc.</v>
      </c>
      <c r="Q158" s="15" t="str">
        <f t="shared" si="57"/>
        <v>56 Michael Spice Hwy</v>
      </c>
      <c r="R158" s="3">
        <f>OrdersTable!C158</f>
        <v>44572</v>
      </c>
      <c r="S158" s="15">
        <f>OrdersTable!E158</f>
        <v>1</v>
      </c>
      <c r="T158" s="15">
        <f t="shared" si="58"/>
        <v>15.99</v>
      </c>
      <c r="U158" s="15">
        <f t="shared" si="59"/>
        <v>22.03</v>
      </c>
      <c r="V158" s="15">
        <f t="shared" si="60"/>
        <v>25.9</v>
      </c>
      <c r="W158" s="15">
        <f>IF(MarkupType="Store Markup",ROUND(V158+V158*StoreMarkup,2),IF(MarkupType="Supplier Markup",V158+V158*SupplierMarkup,"Error at finding value"))</f>
        <v>40.79</v>
      </c>
      <c r="X158" s="32" t="str">
        <f t="shared" si="62"/>
        <v>0.00</v>
      </c>
      <c r="Y158" s="15">
        <f t="shared" si="63"/>
        <v>25.9</v>
      </c>
      <c r="Z158" s="15">
        <f t="shared" si="64"/>
        <v>40.79</v>
      </c>
      <c r="AA158" s="15">
        <f>IF(FreightType="Lethbridge-Stewart Freight ",ROUND(2.99+IF(N158&gt;0.75,(N158-0.75)*2.25,0)*S158,2),IF(MarkupType="Supplier Markup",V158+V158*SupplierMarkup,"Error at finding value"))</f>
        <v>3.1</v>
      </c>
      <c r="AB158" s="15">
        <f t="shared" si="65"/>
        <v>0</v>
      </c>
    </row>
    <row r="159" spans="1:28" x14ac:dyDescent="0.25">
      <c r="A159" s="16">
        <f>OrdersTable!A159</f>
        <v>823</v>
      </c>
      <c r="B159" s="15" t="str">
        <f t="shared" si="45"/>
        <v>Mrs</v>
      </c>
      <c r="C159" s="15" t="str">
        <f t="shared" si="66"/>
        <v>Riordan</v>
      </c>
      <c r="D159" s="15" t="str">
        <f t="shared" si="46"/>
        <v>Brianna Leigh</v>
      </c>
      <c r="E159" s="15" t="str">
        <f t="shared" si="47"/>
        <v>7 Boyd Crescent</v>
      </c>
      <c r="F159" s="15" t="str">
        <f t="shared" si="48"/>
        <v>Bamboo</v>
      </c>
      <c r="G159" s="15" t="str">
        <f t="shared" si="49"/>
        <v>QLD</v>
      </c>
      <c r="H159" s="15">
        <f t="shared" si="50"/>
        <v>4873</v>
      </c>
      <c r="I159" s="15">
        <f t="shared" si="61"/>
        <v>1741</v>
      </c>
      <c r="J159" s="15">
        <f>OrdersTable!B159</f>
        <v>826</v>
      </c>
      <c r="K159" s="15" t="str">
        <f t="shared" si="51"/>
        <v>Statues and Busts</v>
      </c>
      <c r="L159" s="15" t="str">
        <f t="shared" si="52"/>
        <v>Doctor Who: Mini Bust: Cyberman</v>
      </c>
      <c r="M159" s="15" t="str">
        <f t="shared" si="53"/>
        <v>-</v>
      </c>
      <c r="N159" s="15">
        <f t="shared" si="54"/>
        <v>1.8</v>
      </c>
      <c r="O159" s="15" t="str">
        <f t="shared" si="55"/>
        <v>A40</v>
      </c>
      <c r="P159" s="15" t="str">
        <f t="shared" si="56"/>
        <v>Romana Imports</v>
      </c>
      <c r="Q159" s="15" t="str">
        <f t="shared" si="57"/>
        <v>17 Lalla Ward Road</v>
      </c>
      <c r="R159" s="3">
        <f>OrdersTable!C159</f>
        <v>44572</v>
      </c>
      <c r="S159" s="15">
        <f>OrdersTable!E159</f>
        <v>9</v>
      </c>
      <c r="T159" s="15">
        <f t="shared" si="58"/>
        <v>35.99</v>
      </c>
      <c r="U159" s="15">
        <f t="shared" si="59"/>
        <v>49.13</v>
      </c>
      <c r="V159" s="15">
        <f t="shared" si="60"/>
        <v>58.3</v>
      </c>
      <c r="W159" s="15">
        <f>IF(MarkupType="Store Markup",ROUND(V159+V159*StoreMarkup,2),IF(MarkupType="Supplier Markup",V159+V159*SupplierMarkup,"Error at finding value"))</f>
        <v>91.82</v>
      </c>
      <c r="X159" s="32" t="str">
        <f t="shared" si="62"/>
        <v>0.00</v>
      </c>
      <c r="Y159" s="15">
        <f t="shared" si="63"/>
        <v>524.70000000000005</v>
      </c>
      <c r="Z159" s="15">
        <f t="shared" si="64"/>
        <v>826.38</v>
      </c>
      <c r="AA159" s="15">
        <f>IF(FreightType="Lethbridge-Stewart Freight ",ROUND(2.99+IF(N159&gt;0.75,(N159-0.75)*2.25,0)*S159,2),IF(MarkupType="Supplier Markup",V159+V159*SupplierMarkup,"Error at finding value"))</f>
        <v>24.25</v>
      </c>
      <c r="AB159" s="15">
        <f t="shared" si="65"/>
        <v>0</v>
      </c>
    </row>
    <row r="160" spans="1:28" x14ac:dyDescent="0.25">
      <c r="A160" s="16">
        <f>OrdersTable!A160</f>
        <v>989</v>
      </c>
      <c r="B160" s="15" t="str">
        <f t="shared" si="45"/>
        <v>Miss</v>
      </c>
      <c r="C160" s="15" t="str">
        <f t="shared" si="66"/>
        <v>McInnes</v>
      </c>
      <c r="D160" s="15" t="str">
        <f t="shared" si="46"/>
        <v>Nina Marie</v>
      </c>
      <c r="E160" s="15" t="str">
        <f t="shared" si="47"/>
        <v>28 Caruss Road</v>
      </c>
      <c r="F160" s="15" t="str">
        <f t="shared" si="48"/>
        <v>Belford</v>
      </c>
      <c r="G160" s="15" t="str">
        <f t="shared" si="49"/>
        <v>NSW</v>
      </c>
      <c r="H160" s="15">
        <f t="shared" si="50"/>
        <v>2335</v>
      </c>
      <c r="I160" s="15">
        <f t="shared" si="61"/>
        <v>716</v>
      </c>
      <c r="J160" s="15">
        <f>OrdersTable!B160</f>
        <v>769</v>
      </c>
      <c r="K160" s="15" t="str">
        <f t="shared" si="51"/>
        <v>Statues and Busts</v>
      </c>
      <c r="L160" s="15" t="str">
        <f t="shared" si="52"/>
        <v>Doctor Who: Legends Forever Bust: Tom Baker</v>
      </c>
      <c r="M160" s="15" t="str">
        <f t="shared" si="53"/>
        <v>-</v>
      </c>
      <c r="N160" s="15">
        <f t="shared" si="54"/>
        <v>1.375</v>
      </c>
      <c r="O160" s="15" t="str">
        <f t="shared" si="55"/>
        <v>A30</v>
      </c>
      <c r="P160" s="15" t="str">
        <f t="shared" si="56"/>
        <v>Chesterton Enterprises</v>
      </c>
      <c r="Q160" s="15" t="str">
        <f t="shared" si="57"/>
        <v>41 William Russell Road</v>
      </c>
      <c r="R160" s="3">
        <f>OrdersTable!C160</f>
        <v>44572</v>
      </c>
      <c r="S160" s="15">
        <f>OrdersTable!E160</f>
        <v>7</v>
      </c>
      <c r="T160" s="15">
        <f t="shared" si="58"/>
        <v>27.5</v>
      </c>
      <c r="U160" s="15">
        <f t="shared" si="59"/>
        <v>37.76</v>
      </c>
      <c r="V160" s="15">
        <f t="shared" si="60"/>
        <v>44.55</v>
      </c>
      <c r="W160" s="15">
        <f>IF(MarkupType="Store Markup",ROUND(V160+V160*StoreMarkup,2),IF(MarkupType="Supplier Markup",V160+V160*SupplierMarkup,"Error at finding value"))</f>
        <v>70.17</v>
      </c>
      <c r="X160" s="32" t="str">
        <f t="shared" si="62"/>
        <v>0.00</v>
      </c>
      <c r="Y160" s="15">
        <f t="shared" si="63"/>
        <v>311.85000000000002</v>
      </c>
      <c r="Z160" s="15">
        <f t="shared" si="64"/>
        <v>491.19</v>
      </c>
      <c r="AA160" s="15">
        <f>IF(FreightType="Lethbridge-Stewart Freight ",ROUND(2.99+IF(N160&gt;0.75,(N160-0.75)*2.25,0)*S160,2),IF(MarkupType="Supplier Markup",V160+V160*SupplierMarkup,"Error at finding value"))</f>
        <v>12.83</v>
      </c>
      <c r="AB160" s="15">
        <f t="shared" si="65"/>
        <v>0</v>
      </c>
    </row>
    <row r="161" spans="1:28" x14ac:dyDescent="0.25">
      <c r="A161" s="16">
        <f>OrdersTable!A161</f>
        <v>22</v>
      </c>
      <c r="B161" s="15" t="str">
        <f t="shared" si="45"/>
        <v>Mr</v>
      </c>
      <c r="C161" s="15" t="str">
        <f t="shared" si="66"/>
        <v>Tyrrell</v>
      </c>
      <c r="D161" s="15" t="str">
        <f t="shared" si="46"/>
        <v>Timothy James</v>
      </c>
      <c r="E161" s="15" t="str">
        <f t="shared" si="47"/>
        <v>48 Lambourne Crescent</v>
      </c>
      <c r="F161" s="15" t="str">
        <f t="shared" si="48"/>
        <v>Belford</v>
      </c>
      <c r="G161" s="15" t="str">
        <f t="shared" si="49"/>
        <v>NSW</v>
      </c>
      <c r="H161" s="15">
        <f t="shared" si="50"/>
        <v>2335</v>
      </c>
      <c r="I161" s="15">
        <f t="shared" si="61"/>
        <v>716</v>
      </c>
      <c r="J161" s="15">
        <f>OrdersTable!B161</f>
        <v>530</v>
      </c>
      <c r="K161" s="15" t="str">
        <f t="shared" si="51"/>
        <v>Giftware</v>
      </c>
      <c r="L161" s="15" t="str">
        <f t="shared" si="52"/>
        <v>Doctor Who: Keyring TARDIS</v>
      </c>
      <c r="M161" s="15" t="str">
        <f t="shared" si="53"/>
        <v>-</v>
      </c>
      <c r="N161" s="15">
        <f t="shared" si="54"/>
        <v>0.25</v>
      </c>
      <c r="O161" s="15" t="str">
        <f t="shared" si="55"/>
        <v>A20</v>
      </c>
      <c r="P161" s="15" t="str">
        <f t="shared" si="56"/>
        <v>Morbius Inc.</v>
      </c>
      <c r="Q161" s="15" t="str">
        <f t="shared" si="57"/>
        <v>56 Michael Spice Hwy</v>
      </c>
      <c r="R161" s="3">
        <f>OrdersTable!C161</f>
        <v>44573</v>
      </c>
      <c r="S161" s="15">
        <f>OrdersTable!E161</f>
        <v>3</v>
      </c>
      <c r="T161" s="15">
        <f t="shared" si="58"/>
        <v>4.99</v>
      </c>
      <c r="U161" s="15">
        <f t="shared" si="59"/>
        <v>7.1</v>
      </c>
      <c r="V161" s="15">
        <f t="shared" si="60"/>
        <v>8.08</v>
      </c>
      <c r="W161" s="15">
        <f>IF(MarkupType="Store Markup",ROUND(V161+V161*StoreMarkup,2),IF(MarkupType="Supplier Markup",V161+V161*SupplierMarkup,"Error at finding value"))</f>
        <v>12.73</v>
      </c>
      <c r="X161" s="32" t="str">
        <f t="shared" si="62"/>
        <v>0.00</v>
      </c>
      <c r="Y161" s="15">
        <f t="shared" si="63"/>
        <v>24.24</v>
      </c>
      <c r="Z161" s="15">
        <f t="shared" si="64"/>
        <v>38.19</v>
      </c>
      <c r="AA161" s="15">
        <f>IF(FreightType="Lethbridge-Stewart Freight ",ROUND(2.99+IF(N161&gt;0.75,(N161-0.75)*2.25,0)*S161,2),IF(MarkupType="Supplier Markup",V161+V161*SupplierMarkup,"Error at finding value"))</f>
        <v>2.99</v>
      </c>
      <c r="AB161" s="15">
        <f t="shared" si="65"/>
        <v>0</v>
      </c>
    </row>
    <row r="162" spans="1:28" x14ac:dyDescent="0.25">
      <c r="A162" s="16">
        <f>OrdersTable!A162</f>
        <v>139</v>
      </c>
      <c r="B162" s="15" t="str">
        <f t="shared" si="45"/>
        <v>Mrs</v>
      </c>
      <c r="C162" s="15" t="str">
        <f t="shared" si="66"/>
        <v>Atkinson</v>
      </c>
      <c r="D162" s="15" t="str">
        <f t="shared" si="46"/>
        <v>Leanne</v>
      </c>
      <c r="E162" s="15" t="str">
        <f t="shared" si="47"/>
        <v>45 Maloney Boulevard</v>
      </c>
      <c r="F162" s="15" t="str">
        <f t="shared" si="48"/>
        <v>Avon Plains</v>
      </c>
      <c r="G162" s="15" t="str">
        <f t="shared" si="49"/>
        <v>VIC</v>
      </c>
      <c r="H162" s="15">
        <f t="shared" si="50"/>
        <v>3477</v>
      </c>
      <c r="I162" s="15">
        <f t="shared" si="61"/>
        <v>1565</v>
      </c>
      <c r="J162" s="15">
        <f>OrdersTable!B162</f>
        <v>719</v>
      </c>
      <c r="K162" s="15" t="str">
        <f t="shared" si="51"/>
        <v>Posters, Prints and Standees</v>
      </c>
      <c r="L162" s="15" t="str">
        <f t="shared" si="52"/>
        <v>Doctor Who: Standee: Supreme Dalek</v>
      </c>
      <c r="M162" s="15" t="str">
        <f t="shared" si="53"/>
        <v>-</v>
      </c>
      <c r="N162" s="15">
        <f t="shared" si="54"/>
        <v>1.125</v>
      </c>
      <c r="O162" s="15" t="str">
        <f t="shared" si="55"/>
        <v>A50</v>
      </c>
      <c r="P162" s="15" t="str">
        <f t="shared" si="56"/>
        <v>Rassilon Ltd.</v>
      </c>
      <c r="Q162" s="15" t="str">
        <f t="shared" si="57"/>
        <v>82 Richard Mathews Road</v>
      </c>
      <c r="R162" s="3">
        <f>OrdersTable!C162</f>
        <v>44573</v>
      </c>
      <c r="S162" s="15">
        <f>OrdersTable!E162</f>
        <v>8</v>
      </c>
      <c r="T162" s="15">
        <f t="shared" si="58"/>
        <v>22.49</v>
      </c>
      <c r="U162" s="15">
        <f t="shared" si="59"/>
        <v>30.76</v>
      </c>
      <c r="V162" s="15">
        <f t="shared" si="60"/>
        <v>36.43</v>
      </c>
      <c r="W162" s="15">
        <f>IF(MarkupType="Store Markup",ROUND(V162+V162*StoreMarkup,2),IF(MarkupType="Supplier Markup",V162+V162*SupplierMarkup,"Error at finding value"))</f>
        <v>57.38</v>
      </c>
      <c r="X162" s="32" t="str">
        <f t="shared" si="62"/>
        <v>0.00</v>
      </c>
      <c r="Y162" s="15">
        <f t="shared" si="63"/>
        <v>291.44</v>
      </c>
      <c r="Z162" s="15">
        <f t="shared" si="64"/>
        <v>459.04</v>
      </c>
      <c r="AA162" s="15">
        <f>IF(FreightType="Lethbridge-Stewart Freight ",ROUND(2.99+IF(N162&gt;0.75,(N162-0.75)*2.25,0)*S162,2),IF(MarkupType="Supplier Markup",V162+V162*SupplierMarkup,"Error at finding value"))</f>
        <v>9.74</v>
      </c>
      <c r="AB162" s="15">
        <f t="shared" si="65"/>
        <v>0</v>
      </c>
    </row>
    <row r="163" spans="1:28" x14ac:dyDescent="0.25">
      <c r="A163" s="16">
        <f>OrdersTable!A163</f>
        <v>146</v>
      </c>
      <c r="B163" s="15" t="str">
        <f t="shared" si="45"/>
        <v>Miss</v>
      </c>
      <c r="C163" s="15" t="str">
        <f t="shared" si="66"/>
        <v>Brown</v>
      </c>
      <c r="D163" s="15" t="str">
        <f t="shared" si="46"/>
        <v>Sarah Danielle</v>
      </c>
      <c r="E163" s="15" t="str">
        <f t="shared" si="47"/>
        <v>50 Brieschke Court</v>
      </c>
      <c r="F163" s="15" t="str">
        <f t="shared" si="48"/>
        <v>Bray Park</v>
      </c>
      <c r="G163" s="15" t="str">
        <f t="shared" si="49"/>
        <v>QLD</v>
      </c>
      <c r="H163" s="15">
        <f t="shared" si="50"/>
        <v>4500</v>
      </c>
      <c r="I163" s="15">
        <f t="shared" si="61"/>
        <v>139</v>
      </c>
      <c r="J163" s="15">
        <f>OrdersTable!B163</f>
        <v>724</v>
      </c>
      <c r="K163" s="15" t="str">
        <f t="shared" si="51"/>
        <v>Posters, Prints and Standees</v>
      </c>
      <c r="L163" s="15" t="str">
        <f t="shared" si="52"/>
        <v>Doctor Who: Standee: The 10th Doctor</v>
      </c>
      <c r="M163" s="15" t="str">
        <f t="shared" si="53"/>
        <v>-</v>
      </c>
      <c r="N163" s="15">
        <f t="shared" si="54"/>
        <v>1.125</v>
      </c>
      <c r="O163" s="15" t="str">
        <f t="shared" si="55"/>
        <v>A50</v>
      </c>
      <c r="P163" s="15" t="str">
        <f t="shared" si="56"/>
        <v>Rassilon Ltd.</v>
      </c>
      <c r="Q163" s="15" t="str">
        <f t="shared" si="57"/>
        <v>82 Richard Mathews Road</v>
      </c>
      <c r="R163" s="3">
        <f>OrdersTable!C163</f>
        <v>44573</v>
      </c>
      <c r="S163" s="15">
        <f>OrdersTable!E163</f>
        <v>6</v>
      </c>
      <c r="T163" s="15">
        <f t="shared" si="58"/>
        <v>22.49</v>
      </c>
      <c r="U163" s="15">
        <f t="shared" si="59"/>
        <v>30.77</v>
      </c>
      <c r="V163" s="15">
        <f t="shared" si="60"/>
        <v>36.43</v>
      </c>
      <c r="W163" s="15">
        <f>IF(MarkupType="Store Markup",ROUND(V163+V163*StoreMarkup,2),IF(MarkupType="Supplier Markup",V163+V163*SupplierMarkup,"Error at finding value"))</f>
        <v>57.38</v>
      </c>
      <c r="X163" s="32" t="str">
        <f t="shared" si="62"/>
        <v>0.00</v>
      </c>
      <c r="Y163" s="15">
        <f t="shared" si="63"/>
        <v>218.58</v>
      </c>
      <c r="Z163" s="15">
        <f t="shared" si="64"/>
        <v>344.28</v>
      </c>
      <c r="AA163" s="15">
        <f>IF(FreightType="Lethbridge-Stewart Freight ",ROUND(2.99+IF(N163&gt;0.75,(N163-0.75)*2.25,0)*S163,2),IF(MarkupType="Supplier Markup",V163+V163*SupplierMarkup,"Error at finding value"))</f>
        <v>8.0500000000000007</v>
      </c>
      <c r="AB163" s="15">
        <f t="shared" si="65"/>
        <v>0</v>
      </c>
    </row>
    <row r="164" spans="1:28" x14ac:dyDescent="0.25">
      <c r="A164" s="16">
        <f>OrdersTable!A164</f>
        <v>200</v>
      </c>
      <c r="B164" s="15" t="str">
        <f t="shared" si="45"/>
        <v>Ms</v>
      </c>
      <c r="C164" s="15" t="str">
        <f t="shared" si="66"/>
        <v>Barton</v>
      </c>
      <c r="D164" s="15" t="str">
        <f t="shared" si="46"/>
        <v>Kimberley</v>
      </c>
      <c r="E164" s="15" t="str">
        <f t="shared" si="47"/>
        <v>9 Decuyper Road</v>
      </c>
      <c r="F164" s="15" t="str">
        <f t="shared" si="48"/>
        <v>Ashford</v>
      </c>
      <c r="G164" s="15" t="str">
        <f t="shared" si="49"/>
        <v>SA</v>
      </c>
      <c r="H164" s="15">
        <f t="shared" si="50"/>
        <v>5035</v>
      </c>
      <c r="I164" s="15">
        <f t="shared" si="61"/>
        <v>1877</v>
      </c>
      <c r="J164" s="15">
        <f>OrdersTable!B164</f>
        <v>201</v>
      </c>
      <c r="K164" s="15" t="str">
        <f t="shared" si="51"/>
        <v>Clothing and Apparel</v>
      </c>
      <c r="L164" s="15" t="str">
        <f t="shared" si="52"/>
        <v>Doctor Who: Dalek Beanie</v>
      </c>
      <c r="M164" s="15" t="str">
        <f t="shared" si="53"/>
        <v>-</v>
      </c>
      <c r="N164" s="15">
        <f t="shared" si="54"/>
        <v>1.1399999999999999</v>
      </c>
      <c r="O164" s="15" t="str">
        <f t="shared" si="55"/>
        <v>A50</v>
      </c>
      <c r="P164" s="15" t="str">
        <f t="shared" si="56"/>
        <v>Rassilon Ltd.</v>
      </c>
      <c r="Q164" s="15" t="str">
        <f t="shared" si="57"/>
        <v>82 Richard Mathews Road</v>
      </c>
      <c r="R164" s="3">
        <f>OrdersTable!C164</f>
        <v>44573</v>
      </c>
      <c r="S164" s="15">
        <f>OrdersTable!E164</f>
        <v>1</v>
      </c>
      <c r="T164" s="15">
        <f t="shared" si="58"/>
        <v>22.75</v>
      </c>
      <c r="U164" s="15">
        <f t="shared" si="59"/>
        <v>31.26</v>
      </c>
      <c r="V164" s="15">
        <f t="shared" si="60"/>
        <v>36.86</v>
      </c>
      <c r="W164" s="15">
        <f>IF(MarkupType="Store Markup",ROUND(V164+V164*StoreMarkup,2),IF(MarkupType="Supplier Markup",V164+V164*SupplierMarkup,"Error at finding value"))</f>
        <v>58.05</v>
      </c>
      <c r="X164" s="32" t="str">
        <f t="shared" si="62"/>
        <v>0.00</v>
      </c>
      <c r="Y164" s="15">
        <f t="shared" si="63"/>
        <v>36.86</v>
      </c>
      <c r="Z164" s="15">
        <f t="shared" si="64"/>
        <v>58.05</v>
      </c>
      <c r="AA164" s="15">
        <f>IF(FreightType="Lethbridge-Stewart Freight ",ROUND(2.99+IF(N164&gt;0.75,(N164-0.75)*2.25,0)*S164,2),IF(MarkupType="Supplier Markup",V164+V164*SupplierMarkup,"Error at finding value"))</f>
        <v>3.87</v>
      </c>
      <c r="AB164" s="15">
        <f t="shared" si="65"/>
        <v>0</v>
      </c>
    </row>
    <row r="165" spans="1:28" x14ac:dyDescent="0.25">
      <c r="A165" s="16">
        <f>OrdersTable!A165</f>
        <v>496</v>
      </c>
      <c r="B165" s="15" t="str">
        <f t="shared" si="45"/>
        <v>Dr</v>
      </c>
      <c r="C165" s="15" t="str">
        <f t="shared" si="66"/>
        <v>Johnston</v>
      </c>
      <c r="D165" s="15" t="str">
        <f t="shared" si="46"/>
        <v>Karrina</v>
      </c>
      <c r="E165" s="15" t="str">
        <f t="shared" si="47"/>
        <v>11 Bishop Drive</v>
      </c>
      <c r="F165" s="15" t="str">
        <f t="shared" si="48"/>
        <v>Belford</v>
      </c>
      <c r="G165" s="15" t="str">
        <f t="shared" si="49"/>
        <v>NSW</v>
      </c>
      <c r="H165" s="15">
        <f t="shared" si="50"/>
        <v>2335</v>
      </c>
      <c r="I165" s="15">
        <f t="shared" si="61"/>
        <v>716</v>
      </c>
      <c r="J165" s="15">
        <f>OrdersTable!B165</f>
        <v>704</v>
      </c>
      <c r="K165" s="15" t="str">
        <f t="shared" si="51"/>
        <v>Posters, Prints and Standees</v>
      </c>
      <c r="L165" s="15" t="str">
        <f t="shared" si="52"/>
        <v>Doctor Who: Poster: Doctor's Enemies</v>
      </c>
      <c r="M165" s="15" t="str">
        <f t="shared" si="53"/>
        <v>-</v>
      </c>
      <c r="N165" s="15">
        <f t="shared" si="54"/>
        <v>0.2</v>
      </c>
      <c r="O165" s="15" t="str">
        <f t="shared" si="55"/>
        <v>A30</v>
      </c>
      <c r="P165" s="15" t="str">
        <f t="shared" si="56"/>
        <v>Chesterton Enterprises</v>
      </c>
      <c r="Q165" s="15" t="str">
        <f t="shared" si="57"/>
        <v>41 William Russell Road</v>
      </c>
      <c r="R165" s="3">
        <f>OrdersTable!C165</f>
        <v>44573</v>
      </c>
      <c r="S165" s="15">
        <f>OrdersTable!E165</f>
        <v>2</v>
      </c>
      <c r="T165" s="15">
        <f t="shared" si="58"/>
        <v>3.99</v>
      </c>
      <c r="U165" s="15">
        <f t="shared" si="59"/>
        <v>5.52</v>
      </c>
      <c r="V165" s="15">
        <f t="shared" si="60"/>
        <v>6.46</v>
      </c>
      <c r="W165" s="15">
        <f>IF(MarkupType="Store Markup",ROUND(V165+V165*StoreMarkup,2),IF(MarkupType="Supplier Markup",V165+V165*SupplierMarkup,"Error at finding value"))</f>
        <v>10.17</v>
      </c>
      <c r="X165" s="32" t="str">
        <f t="shared" si="62"/>
        <v>0.00</v>
      </c>
      <c r="Y165" s="15">
        <f t="shared" si="63"/>
        <v>12.92</v>
      </c>
      <c r="Z165" s="15">
        <f t="shared" si="64"/>
        <v>20.34</v>
      </c>
      <c r="AA165" s="15">
        <f>IF(FreightType="Lethbridge-Stewart Freight ",ROUND(2.99+IF(N165&gt;0.75,(N165-0.75)*2.25,0)*S165,2),IF(MarkupType="Supplier Markup",V165+V165*SupplierMarkup,"Error at finding value"))</f>
        <v>2.99</v>
      </c>
      <c r="AB165" s="15">
        <f t="shared" si="65"/>
        <v>0</v>
      </c>
    </row>
    <row r="166" spans="1:28" x14ac:dyDescent="0.25">
      <c r="A166" s="16">
        <f>OrdersTable!A166</f>
        <v>526</v>
      </c>
      <c r="B166" s="15" t="str">
        <f t="shared" si="45"/>
        <v>Mrs</v>
      </c>
      <c r="C166" s="15" t="str">
        <f t="shared" si="66"/>
        <v>Bradford</v>
      </c>
      <c r="D166" s="15" t="str">
        <f t="shared" si="46"/>
        <v>Haleigh Renae Ann</v>
      </c>
      <c r="E166" s="15" t="str">
        <f t="shared" si="47"/>
        <v>31 Johnston Road</v>
      </c>
      <c r="F166" s="15" t="str">
        <f t="shared" si="48"/>
        <v>Ashford</v>
      </c>
      <c r="G166" s="15" t="str">
        <f t="shared" si="49"/>
        <v>SA</v>
      </c>
      <c r="H166" s="15">
        <f t="shared" si="50"/>
        <v>5035</v>
      </c>
      <c r="I166" s="15">
        <f t="shared" si="61"/>
        <v>1877</v>
      </c>
      <c r="J166" s="15">
        <f>OrdersTable!B166</f>
        <v>852</v>
      </c>
      <c r="K166" s="15" t="str">
        <f t="shared" si="51"/>
        <v>Statues and Busts</v>
      </c>
      <c r="L166" s="15" t="str">
        <f t="shared" si="52"/>
        <v>Doctor Who: Statue: Revenge Of The Cybermen Cyberleader</v>
      </c>
      <c r="M166" s="15" t="str">
        <f t="shared" si="53"/>
        <v>-</v>
      </c>
      <c r="N166" s="15">
        <f t="shared" si="54"/>
        <v>5.4</v>
      </c>
      <c r="O166" s="15" t="str">
        <f t="shared" si="55"/>
        <v>A50</v>
      </c>
      <c r="P166" s="15" t="str">
        <f t="shared" si="56"/>
        <v>Rassilon Ltd.</v>
      </c>
      <c r="Q166" s="15" t="str">
        <f t="shared" si="57"/>
        <v>82 Richard Mathews Road</v>
      </c>
      <c r="R166" s="3">
        <f>OrdersTable!C166</f>
        <v>44573</v>
      </c>
      <c r="S166" s="15">
        <f>OrdersTable!E166</f>
        <v>6</v>
      </c>
      <c r="T166" s="15">
        <f t="shared" si="58"/>
        <v>108</v>
      </c>
      <c r="U166" s="15">
        <f t="shared" si="59"/>
        <v>147.29</v>
      </c>
      <c r="V166" s="15">
        <f t="shared" si="60"/>
        <v>174.96</v>
      </c>
      <c r="W166" s="15">
        <f>IF(MarkupType="Store Markup",ROUND(V166+V166*StoreMarkup,2),IF(MarkupType="Supplier Markup",V166+V166*SupplierMarkup,"Error at finding value"))</f>
        <v>275.56</v>
      </c>
      <c r="X166" s="32">
        <f t="shared" si="62"/>
        <v>19.63</v>
      </c>
      <c r="Y166" s="15">
        <f t="shared" si="63"/>
        <v>1049.76</v>
      </c>
      <c r="Z166" s="15">
        <f t="shared" si="64"/>
        <v>1535.58</v>
      </c>
      <c r="AA166" s="15">
        <f>IF(FreightType="Lethbridge-Stewart Freight ",ROUND(2.99+IF(N166&gt;0.75,(N166-0.75)*2.25,0)*S166,2),IF(MarkupType="Supplier Markup",V166+V166*SupplierMarkup,"Error at finding value"))</f>
        <v>65.77</v>
      </c>
      <c r="AB166" s="15">
        <f t="shared" si="65"/>
        <v>117.78</v>
      </c>
    </row>
    <row r="167" spans="1:28" x14ac:dyDescent="0.25">
      <c r="A167" s="16">
        <f>OrdersTable!A167</f>
        <v>643</v>
      </c>
      <c r="B167" s="15" t="str">
        <f t="shared" si="45"/>
        <v>Ms</v>
      </c>
      <c r="C167" s="15" t="str">
        <f t="shared" si="66"/>
        <v>Crispin-Purcell</v>
      </c>
      <c r="D167" s="15" t="str">
        <f t="shared" si="46"/>
        <v>Gabriellen Elizabeth</v>
      </c>
      <c r="E167" s="15" t="str">
        <f t="shared" si="47"/>
        <v>12 Williams Road</v>
      </c>
      <c r="F167" s="15" t="str">
        <f t="shared" si="48"/>
        <v>Appletree Flat</v>
      </c>
      <c r="G167" s="15" t="str">
        <f t="shared" si="49"/>
        <v>NSW</v>
      </c>
      <c r="H167" s="15">
        <f t="shared" si="50"/>
        <v>2330</v>
      </c>
      <c r="I167" s="15">
        <f t="shared" si="61"/>
        <v>691</v>
      </c>
      <c r="J167" s="15">
        <f>OrdersTable!B167</f>
        <v>707</v>
      </c>
      <c r="K167" s="15" t="str">
        <f t="shared" si="51"/>
        <v>Posters, Prints and Standees</v>
      </c>
      <c r="L167" s="15" t="str">
        <f t="shared" si="52"/>
        <v>Doctor Who: Poster: Ironside Dalek Blueprint</v>
      </c>
      <c r="M167" s="15" t="str">
        <f t="shared" si="53"/>
        <v>-</v>
      </c>
      <c r="N167" s="15">
        <f t="shared" si="54"/>
        <v>0.2</v>
      </c>
      <c r="O167" s="15" t="str">
        <f t="shared" si="55"/>
        <v>A20</v>
      </c>
      <c r="P167" s="15" t="str">
        <f t="shared" si="56"/>
        <v>Morbius Inc.</v>
      </c>
      <c r="Q167" s="15" t="str">
        <f t="shared" si="57"/>
        <v>56 Michael Spice Hwy</v>
      </c>
      <c r="R167" s="3">
        <f>OrdersTable!C167</f>
        <v>44573</v>
      </c>
      <c r="S167" s="15">
        <f>OrdersTable!E167</f>
        <v>3</v>
      </c>
      <c r="T167" s="15">
        <f t="shared" si="58"/>
        <v>3.99</v>
      </c>
      <c r="U167" s="15">
        <f t="shared" si="59"/>
        <v>5.48</v>
      </c>
      <c r="V167" s="15">
        <f t="shared" si="60"/>
        <v>6.46</v>
      </c>
      <c r="W167" s="15">
        <f>IF(MarkupType="Store Markup",ROUND(V167+V167*StoreMarkup,2),IF(MarkupType="Supplier Markup",V167+V167*SupplierMarkup,"Error at finding value"))</f>
        <v>10.17</v>
      </c>
      <c r="X167" s="32" t="str">
        <f t="shared" si="62"/>
        <v>0.00</v>
      </c>
      <c r="Y167" s="15">
        <f t="shared" si="63"/>
        <v>19.38</v>
      </c>
      <c r="Z167" s="15">
        <f t="shared" si="64"/>
        <v>30.51</v>
      </c>
      <c r="AA167" s="15">
        <f>IF(FreightType="Lethbridge-Stewart Freight ",ROUND(2.99+IF(N167&gt;0.75,(N167-0.75)*2.25,0)*S167,2),IF(MarkupType="Supplier Markup",V167+V167*SupplierMarkup,"Error at finding value"))</f>
        <v>2.99</v>
      </c>
      <c r="AB167" s="15">
        <f t="shared" si="65"/>
        <v>0</v>
      </c>
    </row>
    <row r="168" spans="1:28" x14ac:dyDescent="0.25">
      <c r="A168" s="16">
        <f>OrdersTable!A168</f>
        <v>657</v>
      </c>
      <c r="B168" s="15" t="str">
        <f t="shared" si="45"/>
        <v>Mr</v>
      </c>
      <c r="C168" s="15" t="str">
        <f t="shared" si="66"/>
        <v>Poljak</v>
      </c>
      <c r="D168" s="15" t="str">
        <f t="shared" si="46"/>
        <v>Anthony</v>
      </c>
      <c r="E168" s="15" t="str">
        <f t="shared" si="47"/>
        <v>45 Robertson Boulevard</v>
      </c>
      <c r="F168" s="15" t="str">
        <f t="shared" si="48"/>
        <v>Iluka</v>
      </c>
      <c r="G168" s="15" t="str">
        <f t="shared" si="49"/>
        <v>NSW</v>
      </c>
      <c r="H168" s="15">
        <f t="shared" si="50"/>
        <v>2466</v>
      </c>
      <c r="I168" s="15">
        <f t="shared" si="61"/>
        <v>347</v>
      </c>
      <c r="J168" s="15">
        <f>OrdersTable!B168</f>
        <v>341</v>
      </c>
      <c r="K168" s="15" t="str">
        <f t="shared" si="51"/>
        <v>Clothing and Apparel</v>
      </c>
      <c r="L168" s="15" t="str">
        <f t="shared" si="52"/>
        <v xml:space="preserve">Doctor Who: T-Shirts: 4th Doctor Costume </v>
      </c>
      <c r="M168" s="15" t="str">
        <f t="shared" si="53"/>
        <v>XL</v>
      </c>
      <c r="N168" s="15">
        <f t="shared" si="54"/>
        <v>0.8</v>
      </c>
      <c r="O168" s="15" t="str">
        <f t="shared" si="55"/>
        <v>A20</v>
      </c>
      <c r="P168" s="15" t="str">
        <f t="shared" si="56"/>
        <v>Morbius Inc.</v>
      </c>
      <c r="Q168" s="15" t="str">
        <f t="shared" si="57"/>
        <v>56 Michael Spice Hwy</v>
      </c>
      <c r="R168" s="3">
        <f>OrdersTable!C168</f>
        <v>44573</v>
      </c>
      <c r="S168" s="15">
        <f>OrdersTable!E168</f>
        <v>3</v>
      </c>
      <c r="T168" s="15">
        <f t="shared" si="58"/>
        <v>15.99</v>
      </c>
      <c r="U168" s="15">
        <f t="shared" si="59"/>
        <v>22.05</v>
      </c>
      <c r="V168" s="15">
        <f t="shared" si="60"/>
        <v>25.9</v>
      </c>
      <c r="W168" s="15">
        <f>IF(MarkupType="Store Markup",ROUND(V168+V168*StoreMarkup,2),IF(MarkupType="Supplier Markup",V168+V168*SupplierMarkup,"Error at finding value"))</f>
        <v>40.79</v>
      </c>
      <c r="X168" s="32" t="str">
        <f t="shared" si="62"/>
        <v>0.00</v>
      </c>
      <c r="Y168" s="15">
        <f t="shared" si="63"/>
        <v>77.7</v>
      </c>
      <c r="Z168" s="15">
        <f t="shared" si="64"/>
        <v>122.37</v>
      </c>
      <c r="AA168" s="15">
        <f>IF(FreightType="Lethbridge-Stewart Freight ",ROUND(2.99+IF(N168&gt;0.75,(N168-0.75)*2.25,0)*S168,2),IF(MarkupType="Supplier Markup",V168+V168*SupplierMarkup,"Error at finding value"))</f>
        <v>3.33</v>
      </c>
      <c r="AB168" s="15">
        <f t="shared" si="65"/>
        <v>0</v>
      </c>
    </row>
    <row r="169" spans="1:28" x14ac:dyDescent="0.25">
      <c r="A169" s="16">
        <f>OrdersTable!A169</f>
        <v>659</v>
      </c>
      <c r="B169" s="15" t="str">
        <f t="shared" si="45"/>
        <v>Mr</v>
      </c>
      <c r="C169" s="15" t="str">
        <f t="shared" si="66"/>
        <v>Douglas</v>
      </c>
      <c r="D169" s="15" t="str">
        <f t="shared" si="46"/>
        <v>Jason Richard</v>
      </c>
      <c r="E169" s="15" t="str">
        <f t="shared" si="47"/>
        <v>14 Young Crescent</v>
      </c>
      <c r="F169" s="15" t="str">
        <f t="shared" si="48"/>
        <v>Caliph</v>
      </c>
      <c r="G169" s="15" t="str">
        <f t="shared" si="49"/>
        <v>SA</v>
      </c>
      <c r="H169" s="15">
        <f t="shared" si="50"/>
        <v>5310</v>
      </c>
      <c r="I169" s="15">
        <f t="shared" si="61"/>
        <v>1720</v>
      </c>
      <c r="J169" s="15">
        <f>OrdersTable!B169</f>
        <v>805</v>
      </c>
      <c r="K169" s="15" t="str">
        <f t="shared" si="51"/>
        <v>Statues and Busts</v>
      </c>
      <c r="L169" s="15" t="str">
        <f t="shared" si="52"/>
        <v>Doctor Who: Masterpiece Collection Maxi Bust: 5th Doctor</v>
      </c>
      <c r="M169" s="15" t="str">
        <f t="shared" si="53"/>
        <v>-</v>
      </c>
      <c r="N169" s="15">
        <f t="shared" si="54"/>
        <v>2.5</v>
      </c>
      <c r="O169" s="15" t="str">
        <f t="shared" si="55"/>
        <v>A20</v>
      </c>
      <c r="P169" s="15" t="str">
        <f t="shared" si="56"/>
        <v>Morbius Inc.</v>
      </c>
      <c r="Q169" s="15" t="str">
        <f t="shared" si="57"/>
        <v>56 Michael Spice Hwy</v>
      </c>
      <c r="R169" s="3">
        <f>OrdersTable!C169</f>
        <v>44573</v>
      </c>
      <c r="S169" s="15">
        <f>OrdersTable!E169</f>
        <v>8</v>
      </c>
      <c r="T169" s="15">
        <f t="shared" si="58"/>
        <v>49.99</v>
      </c>
      <c r="U169" s="15">
        <f t="shared" si="59"/>
        <v>68.42</v>
      </c>
      <c r="V169" s="15">
        <f t="shared" si="60"/>
        <v>80.98</v>
      </c>
      <c r="W169" s="15">
        <f>IF(MarkupType="Store Markup",ROUND(V169+V169*StoreMarkup,2),IF(MarkupType="Supplier Markup",V169+V169*SupplierMarkup,"Error at finding value"))</f>
        <v>127.54</v>
      </c>
      <c r="X169" s="32">
        <f t="shared" si="62"/>
        <v>9.09</v>
      </c>
      <c r="Y169" s="15">
        <f t="shared" si="63"/>
        <v>647.84</v>
      </c>
      <c r="Z169" s="15">
        <f t="shared" si="64"/>
        <v>947.6</v>
      </c>
      <c r="AA169" s="15">
        <f>IF(FreightType="Lethbridge-Stewart Freight ",ROUND(2.99+IF(N169&gt;0.75,(N169-0.75)*2.25,0)*S169,2),IF(MarkupType="Supplier Markup",V169+V169*SupplierMarkup,"Error at finding value"))</f>
        <v>34.49</v>
      </c>
      <c r="AB169" s="15">
        <f t="shared" si="65"/>
        <v>72.72</v>
      </c>
    </row>
    <row r="170" spans="1:28" x14ac:dyDescent="0.25">
      <c r="A170" s="16">
        <f>OrdersTable!A170</f>
        <v>669</v>
      </c>
      <c r="B170" s="15" t="str">
        <f t="shared" si="45"/>
        <v>Dr</v>
      </c>
      <c r="C170" s="15" t="str">
        <f t="shared" si="66"/>
        <v>Ferjani</v>
      </c>
      <c r="D170" s="15" t="str">
        <f t="shared" si="46"/>
        <v>Rabah</v>
      </c>
      <c r="E170" s="15" t="str">
        <f t="shared" si="47"/>
        <v>2 Codrington Street</v>
      </c>
      <c r="F170" s="15" t="str">
        <f t="shared" si="48"/>
        <v>Belford</v>
      </c>
      <c r="G170" s="15" t="str">
        <f t="shared" si="49"/>
        <v>NSW</v>
      </c>
      <c r="H170" s="15">
        <f t="shared" si="50"/>
        <v>2335</v>
      </c>
      <c r="I170" s="15">
        <f t="shared" si="61"/>
        <v>716</v>
      </c>
      <c r="J170" s="15">
        <f>OrdersTable!B170</f>
        <v>810</v>
      </c>
      <c r="K170" s="15" t="str">
        <f t="shared" si="51"/>
        <v>Statues and Busts</v>
      </c>
      <c r="L170" s="15" t="str">
        <f t="shared" si="52"/>
        <v>Doctor Who: Masterpiece Collection Maxi Bust: Amy Pond</v>
      </c>
      <c r="M170" s="15" t="str">
        <f t="shared" si="53"/>
        <v>-</v>
      </c>
      <c r="N170" s="15">
        <f t="shared" si="54"/>
        <v>2.5</v>
      </c>
      <c r="O170" s="15" t="str">
        <f t="shared" si="55"/>
        <v>A50</v>
      </c>
      <c r="P170" s="15" t="str">
        <f t="shared" si="56"/>
        <v>Rassilon Ltd.</v>
      </c>
      <c r="Q170" s="15" t="str">
        <f t="shared" si="57"/>
        <v>82 Richard Mathews Road</v>
      </c>
      <c r="R170" s="3">
        <f>OrdersTable!C170</f>
        <v>44573</v>
      </c>
      <c r="S170" s="15">
        <f>OrdersTable!E170</f>
        <v>4</v>
      </c>
      <c r="T170" s="15">
        <f t="shared" si="58"/>
        <v>49.99</v>
      </c>
      <c r="U170" s="15">
        <f t="shared" si="59"/>
        <v>68.260000000000005</v>
      </c>
      <c r="V170" s="15">
        <f t="shared" si="60"/>
        <v>80.98</v>
      </c>
      <c r="W170" s="15">
        <f>IF(MarkupType="Store Markup",ROUND(V170+V170*StoreMarkup,2),IF(MarkupType="Supplier Markup",V170+V170*SupplierMarkup,"Error at finding value"))</f>
        <v>127.54</v>
      </c>
      <c r="X170" s="32">
        <f t="shared" si="62"/>
        <v>9.09</v>
      </c>
      <c r="Y170" s="15">
        <f t="shared" si="63"/>
        <v>323.92</v>
      </c>
      <c r="Z170" s="15">
        <f t="shared" si="64"/>
        <v>473.8</v>
      </c>
      <c r="AA170" s="15">
        <f>IF(FreightType="Lethbridge-Stewart Freight ",ROUND(2.99+IF(N170&gt;0.75,(N170-0.75)*2.25,0)*S170,2),IF(MarkupType="Supplier Markup",V170+V170*SupplierMarkup,"Error at finding value"))</f>
        <v>18.739999999999998</v>
      </c>
      <c r="AB170" s="15">
        <f t="shared" si="65"/>
        <v>36.36</v>
      </c>
    </row>
    <row r="171" spans="1:28" x14ac:dyDescent="0.25">
      <c r="A171" s="16">
        <f>OrdersTable!A171</f>
        <v>771</v>
      </c>
      <c r="B171" s="15" t="str">
        <f t="shared" si="45"/>
        <v>Dr</v>
      </c>
      <c r="C171" s="15" t="str">
        <f t="shared" si="66"/>
        <v>Virk</v>
      </c>
      <c r="D171" s="15" t="str">
        <f t="shared" si="46"/>
        <v>Balraj Singh</v>
      </c>
      <c r="E171" s="15" t="str">
        <f t="shared" si="47"/>
        <v>39 Napanje Drive</v>
      </c>
      <c r="F171" s="15" t="str">
        <f t="shared" si="48"/>
        <v>Abington</v>
      </c>
      <c r="G171" s="15" t="str">
        <f t="shared" si="49"/>
        <v>QLD</v>
      </c>
      <c r="H171" s="15">
        <f t="shared" si="50"/>
        <v>4660</v>
      </c>
      <c r="I171" s="15">
        <f t="shared" si="61"/>
        <v>336</v>
      </c>
      <c r="J171" s="15">
        <f>OrdersTable!B171</f>
        <v>259</v>
      </c>
      <c r="K171" s="15" t="str">
        <f t="shared" si="51"/>
        <v>Clothing and Apparel</v>
      </c>
      <c r="L171" s="15" t="str">
        <f t="shared" si="52"/>
        <v>Doctor Who: Men's Winter Pyjamas</v>
      </c>
      <c r="M171" s="15" t="str">
        <f t="shared" si="53"/>
        <v>XL</v>
      </c>
      <c r="N171" s="15">
        <f t="shared" si="54"/>
        <v>1.5</v>
      </c>
      <c r="O171" s="15" t="str">
        <f t="shared" si="55"/>
        <v>A50</v>
      </c>
      <c r="P171" s="15" t="str">
        <f t="shared" si="56"/>
        <v>Rassilon Ltd.</v>
      </c>
      <c r="Q171" s="15" t="str">
        <f t="shared" si="57"/>
        <v>82 Richard Mathews Road</v>
      </c>
      <c r="R171" s="3">
        <f>OrdersTable!C171</f>
        <v>44573</v>
      </c>
      <c r="S171" s="15">
        <f>OrdersTable!E171</f>
        <v>1</v>
      </c>
      <c r="T171" s="15">
        <f t="shared" si="58"/>
        <v>29.99</v>
      </c>
      <c r="U171" s="15">
        <f t="shared" si="59"/>
        <v>41.15</v>
      </c>
      <c r="V171" s="15">
        <f t="shared" si="60"/>
        <v>48.58</v>
      </c>
      <c r="W171" s="15">
        <f>IF(MarkupType="Store Markup",ROUND(V171+V171*StoreMarkup,2),IF(MarkupType="Supplier Markup",V171+V171*SupplierMarkup,"Error at finding value"))</f>
        <v>76.510000000000005</v>
      </c>
      <c r="X171" s="32" t="str">
        <f t="shared" si="62"/>
        <v>0.00</v>
      </c>
      <c r="Y171" s="15">
        <f t="shared" si="63"/>
        <v>48.58</v>
      </c>
      <c r="Z171" s="15">
        <f t="shared" si="64"/>
        <v>76.510000000000005</v>
      </c>
      <c r="AA171" s="15">
        <f>IF(FreightType="Lethbridge-Stewart Freight ",ROUND(2.99+IF(N171&gt;0.75,(N171-0.75)*2.25,0)*S171,2),IF(MarkupType="Supplier Markup",V171+V171*SupplierMarkup,"Error at finding value"))</f>
        <v>4.68</v>
      </c>
      <c r="AB171" s="15">
        <f t="shared" si="65"/>
        <v>0</v>
      </c>
    </row>
    <row r="172" spans="1:28" x14ac:dyDescent="0.25">
      <c r="A172" s="16">
        <f>OrdersTable!A172</f>
        <v>47</v>
      </c>
      <c r="B172" s="15" t="str">
        <f t="shared" si="45"/>
        <v>Dr</v>
      </c>
      <c r="C172" s="15" t="str">
        <f t="shared" si="66"/>
        <v>Kaur</v>
      </c>
      <c r="D172" s="15" t="str">
        <f t="shared" si="46"/>
        <v>Jasleen</v>
      </c>
      <c r="E172" s="15" t="str">
        <f t="shared" si="47"/>
        <v>7 Hong Road</v>
      </c>
      <c r="F172" s="15" t="str">
        <f t="shared" si="48"/>
        <v>Belconnen</v>
      </c>
      <c r="G172" s="15" t="str">
        <f t="shared" si="49"/>
        <v>ACT</v>
      </c>
      <c r="H172" s="15">
        <f t="shared" si="50"/>
        <v>2617</v>
      </c>
      <c r="I172" s="15">
        <f t="shared" si="61"/>
        <v>1194</v>
      </c>
      <c r="J172" s="15">
        <f>OrdersTable!B172</f>
        <v>376</v>
      </c>
      <c r="K172" s="15" t="str">
        <f t="shared" si="51"/>
        <v>Clothing and Apparel</v>
      </c>
      <c r="L172" s="15" t="str">
        <f t="shared" si="52"/>
        <v xml:space="preserve">Doctor Who: T-Shirts: 7th Doctor Costume </v>
      </c>
      <c r="M172" s="15" t="str">
        <f t="shared" si="53"/>
        <v>S</v>
      </c>
      <c r="N172" s="15">
        <f t="shared" si="54"/>
        <v>0.8</v>
      </c>
      <c r="O172" s="15" t="str">
        <f t="shared" si="55"/>
        <v>A10</v>
      </c>
      <c r="P172" s="15" t="str">
        <f t="shared" si="56"/>
        <v>Gallifrey International</v>
      </c>
      <c r="Q172" s="15" t="str">
        <f t="shared" si="57"/>
        <v>181 Arcadia Street</v>
      </c>
      <c r="R172" s="3">
        <f>OrdersTable!C172</f>
        <v>44574</v>
      </c>
      <c r="S172" s="15">
        <f>OrdersTable!E172</f>
        <v>9</v>
      </c>
      <c r="T172" s="15">
        <f t="shared" si="58"/>
        <v>15.99</v>
      </c>
      <c r="U172" s="15">
        <f t="shared" si="59"/>
        <v>21.83</v>
      </c>
      <c r="V172" s="15">
        <f t="shared" si="60"/>
        <v>25.9</v>
      </c>
      <c r="W172" s="15">
        <f>IF(MarkupType="Store Markup",ROUND(V172+V172*StoreMarkup,2),IF(MarkupType="Supplier Markup",V172+V172*SupplierMarkup,"Error at finding value"))</f>
        <v>40.79</v>
      </c>
      <c r="X172" s="32" t="str">
        <f t="shared" si="62"/>
        <v>0.00</v>
      </c>
      <c r="Y172" s="15">
        <f t="shared" si="63"/>
        <v>233.1</v>
      </c>
      <c r="Z172" s="15">
        <f t="shared" si="64"/>
        <v>367.11</v>
      </c>
      <c r="AA172" s="15">
        <f>IF(FreightType="Lethbridge-Stewart Freight ",ROUND(2.99+IF(N172&gt;0.75,(N172-0.75)*2.25,0)*S172,2),IF(MarkupType="Supplier Markup",V172+V172*SupplierMarkup,"Error at finding value"))</f>
        <v>4</v>
      </c>
      <c r="AB172" s="15">
        <f t="shared" si="65"/>
        <v>0</v>
      </c>
    </row>
    <row r="173" spans="1:28" x14ac:dyDescent="0.25">
      <c r="A173" s="16">
        <f>OrdersTable!A173</f>
        <v>55</v>
      </c>
      <c r="B173" s="15" t="str">
        <f t="shared" si="45"/>
        <v>Mr</v>
      </c>
      <c r="C173" s="15" t="str">
        <f t="shared" si="66"/>
        <v>Myers</v>
      </c>
      <c r="D173" s="15" t="str">
        <f t="shared" si="46"/>
        <v>Luke Charles</v>
      </c>
      <c r="E173" s="15" t="str">
        <f t="shared" si="47"/>
        <v>25 Penrose Street</v>
      </c>
      <c r="F173" s="15" t="str">
        <f t="shared" si="48"/>
        <v>Black Hills</v>
      </c>
      <c r="G173" s="15" t="str">
        <f t="shared" si="49"/>
        <v>TAS</v>
      </c>
      <c r="H173" s="15">
        <f t="shared" si="50"/>
        <v>7140</v>
      </c>
      <c r="I173" s="15">
        <f t="shared" si="61"/>
        <v>2191</v>
      </c>
      <c r="J173" s="15">
        <f>OrdersTable!B173</f>
        <v>398</v>
      </c>
      <c r="K173" s="15" t="str">
        <f t="shared" si="51"/>
        <v>Clothing and Apparel</v>
      </c>
      <c r="L173" s="15" t="str">
        <f t="shared" si="52"/>
        <v>Doctor Who: Women's Winter Pyjamas</v>
      </c>
      <c r="M173" s="15" t="str">
        <f t="shared" si="53"/>
        <v>S</v>
      </c>
      <c r="N173" s="15">
        <f t="shared" si="54"/>
        <v>1.5</v>
      </c>
      <c r="O173" s="15" t="str">
        <f t="shared" si="55"/>
        <v>A40</v>
      </c>
      <c r="P173" s="15" t="str">
        <f t="shared" si="56"/>
        <v>Romana Imports</v>
      </c>
      <c r="Q173" s="15" t="str">
        <f t="shared" si="57"/>
        <v>17 Lalla Ward Road</v>
      </c>
      <c r="R173" s="3">
        <f>OrdersTable!C173</f>
        <v>44574</v>
      </c>
      <c r="S173" s="15">
        <f>OrdersTable!E173</f>
        <v>5</v>
      </c>
      <c r="T173" s="15">
        <f t="shared" si="58"/>
        <v>29.99</v>
      </c>
      <c r="U173" s="15">
        <f t="shared" si="59"/>
        <v>41.07</v>
      </c>
      <c r="V173" s="15">
        <f t="shared" si="60"/>
        <v>48.58</v>
      </c>
      <c r="W173" s="15">
        <f>IF(MarkupType="Store Markup",ROUND(V173+V173*StoreMarkup,2),IF(MarkupType="Supplier Markup",V173+V173*SupplierMarkup,"Error at finding value"))</f>
        <v>76.510000000000005</v>
      </c>
      <c r="X173" s="32" t="str">
        <f t="shared" si="62"/>
        <v>0.00</v>
      </c>
      <c r="Y173" s="15">
        <f t="shared" si="63"/>
        <v>242.9</v>
      </c>
      <c r="Z173" s="15">
        <f t="shared" si="64"/>
        <v>382.55</v>
      </c>
      <c r="AA173" s="15">
        <f>IF(FreightType="Lethbridge-Stewart Freight ",ROUND(2.99+IF(N173&gt;0.75,(N173-0.75)*2.25,0)*S173,2),IF(MarkupType="Supplier Markup",V173+V173*SupplierMarkup,"Error at finding value"))</f>
        <v>11.43</v>
      </c>
      <c r="AB173" s="15">
        <f t="shared" si="65"/>
        <v>0</v>
      </c>
    </row>
    <row r="174" spans="1:28" x14ac:dyDescent="0.25">
      <c r="A174" s="16">
        <f>OrdersTable!A174</f>
        <v>180</v>
      </c>
      <c r="B174" s="15" t="str">
        <f t="shared" si="45"/>
        <v>Mrs</v>
      </c>
      <c r="C174" s="15" t="str">
        <f t="shared" si="66"/>
        <v>Feeney</v>
      </c>
      <c r="D174" s="15" t="str">
        <f t="shared" si="46"/>
        <v>Jennifer Ruth</v>
      </c>
      <c r="E174" s="15" t="str">
        <f t="shared" si="47"/>
        <v>18 Cook Avenue</v>
      </c>
      <c r="F174" s="15" t="str">
        <f t="shared" si="48"/>
        <v>Nayook</v>
      </c>
      <c r="G174" s="15" t="str">
        <f t="shared" si="49"/>
        <v>VIC</v>
      </c>
      <c r="H174" s="15">
        <f t="shared" si="50"/>
        <v>3832</v>
      </c>
      <c r="I174" s="15">
        <f t="shared" si="61"/>
        <v>1552</v>
      </c>
      <c r="J174" s="15">
        <f>OrdersTable!B174</f>
        <v>607</v>
      </c>
      <c r="K174" s="15" t="str">
        <f t="shared" si="51"/>
        <v>iPhone Skins</v>
      </c>
      <c r="L174" s="15" t="str">
        <f t="shared" si="52"/>
        <v>Doctor Who: iPhone Skin: Keep Calm I'm The Doctor</v>
      </c>
      <c r="M174" s="15" t="str">
        <f t="shared" si="53"/>
        <v>-</v>
      </c>
      <c r="N174" s="15">
        <f t="shared" si="54"/>
        <v>0.5</v>
      </c>
      <c r="O174" s="15" t="str">
        <f t="shared" si="55"/>
        <v>A40</v>
      </c>
      <c r="P174" s="15" t="str">
        <f t="shared" si="56"/>
        <v>Romana Imports</v>
      </c>
      <c r="Q174" s="15" t="str">
        <f t="shared" si="57"/>
        <v>17 Lalla Ward Road</v>
      </c>
      <c r="R174" s="3">
        <f>OrdersTable!C174</f>
        <v>44574</v>
      </c>
      <c r="S174" s="15">
        <f>OrdersTable!E174</f>
        <v>5</v>
      </c>
      <c r="T174" s="15">
        <f t="shared" si="58"/>
        <v>9.99</v>
      </c>
      <c r="U174" s="15">
        <f t="shared" si="59"/>
        <v>13.81</v>
      </c>
      <c r="V174" s="15">
        <f t="shared" si="60"/>
        <v>16.18</v>
      </c>
      <c r="W174" s="15">
        <f>IF(MarkupType="Store Markup",ROUND(V174+V174*StoreMarkup,2),IF(MarkupType="Supplier Markup",V174+V174*SupplierMarkup,"Error at finding value"))</f>
        <v>25.48</v>
      </c>
      <c r="X174" s="32" t="str">
        <f t="shared" si="62"/>
        <v>0.00</v>
      </c>
      <c r="Y174" s="15">
        <f t="shared" si="63"/>
        <v>80.900000000000006</v>
      </c>
      <c r="Z174" s="15">
        <f t="shared" si="64"/>
        <v>127.4</v>
      </c>
      <c r="AA174" s="15">
        <f>IF(FreightType="Lethbridge-Stewart Freight ",ROUND(2.99+IF(N174&gt;0.75,(N174-0.75)*2.25,0)*S174,2),IF(MarkupType="Supplier Markup",V174+V174*SupplierMarkup,"Error at finding value"))</f>
        <v>2.99</v>
      </c>
      <c r="AB174" s="15">
        <f t="shared" si="65"/>
        <v>0</v>
      </c>
    </row>
    <row r="175" spans="1:28" x14ac:dyDescent="0.25">
      <c r="A175" s="16">
        <f>OrdersTable!A175</f>
        <v>232</v>
      </c>
      <c r="B175" s="15" t="str">
        <f t="shared" si="45"/>
        <v>Mrs</v>
      </c>
      <c r="C175" s="15" t="str">
        <f t="shared" si="66"/>
        <v>Bishop</v>
      </c>
      <c r="D175" s="15" t="str">
        <f t="shared" si="46"/>
        <v>Katherine Marie</v>
      </c>
      <c r="E175" s="15" t="str">
        <f t="shared" si="47"/>
        <v>19 Whitehorn Circuit</v>
      </c>
      <c r="F175" s="15" t="str">
        <f t="shared" si="48"/>
        <v>Black Hills</v>
      </c>
      <c r="G175" s="15" t="str">
        <f t="shared" si="49"/>
        <v>TAS</v>
      </c>
      <c r="H175" s="15">
        <f t="shared" si="50"/>
        <v>7140</v>
      </c>
      <c r="I175" s="15">
        <f t="shared" si="61"/>
        <v>2191</v>
      </c>
      <c r="J175" s="15">
        <f>OrdersTable!B175</f>
        <v>702</v>
      </c>
      <c r="K175" s="15" t="str">
        <f t="shared" si="51"/>
        <v>Posters, Prints and Standees</v>
      </c>
      <c r="L175" s="15" t="str">
        <f t="shared" si="52"/>
        <v>Doctor Who: Poster: Daleks</v>
      </c>
      <c r="M175" s="15" t="str">
        <f t="shared" si="53"/>
        <v>-</v>
      </c>
      <c r="N175" s="15">
        <f t="shared" si="54"/>
        <v>0.2</v>
      </c>
      <c r="O175" s="15" t="str">
        <f t="shared" si="55"/>
        <v>A50</v>
      </c>
      <c r="P175" s="15" t="str">
        <f t="shared" si="56"/>
        <v>Rassilon Ltd.</v>
      </c>
      <c r="Q175" s="15" t="str">
        <f t="shared" si="57"/>
        <v>82 Richard Mathews Road</v>
      </c>
      <c r="R175" s="3">
        <f>OrdersTable!C175</f>
        <v>44574</v>
      </c>
      <c r="S175" s="15">
        <f>OrdersTable!E175</f>
        <v>4</v>
      </c>
      <c r="T175" s="15">
        <f t="shared" si="58"/>
        <v>3.99</v>
      </c>
      <c r="U175" s="15">
        <f t="shared" si="59"/>
        <v>5.46</v>
      </c>
      <c r="V175" s="15">
        <f t="shared" si="60"/>
        <v>6.46</v>
      </c>
      <c r="W175" s="15">
        <f>IF(MarkupType="Store Markup",ROUND(V175+V175*StoreMarkup,2),IF(MarkupType="Supplier Markup",V175+V175*SupplierMarkup,"Error at finding value"))</f>
        <v>10.17</v>
      </c>
      <c r="X175" s="32" t="str">
        <f t="shared" si="62"/>
        <v>0.00</v>
      </c>
      <c r="Y175" s="15">
        <f t="shared" si="63"/>
        <v>25.84</v>
      </c>
      <c r="Z175" s="15">
        <f t="shared" si="64"/>
        <v>40.68</v>
      </c>
      <c r="AA175" s="15">
        <f>IF(FreightType="Lethbridge-Stewart Freight ",ROUND(2.99+IF(N175&gt;0.75,(N175-0.75)*2.25,0)*S175,2),IF(MarkupType="Supplier Markup",V175+V175*SupplierMarkup,"Error at finding value"))</f>
        <v>2.99</v>
      </c>
      <c r="AB175" s="15">
        <f t="shared" si="65"/>
        <v>0</v>
      </c>
    </row>
    <row r="176" spans="1:28" x14ac:dyDescent="0.25">
      <c r="A176" s="16">
        <f>OrdersTable!A176</f>
        <v>282</v>
      </c>
      <c r="B176" s="15" t="str">
        <f t="shared" si="45"/>
        <v>Dr</v>
      </c>
      <c r="C176" s="15" t="str">
        <f t="shared" si="66"/>
        <v>Johnson</v>
      </c>
      <c r="D176" s="15" t="str">
        <f t="shared" si="46"/>
        <v>Samantha Emily Louise</v>
      </c>
      <c r="E176" s="15" t="str">
        <f t="shared" si="47"/>
        <v>2 Wiggan Avenue</v>
      </c>
      <c r="F176" s="15" t="str">
        <f t="shared" si="48"/>
        <v>Boston</v>
      </c>
      <c r="G176" s="15" t="str">
        <f t="shared" si="49"/>
        <v>SA</v>
      </c>
      <c r="H176" s="15">
        <f t="shared" si="50"/>
        <v>5607</v>
      </c>
      <c r="I176" s="15">
        <f t="shared" si="61"/>
        <v>2076</v>
      </c>
      <c r="J176" s="15">
        <f>OrdersTable!B176</f>
        <v>701</v>
      </c>
      <c r="K176" s="15" t="str">
        <f t="shared" si="51"/>
        <v>Posters, Prints and Standees</v>
      </c>
      <c r="L176" s="15" t="str">
        <f t="shared" si="52"/>
        <v>Doctor Who: Half Sized Standee: The TARDIS</v>
      </c>
      <c r="M176" s="15" t="str">
        <f t="shared" si="53"/>
        <v>-</v>
      </c>
      <c r="N176" s="15">
        <f t="shared" si="54"/>
        <v>0.5</v>
      </c>
      <c r="O176" s="15" t="str">
        <f t="shared" si="55"/>
        <v>A40</v>
      </c>
      <c r="P176" s="15" t="str">
        <f t="shared" si="56"/>
        <v>Romana Imports</v>
      </c>
      <c r="Q176" s="15" t="str">
        <f t="shared" si="57"/>
        <v>17 Lalla Ward Road</v>
      </c>
      <c r="R176" s="3">
        <f>OrdersTable!C176</f>
        <v>44574</v>
      </c>
      <c r="S176" s="15">
        <f>OrdersTable!E176</f>
        <v>9</v>
      </c>
      <c r="T176" s="15">
        <f t="shared" si="58"/>
        <v>9.99</v>
      </c>
      <c r="U176" s="15">
        <f t="shared" si="59"/>
        <v>13.83</v>
      </c>
      <c r="V176" s="15">
        <f t="shared" si="60"/>
        <v>16.18</v>
      </c>
      <c r="W176" s="15">
        <f>IF(MarkupType="Store Markup",ROUND(V176+V176*StoreMarkup,2),IF(MarkupType="Supplier Markup",V176+V176*SupplierMarkup,"Error at finding value"))</f>
        <v>25.48</v>
      </c>
      <c r="X176" s="32" t="str">
        <f t="shared" si="62"/>
        <v>0.00</v>
      </c>
      <c r="Y176" s="15">
        <f t="shared" si="63"/>
        <v>145.62</v>
      </c>
      <c r="Z176" s="15">
        <f t="shared" si="64"/>
        <v>229.32</v>
      </c>
      <c r="AA176" s="15">
        <f>IF(FreightType="Lethbridge-Stewart Freight ",ROUND(2.99+IF(N176&gt;0.75,(N176-0.75)*2.25,0)*S176,2),IF(MarkupType="Supplier Markup",V176+V176*SupplierMarkup,"Error at finding value"))</f>
        <v>2.99</v>
      </c>
      <c r="AB176" s="15">
        <f t="shared" si="65"/>
        <v>0</v>
      </c>
    </row>
    <row r="177" spans="1:28" x14ac:dyDescent="0.25">
      <c r="A177" s="16">
        <f>OrdersTable!A177</f>
        <v>302</v>
      </c>
      <c r="B177" s="15" t="str">
        <f t="shared" si="45"/>
        <v>Ms</v>
      </c>
      <c r="C177" s="15" t="str">
        <f t="shared" si="66"/>
        <v>Lamshed</v>
      </c>
      <c r="D177" s="15" t="str">
        <f t="shared" si="46"/>
        <v>Laura Clare</v>
      </c>
      <c r="E177" s="15" t="str">
        <f t="shared" si="47"/>
        <v>22 Edser Drive</v>
      </c>
      <c r="F177" s="15" t="str">
        <f t="shared" si="48"/>
        <v>Caliph</v>
      </c>
      <c r="G177" s="15" t="str">
        <f t="shared" si="49"/>
        <v>SA</v>
      </c>
      <c r="H177" s="15">
        <f t="shared" si="50"/>
        <v>5310</v>
      </c>
      <c r="I177" s="15">
        <f t="shared" si="61"/>
        <v>1720</v>
      </c>
      <c r="J177" s="15">
        <f>OrdersTable!B177</f>
        <v>374</v>
      </c>
      <c r="K177" s="15" t="str">
        <f t="shared" si="51"/>
        <v>Clothing and Apparel</v>
      </c>
      <c r="L177" s="15" t="str">
        <f t="shared" si="52"/>
        <v xml:space="preserve">Doctor Who: T-Shirts: 5th Doctor Costume </v>
      </c>
      <c r="M177" s="15" t="str">
        <f t="shared" si="53"/>
        <v>XL</v>
      </c>
      <c r="N177" s="15">
        <f t="shared" si="54"/>
        <v>0.8</v>
      </c>
      <c r="O177" s="15" t="str">
        <f t="shared" si="55"/>
        <v>A50</v>
      </c>
      <c r="P177" s="15" t="str">
        <f t="shared" si="56"/>
        <v>Rassilon Ltd.</v>
      </c>
      <c r="Q177" s="15" t="str">
        <f t="shared" si="57"/>
        <v>82 Richard Mathews Road</v>
      </c>
      <c r="R177" s="3">
        <f>OrdersTable!C177</f>
        <v>44574</v>
      </c>
      <c r="S177" s="15">
        <f>OrdersTable!E177</f>
        <v>7</v>
      </c>
      <c r="T177" s="15">
        <f t="shared" si="58"/>
        <v>15.99</v>
      </c>
      <c r="U177" s="15">
        <f t="shared" si="59"/>
        <v>21.97</v>
      </c>
      <c r="V177" s="15">
        <f t="shared" si="60"/>
        <v>25.9</v>
      </c>
      <c r="W177" s="15">
        <f>IF(MarkupType="Store Markup",ROUND(V177+V177*StoreMarkup,2),IF(MarkupType="Supplier Markup",V177+V177*SupplierMarkup,"Error at finding value"))</f>
        <v>40.79</v>
      </c>
      <c r="X177" s="32" t="str">
        <f t="shared" si="62"/>
        <v>0.00</v>
      </c>
      <c r="Y177" s="15">
        <f t="shared" si="63"/>
        <v>181.3</v>
      </c>
      <c r="Z177" s="15">
        <f t="shared" si="64"/>
        <v>285.52999999999997</v>
      </c>
      <c r="AA177" s="15">
        <f>IF(FreightType="Lethbridge-Stewart Freight ",ROUND(2.99+IF(N177&gt;0.75,(N177-0.75)*2.25,0)*S177,2),IF(MarkupType="Supplier Markup",V177+V177*SupplierMarkup,"Error at finding value"))</f>
        <v>3.78</v>
      </c>
      <c r="AB177" s="15">
        <f t="shared" si="65"/>
        <v>0</v>
      </c>
    </row>
    <row r="178" spans="1:28" x14ac:dyDescent="0.25">
      <c r="A178" s="16">
        <f>OrdersTable!A178</f>
        <v>328</v>
      </c>
      <c r="B178" s="15" t="str">
        <f t="shared" si="45"/>
        <v>Dr</v>
      </c>
      <c r="C178" s="15" t="str">
        <f t="shared" si="66"/>
        <v>Ward</v>
      </c>
      <c r="D178" s="15" t="str">
        <f t="shared" si="46"/>
        <v>Keiren Nicholas</v>
      </c>
      <c r="E178" s="15" t="str">
        <f t="shared" si="47"/>
        <v>13 Green Crescent</v>
      </c>
      <c r="F178" s="15" t="str">
        <f t="shared" si="48"/>
        <v>Breakwater</v>
      </c>
      <c r="G178" s="15" t="str">
        <f t="shared" si="49"/>
        <v>VIC</v>
      </c>
      <c r="H178" s="15">
        <f t="shared" si="50"/>
        <v>3219</v>
      </c>
      <c r="I178" s="15">
        <f t="shared" si="61"/>
        <v>1596</v>
      </c>
      <c r="J178" s="15">
        <f>OrdersTable!B178</f>
        <v>852</v>
      </c>
      <c r="K178" s="15" t="str">
        <f t="shared" si="51"/>
        <v>Statues and Busts</v>
      </c>
      <c r="L178" s="15" t="str">
        <f t="shared" si="52"/>
        <v>Doctor Who: Statue: Revenge Of The Cybermen Cyberleader</v>
      </c>
      <c r="M178" s="15" t="str">
        <f t="shared" si="53"/>
        <v>-</v>
      </c>
      <c r="N178" s="15">
        <f t="shared" si="54"/>
        <v>5.4</v>
      </c>
      <c r="O178" s="15" t="str">
        <f t="shared" si="55"/>
        <v>A50</v>
      </c>
      <c r="P178" s="15" t="str">
        <f t="shared" si="56"/>
        <v>Rassilon Ltd.</v>
      </c>
      <c r="Q178" s="15" t="str">
        <f t="shared" si="57"/>
        <v>82 Richard Mathews Road</v>
      </c>
      <c r="R178" s="3">
        <f>OrdersTable!C178</f>
        <v>44574</v>
      </c>
      <c r="S178" s="15">
        <f>OrdersTable!E178</f>
        <v>1</v>
      </c>
      <c r="T178" s="15">
        <f t="shared" si="58"/>
        <v>108</v>
      </c>
      <c r="U178" s="15">
        <f t="shared" si="59"/>
        <v>147.29</v>
      </c>
      <c r="V178" s="15">
        <f t="shared" si="60"/>
        <v>174.96</v>
      </c>
      <c r="W178" s="15">
        <f>IF(MarkupType="Store Markup",ROUND(V178+V178*StoreMarkup,2),IF(MarkupType="Supplier Markup",V178+V178*SupplierMarkup,"Error at finding value"))</f>
        <v>275.56</v>
      </c>
      <c r="X178" s="32" t="str">
        <f t="shared" si="62"/>
        <v>0.00</v>
      </c>
      <c r="Y178" s="15">
        <f t="shared" si="63"/>
        <v>174.96</v>
      </c>
      <c r="Z178" s="15">
        <f t="shared" si="64"/>
        <v>275.56</v>
      </c>
      <c r="AA178" s="15">
        <f>IF(FreightType="Lethbridge-Stewart Freight ",ROUND(2.99+IF(N178&gt;0.75,(N178-0.75)*2.25,0)*S178,2),IF(MarkupType="Supplier Markup",V178+V178*SupplierMarkup,"Error at finding value"))</f>
        <v>13.45</v>
      </c>
      <c r="AB178" s="15">
        <f t="shared" si="65"/>
        <v>0</v>
      </c>
    </row>
    <row r="179" spans="1:28" x14ac:dyDescent="0.25">
      <c r="A179" s="16">
        <f>OrdersTable!A179</f>
        <v>531</v>
      </c>
      <c r="B179" s="15" t="str">
        <f t="shared" si="45"/>
        <v>Ms</v>
      </c>
      <c r="C179" s="15" t="str">
        <f t="shared" si="66"/>
        <v>Stanton</v>
      </c>
      <c r="D179" s="15" t="str">
        <f t="shared" si="46"/>
        <v>Sharaze</v>
      </c>
      <c r="E179" s="15" t="str">
        <f t="shared" si="47"/>
        <v>1 Siddons Crescent</v>
      </c>
      <c r="F179" s="15" t="str">
        <f t="shared" si="48"/>
        <v>Alfredtown</v>
      </c>
      <c r="G179" s="15" t="str">
        <f t="shared" si="49"/>
        <v>NSW</v>
      </c>
      <c r="H179" s="15">
        <f t="shared" si="50"/>
        <v>2650</v>
      </c>
      <c r="I179" s="15">
        <f t="shared" si="61"/>
        <v>1124</v>
      </c>
      <c r="J179" s="15">
        <f>OrdersTable!B179</f>
        <v>724</v>
      </c>
      <c r="K179" s="15" t="str">
        <f t="shared" si="51"/>
        <v>Posters, Prints and Standees</v>
      </c>
      <c r="L179" s="15" t="str">
        <f t="shared" si="52"/>
        <v>Doctor Who: Standee: The 10th Doctor</v>
      </c>
      <c r="M179" s="15" t="str">
        <f t="shared" si="53"/>
        <v>-</v>
      </c>
      <c r="N179" s="15">
        <f t="shared" si="54"/>
        <v>1.125</v>
      </c>
      <c r="O179" s="15" t="str">
        <f t="shared" si="55"/>
        <v>A50</v>
      </c>
      <c r="P179" s="15" t="str">
        <f t="shared" si="56"/>
        <v>Rassilon Ltd.</v>
      </c>
      <c r="Q179" s="15" t="str">
        <f t="shared" si="57"/>
        <v>82 Richard Mathews Road</v>
      </c>
      <c r="R179" s="3">
        <f>OrdersTable!C179</f>
        <v>44574</v>
      </c>
      <c r="S179" s="15">
        <f>OrdersTable!E179</f>
        <v>1</v>
      </c>
      <c r="T179" s="15">
        <f t="shared" si="58"/>
        <v>22.49</v>
      </c>
      <c r="U179" s="15">
        <f t="shared" si="59"/>
        <v>30.77</v>
      </c>
      <c r="V179" s="15">
        <f t="shared" si="60"/>
        <v>36.43</v>
      </c>
      <c r="W179" s="15">
        <f>IF(MarkupType="Store Markup",ROUND(V179+V179*StoreMarkup,2),IF(MarkupType="Supplier Markup",V179+V179*SupplierMarkup,"Error at finding value"))</f>
        <v>57.38</v>
      </c>
      <c r="X179" s="32" t="str">
        <f t="shared" si="62"/>
        <v>0.00</v>
      </c>
      <c r="Y179" s="15">
        <f t="shared" si="63"/>
        <v>36.43</v>
      </c>
      <c r="Z179" s="15">
        <f t="shared" si="64"/>
        <v>57.38</v>
      </c>
      <c r="AA179" s="15">
        <f>IF(FreightType="Lethbridge-Stewart Freight ",ROUND(2.99+IF(N179&gt;0.75,(N179-0.75)*2.25,0)*S179,2),IF(MarkupType="Supplier Markup",V179+V179*SupplierMarkup,"Error at finding value"))</f>
        <v>3.83</v>
      </c>
      <c r="AB179" s="15">
        <f t="shared" si="65"/>
        <v>0</v>
      </c>
    </row>
    <row r="180" spans="1:28" x14ac:dyDescent="0.25">
      <c r="A180" s="16">
        <f>OrdersTable!A180</f>
        <v>580</v>
      </c>
      <c r="B180" s="15" t="str">
        <f t="shared" si="45"/>
        <v>Mr</v>
      </c>
      <c r="C180" s="15" t="str">
        <f t="shared" si="66"/>
        <v>Faatoafe</v>
      </c>
      <c r="D180" s="15" t="str">
        <f t="shared" si="46"/>
        <v>Jasson Iosefa</v>
      </c>
      <c r="E180" s="15" t="str">
        <f t="shared" si="47"/>
        <v>29 Schaffer Boulevard</v>
      </c>
      <c r="F180" s="15" t="str">
        <f t="shared" si="48"/>
        <v>Binduli</v>
      </c>
      <c r="G180" s="15" t="str">
        <f t="shared" si="49"/>
        <v>WA</v>
      </c>
      <c r="H180" s="15">
        <f t="shared" si="50"/>
        <v>6430</v>
      </c>
      <c r="I180" s="15">
        <f t="shared" si="61"/>
        <v>3543</v>
      </c>
      <c r="J180" s="15">
        <f>OrdersTable!B180</f>
        <v>239</v>
      </c>
      <c r="K180" s="15" t="str">
        <f t="shared" si="51"/>
        <v>Clothing and Apparel</v>
      </c>
      <c r="L180" s="15" t="str">
        <f t="shared" si="52"/>
        <v>Doctor Who: Men's Winter Pyjamas</v>
      </c>
      <c r="M180" s="15" t="str">
        <f t="shared" si="53"/>
        <v>L</v>
      </c>
      <c r="N180" s="15">
        <f t="shared" si="54"/>
        <v>1.5</v>
      </c>
      <c r="O180" s="15" t="str">
        <f t="shared" si="55"/>
        <v>A10</v>
      </c>
      <c r="P180" s="15" t="str">
        <f t="shared" si="56"/>
        <v>Gallifrey International</v>
      </c>
      <c r="Q180" s="15" t="str">
        <f t="shared" si="57"/>
        <v>181 Arcadia Street</v>
      </c>
      <c r="R180" s="3">
        <f>OrdersTable!C180</f>
        <v>44574</v>
      </c>
      <c r="S180" s="15">
        <f>OrdersTable!E180</f>
        <v>4</v>
      </c>
      <c r="T180" s="15">
        <f t="shared" si="58"/>
        <v>29.99</v>
      </c>
      <c r="U180" s="15">
        <f t="shared" si="59"/>
        <v>41.23</v>
      </c>
      <c r="V180" s="15">
        <f t="shared" si="60"/>
        <v>48.58</v>
      </c>
      <c r="W180" s="15">
        <f>IF(MarkupType="Store Markup",ROUND(V180+V180*StoreMarkup,2),IF(MarkupType="Supplier Markup",V180+V180*SupplierMarkup,"Error at finding value"))</f>
        <v>76.510000000000005</v>
      </c>
      <c r="X180" s="32" t="str">
        <f t="shared" si="62"/>
        <v>0.00</v>
      </c>
      <c r="Y180" s="15">
        <f t="shared" si="63"/>
        <v>194.32</v>
      </c>
      <c r="Z180" s="15">
        <f t="shared" si="64"/>
        <v>306.04000000000002</v>
      </c>
      <c r="AA180" s="15">
        <f>IF(FreightType="Lethbridge-Stewart Freight ",ROUND(2.99+IF(N180&gt;0.75,(N180-0.75)*2.25,0)*S180,2),IF(MarkupType="Supplier Markup",V180+V180*SupplierMarkup,"Error at finding value"))</f>
        <v>9.74</v>
      </c>
      <c r="AB180" s="15">
        <f t="shared" si="65"/>
        <v>0</v>
      </c>
    </row>
    <row r="181" spans="1:28" x14ac:dyDescent="0.25">
      <c r="A181" s="16">
        <f>OrdersTable!A181</f>
        <v>585</v>
      </c>
      <c r="B181" s="15" t="str">
        <f t="shared" si="45"/>
        <v>Miss</v>
      </c>
      <c r="C181" s="15" t="str">
        <f t="shared" si="66"/>
        <v>Long</v>
      </c>
      <c r="D181" s="15" t="str">
        <f t="shared" si="46"/>
        <v>Bellinda May</v>
      </c>
      <c r="E181" s="15" t="str">
        <f t="shared" si="47"/>
        <v>5 Hutcheson Avenue</v>
      </c>
      <c r="F181" s="15" t="str">
        <f t="shared" si="48"/>
        <v>Glenfern</v>
      </c>
      <c r="G181" s="15" t="str">
        <f t="shared" si="49"/>
        <v>QLD</v>
      </c>
      <c r="H181" s="15">
        <f t="shared" si="50"/>
        <v>4515</v>
      </c>
      <c r="I181" s="15">
        <f t="shared" si="61"/>
        <v>128</v>
      </c>
      <c r="J181" s="15">
        <f>OrdersTable!B181</f>
        <v>740</v>
      </c>
      <c r="K181" s="15" t="str">
        <f t="shared" si="51"/>
        <v>Props and Replicas</v>
      </c>
      <c r="L181" s="15" t="str">
        <f t="shared" si="52"/>
        <v>Doctor Who: River Song Squareness Blaster</v>
      </c>
      <c r="M181" s="15" t="str">
        <f t="shared" si="53"/>
        <v>-</v>
      </c>
      <c r="N181" s="15">
        <f t="shared" si="54"/>
        <v>14.8</v>
      </c>
      <c r="O181" s="15" t="str">
        <f t="shared" si="55"/>
        <v>A40</v>
      </c>
      <c r="P181" s="15" t="str">
        <f t="shared" si="56"/>
        <v>Romana Imports</v>
      </c>
      <c r="Q181" s="15" t="str">
        <f t="shared" si="57"/>
        <v>17 Lalla Ward Road</v>
      </c>
      <c r="R181" s="3">
        <f>OrdersTable!C181</f>
        <v>44574</v>
      </c>
      <c r="S181" s="15">
        <f>OrdersTable!E181</f>
        <v>8</v>
      </c>
      <c r="T181" s="15">
        <f t="shared" si="58"/>
        <v>295.99</v>
      </c>
      <c r="U181" s="15">
        <f t="shared" si="59"/>
        <v>403.84</v>
      </c>
      <c r="V181" s="15">
        <f t="shared" si="60"/>
        <v>479.5</v>
      </c>
      <c r="W181" s="15">
        <f>IF(MarkupType="Store Markup",ROUND(V181+V181*StoreMarkup,2),IF(MarkupType="Supplier Markup",V181+V181*SupplierMarkup,"Error at finding value"))</f>
        <v>755.21</v>
      </c>
      <c r="X181" s="32">
        <f t="shared" si="62"/>
        <v>53.81</v>
      </c>
      <c r="Y181" s="15">
        <f t="shared" si="63"/>
        <v>3836</v>
      </c>
      <c r="Z181" s="15">
        <f t="shared" si="64"/>
        <v>5611.2</v>
      </c>
      <c r="AA181" s="15">
        <f>IF(FreightType="Lethbridge-Stewart Freight ",ROUND(2.99+IF(N181&gt;0.75,(N181-0.75)*2.25,0)*S181,2),IF(MarkupType="Supplier Markup",V181+V181*SupplierMarkup,"Error at finding value"))</f>
        <v>255.89</v>
      </c>
      <c r="AB181" s="15">
        <f t="shared" si="65"/>
        <v>430.48</v>
      </c>
    </row>
    <row r="182" spans="1:28" x14ac:dyDescent="0.25">
      <c r="A182" s="16">
        <f>OrdersTable!A182</f>
        <v>600</v>
      </c>
      <c r="B182" s="15" t="str">
        <f t="shared" si="45"/>
        <v>Dr</v>
      </c>
      <c r="C182" s="15" t="str">
        <f t="shared" si="66"/>
        <v>McConnell</v>
      </c>
      <c r="D182" s="15" t="str">
        <f t="shared" si="46"/>
        <v>Hannah Clair</v>
      </c>
      <c r="E182" s="15" t="str">
        <f t="shared" si="47"/>
        <v>27 Mccarthy Circuit</v>
      </c>
      <c r="F182" s="15" t="str">
        <f t="shared" si="48"/>
        <v>Ashford</v>
      </c>
      <c r="G182" s="15" t="str">
        <f t="shared" si="49"/>
        <v>SA</v>
      </c>
      <c r="H182" s="15">
        <f t="shared" si="50"/>
        <v>5035</v>
      </c>
      <c r="I182" s="15">
        <f t="shared" si="61"/>
        <v>1877</v>
      </c>
      <c r="J182" s="15">
        <f>OrdersTable!B182</f>
        <v>769</v>
      </c>
      <c r="K182" s="15" t="str">
        <f t="shared" si="51"/>
        <v>Statues and Busts</v>
      </c>
      <c r="L182" s="15" t="str">
        <f t="shared" si="52"/>
        <v>Doctor Who: Legends Forever Bust: Tom Baker</v>
      </c>
      <c r="M182" s="15" t="str">
        <f t="shared" si="53"/>
        <v>-</v>
      </c>
      <c r="N182" s="15">
        <f t="shared" si="54"/>
        <v>1.375</v>
      </c>
      <c r="O182" s="15" t="str">
        <f t="shared" si="55"/>
        <v>A30</v>
      </c>
      <c r="P182" s="15" t="str">
        <f t="shared" si="56"/>
        <v>Chesterton Enterprises</v>
      </c>
      <c r="Q182" s="15" t="str">
        <f t="shared" si="57"/>
        <v>41 William Russell Road</v>
      </c>
      <c r="R182" s="3">
        <f>OrdersTable!C182</f>
        <v>44574</v>
      </c>
      <c r="S182" s="15">
        <f>OrdersTable!E182</f>
        <v>8</v>
      </c>
      <c r="T182" s="15">
        <f t="shared" si="58"/>
        <v>27.5</v>
      </c>
      <c r="U182" s="15">
        <f t="shared" si="59"/>
        <v>37.76</v>
      </c>
      <c r="V182" s="15">
        <f t="shared" si="60"/>
        <v>44.55</v>
      </c>
      <c r="W182" s="15">
        <f>IF(MarkupType="Store Markup",ROUND(V182+V182*StoreMarkup,2),IF(MarkupType="Supplier Markup",V182+V182*SupplierMarkup,"Error at finding value"))</f>
        <v>70.17</v>
      </c>
      <c r="X182" s="32" t="str">
        <f t="shared" si="62"/>
        <v>0.00</v>
      </c>
      <c r="Y182" s="15">
        <f t="shared" si="63"/>
        <v>356.4</v>
      </c>
      <c r="Z182" s="15">
        <f t="shared" si="64"/>
        <v>561.36</v>
      </c>
      <c r="AA182" s="15">
        <f>IF(FreightType="Lethbridge-Stewart Freight ",ROUND(2.99+IF(N182&gt;0.75,(N182-0.75)*2.25,0)*S182,2),IF(MarkupType="Supplier Markup",V182+V182*SupplierMarkup,"Error at finding value"))</f>
        <v>14.24</v>
      </c>
      <c r="AB182" s="15">
        <f t="shared" si="65"/>
        <v>0</v>
      </c>
    </row>
    <row r="183" spans="1:28" x14ac:dyDescent="0.25">
      <c r="A183" s="16">
        <f>OrdersTable!A183</f>
        <v>730</v>
      </c>
      <c r="B183" s="15" t="str">
        <f t="shared" si="45"/>
        <v>Mr</v>
      </c>
      <c r="C183" s="15" t="str">
        <f t="shared" si="66"/>
        <v>Romer</v>
      </c>
      <c r="D183" s="15" t="str">
        <f t="shared" si="46"/>
        <v>Leo Alexander</v>
      </c>
      <c r="E183" s="15" t="str">
        <f t="shared" si="47"/>
        <v>47 Bennett Circuit</v>
      </c>
      <c r="F183" s="15" t="str">
        <f t="shared" si="48"/>
        <v>Caliph</v>
      </c>
      <c r="G183" s="15" t="str">
        <f t="shared" si="49"/>
        <v>SA</v>
      </c>
      <c r="H183" s="15">
        <f t="shared" si="50"/>
        <v>5310</v>
      </c>
      <c r="I183" s="15">
        <f t="shared" si="61"/>
        <v>1720</v>
      </c>
      <c r="J183" s="15">
        <f>OrdersTable!B183</f>
        <v>834</v>
      </c>
      <c r="K183" s="15" t="str">
        <f t="shared" si="51"/>
        <v>Statues and Busts</v>
      </c>
      <c r="L183" s="15" t="str">
        <f t="shared" si="52"/>
        <v>Doctor Who: Signature Edition Statue: Gallifrey Edition: Matt Smith</v>
      </c>
      <c r="M183" s="15" t="str">
        <f t="shared" si="53"/>
        <v>-</v>
      </c>
      <c r="N183" s="15">
        <f t="shared" si="54"/>
        <v>2.5</v>
      </c>
      <c r="O183" s="15" t="str">
        <f t="shared" si="55"/>
        <v>A30</v>
      </c>
      <c r="P183" s="15" t="str">
        <f t="shared" si="56"/>
        <v>Chesterton Enterprises</v>
      </c>
      <c r="Q183" s="15" t="str">
        <f t="shared" si="57"/>
        <v>41 William Russell Road</v>
      </c>
      <c r="R183" s="3">
        <f>OrdersTable!C183</f>
        <v>44574</v>
      </c>
      <c r="S183" s="15">
        <f>OrdersTable!E183</f>
        <v>9</v>
      </c>
      <c r="T183" s="15">
        <f t="shared" si="58"/>
        <v>49.99</v>
      </c>
      <c r="U183" s="15">
        <f t="shared" si="59"/>
        <v>68.52</v>
      </c>
      <c r="V183" s="15">
        <f t="shared" si="60"/>
        <v>80.98</v>
      </c>
      <c r="W183" s="15">
        <f>IF(MarkupType="Store Markup",ROUND(V183+V183*StoreMarkup,2),IF(MarkupType="Supplier Markup",V183+V183*SupplierMarkup,"Error at finding value"))</f>
        <v>127.54</v>
      </c>
      <c r="X183" s="32">
        <f t="shared" si="62"/>
        <v>9.09</v>
      </c>
      <c r="Y183" s="15">
        <f t="shared" si="63"/>
        <v>728.82</v>
      </c>
      <c r="Z183" s="15">
        <f t="shared" si="64"/>
        <v>1066.05</v>
      </c>
      <c r="AA183" s="15">
        <f>IF(FreightType="Lethbridge-Stewart Freight ",ROUND(2.99+IF(N183&gt;0.75,(N183-0.75)*2.25,0)*S183,2),IF(MarkupType="Supplier Markup",V183+V183*SupplierMarkup,"Error at finding value"))</f>
        <v>38.43</v>
      </c>
      <c r="AB183" s="15">
        <f t="shared" si="65"/>
        <v>81.81</v>
      </c>
    </row>
    <row r="184" spans="1:28" x14ac:dyDescent="0.25">
      <c r="A184" s="16">
        <f>OrdersTable!A184</f>
        <v>750</v>
      </c>
      <c r="B184" s="15" t="str">
        <f t="shared" si="45"/>
        <v>Ms</v>
      </c>
      <c r="C184" s="15" t="str">
        <f t="shared" si="66"/>
        <v>Talbot</v>
      </c>
      <c r="D184" s="15" t="str">
        <f t="shared" si="46"/>
        <v>Carlie Wenderly</v>
      </c>
      <c r="E184" s="15" t="str">
        <f t="shared" si="47"/>
        <v>31 Somerville Way</v>
      </c>
      <c r="F184" s="15" t="str">
        <f t="shared" si="48"/>
        <v>Boston</v>
      </c>
      <c r="G184" s="15" t="str">
        <f t="shared" si="49"/>
        <v>SA</v>
      </c>
      <c r="H184" s="15">
        <f t="shared" si="50"/>
        <v>5607</v>
      </c>
      <c r="I184" s="15">
        <f t="shared" si="61"/>
        <v>2076</v>
      </c>
      <c r="J184" s="15">
        <f>OrdersTable!B184</f>
        <v>810</v>
      </c>
      <c r="K184" s="15" t="str">
        <f t="shared" si="51"/>
        <v>Statues and Busts</v>
      </c>
      <c r="L184" s="15" t="str">
        <f t="shared" si="52"/>
        <v>Doctor Who: Masterpiece Collection Maxi Bust: Amy Pond</v>
      </c>
      <c r="M184" s="15" t="str">
        <f t="shared" si="53"/>
        <v>-</v>
      </c>
      <c r="N184" s="15">
        <f t="shared" si="54"/>
        <v>2.5</v>
      </c>
      <c r="O184" s="15" t="str">
        <f t="shared" si="55"/>
        <v>A50</v>
      </c>
      <c r="P184" s="15" t="str">
        <f t="shared" si="56"/>
        <v>Rassilon Ltd.</v>
      </c>
      <c r="Q184" s="15" t="str">
        <f t="shared" si="57"/>
        <v>82 Richard Mathews Road</v>
      </c>
      <c r="R184" s="3">
        <f>OrdersTable!C184</f>
        <v>44574</v>
      </c>
      <c r="S184" s="15">
        <f>OrdersTable!E184</f>
        <v>10</v>
      </c>
      <c r="T184" s="15">
        <f t="shared" si="58"/>
        <v>49.99</v>
      </c>
      <c r="U184" s="15">
        <f t="shared" si="59"/>
        <v>68.260000000000005</v>
      </c>
      <c r="V184" s="15">
        <f t="shared" si="60"/>
        <v>80.98</v>
      </c>
      <c r="W184" s="15">
        <f>IF(MarkupType="Store Markup",ROUND(V184+V184*StoreMarkup,2),IF(MarkupType="Supplier Markup",V184+V184*SupplierMarkup,"Error at finding value"))</f>
        <v>127.54</v>
      </c>
      <c r="X184" s="32">
        <f t="shared" si="62"/>
        <v>9.09</v>
      </c>
      <c r="Y184" s="15">
        <f t="shared" si="63"/>
        <v>809.8</v>
      </c>
      <c r="Z184" s="15">
        <f t="shared" si="64"/>
        <v>1184.5</v>
      </c>
      <c r="AA184" s="15">
        <f>IF(FreightType="Lethbridge-Stewart Freight ",ROUND(2.99+IF(N184&gt;0.75,(N184-0.75)*2.25,0)*S184,2),IF(MarkupType="Supplier Markup",V184+V184*SupplierMarkup,"Error at finding value"))</f>
        <v>42.37</v>
      </c>
      <c r="AB184" s="15">
        <f t="shared" si="65"/>
        <v>90.9</v>
      </c>
    </row>
    <row r="185" spans="1:28" x14ac:dyDescent="0.25">
      <c r="A185" s="16">
        <f>OrdersTable!A185</f>
        <v>771</v>
      </c>
      <c r="B185" s="15" t="str">
        <f t="shared" si="45"/>
        <v>Dr</v>
      </c>
      <c r="C185" s="15" t="str">
        <f t="shared" si="66"/>
        <v>Virk</v>
      </c>
      <c r="D185" s="15" t="str">
        <f t="shared" si="46"/>
        <v>Balraj Singh</v>
      </c>
      <c r="E185" s="15" t="str">
        <f t="shared" si="47"/>
        <v>39 Napanje Drive</v>
      </c>
      <c r="F185" s="15" t="str">
        <f t="shared" si="48"/>
        <v>Abington</v>
      </c>
      <c r="G185" s="15" t="str">
        <f t="shared" si="49"/>
        <v>QLD</v>
      </c>
      <c r="H185" s="15">
        <f t="shared" si="50"/>
        <v>4660</v>
      </c>
      <c r="I185" s="15">
        <f t="shared" si="61"/>
        <v>336</v>
      </c>
      <c r="J185" s="15">
        <f>OrdersTable!B185</f>
        <v>436</v>
      </c>
      <c r="K185" s="15" t="str">
        <f t="shared" si="51"/>
        <v>Giftware</v>
      </c>
      <c r="L185" s="15" t="str">
        <f t="shared" si="52"/>
        <v>Doctor Who: Adult Watch: TARDIS</v>
      </c>
      <c r="M185" s="15" t="str">
        <f t="shared" si="53"/>
        <v>-</v>
      </c>
      <c r="N185" s="15">
        <f t="shared" si="54"/>
        <v>1.5</v>
      </c>
      <c r="O185" s="15" t="str">
        <f t="shared" si="55"/>
        <v>A20</v>
      </c>
      <c r="P185" s="15" t="str">
        <f t="shared" si="56"/>
        <v>Morbius Inc.</v>
      </c>
      <c r="Q185" s="15" t="str">
        <f t="shared" si="57"/>
        <v>56 Michael Spice Hwy</v>
      </c>
      <c r="R185" s="3">
        <f>OrdersTable!C185</f>
        <v>44574</v>
      </c>
      <c r="S185" s="15">
        <f>OrdersTable!E185</f>
        <v>2</v>
      </c>
      <c r="T185" s="15">
        <f t="shared" si="58"/>
        <v>29.99</v>
      </c>
      <c r="U185" s="15">
        <f t="shared" si="59"/>
        <v>40.96</v>
      </c>
      <c r="V185" s="15">
        <f t="shared" si="60"/>
        <v>48.58</v>
      </c>
      <c r="W185" s="15">
        <f>IF(MarkupType="Store Markup",ROUND(V185+V185*StoreMarkup,2),IF(MarkupType="Supplier Markup",V185+V185*SupplierMarkup,"Error at finding value"))</f>
        <v>76.510000000000005</v>
      </c>
      <c r="X185" s="32" t="str">
        <f t="shared" si="62"/>
        <v>0.00</v>
      </c>
      <c r="Y185" s="15">
        <f t="shared" si="63"/>
        <v>97.16</v>
      </c>
      <c r="Z185" s="15">
        <f t="shared" si="64"/>
        <v>153.02000000000001</v>
      </c>
      <c r="AA185" s="15">
        <f>IF(FreightType="Lethbridge-Stewart Freight ",ROUND(2.99+IF(N185&gt;0.75,(N185-0.75)*2.25,0)*S185,2),IF(MarkupType="Supplier Markup",V185+V185*SupplierMarkup,"Error at finding value"))</f>
        <v>6.37</v>
      </c>
      <c r="AB185" s="15">
        <f t="shared" si="65"/>
        <v>0</v>
      </c>
    </row>
    <row r="186" spans="1:28" x14ac:dyDescent="0.25">
      <c r="A186" s="16">
        <f>OrdersTable!A186</f>
        <v>849</v>
      </c>
      <c r="B186" s="15" t="str">
        <f t="shared" si="45"/>
        <v>Dr</v>
      </c>
      <c r="C186" s="15" t="str">
        <f t="shared" si="66"/>
        <v>Blair</v>
      </c>
      <c r="D186" s="15" t="str">
        <f t="shared" si="46"/>
        <v>Taylor Ashleigh</v>
      </c>
      <c r="E186" s="15" t="str">
        <f t="shared" si="47"/>
        <v>42 Ward Avenue</v>
      </c>
      <c r="F186" s="15" t="str">
        <f t="shared" si="48"/>
        <v>Airly</v>
      </c>
      <c r="G186" s="15" t="str">
        <f t="shared" si="49"/>
        <v>VIC</v>
      </c>
      <c r="H186" s="15">
        <f t="shared" si="50"/>
        <v>3851</v>
      </c>
      <c r="I186" s="15">
        <f t="shared" si="61"/>
        <v>1583</v>
      </c>
      <c r="J186" s="15">
        <f>OrdersTable!B186</f>
        <v>801</v>
      </c>
      <c r="K186" s="15" t="str">
        <f t="shared" si="51"/>
        <v>Statues and Busts</v>
      </c>
      <c r="L186" s="15" t="str">
        <f t="shared" si="52"/>
        <v>Doctor Who: Masterpiece Collection Maxi Bust: 4th Doctor</v>
      </c>
      <c r="M186" s="15" t="str">
        <f t="shared" si="53"/>
        <v>-</v>
      </c>
      <c r="N186" s="15">
        <f t="shared" si="54"/>
        <v>2.5</v>
      </c>
      <c r="O186" s="15" t="str">
        <f t="shared" si="55"/>
        <v>A30</v>
      </c>
      <c r="P186" s="15" t="str">
        <f t="shared" si="56"/>
        <v>Chesterton Enterprises</v>
      </c>
      <c r="Q186" s="15" t="str">
        <f t="shared" si="57"/>
        <v>41 William Russell Road</v>
      </c>
      <c r="R186" s="3">
        <f>OrdersTable!C186</f>
        <v>44574</v>
      </c>
      <c r="S186" s="15">
        <f>OrdersTable!E186</f>
        <v>2</v>
      </c>
      <c r="T186" s="15">
        <f t="shared" si="58"/>
        <v>49.99</v>
      </c>
      <c r="U186" s="15">
        <f t="shared" si="59"/>
        <v>68.180000000000007</v>
      </c>
      <c r="V186" s="15">
        <f t="shared" si="60"/>
        <v>80.98</v>
      </c>
      <c r="W186" s="15">
        <f>IF(MarkupType="Store Markup",ROUND(V186+V186*StoreMarkup,2),IF(MarkupType="Supplier Markup",V186+V186*SupplierMarkup,"Error at finding value"))</f>
        <v>127.54</v>
      </c>
      <c r="X186" s="32" t="str">
        <f t="shared" si="62"/>
        <v>0.00</v>
      </c>
      <c r="Y186" s="15">
        <f t="shared" si="63"/>
        <v>161.96</v>
      </c>
      <c r="Z186" s="15">
        <f t="shared" si="64"/>
        <v>255.08</v>
      </c>
      <c r="AA186" s="15">
        <f>IF(FreightType="Lethbridge-Stewart Freight ",ROUND(2.99+IF(N186&gt;0.75,(N186-0.75)*2.25,0)*S186,2),IF(MarkupType="Supplier Markup",V186+V186*SupplierMarkup,"Error at finding value"))</f>
        <v>10.87</v>
      </c>
      <c r="AB186" s="15">
        <f t="shared" si="65"/>
        <v>0</v>
      </c>
    </row>
    <row r="187" spans="1:28" x14ac:dyDescent="0.25">
      <c r="A187" s="16">
        <f>OrdersTable!A187</f>
        <v>22</v>
      </c>
      <c r="B187" s="15" t="str">
        <f t="shared" si="45"/>
        <v>Mr</v>
      </c>
      <c r="C187" s="15" t="str">
        <f t="shared" si="66"/>
        <v>Tyrrell</v>
      </c>
      <c r="D187" s="15" t="str">
        <f t="shared" si="46"/>
        <v>Timothy James</v>
      </c>
      <c r="E187" s="15" t="str">
        <f t="shared" si="47"/>
        <v>48 Lambourne Crescent</v>
      </c>
      <c r="F187" s="15" t="str">
        <f t="shared" si="48"/>
        <v>Belford</v>
      </c>
      <c r="G187" s="15" t="str">
        <f t="shared" si="49"/>
        <v>NSW</v>
      </c>
      <c r="H187" s="15">
        <f t="shared" si="50"/>
        <v>2335</v>
      </c>
      <c r="I187" s="15">
        <f t="shared" si="61"/>
        <v>716</v>
      </c>
      <c r="J187" s="15">
        <f>OrdersTable!B187</f>
        <v>711</v>
      </c>
      <c r="K187" s="15" t="str">
        <f t="shared" si="51"/>
        <v>Posters, Prints and Standees</v>
      </c>
      <c r="L187" s="15" t="str">
        <f t="shared" si="52"/>
        <v>Doctor Who: Poster: TARDIS Door Poster</v>
      </c>
      <c r="M187" s="15" t="str">
        <f t="shared" si="53"/>
        <v>-</v>
      </c>
      <c r="N187" s="15">
        <f t="shared" si="54"/>
        <v>0.3</v>
      </c>
      <c r="O187" s="15" t="str">
        <f t="shared" si="55"/>
        <v>A20</v>
      </c>
      <c r="P187" s="15" t="str">
        <f t="shared" si="56"/>
        <v>Morbius Inc.</v>
      </c>
      <c r="Q187" s="15" t="str">
        <f t="shared" si="57"/>
        <v>56 Michael Spice Hwy</v>
      </c>
      <c r="R187" s="3">
        <f>OrdersTable!C187</f>
        <v>44575</v>
      </c>
      <c r="S187" s="15">
        <f>OrdersTable!E187</f>
        <v>5</v>
      </c>
      <c r="T187" s="15">
        <f t="shared" si="58"/>
        <v>5.99</v>
      </c>
      <c r="U187" s="15">
        <f t="shared" si="59"/>
        <v>8.41</v>
      </c>
      <c r="V187" s="15">
        <f t="shared" si="60"/>
        <v>9.6999999999999993</v>
      </c>
      <c r="W187" s="15">
        <f>IF(MarkupType="Store Markup",ROUND(V187+V187*StoreMarkup,2),IF(MarkupType="Supplier Markup",V187+V187*SupplierMarkup,"Error at finding value"))</f>
        <v>15.28</v>
      </c>
      <c r="X187" s="32" t="str">
        <f t="shared" si="62"/>
        <v>0.00</v>
      </c>
      <c r="Y187" s="15">
        <f t="shared" si="63"/>
        <v>48.5</v>
      </c>
      <c r="Z187" s="15">
        <f t="shared" si="64"/>
        <v>76.400000000000006</v>
      </c>
      <c r="AA187" s="15">
        <f>IF(FreightType="Lethbridge-Stewart Freight ",ROUND(2.99+IF(N187&gt;0.75,(N187-0.75)*2.25,0)*S187,2),IF(MarkupType="Supplier Markup",V187+V187*SupplierMarkup,"Error at finding value"))</f>
        <v>2.99</v>
      </c>
      <c r="AB187" s="15">
        <f t="shared" si="65"/>
        <v>0</v>
      </c>
    </row>
    <row r="188" spans="1:28" x14ac:dyDescent="0.25">
      <c r="A188" s="16">
        <f>OrdersTable!A188</f>
        <v>142</v>
      </c>
      <c r="B188" s="15" t="str">
        <f t="shared" si="45"/>
        <v>Miss</v>
      </c>
      <c r="C188" s="15" t="str">
        <f t="shared" si="66"/>
        <v>Western</v>
      </c>
      <c r="D188" s="15" t="str">
        <f t="shared" si="46"/>
        <v>Lee Reuben</v>
      </c>
      <c r="E188" s="15" t="str">
        <f t="shared" si="47"/>
        <v>14 Fields Road</v>
      </c>
      <c r="F188" s="15" t="str">
        <f t="shared" si="48"/>
        <v>Airly</v>
      </c>
      <c r="G188" s="15" t="str">
        <f t="shared" si="49"/>
        <v>VIC</v>
      </c>
      <c r="H188" s="15">
        <f t="shared" si="50"/>
        <v>3851</v>
      </c>
      <c r="I188" s="15">
        <f t="shared" si="61"/>
        <v>1583</v>
      </c>
      <c r="J188" s="15">
        <f>OrdersTable!B188</f>
        <v>316</v>
      </c>
      <c r="K188" s="15" t="str">
        <f t="shared" si="51"/>
        <v>Clothing and Apparel</v>
      </c>
      <c r="L188" s="15" t="str">
        <f t="shared" si="52"/>
        <v xml:space="preserve">Doctor Who: T-Shirts: 4th Doctor Costume </v>
      </c>
      <c r="M188" s="15" t="str">
        <f t="shared" si="53"/>
        <v>S</v>
      </c>
      <c r="N188" s="15">
        <f t="shared" si="54"/>
        <v>0.8</v>
      </c>
      <c r="O188" s="15" t="str">
        <f t="shared" si="55"/>
        <v>A30</v>
      </c>
      <c r="P188" s="15" t="str">
        <f t="shared" si="56"/>
        <v>Chesterton Enterprises</v>
      </c>
      <c r="Q188" s="15" t="str">
        <f t="shared" si="57"/>
        <v>41 William Russell Road</v>
      </c>
      <c r="R188" s="3">
        <f>OrdersTable!C188</f>
        <v>44575</v>
      </c>
      <c r="S188" s="15">
        <f>OrdersTable!E188</f>
        <v>9</v>
      </c>
      <c r="T188" s="15">
        <f t="shared" si="58"/>
        <v>15.99</v>
      </c>
      <c r="U188" s="15">
        <f t="shared" si="59"/>
        <v>21.94</v>
      </c>
      <c r="V188" s="15">
        <f t="shared" si="60"/>
        <v>25.9</v>
      </c>
      <c r="W188" s="15">
        <f>IF(MarkupType="Store Markup",ROUND(V188+V188*StoreMarkup,2),IF(MarkupType="Supplier Markup",V188+V188*SupplierMarkup,"Error at finding value"))</f>
        <v>40.79</v>
      </c>
      <c r="X188" s="32" t="str">
        <f t="shared" si="62"/>
        <v>0.00</v>
      </c>
      <c r="Y188" s="15">
        <f t="shared" si="63"/>
        <v>233.1</v>
      </c>
      <c r="Z188" s="15">
        <f t="shared" si="64"/>
        <v>367.11</v>
      </c>
      <c r="AA188" s="15">
        <f>IF(FreightType="Lethbridge-Stewart Freight ",ROUND(2.99+IF(N188&gt;0.75,(N188-0.75)*2.25,0)*S188,2),IF(MarkupType="Supplier Markup",V188+V188*SupplierMarkup,"Error at finding value"))</f>
        <v>4</v>
      </c>
      <c r="AB188" s="15">
        <f t="shared" si="65"/>
        <v>0</v>
      </c>
    </row>
    <row r="189" spans="1:28" x14ac:dyDescent="0.25">
      <c r="A189" s="16">
        <f>OrdersTable!A189</f>
        <v>146</v>
      </c>
      <c r="B189" s="15" t="str">
        <f t="shared" si="45"/>
        <v>Miss</v>
      </c>
      <c r="C189" s="15" t="str">
        <f t="shared" si="66"/>
        <v>Brown</v>
      </c>
      <c r="D189" s="15" t="str">
        <f t="shared" si="46"/>
        <v>Sarah Danielle</v>
      </c>
      <c r="E189" s="15" t="str">
        <f t="shared" si="47"/>
        <v>50 Brieschke Court</v>
      </c>
      <c r="F189" s="15" t="str">
        <f t="shared" si="48"/>
        <v>Bray Park</v>
      </c>
      <c r="G189" s="15" t="str">
        <f t="shared" si="49"/>
        <v>QLD</v>
      </c>
      <c r="H189" s="15">
        <f t="shared" si="50"/>
        <v>4500</v>
      </c>
      <c r="I189" s="15">
        <f t="shared" si="61"/>
        <v>139</v>
      </c>
      <c r="J189" s="15">
        <f>OrdersTable!B189</f>
        <v>707</v>
      </c>
      <c r="K189" s="15" t="str">
        <f t="shared" si="51"/>
        <v>Posters, Prints and Standees</v>
      </c>
      <c r="L189" s="15" t="str">
        <f t="shared" si="52"/>
        <v>Doctor Who: Poster: Ironside Dalek Blueprint</v>
      </c>
      <c r="M189" s="15" t="str">
        <f t="shared" si="53"/>
        <v>-</v>
      </c>
      <c r="N189" s="15">
        <f t="shared" si="54"/>
        <v>0.2</v>
      </c>
      <c r="O189" s="15" t="str">
        <f t="shared" si="55"/>
        <v>A20</v>
      </c>
      <c r="P189" s="15" t="str">
        <f t="shared" si="56"/>
        <v>Morbius Inc.</v>
      </c>
      <c r="Q189" s="15" t="str">
        <f t="shared" si="57"/>
        <v>56 Michael Spice Hwy</v>
      </c>
      <c r="R189" s="3">
        <f>OrdersTable!C189</f>
        <v>44575</v>
      </c>
      <c r="S189" s="15">
        <f>OrdersTable!E189</f>
        <v>1</v>
      </c>
      <c r="T189" s="15">
        <f t="shared" si="58"/>
        <v>3.99</v>
      </c>
      <c r="U189" s="15">
        <f t="shared" si="59"/>
        <v>5.48</v>
      </c>
      <c r="V189" s="15">
        <f t="shared" si="60"/>
        <v>6.46</v>
      </c>
      <c r="W189" s="15">
        <f>IF(MarkupType="Store Markup",ROUND(V189+V189*StoreMarkup,2),IF(MarkupType="Supplier Markup",V189+V189*SupplierMarkup,"Error at finding value"))</f>
        <v>10.17</v>
      </c>
      <c r="X189" s="32" t="str">
        <f t="shared" si="62"/>
        <v>0.00</v>
      </c>
      <c r="Y189" s="15">
        <f t="shared" si="63"/>
        <v>6.46</v>
      </c>
      <c r="Z189" s="15">
        <f t="shared" si="64"/>
        <v>10.17</v>
      </c>
      <c r="AA189" s="15">
        <f>IF(FreightType="Lethbridge-Stewart Freight ",ROUND(2.99+IF(N189&gt;0.75,(N189-0.75)*2.25,0)*S189,2),IF(MarkupType="Supplier Markup",V189+V189*SupplierMarkup,"Error at finding value"))</f>
        <v>2.99</v>
      </c>
      <c r="AB189" s="15">
        <f t="shared" si="65"/>
        <v>0</v>
      </c>
    </row>
    <row r="190" spans="1:28" x14ac:dyDescent="0.25">
      <c r="A190" s="16">
        <f>OrdersTable!A190</f>
        <v>328</v>
      </c>
      <c r="B190" s="15" t="str">
        <f t="shared" si="45"/>
        <v>Dr</v>
      </c>
      <c r="C190" s="15" t="str">
        <f t="shared" si="66"/>
        <v>Ward</v>
      </c>
      <c r="D190" s="15" t="str">
        <f t="shared" si="46"/>
        <v>Keiren Nicholas</v>
      </c>
      <c r="E190" s="15" t="str">
        <f t="shared" si="47"/>
        <v>13 Green Crescent</v>
      </c>
      <c r="F190" s="15" t="str">
        <f t="shared" si="48"/>
        <v>Breakwater</v>
      </c>
      <c r="G190" s="15" t="str">
        <f t="shared" si="49"/>
        <v>VIC</v>
      </c>
      <c r="H190" s="15">
        <f t="shared" si="50"/>
        <v>3219</v>
      </c>
      <c r="I190" s="15">
        <f t="shared" si="61"/>
        <v>1596</v>
      </c>
      <c r="J190" s="15">
        <f>OrdersTable!B190</f>
        <v>607</v>
      </c>
      <c r="K190" s="15" t="str">
        <f t="shared" si="51"/>
        <v>iPhone Skins</v>
      </c>
      <c r="L190" s="15" t="str">
        <f t="shared" si="52"/>
        <v>Doctor Who: iPhone Skin: Keep Calm I'm The Doctor</v>
      </c>
      <c r="M190" s="15" t="str">
        <f t="shared" si="53"/>
        <v>-</v>
      </c>
      <c r="N190" s="15">
        <f t="shared" si="54"/>
        <v>0.5</v>
      </c>
      <c r="O190" s="15" t="str">
        <f t="shared" si="55"/>
        <v>A40</v>
      </c>
      <c r="P190" s="15" t="str">
        <f t="shared" si="56"/>
        <v>Romana Imports</v>
      </c>
      <c r="Q190" s="15" t="str">
        <f t="shared" si="57"/>
        <v>17 Lalla Ward Road</v>
      </c>
      <c r="R190" s="3">
        <f>OrdersTable!C190</f>
        <v>44575</v>
      </c>
      <c r="S190" s="15">
        <f>OrdersTable!E190</f>
        <v>3</v>
      </c>
      <c r="T190" s="15">
        <f t="shared" si="58"/>
        <v>9.99</v>
      </c>
      <c r="U190" s="15">
        <f t="shared" si="59"/>
        <v>13.81</v>
      </c>
      <c r="V190" s="15">
        <f t="shared" si="60"/>
        <v>16.18</v>
      </c>
      <c r="W190" s="15">
        <f>IF(MarkupType="Store Markup",ROUND(V190+V190*StoreMarkup,2),IF(MarkupType="Supplier Markup",V190+V190*SupplierMarkup,"Error at finding value"))</f>
        <v>25.48</v>
      </c>
      <c r="X190" s="32" t="str">
        <f t="shared" si="62"/>
        <v>0.00</v>
      </c>
      <c r="Y190" s="15">
        <f t="shared" si="63"/>
        <v>48.54</v>
      </c>
      <c r="Z190" s="15">
        <f t="shared" si="64"/>
        <v>76.44</v>
      </c>
      <c r="AA190" s="15">
        <f>IF(FreightType="Lethbridge-Stewart Freight ",ROUND(2.99+IF(N190&gt;0.75,(N190-0.75)*2.25,0)*S190,2),IF(MarkupType="Supplier Markup",V190+V190*SupplierMarkup,"Error at finding value"))</f>
        <v>2.99</v>
      </c>
      <c r="AB190" s="15">
        <f t="shared" si="65"/>
        <v>0</v>
      </c>
    </row>
    <row r="191" spans="1:28" x14ac:dyDescent="0.25">
      <c r="A191" s="16">
        <f>OrdersTable!A191</f>
        <v>330</v>
      </c>
      <c r="B191" s="15" t="str">
        <f t="shared" si="45"/>
        <v>Mr</v>
      </c>
      <c r="C191" s="15" t="str">
        <f t="shared" si="66"/>
        <v>Liesegang</v>
      </c>
      <c r="D191" s="15" t="str">
        <f t="shared" si="46"/>
        <v>Darcey Michelle</v>
      </c>
      <c r="E191" s="15" t="str">
        <f t="shared" si="47"/>
        <v>50 McCann Drive</v>
      </c>
      <c r="F191" s="15" t="str">
        <f t="shared" si="48"/>
        <v>Binduli</v>
      </c>
      <c r="G191" s="15" t="str">
        <f t="shared" si="49"/>
        <v>WA</v>
      </c>
      <c r="H191" s="15">
        <f t="shared" si="50"/>
        <v>6430</v>
      </c>
      <c r="I191" s="15">
        <f t="shared" si="61"/>
        <v>3543</v>
      </c>
      <c r="J191" s="15">
        <f>OrdersTable!B191</f>
        <v>128</v>
      </c>
      <c r="K191" s="15" t="str">
        <f t="shared" si="51"/>
        <v>Bobbleheads</v>
      </c>
      <c r="L191" s="15" t="str">
        <f t="shared" si="52"/>
        <v>Doctor Who: Bobblehead: Davros</v>
      </c>
      <c r="M191" s="15" t="str">
        <f t="shared" si="53"/>
        <v>-</v>
      </c>
      <c r="N191" s="15">
        <f t="shared" si="54"/>
        <v>0.85</v>
      </c>
      <c r="O191" s="15" t="str">
        <f t="shared" si="55"/>
        <v>A50</v>
      </c>
      <c r="P191" s="15" t="str">
        <f t="shared" si="56"/>
        <v>Rassilon Ltd.</v>
      </c>
      <c r="Q191" s="15" t="str">
        <f t="shared" si="57"/>
        <v>82 Richard Mathews Road</v>
      </c>
      <c r="R191" s="3">
        <f>OrdersTable!C191</f>
        <v>44575</v>
      </c>
      <c r="S191" s="15">
        <f>OrdersTable!E191</f>
        <v>10</v>
      </c>
      <c r="T191" s="15">
        <f t="shared" si="58"/>
        <v>16.989999999999998</v>
      </c>
      <c r="U191" s="15">
        <f t="shared" si="59"/>
        <v>23.27</v>
      </c>
      <c r="V191" s="15">
        <f t="shared" si="60"/>
        <v>27.52</v>
      </c>
      <c r="W191" s="15">
        <f>IF(MarkupType="Store Markup",ROUND(V191+V191*StoreMarkup,2),IF(MarkupType="Supplier Markup",V191+V191*SupplierMarkup,"Error at finding value"))</f>
        <v>43.34</v>
      </c>
      <c r="X191" s="32" t="str">
        <f t="shared" si="62"/>
        <v>0.00</v>
      </c>
      <c r="Y191" s="15">
        <f t="shared" si="63"/>
        <v>275.2</v>
      </c>
      <c r="Z191" s="15">
        <f t="shared" si="64"/>
        <v>433.4</v>
      </c>
      <c r="AA191" s="15">
        <f>IF(FreightType="Lethbridge-Stewart Freight ",ROUND(2.99+IF(N191&gt;0.75,(N191-0.75)*2.25,0)*S191,2),IF(MarkupType="Supplier Markup",V191+V191*SupplierMarkup,"Error at finding value"))</f>
        <v>5.24</v>
      </c>
      <c r="AB191" s="15">
        <f t="shared" si="65"/>
        <v>0</v>
      </c>
    </row>
    <row r="192" spans="1:28" x14ac:dyDescent="0.25">
      <c r="A192" s="16">
        <f>OrdersTable!A192</f>
        <v>333</v>
      </c>
      <c r="B192" s="15" t="str">
        <f t="shared" si="45"/>
        <v>Mr</v>
      </c>
      <c r="C192" s="15" t="str">
        <f t="shared" si="66"/>
        <v>Martin</v>
      </c>
      <c r="D192" s="15" t="str">
        <f t="shared" si="46"/>
        <v>Damien Roger</v>
      </c>
      <c r="E192" s="15" t="str">
        <f t="shared" si="47"/>
        <v>23 Quennell Way</v>
      </c>
      <c r="F192" s="15" t="str">
        <f t="shared" si="48"/>
        <v>Aberfoyle</v>
      </c>
      <c r="G192" s="15" t="str">
        <f t="shared" si="49"/>
        <v>NSW</v>
      </c>
      <c r="H192" s="15">
        <f t="shared" si="50"/>
        <v>2350</v>
      </c>
      <c r="I192" s="15">
        <f t="shared" si="61"/>
        <v>363</v>
      </c>
      <c r="J192" s="15">
        <f>OrdersTable!B192</f>
        <v>696</v>
      </c>
      <c r="K192" s="15" t="str">
        <f t="shared" si="51"/>
        <v>Posters, Prints and Standees</v>
      </c>
      <c r="L192" s="15" t="str">
        <f t="shared" si="52"/>
        <v xml:space="preserve">Doctor Who: 50th Anniversary: Poster: To Victory </v>
      </c>
      <c r="M192" s="15" t="str">
        <f t="shared" si="53"/>
        <v>-</v>
      </c>
      <c r="N192" s="15">
        <f t="shared" si="54"/>
        <v>0.2</v>
      </c>
      <c r="O192" s="15" t="str">
        <f t="shared" si="55"/>
        <v>A40</v>
      </c>
      <c r="P192" s="15" t="str">
        <f t="shared" si="56"/>
        <v>Romana Imports</v>
      </c>
      <c r="Q192" s="15" t="str">
        <f t="shared" si="57"/>
        <v>17 Lalla Ward Road</v>
      </c>
      <c r="R192" s="3">
        <f>OrdersTable!C192</f>
        <v>44575</v>
      </c>
      <c r="S192" s="15">
        <f>OrdersTable!E192</f>
        <v>3</v>
      </c>
      <c r="T192" s="15">
        <f t="shared" si="58"/>
        <v>3.99</v>
      </c>
      <c r="U192" s="15">
        <f t="shared" si="59"/>
        <v>5.6</v>
      </c>
      <c r="V192" s="15">
        <f t="shared" si="60"/>
        <v>6.46</v>
      </c>
      <c r="W192" s="15">
        <f>IF(MarkupType="Store Markup",ROUND(V192+V192*StoreMarkup,2),IF(MarkupType="Supplier Markup",V192+V192*SupplierMarkup,"Error at finding value"))</f>
        <v>10.17</v>
      </c>
      <c r="X192" s="32" t="str">
        <f t="shared" si="62"/>
        <v>0.00</v>
      </c>
      <c r="Y192" s="15">
        <f t="shared" si="63"/>
        <v>19.38</v>
      </c>
      <c r="Z192" s="15">
        <f t="shared" si="64"/>
        <v>30.51</v>
      </c>
      <c r="AA192" s="15">
        <f>IF(FreightType="Lethbridge-Stewart Freight ",ROUND(2.99+IF(N192&gt;0.75,(N192-0.75)*2.25,0)*S192,2),IF(MarkupType="Supplier Markup",V192+V192*SupplierMarkup,"Error at finding value"))</f>
        <v>2.99</v>
      </c>
      <c r="AB192" s="15">
        <f t="shared" si="65"/>
        <v>0</v>
      </c>
    </row>
    <row r="193" spans="1:28" x14ac:dyDescent="0.25">
      <c r="A193" s="16">
        <f>OrdersTable!A193</f>
        <v>544</v>
      </c>
      <c r="B193" s="15" t="str">
        <f t="shared" si="45"/>
        <v>Mr</v>
      </c>
      <c r="C193" s="15" t="str">
        <f t="shared" si="66"/>
        <v>Sullivan</v>
      </c>
      <c r="D193" s="15" t="str">
        <f t="shared" si="46"/>
        <v>Lawrence Bernard</v>
      </c>
      <c r="E193" s="15" t="str">
        <f t="shared" si="47"/>
        <v>11 Haydon Boulevard</v>
      </c>
      <c r="F193" s="15" t="str">
        <f t="shared" si="48"/>
        <v>Breakwater</v>
      </c>
      <c r="G193" s="15" t="str">
        <f t="shared" si="49"/>
        <v>VIC</v>
      </c>
      <c r="H193" s="15">
        <f t="shared" si="50"/>
        <v>3219</v>
      </c>
      <c r="I193" s="15">
        <f t="shared" si="61"/>
        <v>1596</v>
      </c>
      <c r="J193" s="15">
        <f>OrdersTable!B193</f>
        <v>830</v>
      </c>
      <c r="K193" s="15" t="str">
        <f t="shared" si="51"/>
        <v>Statues and Busts</v>
      </c>
      <c r="L193" s="15" t="str">
        <f t="shared" si="52"/>
        <v>Doctor Who: Mini Bust: Weeping Angel</v>
      </c>
      <c r="M193" s="15" t="str">
        <f t="shared" si="53"/>
        <v>-</v>
      </c>
      <c r="N193" s="15">
        <f t="shared" si="54"/>
        <v>1.8</v>
      </c>
      <c r="O193" s="15" t="str">
        <f t="shared" si="55"/>
        <v>A50</v>
      </c>
      <c r="P193" s="15" t="str">
        <f t="shared" si="56"/>
        <v>Rassilon Ltd.</v>
      </c>
      <c r="Q193" s="15" t="str">
        <f t="shared" si="57"/>
        <v>82 Richard Mathews Road</v>
      </c>
      <c r="R193" s="3">
        <f>OrdersTable!C193</f>
        <v>44575</v>
      </c>
      <c r="S193" s="15">
        <f>OrdersTable!E193</f>
        <v>7</v>
      </c>
      <c r="T193" s="15">
        <f t="shared" si="58"/>
        <v>35.99</v>
      </c>
      <c r="U193" s="15">
        <f t="shared" si="59"/>
        <v>49.35</v>
      </c>
      <c r="V193" s="15">
        <f t="shared" si="60"/>
        <v>58.3</v>
      </c>
      <c r="W193" s="15">
        <f>IF(MarkupType="Store Markup",ROUND(V193+V193*StoreMarkup,2),IF(MarkupType="Supplier Markup",V193+V193*SupplierMarkup,"Error at finding value"))</f>
        <v>91.82</v>
      </c>
      <c r="X193" s="32" t="str">
        <f t="shared" si="62"/>
        <v>0.00</v>
      </c>
      <c r="Y193" s="15">
        <f t="shared" si="63"/>
        <v>408.1</v>
      </c>
      <c r="Z193" s="15">
        <f t="shared" si="64"/>
        <v>642.74</v>
      </c>
      <c r="AA193" s="15">
        <f>IF(FreightType="Lethbridge-Stewart Freight ",ROUND(2.99+IF(N193&gt;0.75,(N193-0.75)*2.25,0)*S193,2),IF(MarkupType="Supplier Markup",V193+V193*SupplierMarkup,"Error at finding value"))</f>
        <v>19.53</v>
      </c>
      <c r="AB193" s="15">
        <f t="shared" si="65"/>
        <v>0</v>
      </c>
    </row>
    <row r="194" spans="1:28" x14ac:dyDescent="0.25">
      <c r="A194" s="16">
        <f>OrdersTable!A194</f>
        <v>557</v>
      </c>
      <c r="B194" s="15" t="str">
        <f t="shared" si="45"/>
        <v>Mrs</v>
      </c>
      <c r="C194" s="15" t="str">
        <f t="shared" si="66"/>
        <v>Allen</v>
      </c>
      <c r="D194" s="15" t="str">
        <f t="shared" si="46"/>
        <v>Morgan</v>
      </c>
      <c r="E194" s="15" t="str">
        <f t="shared" si="47"/>
        <v>15 Winsor Street</v>
      </c>
      <c r="F194" s="15" t="str">
        <f t="shared" si="48"/>
        <v>Appletree Flat</v>
      </c>
      <c r="G194" s="15" t="str">
        <f t="shared" si="49"/>
        <v>NSW</v>
      </c>
      <c r="H194" s="15">
        <f t="shared" si="50"/>
        <v>2330</v>
      </c>
      <c r="I194" s="15">
        <f t="shared" si="61"/>
        <v>691</v>
      </c>
      <c r="J194" s="15">
        <f>OrdersTable!B194</f>
        <v>724</v>
      </c>
      <c r="K194" s="15" t="str">
        <f t="shared" si="51"/>
        <v>Posters, Prints and Standees</v>
      </c>
      <c r="L194" s="15" t="str">
        <f t="shared" si="52"/>
        <v>Doctor Who: Standee: The 10th Doctor</v>
      </c>
      <c r="M194" s="15" t="str">
        <f t="shared" si="53"/>
        <v>-</v>
      </c>
      <c r="N194" s="15">
        <f t="shared" si="54"/>
        <v>1.125</v>
      </c>
      <c r="O194" s="15" t="str">
        <f t="shared" si="55"/>
        <v>A50</v>
      </c>
      <c r="P194" s="15" t="str">
        <f t="shared" si="56"/>
        <v>Rassilon Ltd.</v>
      </c>
      <c r="Q194" s="15" t="str">
        <f t="shared" si="57"/>
        <v>82 Richard Mathews Road</v>
      </c>
      <c r="R194" s="3">
        <f>OrdersTable!C194</f>
        <v>44575</v>
      </c>
      <c r="S194" s="15">
        <f>OrdersTable!E194</f>
        <v>1</v>
      </c>
      <c r="T194" s="15">
        <f t="shared" si="58"/>
        <v>22.49</v>
      </c>
      <c r="U194" s="15">
        <f t="shared" si="59"/>
        <v>30.77</v>
      </c>
      <c r="V194" s="15">
        <f t="shared" si="60"/>
        <v>36.43</v>
      </c>
      <c r="W194" s="15">
        <f>IF(MarkupType="Store Markup",ROUND(V194+V194*StoreMarkup,2),IF(MarkupType="Supplier Markup",V194+V194*SupplierMarkup,"Error at finding value"))</f>
        <v>57.38</v>
      </c>
      <c r="X194" s="32" t="str">
        <f t="shared" si="62"/>
        <v>0.00</v>
      </c>
      <c r="Y194" s="15">
        <f t="shared" si="63"/>
        <v>36.43</v>
      </c>
      <c r="Z194" s="15">
        <f t="shared" si="64"/>
        <v>57.38</v>
      </c>
      <c r="AA194" s="15">
        <f>IF(FreightType="Lethbridge-Stewart Freight ",ROUND(2.99+IF(N194&gt;0.75,(N194-0.75)*2.25,0)*S194,2),IF(MarkupType="Supplier Markup",V194+V194*SupplierMarkup,"Error at finding value"))</f>
        <v>3.83</v>
      </c>
      <c r="AB194" s="15">
        <f t="shared" si="65"/>
        <v>0</v>
      </c>
    </row>
    <row r="195" spans="1:28" x14ac:dyDescent="0.25">
      <c r="A195" s="16">
        <f>OrdersTable!A195</f>
        <v>557</v>
      </c>
      <c r="B195" s="15" t="str">
        <f t="shared" si="45"/>
        <v>Mrs</v>
      </c>
      <c r="C195" s="15" t="str">
        <f t="shared" si="66"/>
        <v>Allen</v>
      </c>
      <c r="D195" s="15" t="str">
        <f t="shared" si="46"/>
        <v>Morgan</v>
      </c>
      <c r="E195" s="15" t="str">
        <f t="shared" si="47"/>
        <v>15 Winsor Street</v>
      </c>
      <c r="F195" s="15" t="str">
        <f t="shared" si="48"/>
        <v>Appletree Flat</v>
      </c>
      <c r="G195" s="15" t="str">
        <f t="shared" si="49"/>
        <v>NSW</v>
      </c>
      <c r="H195" s="15">
        <f t="shared" si="50"/>
        <v>2330</v>
      </c>
      <c r="I195" s="15">
        <f t="shared" si="61"/>
        <v>691</v>
      </c>
      <c r="J195" s="15">
        <f>OrdersTable!B195</f>
        <v>849</v>
      </c>
      <c r="K195" s="15" t="str">
        <f t="shared" si="51"/>
        <v>Statues and Busts</v>
      </c>
      <c r="L195" s="15" t="str">
        <f t="shared" si="52"/>
        <v>Doctor Who: Statue: Cyber Controller</v>
      </c>
      <c r="M195" s="15" t="str">
        <f t="shared" si="53"/>
        <v>-</v>
      </c>
      <c r="N195" s="15">
        <f t="shared" si="54"/>
        <v>5</v>
      </c>
      <c r="O195" s="15" t="str">
        <f t="shared" si="55"/>
        <v>A10</v>
      </c>
      <c r="P195" s="15" t="str">
        <f t="shared" si="56"/>
        <v>Gallifrey International</v>
      </c>
      <c r="Q195" s="15" t="str">
        <f t="shared" si="57"/>
        <v>181 Arcadia Street</v>
      </c>
      <c r="R195" s="3">
        <f>OrdersTable!C195</f>
        <v>44575</v>
      </c>
      <c r="S195" s="15">
        <f>OrdersTable!E195</f>
        <v>9</v>
      </c>
      <c r="T195" s="15">
        <f t="shared" si="58"/>
        <v>99.99</v>
      </c>
      <c r="U195" s="15">
        <f t="shared" si="59"/>
        <v>136.41</v>
      </c>
      <c r="V195" s="15">
        <f t="shared" si="60"/>
        <v>161.97999999999999</v>
      </c>
      <c r="W195" s="15">
        <f>IF(MarkupType="Store Markup",ROUND(V195+V195*StoreMarkup,2),IF(MarkupType="Supplier Markup",V195+V195*SupplierMarkup,"Error at finding value"))</f>
        <v>255.12</v>
      </c>
      <c r="X195" s="32">
        <f t="shared" si="62"/>
        <v>18.18</v>
      </c>
      <c r="Y195" s="15">
        <f t="shared" si="63"/>
        <v>1457.82</v>
      </c>
      <c r="Z195" s="15">
        <f t="shared" si="64"/>
        <v>2132.46</v>
      </c>
      <c r="AA195" s="15">
        <f>IF(FreightType="Lethbridge-Stewart Freight ",ROUND(2.99+IF(N195&gt;0.75,(N195-0.75)*2.25,0)*S195,2),IF(MarkupType="Supplier Markup",V195+V195*SupplierMarkup,"Error at finding value"))</f>
        <v>89.05</v>
      </c>
      <c r="AB195" s="15">
        <f t="shared" si="65"/>
        <v>163.62</v>
      </c>
    </row>
    <row r="196" spans="1:28" x14ac:dyDescent="0.25">
      <c r="A196" s="16">
        <f>OrdersTable!A196</f>
        <v>585</v>
      </c>
      <c r="B196" s="15" t="str">
        <f t="shared" ref="B196:B259" si="67">VLOOKUP($A196,Cust,2,0)</f>
        <v>Miss</v>
      </c>
      <c r="C196" s="15" t="str">
        <f t="shared" si="66"/>
        <v>Long</v>
      </c>
      <c r="D196" s="15" t="str">
        <f t="shared" ref="D196:D259" si="68">VLOOKUP($A196,Cust,4,0)</f>
        <v>Bellinda May</v>
      </c>
      <c r="E196" s="15" t="str">
        <f t="shared" ref="E196:E259" si="69">VLOOKUP($A196,Cust,6,0)</f>
        <v>5 Hutcheson Avenue</v>
      </c>
      <c r="F196" s="15" t="str">
        <f t="shared" ref="F196:F259" si="70">VLOOKUP($A196,Cust,7,0)</f>
        <v>Glenfern</v>
      </c>
      <c r="G196" s="15" t="str">
        <f t="shared" ref="G196:G259" si="71">VLOOKUP($A196,Cust,8,0)</f>
        <v>QLD</v>
      </c>
      <c r="H196" s="15">
        <f t="shared" ref="H196:H259" si="72">VLOOKUP($A196,Cust,9,0)</f>
        <v>4515</v>
      </c>
      <c r="I196" s="15">
        <f t="shared" si="61"/>
        <v>128</v>
      </c>
      <c r="J196" s="15">
        <f>OrdersTable!B196</f>
        <v>696</v>
      </c>
      <c r="K196" s="15" t="str">
        <f t="shared" ref="K196:K259" si="73">VLOOKUP($J196,Itms,2,0)</f>
        <v>Posters, Prints and Standees</v>
      </c>
      <c r="L196" s="15" t="str">
        <f t="shared" ref="L196:L259" si="74">VLOOKUP($J196,Itms,3,0)</f>
        <v xml:space="preserve">Doctor Who: 50th Anniversary: Poster: To Victory </v>
      </c>
      <c r="M196" s="15" t="str">
        <f t="shared" ref="M196:M259" si="75">VLOOKUP($J196,Itms,4,0)</f>
        <v>-</v>
      </c>
      <c r="N196" s="15">
        <f t="shared" ref="N196:N259" si="76">VLOOKUP($J196,Itms,5,0)</f>
        <v>0.2</v>
      </c>
      <c r="O196" s="15" t="str">
        <f t="shared" ref="O196:O259" si="77">VLOOKUP($J196,Itms,6,0)</f>
        <v>A40</v>
      </c>
      <c r="P196" s="15" t="str">
        <f t="shared" ref="P196:P259" si="78">VLOOKUP($O196,Supp,2,0)</f>
        <v>Romana Imports</v>
      </c>
      <c r="Q196" s="15" t="str">
        <f t="shared" ref="Q196:Q259" si="79">VLOOKUP($O196,Supp,3,0)</f>
        <v>17 Lalla Ward Road</v>
      </c>
      <c r="R196" s="3">
        <f>OrdersTable!C196</f>
        <v>44575</v>
      </c>
      <c r="S196" s="15">
        <f>OrdersTable!E196</f>
        <v>8</v>
      </c>
      <c r="T196" s="15">
        <f t="shared" ref="T196:T259" si="80">VLOOKUP($J196,Itms,9,0)</f>
        <v>3.99</v>
      </c>
      <c r="U196" s="15">
        <f t="shared" ref="U196:U259" si="81">VLOOKUP($J196,Itms,10,0)</f>
        <v>5.6</v>
      </c>
      <c r="V196" s="15">
        <f t="shared" ref="V196:V259" si="82">IF(ExchRateType="IR",ROUND(T196*ExchRateIR,2),IF(ExchRateType="CA",ROUND(U196*ExchRateCA,2),"Error at finding value"))</f>
        <v>6.46</v>
      </c>
      <c r="W196" s="15">
        <f>IF(MarkupType="Store Markup",ROUND(V196+V196*StoreMarkup,2),IF(MarkupType="Supplier Markup",V196+V196*SupplierMarkup,"Error at finding value"))</f>
        <v>10.17</v>
      </c>
      <c r="X196" s="32" t="str">
        <f t="shared" si="62"/>
        <v>0.00</v>
      </c>
      <c r="Y196" s="15">
        <f t="shared" si="63"/>
        <v>51.68</v>
      </c>
      <c r="Z196" s="15">
        <f t="shared" si="64"/>
        <v>81.36</v>
      </c>
      <c r="AA196" s="15">
        <f>IF(FreightType="Lethbridge-Stewart Freight ",ROUND(2.99+IF(N196&gt;0.75,(N196-0.75)*2.25,0)*S196,2),IF(MarkupType="Supplier Markup",V196+V196*SupplierMarkup,"Error at finding value"))</f>
        <v>2.99</v>
      </c>
      <c r="AB196" s="15">
        <f t="shared" si="65"/>
        <v>0</v>
      </c>
    </row>
    <row r="197" spans="1:28" x14ac:dyDescent="0.25">
      <c r="A197" s="16">
        <f>OrdersTable!A197</f>
        <v>610</v>
      </c>
      <c r="B197" s="15" t="str">
        <f t="shared" si="67"/>
        <v>Ms</v>
      </c>
      <c r="C197" s="15" t="str">
        <f t="shared" si="66"/>
        <v>Bichel</v>
      </c>
      <c r="D197" s="15" t="str">
        <f t="shared" si="68"/>
        <v>Abbey Kate</v>
      </c>
      <c r="E197" s="15" t="str">
        <f t="shared" si="69"/>
        <v>32 Rambau Avenue</v>
      </c>
      <c r="F197" s="15" t="str">
        <f t="shared" si="70"/>
        <v>Bamboo</v>
      </c>
      <c r="G197" s="15" t="str">
        <f t="shared" si="71"/>
        <v>QLD</v>
      </c>
      <c r="H197" s="15">
        <f t="shared" si="72"/>
        <v>4873</v>
      </c>
      <c r="I197" s="15">
        <f t="shared" ref="I197:I260" si="83">VLOOKUP($A197,Cust,10,0)</f>
        <v>1741</v>
      </c>
      <c r="J197" s="15">
        <f>OrdersTable!B197</f>
        <v>213</v>
      </c>
      <c r="K197" s="15" t="str">
        <f t="shared" si="73"/>
        <v>Clothing and Apparel</v>
      </c>
      <c r="L197" s="15" t="str">
        <f t="shared" si="74"/>
        <v>Doctor Who: Fez and Bow Tie</v>
      </c>
      <c r="M197" s="15" t="str">
        <f t="shared" si="75"/>
        <v>-</v>
      </c>
      <c r="N197" s="15">
        <f t="shared" si="76"/>
        <v>0.97499999999999998</v>
      </c>
      <c r="O197" s="15" t="str">
        <f t="shared" si="77"/>
        <v>A50</v>
      </c>
      <c r="P197" s="15" t="str">
        <f t="shared" si="78"/>
        <v>Rassilon Ltd.</v>
      </c>
      <c r="Q197" s="15" t="str">
        <f t="shared" si="79"/>
        <v>82 Richard Mathews Road</v>
      </c>
      <c r="R197" s="3">
        <f>OrdersTable!C197</f>
        <v>44575</v>
      </c>
      <c r="S197" s="15">
        <f>OrdersTable!E197</f>
        <v>8</v>
      </c>
      <c r="T197" s="15">
        <f t="shared" si="80"/>
        <v>19.5</v>
      </c>
      <c r="U197" s="15">
        <f t="shared" si="81"/>
        <v>26.88</v>
      </c>
      <c r="V197" s="15">
        <f t="shared" si="82"/>
        <v>31.59</v>
      </c>
      <c r="W197" s="15">
        <f>IF(MarkupType="Store Markup",ROUND(V197+V197*StoreMarkup,2),IF(MarkupType="Supplier Markup",V197+V197*SupplierMarkup,"Error at finding value"))</f>
        <v>49.75</v>
      </c>
      <c r="X197" s="32" t="str">
        <f t="shared" ref="X197:X260" si="84">IF(AND(W197&gt;100,S197&gt;=3),ROUND(0.07125*W197,2),"0.00")</f>
        <v>0.00</v>
      </c>
      <c r="Y197" s="15">
        <f t="shared" ref="Y197:Y260" si="85">ROUND(V197*S197,2)</f>
        <v>252.72</v>
      </c>
      <c r="Z197" s="15">
        <f t="shared" ref="Z197:Z260" si="86">ROUND((W197-X197)*S197,2)</f>
        <v>398</v>
      </c>
      <c r="AA197" s="15">
        <f>IF(FreightType="Lethbridge-Stewart Freight ",ROUND(2.99+IF(N197&gt;0.75,(N197-0.75)*2.25,0)*S197,2),IF(MarkupType="Supplier Markup",V197+V197*SupplierMarkup,"Error at finding value"))</f>
        <v>7.04</v>
      </c>
      <c r="AB197" s="15">
        <f t="shared" ref="AB197:AB260" si="87">ROUND(X197*S197,2)</f>
        <v>0</v>
      </c>
    </row>
    <row r="198" spans="1:28" x14ac:dyDescent="0.25">
      <c r="A198" s="16">
        <f>OrdersTable!A198</f>
        <v>750</v>
      </c>
      <c r="B198" s="15" t="str">
        <f t="shared" si="67"/>
        <v>Ms</v>
      </c>
      <c r="C198" s="15" t="str">
        <f t="shared" si="66"/>
        <v>Talbot</v>
      </c>
      <c r="D198" s="15" t="str">
        <f t="shared" si="68"/>
        <v>Carlie Wenderly</v>
      </c>
      <c r="E198" s="15" t="str">
        <f t="shared" si="69"/>
        <v>31 Somerville Way</v>
      </c>
      <c r="F198" s="15" t="str">
        <f t="shared" si="70"/>
        <v>Boston</v>
      </c>
      <c r="G198" s="15" t="str">
        <f t="shared" si="71"/>
        <v>SA</v>
      </c>
      <c r="H198" s="15">
        <f t="shared" si="72"/>
        <v>5607</v>
      </c>
      <c r="I198" s="15">
        <f t="shared" si="83"/>
        <v>2076</v>
      </c>
      <c r="J198" s="15">
        <f>OrdersTable!B198</f>
        <v>810</v>
      </c>
      <c r="K198" s="15" t="str">
        <f t="shared" si="73"/>
        <v>Statues and Busts</v>
      </c>
      <c r="L198" s="15" t="str">
        <f t="shared" si="74"/>
        <v>Doctor Who: Masterpiece Collection Maxi Bust: Amy Pond</v>
      </c>
      <c r="M198" s="15" t="str">
        <f t="shared" si="75"/>
        <v>-</v>
      </c>
      <c r="N198" s="15">
        <f t="shared" si="76"/>
        <v>2.5</v>
      </c>
      <c r="O198" s="15" t="str">
        <f t="shared" si="77"/>
        <v>A50</v>
      </c>
      <c r="P198" s="15" t="str">
        <f t="shared" si="78"/>
        <v>Rassilon Ltd.</v>
      </c>
      <c r="Q198" s="15" t="str">
        <f t="shared" si="79"/>
        <v>82 Richard Mathews Road</v>
      </c>
      <c r="R198" s="3">
        <f>OrdersTable!C198</f>
        <v>44575</v>
      </c>
      <c r="S198" s="15">
        <f>OrdersTable!E198</f>
        <v>6</v>
      </c>
      <c r="T198" s="15">
        <f t="shared" si="80"/>
        <v>49.99</v>
      </c>
      <c r="U198" s="15">
        <f t="shared" si="81"/>
        <v>68.260000000000005</v>
      </c>
      <c r="V198" s="15">
        <f t="shared" si="82"/>
        <v>80.98</v>
      </c>
      <c r="W198" s="15">
        <f>IF(MarkupType="Store Markup",ROUND(V198+V198*StoreMarkup,2),IF(MarkupType="Supplier Markup",V198+V198*SupplierMarkup,"Error at finding value"))</f>
        <v>127.54</v>
      </c>
      <c r="X198" s="32">
        <f t="shared" si="84"/>
        <v>9.09</v>
      </c>
      <c r="Y198" s="15">
        <f t="shared" si="85"/>
        <v>485.88</v>
      </c>
      <c r="Z198" s="15">
        <f t="shared" si="86"/>
        <v>710.7</v>
      </c>
      <c r="AA198" s="15">
        <f>IF(FreightType="Lethbridge-Stewart Freight ",ROUND(2.99+IF(N198&gt;0.75,(N198-0.75)*2.25,0)*S198,2),IF(MarkupType="Supplier Markup",V198+V198*SupplierMarkup,"Error at finding value"))</f>
        <v>26.62</v>
      </c>
      <c r="AB198" s="15">
        <f t="shared" si="87"/>
        <v>54.54</v>
      </c>
    </row>
    <row r="199" spans="1:28" x14ac:dyDescent="0.25">
      <c r="A199" s="16">
        <f>OrdersTable!A199</f>
        <v>42</v>
      </c>
      <c r="B199" s="15" t="str">
        <f t="shared" si="67"/>
        <v>Mr</v>
      </c>
      <c r="C199" s="15" t="str">
        <f t="shared" si="66"/>
        <v>Ballantyne</v>
      </c>
      <c r="D199" s="15" t="str">
        <f t="shared" si="68"/>
        <v>Barry John</v>
      </c>
      <c r="E199" s="15" t="str">
        <f t="shared" si="69"/>
        <v>14 Bachmann Drive</v>
      </c>
      <c r="F199" s="15" t="str">
        <f t="shared" si="70"/>
        <v>Alleena</v>
      </c>
      <c r="G199" s="15" t="str">
        <f t="shared" si="71"/>
        <v>NSW</v>
      </c>
      <c r="H199" s="15">
        <f t="shared" si="72"/>
        <v>2671</v>
      </c>
      <c r="I199" s="15">
        <f t="shared" si="83"/>
        <v>988</v>
      </c>
      <c r="J199" s="15">
        <f>OrdersTable!B199</f>
        <v>853</v>
      </c>
      <c r="K199" s="15" t="str">
        <f t="shared" si="73"/>
        <v>Statues and Busts</v>
      </c>
      <c r="L199" s="15" t="str">
        <f t="shared" si="74"/>
        <v>Doctor Who: Statue: The Master And Auton</v>
      </c>
      <c r="M199" s="15" t="str">
        <f t="shared" si="75"/>
        <v>-</v>
      </c>
      <c r="N199" s="15">
        <f t="shared" si="76"/>
        <v>3.5</v>
      </c>
      <c r="O199" s="15" t="str">
        <f t="shared" si="77"/>
        <v>A50</v>
      </c>
      <c r="P199" s="15" t="str">
        <f t="shared" si="78"/>
        <v>Rassilon Ltd.</v>
      </c>
      <c r="Q199" s="15" t="str">
        <f t="shared" si="79"/>
        <v>82 Richard Mathews Road</v>
      </c>
      <c r="R199" s="3">
        <f>OrdersTable!C199</f>
        <v>44576</v>
      </c>
      <c r="S199" s="15">
        <f>OrdersTable!E199</f>
        <v>1</v>
      </c>
      <c r="T199" s="15">
        <f t="shared" si="80"/>
        <v>69.989999999999995</v>
      </c>
      <c r="U199" s="15">
        <f t="shared" si="81"/>
        <v>95.51</v>
      </c>
      <c r="V199" s="15">
        <f t="shared" si="82"/>
        <v>113.38</v>
      </c>
      <c r="W199" s="15">
        <f>IF(MarkupType="Store Markup",ROUND(V199+V199*StoreMarkup,2),IF(MarkupType="Supplier Markup",V199+V199*SupplierMarkup,"Error at finding value"))</f>
        <v>178.57</v>
      </c>
      <c r="X199" s="32" t="str">
        <f t="shared" si="84"/>
        <v>0.00</v>
      </c>
      <c r="Y199" s="15">
        <f t="shared" si="85"/>
        <v>113.38</v>
      </c>
      <c r="Z199" s="15">
        <f t="shared" si="86"/>
        <v>178.57</v>
      </c>
      <c r="AA199" s="15">
        <f>IF(FreightType="Lethbridge-Stewart Freight ",ROUND(2.99+IF(N199&gt;0.75,(N199-0.75)*2.25,0)*S199,2),IF(MarkupType="Supplier Markup",V199+V199*SupplierMarkup,"Error at finding value"))</f>
        <v>9.18</v>
      </c>
      <c r="AB199" s="15">
        <f t="shared" si="87"/>
        <v>0</v>
      </c>
    </row>
    <row r="200" spans="1:28" x14ac:dyDescent="0.25">
      <c r="A200" s="16">
        <f>OrdersTable!A200</f>
        <v>146</v>
      </c>
      <c r="B200" s="15" t="str">
        <f t="shared" si="67"/>
        <v>Miss</v>
      </c>
      <c r="C200" s="15" t="str">
        <f t="shared" si="66"/>
        <v>Brown</v>
      </c>
      <c r="D200" s="15" t="str">
        <f t="shared" si="68"/>
        <v>Sarah Danielle</v>
      </c>
      <c r="E200" s="15" t="str">
        <f t="shared" si="69"/>
        <v>50 Brieschke Court</v>
      </c>
      <c r="F200" s="15" t="str">
        <f t="shared" si="70"/>
        <v>Bray Park</v>
      </c>
      <c r="G200" s="15" t="str">
        <f t="shared" si="71"/>
        <v>QLD</v>
      </c>
      <c r="H200" s="15">
        <f t="shared" si="72"/>
        <v>4500</v>
      </c>
      <c r="I200" s="15">
        <f t="shared" si="83"/>
        <v>139</v>
      </c>
      <c r="J200" s="15">
        <f>OrdersTable!B200</f>
        <v>817</v>
      </c>
      <c r="K200" s="15" t="str">
        <f t="shared" si="73"/>
        <v>Statues and Busts</v>
      </c>
      <c r="L200" s="15" t="str">
        <f t="shared" si="74"/>
        <v>Doctor Who: Masterpiece Collection Maxi Bust: Torchwood Captain Jack Harkness</v>
      </c>
      <c r="M200" s="15" t="str">
        <f t="shared" si="75"/>
        <v>-</v>
      </c>
      <c r="N200" s="15">
        <f t="shared" si="76"/>
        <v>2.5</v>
      </c>
      <c r="O200" s="15" t="str">
        <f t="shared" si="77"/>
        <v>A10</v>
      </c>
      <c r="P200" s="15" t="str">
        <f t="shared" si="78"/>
        <v>Gallifrey International</v>
      </c>
      <c r="Q200" s="15" t="str">
        <f t="shared" si="79"/>
        <v>181 Arcadia Street</v>
      </c>
      <c r="R200" s="3">
        <f>OrdersTable!C200</f>
        <v>44576</v>
      </c>
      <c r="S200" s="15">
        <f>OrdersTable!E200</f>
        <v>7</v>
      </c>
      <c r="T200" s="15">
        <f t="shared" si="80"/>
        <v>49.99</v>
      </c>
      <c r="U200" s="15">
        <f t="shared" si="81"/>
        <v>68.44</v>
      </c>
      <c r="V200" s="15">
        <f t="shared" si="82"/>
        <v>80.98</v>
      </c>
      <c r="W200" s="15">
        <f>IF(MarkupType="Store Markup",ROUND(V200+V200*StoreMarkup,2),IF(MarkupType="Supplier Markup",V200+V200*SupplierMarkup,"Error at finding value"))</f>
        <v>127.54</v>
      </c>
      <c r="X200" s="32">
        <f t="shared" si="84"/>
        <v>9.09</v>
      </c>
      <c r="Y200" s="15">
        <f t="shared" si="85"/>
        <v>566.86</v>
      </c>
      <c r="Z200" s="15">
        <f t="shared" si="86"/>
        <v>829.15</v>
      </c>
      <c r="AA200" s="15">
        <f>IF(FreightType="Lethbridge-Stewart Freight ",ROUND(2.99+IF(N200&gt;0.75,(N200-0.75)*2.25,0)*S200,2),IF(MarkupType="Supplier Markup",V200+V200*SupplierMarkup,"Error at finding value"))</f>
        <v>30.55</v>
      </c>
      <c r="AB200" s="15">
        <f t="shared" si="87"/>
        <v>63.63</v>
      </c>
    </row>
    <row r="201" spans="1:28" x14ac:dyDescent="0.25">
      <c r="A201" s="16">
        <f>OrdersTable!A201</f>
        <v>282</v>
      </c>
      <c r="B201" s="15" t="str">
        <f t="shared" si="67"/>
        <v>Dr</v>
      </c>
      <c r="C201" s="15" t="str">
        <f t="shared" si="66"/>
        <v>Johnson</v>
      </c>
      <c r="D201" s="15" t="str">
        <f t="shared" si="68"/>
        <v>Samantha Emily Louise</v>
      </c>
      <c r="E201" s="15" t="str">
        <f t="shared" si="69"/>
        <v>2 Wiggan Avenue</v>
      </c>
      <c r="F201" s="15" t="str">
        <f t="shared" si="70"/>
        <v>Boston</v>
      </c>
      <c r="G201" s="15" t="str">
        <f t="shared" si="71"/>
        <v>SA</v>
      </c>
      <c r="H201" s="15">
        <f t="shared" si="72"/>
        <v>5607</v>
      </c>
      <c r="I201" s="15">
        <f t="shared" si="83"/>
        <v>2076</v>
      </c>
      <c r="J201" s="15">
        <f>OrdersTable!B201</f>
        <v>740</v>
      </c>
      <c r="K201" s="15" t="str">
        <f t="shared" si="73"/>
        <v>Props and Replicas</v>
      </c>
      <c r="L201" s="15" t="str">
        <f t="shared" si="74"/>
        <v>Doctor Who: River Song Squareness Blaster</v>
      </c>
      <c r="M201" s="15" t="str">
        <f t="shared" si="75"/>
        <v>-</v>
      </c>
      <c r="N201" s="15">
        <f t="shared" si="76"/>
        <v>14.8</v>
      </c>
      <c r="O201" s="15" t="str">
        <f t="shared" si="77"/>
        <v>A40</v>
      </c>
      <c r="P201" s="15" t="str">
        <f t="shared" si="78"/>
        <v>Romana Imports</v>
      </c>
      <c r="Q201" s="15" t="str">
        <f t="shared" si="79"/>
        <v>17 Lalla Ward Road</v>
      </c>
      <c r="R201" s="3">
        <f>OrdersTable!C201</f>
        <v>44576</v>
      </c>
      <c r="S201" s="15">
        <f>OrdersTable!E201</f>
        <v>6</v>
      </c>
      <c r="T201" s="15">
        <f t="shared" si="80"/>
        <v>295.99</v>
      </c>
      <c r="U201" s="15">
        <f t="shared" si="81"/>
        <v>403.84</v>
      </c>
      <c r="V201" s="15">
        <f t="shared" si="82"/>
        <v>479.5</v>
      </c>
      <c r="W201" s="15">
        <f>IF(MarkupType="Store Markup",ROUND(V201+V201*StoreMarkup,2),IF(MarkupType="Supplier Markup",V201+V201*SupplierMarkup,"Error at finding value"))</f>
        <v>755.21</v>
      </c>
      <c r="X201" s="32">
        <f t="shared" si="84"/>
        <v>53.81</v>
      </c>
      <c r="Y201" s="15">
        <f t="shared" si="85"/>
        <v>2877</v>
      </c>
      <c r="Z201" s="15">
        <f t="shared" si="86"/>
        <v>4208.3999999999996</v>
      </c>
      <c r="AA201" s="15">
        <f>IF(FreightType="Lethbridge-Stewart Freight ",ROUND(2.99+IF(N201&gt;0.75,(N201-0.75)*2.25,0)*S201,2),IF(MarkupType="Supplier Markup",V201+V201*SupplierMarkup,"Error at finding value"))</f>
        <v>192.67</v>
      </c>
      <c r="AB201" s="15">
        <f t="shared" si="87"/>
        <v>322.86</v>
      </c>
    </row>
    <row r="202" spans="1:28" x14ac:dyDescent="0.25">
      <c r="A202" s="16">
        <f>OrdersTable!A202</f>
        <v>323</v>
      </c>
      <c r="B202" s="15" t="str">
        <f t="shared" si="67"/>
        <v>Dr</v>
      </c>
      <c r="C202" s="15" t="str">
        <f t="shared" si="66"/>
        <v>King</v>
      </c>
      <c r="D202" s="15" t="str">
        <f t="shared" si="68"/>
        <v>Leith</v>
      </c>
      <c r="E202" s="15" t="str">
        <f t="shared" si="69"/>
        <v>25 Carbone Court</v>
      </c>
      <c r="F202" s="15" t="str">
        <f t="shared" si="70"/>
        <v>Nayook</v>
      </c>
      <c r="G202" s="15" t="str">
        <f t="shared" si="71"/>
        <v>VIC</v>
      </c>
      <c r="H202" s="15">
        <f t="shared" si="72"/>
        <v>3832</v>
      </c>
      <c r="I202" s="15">
        <f t="shared" si="83"/>
        <v>1552</v>
      </c>
      <c r="J202" s="15">
        <f>OrdersTable!B202</f>
        <v>128</v>
      </c>
      <c r="K202" s="15" t="str">
        <f t="shared" si="73"/>
        <v>Bobbleheads</v>
      </c>
      <c r="L202" s="15" t="str">
        <f t="shared" si="74"/>
        <v>Doctor Who: Bobblehead: Davros</v>
      </c>
      <c r="M202" s="15" t="str">
        <f t="shared" si="75"/>
        <v>-</v>
      </c>
      <c r="N202" s="15">
        <f t="shared" si="76"/>
        <v>0.85</v>
      </c>
      <c r="O202" s="15" t="str">
        <f t="shared" si="77"/>
        <v>A50</v>
      </c>
      <c r="P202" s="15" t="str">
        <f t="shared" si="78"/>
        <v>Rassilon Ltd.</v>
      </c>
      <c r="Q202" s="15" t="str">
        <f t="shared" si="79"/>
        <v>82 Richard Mathews Road</v>
      </c>
      <c r="R202" s="3">
        <f>OrdersTable!C202</f>
        <v>44576</v>
      </c>
      <c r="S202" s="15">
        <f>OrdersTable!E202</f>
        <v>9</v>
      </c>
      <c r="T202" s="15">
        <f t="shared" si="80"/>
        <v>16.989999999999998</v>
      </c>
      <c r="U202" s="15">
        <f t="shared" si="81"/>
        <v>23.27</v>
      </c>
      <c r="V202" s="15">
        <f t="shared" si="82"/>
        <v>27.52</v>
      </c>
      <c r="W202" s="15">
        <f>IF(MarkupType="Store Markup",ROUND(V202+V202*StoreMarkup,2),IF(MarkupType="Supplier Markup",V202+V202*SupplierMarkup,"Error at finding value"))</f>
        <v>43.34</v>
      </c>
      <c r="X202" s="32" t="str">
        <f t="shared" si="84"/>
        <v>0.00</v>
      </c>
      <c r="Y202" s="15">
        <f t="shared" si="85"/>
        <v>247.68</v>
      </c>
      <c r="Z202" s="15">
        <f t="shared" si="86"/>
        <v>390.06</v>
      </c>
      <c r="AA202" s="15">
        <f>IF(FreightType="Lethbridge-Stewart Freight ",ROUND(2.99+IF(N202&gt;0.75,(N202-0.75)*2.25,0)*S202,2),IF(MarkupType="Supplier Markup",V202+V202*SupplierMarkup,"Error at finding value"))</f>
        <v>5.0199999999999996</v>
      </c>
      <c r="AB202" s="15">
        <f t="shared" si="87"/>
        <v>0</v>
      </c>
    </row>
    <row r="203" spans="1:28" x14ac:dyDescent="0.25">
      <c r="A203" s="16">
        <f>OrdersTable!A203</f>
        <v>323</v>
      </c>
      <c r="B203" s="15" t="str">
        <f t="shared" si="67"/>
        <v>Dr</v>
      </c>
      <c r="C203" s="15" t="str">
        <f t="shared" ref="C203:C266" si="88">VLOOKUP($A203,Cust,3,0)</f>
        <v>King</v>
      </c>
      <c r="D203" s="15" t="str">
        <f t="shared" si="68"/>
        <v>Leith</v>
      </c>
      <c r="E203" s="15" t="str">
        <f t="shared" si="69"/>
        <v>25 Carbone Court</v>
      </c>
      <c r="F203" s="15" t="str">
        <f t="shared" si="70"/>
        <v>Nayook</v>
      </c>
      <c r="G203" s="15" t="str">
        <f t="shared" si="71"/>
        <v>VIC</v>
      </c>
      <c r="H203" s="15">
        <f t="shared" si="72"/>
        <v>3832</v>
      </c>
      <c r="I203" s="15">
        <f t="shared" si="83"/>
        <v>1552</v>
      </c>
      <c r="J203" s="15">
        <f>OrdersTable!B203</f>
        <v>341</v>
      </c>
      <c r="K203" s="15" t="str">
        <f t="shared" si="73"/>
        <v>Clothing and Apparel</v>
      </c>
      <c r="L203" s="15" t="str">
        <f t="shared" si="74"/>
        <v xml:space="preserve">Doctor Who: T-Shirts: 4th Doctor Costume </v>
      </c>
      <c r="M203" s="15" t="str">
        <f t="shared" si="75"/>
        <v>XL</v>
      </c>
      <c r="N203" s="15">
        <f t="shared" si="76"/>
        <v>0.8</v>
      </c>
      <c r="O203" s="15" t="str">
        <f t="shared" si="77"/>
        <v>A20</v>
      </c>
      <c r="P203" s="15" t="str">
        <f t="shared" si="78"/>
        <v>Morbius Inc.</v>
      </c>
      <c r="Q203" s="15" t="str">
        <f t="shared" si="79"/>
        <v>56 Michael Spice Hwy</v>
      </c>
      <c r="R203" s="3">
        <f>OrdersTable!C203</f>
        <v>44576</v>
      </c>
      <c r="S203" s="15">
        <f>OrdersTable!E203</f>
        <v>1</v>
      </c>
      <c r="T203" s="15">
        <f t="shared" si="80"/>
        <v>15.99</v>
      </c>
      <c r="U203" s="15">
        <f t="shared" si="81"/>
        <v>22.05</v>
      </c>
      <c r="V203" s="15">
        <f t="shared" si="82"/>
        <v>25.9</v>
      </c>
      <c r="W203" s="15">
        <f>IF(MarkupType="Store Markup",ROUND(V203+V203*StoreMarkup,2),IF(MarkupType="Supplier Markup",V203+V203*SupplierMarkup,"Error at finding value"))</f>
        <v>40.79</v>
      </c>
      <c r="X203" s="32" t="str">
        <f t="shared" si="84"/>
        <v>0.00</v>
      </c>
      <c r="Y203" s="15">
        <f t="shared" si="85"/>
        <v>25.9</v>
      </c>
      <c r="Z203" s="15">
        <f t="shared" si="86"/>
        <v>40.79</v>
      </c>
      <c r="AA203" s="15">
        <f>IF(FreightType="Lethbridge-Stewart Freight ",ROUND(2.99+IF(N203&gt;0.75,(N203-0.75)*2.25,0)*S203,2),IF(MarkupType="Supplier Markup",V203+V203*SupplierMarkup,"Error at finding value"))</f>
        <v>3.1</v>
      </c>
      <c r="AB203" s="15">
        <f t="shared" si="87"/>
        <v>0</v>
      </c>
    </row>
    <row r="204" spans="1:28" x14ac:dyDescent="0.25">
      <c r="A204" s="16">
        <f>OrdersTable!A204</f>
        <v>330</v>
      </c>
      <c r="B204" s="15" t="str">
        <f t="shared" si="67"/>
        <v>Mr</v>
      </c>
      <c r="C204" s="15" t="str">
        <f t="shared" si="88"/>
        <v>Liesegang</v>
      </c>
      <c r="D204" s="15" t="str">
        <f t="shared" si="68"/>
        <v>Darcey Michelle</v>
      </c>
      <c r="E204" s="15" t="str">
        <f t="shared" si="69"/>
        <v>50 McCann Drive</v>
      </c>
      <c r="F204" s="15" t="str">
        <f t="shared" si="70"/>
        <v>Binduli</v>
      </c>
      <c r="G204" s="15" t="str">
        <f t="shared" si="71"/>
        <v>WA</v>
      </c>
      <c r="H204" s="15">
        <f t="shared" si="72"/>
        <v>6430</v>
      </c>
      <c r="I204" s="15">
        <f t="shared" si="83"/>
        <v>3543</v>
      </c>
      <c r="J204" s="15">
        <f>OrdersTable!B204</f>
        <v>376</v>
      </c>
      <c r="K204" s="15" t="str">
        <f t="shared" si="73"/>
        <v>Clothing and Apparel</v>
      </c>
      <c r="L204" s="15" t="str">
        <f t="shared" si="74"/>
        <v xml:space="preserve">Doctor Who: T-Shirts: 7th Doctor Costume </v>
      </c>
      <c r="M204" s="15" t="str">
        <f t="shared" si="75"/>
        <v>S</v>
      </c>
      <c r="N204" s="15">
        <f t="shared" si="76"/>
        <v>0.8</v>
      </c>
      <c r="O204" s="15" t="str">
        <f t="shared" si="77"/>
        <v>A10</v>
      </c>
      <c r="P204" s="15" t="str">
        <f t="shared" si="78"/>
        <v>Gallifrey International</v>
      </c>
      <c r="Q204" s="15" t="str">
        <f t="shared" si="79"/>
        <v>181 Arcadia Street</v>
      </c>
      <c r="R204" s="3">
        <f>OrdersTable!C204</f>
        <v>44576</v>
      </c>
      <c r="S204" s="15">
        <f>OrdersTable!E204</f>
        <v>1</v>
      </c>
      <c r="T204" s="15">
        <f t="shared" si="80"/>
        <v>15.99</v>
      </c>
      <c r="U204" s="15">
        <f t="shared" si="81"/>
        <v>21.83</v>
      </c>
      <c r="V204" s="15">
        <f t="shared" si="82"/>
        <v>25.9</v>
      </c>
      <c r="W204" s="15">
        <f>IF(MarkupType="Store Markup",ROUND(V204+V204*StoreMarkup,2),IF(MarkupType="Supplier Markup",V204+V204*SupplierMarkup,"Error at finding value"))</f>
        <v>40.79</v>
      </c>
      <c r="X204" s="32" t="str">
        <f t="shared" si="84"/>
        <v>0.00</v>
      </c>
      <c r="Y204" s="15">
        <f t="shared" si="85"/>
        <v>25.9</v>
      </c>
      <c r="Z204" s="15">
        <f t="shared" si="86"/>
        <v>40.79</v>
      </c>
      <c r="AA204" s="15">
        <f>IF(FreightType="Lethbridge-Stewart Freight ",ROUND(2.99+IF(N204&gt;0.75,(N204-0.75)*2.25,0)*S204,2),IF(MarkupType="Supplier Markup",V204+V204*SupplierMarkup,"Error at finding value"))</f>
        <v>3.1</v>
      </c>
      <c r="AB204" s="15">
        <f t="shared" si="87"/>
        <v>0</v>
      </c>
    </row>
    <row r="205" spans="1:28" x14ac:dyDescent="0.25">
      <c r="A205" s="16">
        <f>OrdersTable!A205</f>
        <v>491</v>
      </c>
      <c r="B205" s="15" t="str">
        <f t="shared" si="67"/>
        <v>Miss</v>
      </c>
      <c r="C205" s="15" t="str">
        <f t="shared" si="88"/>
        <v>Winks</v>
      </c>
      <c r="D205" s="15" t="str">
        <f t="shared" si="68"/>
        <v>Lori-Ann</v>
      </c>
      <c r="E205" s="15" t="str">
        <f t="shared" si="69"/>
        <v>40 Lyne Street</v>
      </c>
      <c r="F205" s="15" t="str">
        <f t="shared" si="70"/>
        <v>Bray Park</v>
      </c>
      <c r="G205" s="15" t="str">
        <f t="shared" si="71"/>
        <v>QLD</v>
      </c>
      <c r="H205" s="15">
        <f t="shared" si="72"/>
        <v>4500</v>
      </c>
      <c r="I205" s="15">
        <f t="shared" si="83"/>
        <v>139</v>
      </c>
      <c r="J205" s="15">
        <f>OrdersTable!B205</f>
        <v>583</v>
      </c>
      <c r="K205" s="15" t="str">
        <f t="shared" si="73"/>
        <v>iPhone Skins</v>
      </c>
      <c r="L205" s="15" t="str">
        <f t="shared" si="74"/>
        <v>Doctor Who: iPhone Skin: Cyberman Delete</v>
      </c>
      <c r="M205" s="15" t="str">
        <f t="shared" si="75"/>
        <v>-</v>
      </c>
      <c r="N205" s="15">
        <f t="shared" si="76"/>
        <v>0.3</v>
      </c>
      <c r="O205" s="15" t="str">
        <f t="shared" si="77"/>
        <v>A50</v>
      </c>
      <c r="P205" s="15" t="str">
        <f t="shared" si="78"/>
        <v>Rassilon Ltd.</v>
      </c>
      <c r="Q205" s="15" t="str">
        <f t="shared" si="79"/>
        <v>82 Richard Mathews Road</v>
      </c>
      <c r="R205" s="3">
        <f>OrdersTable!C205</f>
        <v>44576</v>
      </c>
      <c r="S205" s="15">
        <f>OrdersTable!E205</f>
        <v>8</v>
      </c>
      <c r="T205" s="15">
        <f t="shared" si="80"/>
        <v>5.99</v>
      </c>
      <c r="U205" s="15">
        <f t="shared" si="81"/>
        <v>8.23</v>
      </c>
      <c r="V205" s="15">
        <f t="shared" si="82"/>
        <v>9.6999999999999993</v>
      </c>
      <c r="W205" s="15">
        <f>IF(MarkupType="Store Markup",ROUND(V205+V205*StoreMarkup,2),IF(MarkupType="Supplier Markup",V205+V205*SupplierMarkup,"Error at finding value"))</f>
        <v>15.28</v>
      </c>
      <c r="X205" s="32" t="str">
        <f t="shared" si="84"/>
        <v>0.00</v>
      </c>
      <c r="Y205" s="15">
        <f t="shared" si="85"/>
        <v>77.599999999999994</v>
      </c>
      <c r="Z205" s="15">
        <f t="shared" si="86"/>
        <v>122.24</v>
      </c>
      <c r="AA205" s="15">
        <f>IF(FreightType="Lethbridge-Stewart Freight ",ROUND(2.99+IF(N205&gt;0.75,(N205-0.75)*2.25,0)*S205,2),IF(MarkupType="Supplier Markup",V205+V205*SupplierMarkup,"Error at finding value"))</f>
        <v>2.99</v>
      </c>
      <c r="AB205" s="15">
        <f t="shared" si="87"/>
        <v>0</v>
      </c>
    </row>
    <row r="206" spans="1:28" x14ac:dyDescent="0.25">
      <c r="A206" s="16">
        <f>OrdersTable!A206</f>
        <v>544</v>
      </c>
      <c r="B206" s="15" t="str">
        <f t="shared" si="67"/>
        <v>Mr</v>
      </c>
      <c r="C206" s="15" t="str">
        <f t="shared" si="88"/>
        <v>Sullivan</v>
      </c>
      <c r="D206" s="15" t="str">
        <f t="shared" si="68"/>
        <v>Lawrence Bernard</v>
      </c>
      <c r="E206" s="15" t="str">
        <f t="shared" si="69"/>
        <v>11 Haydon Boulevard</v>
      </c>
      <c r="F206" s="15" t="str">
        <f t="shared" si="70"/>
        <v>Breakwater</v>
      </c>
      <c r="G206" s="15" t="str">
        <f t="shared" si="71"/>
        <v>VIC</v>
      </c>
      <c r="H206" s="15">
        <f t="shared" si="72"/>
        <v>3219</v>
      </c>
      <c r="I206" s="15">
        <f t="shared" si="83"/>
        <v>1596</v>
      </c>
      <c r="J206" s="15">
        <f>OrdersTable!B206</f>
        <v>316</v>
      </c>
      <c r="K206" s="15" t="str">
        <f t="shared" si="73"/>
        <v>Clothing and Apparel</v>
      </c>
      <c r="L206" s="15" t="str">
        <f t="shared" si="74"/>
        <v xml:space="preserve">Doctor Who: T-Shirts: 4th Doctor Costume </v>
      </c>
      <c r="M206" s="15" t="str">
        <f t="shared" si="75"/>
        <v>S</v>
      </c>
      <c r="N206" s="15">
        <f t="shared" si="76"/>
        <v>0.8</v>
      </c>
      <c r="O206" s="15" t="str">
        <f t="shared" si="77"/>
        <v>A30</v>
      </c>
      <c r="P206" s="15" t="str">
        <f t="shared" si="78"/>
        <v>Chesterton Enterprises</v>
      </c>
      <c r="Q206" s="15" t="str">
        <f t="shared" si="79"/>
        <v>41 William Russell Road</v>
      </c>
      <c r="R206" s="3">
        <f>OrdersTable!C206</f>
        <v>44576</v>
      </c>
      <c r="S206" s="15">
        <f>OrdersTable!E206</f>
        <v>8</v>
      </c>
      <c r="T206" s="15">
        <f t="shared" si="80"/>
        <v>15.99</v>
      </c>
      <c r="U206" s="15">
        <f t="shared" si="81"/>
        <v>21.94</v>
      </c>
      <c r="V206" s="15">
        <f t="shared" si="82"/>
        <v>25.9</v>
      </c>
      <c r="W206" s="15">
        <f>IF(MarkupType="Store Markup",ROUND(V206+V206*StoreMarkup,2),IF(MarkupType="Supplier Markup",V206+V206*SupplierMarkup,"Error at finding value"))</f>
        <v>40.79</v>
      </c>
      <c r="X206" s="32" t="str">
        <f t="shared" si="84"/>
        <v>0.00</v>
      </c>
      <c r="Y206" s="15">
        <f t="shared" si="85"/>
        <v>207.2</v>
      </c>
      <c r="Z206" s="15">
        <f t="shared" si="86"/>
        <v>326.32</v>
      </c>
      <c r="AA206" s="15">
        <f>IF(FreightType="Lethbridge-Stewart Freight ",ROUND(2.99+IF(N206&gt;0.75,(N206-0.75)*2.25,0)*S206,2),IF(MarkupType="Supplier Markup",V206+V206*SupplierMarkup,"Error at finding value"))</f>
        <v>3.89</v>
      </c>
      <c r="AB206" s="15">
        <f t="shared" si="87"/>
        <v>0</v>
      </c>
    </row>
    <row r="207" spans="1:28" x14ac:dyDescent="0.25">
      <c r="A207" s="16">
        <f>OrdersTable!A207</f>
        <v>557</v>
      </c>
      <c r="B207" s="15" t="str">
        <f t="shared" si="67"/>
        <v>Mrs</v>
      </c>
      <c r="C207" s="15" t="str">
        <f t="shared" si="88"/>
        <v>Allen</v>
      </c>
      <c r="D207" s="15" t="str">
        <f t="shared" si="68"/>
        <v>Morgan</v>
      </c>
      <c r="E207" s="15" t="str">
        <f t="shared" si="69"/>
        <v>15 Winsor Street</v>
      </c>
      <c r="F207" s="15" t="str">
        <f t="shared" si="70"/>
        <v>Appletree Flat</v>
      </c>
      <c r="G207" s="15" t="str">
        <f t="shared" si="71"/>
        <v>NSW</v>
      </c>
      <c r="H207" s="15">
        <f t="shared" si="72"/>
        <v>2330</v>
      </c>
      <c r="I207" s="15">
        <f t="shared" si="83"/>
        <v>691</v>
      </c>
      <c r="J207" s="15">
        <f>OrdersTable!B207</f>
        <v>745</v>
      </c>
      <c r="K207" s="15" t="str">
        <f t="shared" si="73"/>
        <v>Props and Replicas</v>
      </c>
      <c r="L207" s="15" t="str">
        <f t="shared" si="74"/>
        <v>Doctor Who: TARDIS Type 40 Plaque</v>
      </c>
      <c r="M207" s="15" t="str">
        <f t="shared" si="75"/>
        <v>-</v>
      </c>
      <c r="N207" s="15">
        <f t="shared" si="76"/>
        <v>1.75</v>
      </c>
      <c r="O207" s="15" t="str">
        <f t="shared" si="77"/>
        <v>A30</v>
      </c>
      <c r="P207" s="15" t="str">
        <f t="shared" si="78"/>
        <v>Chesterton Enterprises</v>
      </c>
      <c r="Q207" s="15" t="str">
        <f t="shared" si="79"/>
        <v>41 William Russell Road</v>
      </c>
      <c r="R207" s="3">
        <f>OrdersTable!C207</f>
        <v>44576</v>
      </c>
      <c r="S207" s="15">
        <f>OrdersTable!E207</f>
        <v>2</v>
      </c>
      <c r="T207" s="15">
        <f t="shared" si="80"/>
        <v>34.99</v>
      </c>
      <c r="U207" s="15">
        <f t="shared" si="81"/>
        <v>47.86</v>
      </c>
      <c r="V207" s="15">
        <f t="shared" si="82"/>
        <v>56.68</v>
      </c>
      <c r="W207" s="15">
        <f>IF(MarkupType="Store Markup",ROUND(V207+V207*StoreMarkup,2),IF(MarkupType="Supplier Markup",V207+V207*SupplierMarkup,"Error at finding value"))</f>
        <v>89.27</v>
      </c>
      <c r="X207" s="32" t="str">
        <f t="shared" si="84"/>
        <v>0.00</v>
      </c>
      <c r="Y207" s="15">
        <f t="shared" si="85"/>
        <v>113.36</v>
      </c>
      <c r="Z207" s="15">
        <f t="shared" si="86"/>
        <v>178.54</v>
      </c>
      <c r="AA207" s="15">
        <f>IF(FreightType="Lethbridge-Stewart Freight ",ROUND(2.99+IF(N207&gt;0.75,(N207-0.75)*2.25,0)*S207,2),IF(MarkupType="Supplier Markup",V207+V207*SupplierMarkup,"Error at finding value"))</f>
        <v>7.49</v>
      </c>
      <c r="AB207" s="15">
        <f t="shared" si="87"/>
        <v>0</v>
      </c>
    </row>
    <row r="208" spans="1:28" x14ac:dyDescent="0.25">
      <c r="A208" s="16">
        <f>OrdersTable!A208</f>
        <v>573</v>
      </c>
      <c r="B208" s="15" t="str">
        <f t="shared" si="67"/>
        <v>Mrs</v>
      </c>
      <c r="C208" s="15" t="str">
        <f t="shared" si="88"/>
        <v>Hollonds</v>
      </c>
      <c r="D208" s="15" t="str">
        <f t="shared" si="68"/>
        <v>Suzan</v>
      </c>
      <c r="E208" s="15" t="str">
        <f t="shared" si="69"/>
        <v>49 Patel Way</v>
      </c>
      <c r="F208" s="15" t="str">
        <f t="shared" si="70"/>
        <v>Belconnen</v>
      </c>
      <c r="G208" s="15" t="str">
        <f t="shared" si="71"/>
        <v>ACT</v>
      </c>
      <c r="H208" s="15">
        <f t="shared" si="72"/>
        <v>2617</v>
      </c>
      <c r="I208" s="15">
        <f t="shared" si="83"/>
        <v>1194</v>
      </c>
      <c r="J208" s="15">
        <f>OrdersTable!B208</f>
        <v>239</v>
      </c>
      <c r="K208" s="15" t="str">
        <f t="shared" si="73"/>
        <v>Clothing and Apparel</v>
      </c>
      <c r="L208" s="15" t="str">
        <f t="shared" si="74"/>
        <v>Doctor Who: Men's Winter Pyjamas</v>
      </c>
      <c r="M208" s="15" t="str">
        <f t="shared" si="75"/>
        <v>L</v>
      </c>
      <c r="N208" s="15">
        <f t="shared" si="76"/>
        <v>1.5</v>
      </c>
      <c r="O208" s="15" t="str">
        <f t="shared" si="77"/>
        <v>A10</v>
      </c>
      <c r="P208" s="15" t="str">
        <f t="shared" si="78"/>
        <v>Gallifrey International</v>
      </c>
      <c r="Q208" s="15" t="str">
        <f t="shared" si="79"/>
        <v>181 Arcadia Street</v>
      </c>
      <c r="R208" s="3">
        <f>OrdersTable!C208</f>
        <v>44576</v>
      </c>
      <c r="S208" s="15">
        <f>OrdersTable!E208</f>
        <v>2</v>
      </c>
      <c r="T208" s="15">
        <f t="shared" si="80"/>
        <v>29.99</v>
      </c>
      <c r="U208" s="15">
        <f t="shared" si="81"/>
        <v>41.23</v>
      </c>
      <c r="V208" s="15">
        <f t="shared" si="82"/>
        <v>48.58</v>
      </c>
      <c r="W208" s="15">
        <f>IF(MarkupType="Store Markup",ROUND(V208+V208*StoreMarkup,2),IF(MarkupType="Supplier Markup",V208+V208*SupplierMarkup,"Error at finding value"))</f>
        <v>76.510000000000005</v>
      </c>
      <c r="X208" s="32" t="str">
        <f t="shared" si="84"/>
        <v>0.00</v>
      </c>
      <c r="Y208" s="15">
        <f t="shared" si="85"/>
        <v>97.16</v>
      </c>
      <c r="Z208" s="15">
        <f t="shared" si="86"/>
        <v>153.02000000000001</v>
      </c>
      <c r="AA208" s="15">
        <f>IF(FreightType="Lethbridge-Stewart Freight ",ROUND(2.99+IF(N208&gt;0.75,(N208-0.75)*2.25,0)*S208,2),IF(MarkupType="Supplier Markup",V208+V208*SupplierMarkup,"Error at finding value"))</f>
        <v>6.37</v>
      </c>
      <c r="AB208" s="15">
        <f t="shared" si="87"/>
        <v>0</v>
      </c>
    </row>
    <row r="209" spans="1:28" x14ac:dyDescent="0.25">
      <c r="A209" s="16">
        <f>OrdersTable!A209</f>
        <v>651</v>
      </c>
      <c r="B209" s="15" t="str">
        <f t="shared" si="67"/>
        <v>Mr</v>
      </c>
      <c r="C209" s="15" t="str">
        <f t="shared" si="88"/>
        <v>Wilkes</v>
      </c>
      <c r="D209" s="15" t="str">
        <f t="shared" si="68"/>
        <v>Harley</v>
      </c>
      <c r="E209" s="15" t="str">
        <f t="shared" si="69"/>
        <v>12 Locke Circuit</v>
      </c>
      <c r="F209" s="15" t="str">
        <f t="shared" si="70"/>
        <v>Bray Park</v>
      </c>
      <c r="G209" s="15" t="str">
        <f t="shared" si="71"/>
        <v>QLD</v>
      </c>
      <c r="H209" s="15">
        <f t="shared" si="72"/>
        <v>4500</v>
      </c>
      <c r="I209" s="15">
        <f t="shared" si="83"/>
        <v>139</v>
      </c>
      <c r="J209" s="15">
        <f>OrdersTable!B209</f>
        <v>698</v>
      </c>
      <c r="K209" s="15" t="str">
        <f t="shared" si="73"/>
        <v>Posters, Prints and Standees</v>
      </c>
      <c r="L209" s="15" t="str">
        <f t="shared" si="74"/>
        <v>Doctor Who: Art Print: My Mysterious Doctor</v>
      </c>
      <c r="M209" s="15" t="str">
        <f t="shared" si="75"/>
        <v>-</v>
      </c>
      <c r="N209" s="15">
        <f t="shared" si="76"/>
        <v>0.75</v>
      </c>
      <c r="O209" s="15" t="str">
        <f t="shared" si="77"/>
        <v>A30</v>
      </c>
      <c r="P209" s="15" t="str">
        <f t="shared" si="78"/>
        <v>Chesterton Enterprises</v>
      </c>
      <c r="Q209" s="15" t="str">
        <f t="shared" si="79"/>
        <v>41 William Russell Road</v>
      </c>
      <c r="R209" s="3">
        <f>OrdersTable!C209</f>
        <v>44576</v>
      </c>
      <c r="S209" s="15">
        <f>OrdersTable!E209</f>
        <v>8</v>
      </c>
      <c r="T209" s="15">
        <f t="shared" si="80"/>
        <v>14.99</v>
      </c>
      <c r="U209" s="15">
        <f t="shared" si="81"/>
        <v>20.56</v>
      </c>
      <c r="V209" s="15">
        <f t="shared" si="82"/>
        <v>24.28</v>
      </c>
      <c r="W209" s="15">
        <f>IF(MarkupType="Store Markup",ROUND(V209+V209*StoreMarkup,2),IF(MarkupType="Supplier Markup",V209+V209*SupplierMarkup,"Error at finding value"))</f>
        <v>38.24</v>
      </c>
      <c r="X209" s="32" t="str">
        <f t="shared" si="84"/>
        <v>0.00</v>
      </c>
      <c r="Y209" s="15">
        <f t="shared" si="85"/>
        <v>194.24</v>
      </c>
      <c r="Z209" s="15">
        <f t="shared" si="86"/>
        <v>305.92</v>
      </c>
      <c r="AA209" s="15">
        <f>IF(FreightType="Lethbridge-Stewart Freight ",ROUND(2.99+IF(N209&gt;0.75,(N209-0.75)*2.25,0)*S209,2),IF(MarkupType="Supplier Markup",V209+V209*SupplierMarkup,"Error at finding value"))</f>
        <v>2.99</v>
      </c>
      <c r="AB209" s="15">
        <f t="shared" si="87"/>
        <v>0</v>
      </c>
    </row>
    <row r="210" spans="1:28" x14ac:dyDescent="0.25">
      <c r="A210" s="16">
        <f>OrdersTable!A210</f>
        <v>961</v>
      </c>
      <c r="B210" s="15" t="str">
        <f t="shared" si="67"/>
        <v>Ms</v>
      </c>
      <c r="C210" s="15" t="str">
        <f t="shared" si="88"/>
        <v>Schuh</v>
      </c>
      <c r="D210" s="15" t="str">
        <f t="shared" si="68"/>
        <v>Rebecca Anne</v>
      </c>
      <c r="E210" s="15" t="str">
        <f t="shared" si="69"/>
        <v>48 Wilson Court</v>
      </c>
      <c r="F210" s="15" t="str">
        <f t="shared" si="70"/>
        <v>Breakwater</v>
      </c>
      <c r="G210" s="15" t="str">
        <f t="shared" si="71"/>
        <v>VIC</v>
      </c>
      <c r="H210" s="15">
        <f t="shared" si="72"/>
        <v>3219</v>
      </c>
      <c r="I210" s="15">
        <f t="shared" si="83"/>
        <v>1596</v>
      </c>
      <c r="J210" s="15">
        <f>OrdersTable!B210</f>
        <v>643</v>
      </c>
      <c r="K210" s="15" t="str">
        <f t="shared" si="73"/>
        <v>Mugs</v>
      </c>
      <c r="L210" s="15" t="str">
        <f t="shared" si="74"/>
        <v>Doctor Who: Giant Mug: Logo</v>
      </c>
      <c r="M210" s="15" t="str">
        <f t="shared" si="75"/>
        <v>-</v>
      </c>
      <c r="N210" s="15">
        <f t="shared" si="76"/>
        <v>0.44500000000000001</v>
      </c>
      <c r="O210" s="15" t="str">
        <f t="shared" si="77"/>
        <v>A10</v>
      </c>
      <c r="P210" s="15" t="str">
        <f t="shared" si="78"/>
        <v>Gallifrey International</v>
      </c>
      <c r="Q210" s="15" t="str">
        <f t="shared" si="79"/>
        <v>181 Arcadia Street</v>
      </c>
      <c r="R210" s="3">
        <f>OrdersTable!C210</f>
        <v>44576</v>
      </c>
      <c r="S210" s="15">
        <f>OrdersTable!E210</f>
        <v>10</v>
      </c>
      <c r="T210" s="15">
        <f t="shared" si="80"/>
        <v>8.89</v>
      </c>
      <c r="U210" s="15">
        <f t="shared" si="81"/>
        <v>12.19</v>
      </c>
      <c r="V210" s="15">
        <f t="shared" si="82"/>
        <v>14.4</v>
      </c>
      <c r="W210" s="15">
        <f>IF(MarkupType="Store Markup",ROUND(V210+V210*StoreMarkup,2),IF(MarkupType="Supplier Markup",V210+V210*SupplierMarkup,"Error at finding value"))</f>
        <v>22.68</v>
      </c>
      <c r="X210" s="32" t="str">
        <f t="shared" si="84"/>
        <v>0.00</v>
      </c>
      <c r="Y210" s="15">
        <f t="shared" si="85"/>
        <v>144</v>
      </c>
      <c r="Z210" s="15">
        <f t="shared" si="86"/>
        <v>226.8</v>
      </c>
      <c r="AA210" s="15">
        <f>IF(FreightType="Lethbridge-Stewart Freight ",ROUND(2.99+IF(N210&gt;0.75,(N210-0.75)*2.25,0)*S210,2),IF(MarkupType="Supplier Markup",V210+V210*SupplierMarkup,"Error at finding value"))</f>
        <v>2.99</v>
      </c>
      <c r="AB210" s="15">
        <f t="shared" si="87"/>
        <v>0</v>
      </c>
    </row>
    <row r="211" spans="1:28" x14ac:dyDescent="0.25">
      <c r="A211" s="16">
        <f>OrdersTable!A211</f>
        <v>972</v>
      </c>
      <c r="B211" s="15" t="str">
        <f t="shared" si="67"/>
        <v>Miss</v>
      </c>
      <c r="C211" s="15" t="str">
        <f t="shared" si="88"/>
        <v>Walsh</v>
      </c>
      <c r="D211" s="15" t="str">
        <f t="shared" si="68"/>
        <v>Alana Jane</v>
      </c>
      <c r="E211" s="15" t="str">
        <f t="shared" si="69"/>
        <v>40 Betts Crescent</v>
      </c>
      <c r="F211" s="15" t="str">
        <f t="shared" si="70"/>
        <v>Alleena</v>
      </c>
      <c r="G211" s="15" t="str">
        <f t="shared" si="71"/>
        <v>NSW</v>
      </c>
      <c r="H211" s="15">
        <f t="shared" si="72"/>
        <v>2671</v>
      </c>
      <c r="I211" s="15">
        <f t="shared" si="83"/>
        <v>988</v>
      </c>
      <c r="J211" s="15">
        <f>OrdersTable!B211</f>
        <v>583</v>
      </c>
      <c r="K211" s="15" t="str">
        <f t="shared" si="73"/>
        <v>iPhone Skins</v>
      </c>
      <c r="L211" s="15" t="str">
        <f t="shared" si="74"/>
        <v>Doctor Who: iPhone Skin: Cyberman Delete</v>
      </c>
      <c r="M211" s="15" t="str">
        <f t="shared" si="75"/>
        <v>-</v>
      </c>
      <c r="N211" s="15">
        <f t="shared" si="76"/>
        <v>0.3</v>
      </c>
      <c r="O211" s="15" t="str">
        <f t="shared" si="77"/>
        <v>A50</v>
      </c>
      <c r="P211" s="15" t="str">
        <f t="shared" si="78"/>
        <v>Rassilon Ltd.</v>
      </c>
      <c r="Q211" s="15" t="str">
        <f t="shared" si="79"/>
        <v>82 Richard Mathews Road</v>
      </c>
      <c r="R211" s="3">
        <f>OrdersTable!C211</f>
        <v>44576</v>
      </c>
      <c r="S211" s="15">
        <f>OrdersTable!E211</f>
        <v>3</v>
      </c>
      <c r="T211" s="15">
        <f t="shared" si="80"/>
        <v>5.99</v>
      </c>
      <c r="U211" s="15">
        <f t="shared" si="81"/>
        <v>8.23</v>
      </c>
      <c r="V211" s="15">
        <f t="shared" si="82"/>
        <v>9.6999999999999993</v>
      </c>
      <c r="W211" s="15">
        <f>IF(MarkupType="Store Markup",ROUND(V211+V211*StoreMarkup,2),IF(MarkupType="Supplier Markup",V211+V211*SupplierMarkup,"Error at finding value"))</f>
        <v>15.28</v>
      </c>
      <c r="X211" s="32" t="str">
        <f t="shared" si="84"/>
        <v>0.00</v>
      </c>
      <c r="Y211" s="15">
        <f t="shared" si="85"/>
        <v>29.1</v>
      </c>
      <c r="Z211" s="15">
        <f t="shared" si="86"/>
        <v>45.84</v>
      </c>
      <c r="AA211" s="15">
        <f>IF(FreightType="Lethbridge-Stewart Freight ",ROUND(2.99+IF(N211&gt;0.75,(N211-0.75)*2.25,0)*S211,2),IF(MarkupType="Supplier Markup",V211+V211*SupplierMarkup,"Error at finding value"))</f>
        <v>2.99</v>
      </c>
      <c r="AB211" s="15">
        <f t="shared" si="87"/>
        <v>0</v>
      </c>
    </row>
    <row r="212" spans="1:28" x14ac:dyDescent="0.25">
      <c r="A212" s="16">
        <f>OrdersTable!A212</f>
        <v>983</v>
      </c>
      <c r="B212" s="15" t="str">
        <f t="shared" si="67"/>
        <v>Mrs</v>
      </c>
      <c r="C212" s="15" t="str">
        <f t="shared" si="88"/>
        <v>Bennett</v>
      </c>
      <c r="D212" s="15" t="str">
        <f t="shared" si="68"/>
        <v>Mikayla Elizabeth</v>
      </c>
      <c r="E212" s="15" t="str">
        <f t="shared" si="69"/>
        <v>35 Khanal Crescent</v>
      </c>
      <c r="F212" s="15" t="str">
        <f t="shared" si="70"/>
        <v>Bamboo</v>
      </c>
      <c r="G212" s="15" t="str">
        <f t="shared" si="71"/>
        <v>QLD</v>
      </c>
      <c r="H212" s="15">
        <f t="shared" si="72"/>
        <v>4873</v>
      </c>
      <c r="I212" s="15">
        <f t="shared" si="83"/>
        <v>1741</v>
      </c>
      <c r="J212" s="15">
        <f>OrdersTable!B212</f>
        <v>620</v>
      </c>
      <c r="K212" s="15" t="str">
        <f t="shared" si="73"/>
        <v>iPhone Skins</v>
      </c>
      <c r="L212" s="15" t="str">
        <f t="shared" si="74"/>
        <v>Doctor Who: iPhone Skin: TARDIS Water Colour</v>
      </c>
      <c r="M212" s="15" t="str">
        <f t="shared" si="75"/>
        <v>-</v>
      </c>
      <c r="N212" s="15">
        <f t="shared" si="76"/>
        <v>0.5</v>
      </c>
      <c r="O212" s="15" t="str">
        <f t="shared" si="77"/>
        <v>A30</v>
      </c>
      <c r="P212" s="15" t="str">
        <f t="shared" si="78"/>
        <v>Chesterton Enterprises</v>
      </c>
      <c r="Q212" s="15" t="str">
        <f t="shared" si="79"/>
        <v>41 William Russell Road</v>
      </c>
      <c r="R212" s="3">
        <f>OrdersTable!C212</f>
        <v>44576</v>
      </c>
      <c r="S212" s="15">
        <f>OrdersTable!E212</f>
        <v>9</v>
      </c>
      <c r="T212" s="15">
        <f t="shared" si="80"/>
        <v>9.99</v>
      </c>
      <c r="U212" s="15">
        <f t="shared" si="81"/>
        <v>13.81</v>
      </c>
      <c r="V212" s="15">
        <f t="shared" si="82"/>
        <v>16.18</v>
      </c>
      <c r="W212" s="15">
        <f>IF(MarkupType="Store Markup",ROUND(V212+V212*StoreMarkup,2),IF(MarkupType="Supplier Markup",V212+V212*SupplierMarkup,"Error at finding value"))</f>
        <v>25.48</v>
      </c>
      <c r="X212" s="32" t="str">
        <f t="shared" si="84"/>
        <v>0.00</v>
      </c>
      <c r="Y212" s="15">
        <f t="shared" si="85"/>
        <v>145.62</v>
      </c>
      <c r="Z212" s="15">
        <f t="shared" si="86"/>
        <v>229.32</v>
      </c>
      <c r="AA212" s="15">
        <f>IF(FreightType="Lethbridge-Stewart Freight ",ROUND(2.99+IF(N212&gt;0.75,(N212-0.75)*2.25,0)*S212,2),IF(MarkupType="Supplier Markup",V212+V212*SupplierMarkup,"Error at finding value"))</f>
        <v>2.99</v>
      </c>
      <c r="AB212" s="15">
        <f t="shared" si="87"/>
        <v>0</v>
      </c>
    </row>
    <row r="213" spans="1:28" x14ac:dyDescent="0.25">
      <c r="A213" s="16">
        <f>OrdersTable!A213</f>
        <v>46</v>
      </c>
      <c r="B213" s="15" t="str">
        <f t="shared" si="67"/>
        <v>Mrs</v>
      </c>
      <c r="C213" s="15" t="str">
        <f t="shared" si="88"/>
        <v>Dovey</v>
      </c>
      <c r="D213" s="15" t="str">
        <f t="shared" si="68"/>
        <v>Aisha Jade</v>
      </c>
      <c r="E213" s="15" t="str">
        <f t="shared" si="69"/>
        <v>43 Wilkes Circuit</v>
      </c>
      <c r="F213" s="15" t="str">
        <f t="shared" si="70"/>
        <v>Alfredtown</v>
      </c>
      <c r="G213" s="15" t="str">
        <f t="shared" si="71"/>
        <v>NSW</v>
      </c>
      <c r="H213" s="15">
        <f t="shared" si="72"/>
        <v>2650</v>
      </c>
      <c r="I213" s="15">
        <f t="shared" si="83"/>
        <v>1124</v>
      </c>
      <c r="J213" s="15">
        <f>OrdersTable!B213</f>
        <v>732</v>
      </c>
      <c r="K213" s="15" t="str">
        <f t="shared" si="73"/>
        <v>Props and Replicas</v>
      </c>
      <c r="L213" s="15" t="str">
        <f t="shared" si="74"/>
        <v>Doctor Who: Eleventh Doctor's Sonic Screwdriver</v>
      </c>
      <c r="M213" s="15" t="str">
        <f t="shared" si="75"/>
        <v>-</v>
      </c>
      <c r="N213" s="15">
        <f t="shared" si="76"/>
        <v>3</v>
      </c>
      <c r="O213" s="15" t="str">
        <f t="shared" si="77"/>
        <v>A40</v>
      </c>
      <c r="P213" s="15" t="str">
        <f t="shared" si="78"/>
        <v>Romana Imports</v>
      </c>
      <c r="Q213" s="15" t="str">
        <f t="shared" si="79"/>
        <v>17 Lalla Ward Road</v>
      </c>
      <c r="R213" s="3">
        <f>OrdersTable!C213</f>
        <v>44577</v>
      </c>
      <c r="S213" s="15">
        <f>OrdersTable!E213</f>
        <v>8</v>
      </c>
      <c r="T213" s="15">
        <f t="shared" si="80"/>
        <v>59.99</v>
      </c>
      <c r="U213" s="15">
        <f t="shared" si="81"/>
        <v>81.83</v>
      </c>
      <c r="V213" s="15">
        <f t="shared" si="82"/>
        <v>97.18</v>
      </c>
      <c r="W213" s="15">
        <f>IF(MarkupType="Store Markup",ROUND(V213+V213*StoreMarkup,2),IF(MarkupType="Supplier Markup",V213+V213*SupplierMarkup,"Error at finding value"))</f>
        <v>153.06</v>
      </c>
      <c r="X213" s="32">
        <f t="shared" si="84"/>
        <v>10.91</v>
      </c>
      <c r="Y213" s="15">
        <f t="shared" si="85"/>
        <v>777.44</v>
      </c>
      <c r="Z213" s="15">
        <f t="shared" si="86"/>
        <v>1137.2</v>
      </c>
      <c r="AA213" s="15">
        <f>IF(FreightType="Lethbridge-Stewart Freight ",ROUND(2.99+IF(N213&gt;0.75,(N213-0.75)*2.25,0)*S213,2),IF(MarkupType="Supplier Markup",V213+V213*SupplierMarkup,"Error at finding value"))</f>
        <v>43.49</v>
      </c>
      <c r="AB213" s="15">
        <f t="shared" si="87"/>
        <v>87.28</v>
      </c>
    </row>
    <row r="214" spans="1:28" x14ac:dyDescent="0.25">
      <c r="A214" s="16">
        <f>OrdersTable!A214</f>
        <v>142</v>
      </c>
      <c r="B214" s="15" t="str">
        <f t="shared" si="67"/>
        <v>Miss</v>
      </c>
      <c r="C214" s="15" t="str">
        <f t="shared" si="88"/>
        <v>Western</v>
      </c>
      <c r="D214" s="15" t="str">
        <f t="shared" si="68"/>
        <v>Lee Reuben</v>
      </c>
      <c r="E214" s="15" t="str">
        <f t="shared" si="69"/>
        <v>14 Fields Road</v>
      </c>
      <c r="F214" s="15" t="str">
        <f t="shared" si="70"/>
        <v>Airly</v>
      </c>
      <c r="G214" s="15" t="str">
        <f t="shared" si="71"/>
        <v>VIC</v>
      </c>
      <c r="H214" s="15">
        <f t="shared" si="72"/>
        <v>3851</v>
      </c>
      <c r="I214" s="15">
        <f t="shared" si="83"/>
        <v>1583</v>
      </c>
      <c r="J214" s="15">
        <f>OrdersTable!B214</f>
        <v>724</v>
      </c>
      <c r="K214" s="15" t="str">
        <f t="shared" si="73"/>
        <v>Posters, Prints and Standees</v>
      </c>
      <c r="L214" s="15" t="str">
        <f t="shared" si="74"/>
        <v>Doctor Who: Standee: The 10th Doctor</v>
      </c>
      <c r="M214" s="15" t="str">
        <f t="shared" si="75"/>
        <v>-</v>
      </c>
      <c r="N214" s="15">
        <f t="shared" si="76"/>
        <v>1.125</v>
      </c>
      <c r="O214" s="15" t="str">
        <f t="shared" si="77"/>
        <v>A50</v>
      </c>
      <c r="P214" s="15" t="str">
        <f t="shared" si="78"/>
        <v>Rassilon Ltd.</v>
      </c>
      <c r="Q214" s="15" t="str">
        <f t="shared" si="79"/>
        <v>82 Richard Mathews Road</v>
      </c>
      <c r="R214" s="3">
        <f>OrdersTable!C214</f>
        <v>44577</v>
      </c>
      <c r="S214" s="15">
        <f>OrdersTable!E214</f>
        <v>6</v>
      </c>
      <c r="T214" s="15">
        <f t="shared" si="80"/>
        <v>22.49</v>
      </c>
      <c r="U214" s="15">
        <f t="shared" si="81"/>
        <v>30.77</v>
      </c>
      <c r="V214" s="15">
        <f t="shared" si="82"/>
        <v>36.43</v>
      </c>
      <c r="W214" s="15">
        <f>IF(MarkupType="Store Markup",ROUND(V214+V214*StoreMarkup,2),IF(MarkupType="Supplier Markup",V214+V214*SupplierMarkup,"Error at finding value"))</f>
        <v>57.38</v>
      </c>
      <c r="X214" s="32" t="str">
        <f t="shared" si="84"/>
        <v>0.00</v>
      </c>
      <c r="Y214" s="15">
        <f t="shared" si="85"/>
        <v>218.58</v>
      </c>
      <c r="Z214" s="15">
        <f t="shared" si="86"/>
        <v>344.28</v>
      </c>
      <c r="AA214" s="15">
        <f>IF(FreightType="Lethbridge-Stewart Freight ",ROUND(2.99+IF(N214&gt;0.75,(N214-0.75)*2.25,0)*S214,2),IF(MarkupType="Supplier Markup",V214+V214*SupplierMarkup,"Error at finding value"))</f>
        <v>8.0500000000000007</v>
      </c>
      <c r="AB214" s="15">
        <f t="shared" si="87"/>
        <v>0</v>
      </c>
    </row>
    <row r="215" spans="1:28" x14ac:dyDescent="0.25">
      <c r="A215" s="16">
        <f>OrdersTable!A215</f>
        <v>226</v>
      </c>
      <c r="B215" s="15" t="str">
        <f t="shared" si="67"/>
        <v>Ms</v>
      </c>
      <c r="C215" s="15" t="str">
        <f t="shared" si="88"/>
        <v>Stewart</v>
      </c>
      <c r="D215" s="15" t="str">
        <f t="shared" si="68"/>
        <v>Jodi Louise</v>
      </c>
      <c r="E215" s="15" t="str">
        <f t="shared" si="69"/>
        <v>33 Abington Court</v>
      </c>
      <c r="F215" s="15" t="str">
        <f t="shared" si="70"/>
        <v>Iluka</v>
      </c>
      <c r="G215" s="15" t="str">
        <f t="shared" si="71"/>
        <v>NSW</v>
      </c>
      <c r="H215" s="15">
        <f t="shared" si="72"/>
        <v>2466</v>
      </c>
      <c r="I215" s="15">
        <f t="shared" si="83"/>
        <v>347</v>
      </c>
      <c r="J215" s="15">
        <f>OrdersTable!B215</f>
        <v>867</v>
      </c>
      <c r="K215" s="15" t="str">
        <f t="shared" si="73"/>
        <v>Statues and Busts</v>
      </c>
      <c r="L215" s="15" t="str">
        <f t="shared" si="74"/>
        <v>Doctor Who: TITANS: The 11th Doctor</v>
      </c>
      <c r="M215" s="15" t="str">
        <f t="shared" si="75"/>
        <v>-</v>
      </c>
      <c r="N215" s="15">
        <f t="shared" si="76"/>
        <v>0.4</v>
      </c>
      <c r="O215" s="15" t="str">
        <f t="shared" si="77"/>
        <v>A20</v>
      </c>
      <c r="P215" s="15" t="str">
        <f t="shared" si="78"/>
        <v>Morbius Inc.</v>
      </c>
      <c r="Q215" s="15" t="str">
        <f t="shared" si="79"/>
        <v>56 Michael Spice Hwy</v>
      </c>
      <c r="R215" s="3">
        <f>OrdersTable!C215</f>
        <v>44577</v>
      </c>
      <c r="S215" s="15">
        <f>OrdersTable!E215</f>
        <v>3</v>
      </c>
      <c r="T215" s="15">
        <f t="shared" si="80"/>
        <v>7.99</v>
      </c>
      <c r="U215" s="15">
        <f t="shared" si="81"/>
        <v>11.1</v>
      </c>
      <c r="V215" s="15">
        <f t="shared" si="82"/>
        <v>12.94</v>
      </c>
      <c r="W215" s="15">
        <f>IF(MarkupType="Store Markup",ROUND(V215+V215*StoreMarkup,2),IF(MarkupType="Supplier Markup",V215+V215*SupplierMarkup,"Error at finding value"))</f>
        <v>20.38</v>
      </c>
      <c r="X215" s="32" t="str">
        <f t="shared" si="84"/>
        <v>0.00</v>
      </c>
      <c r="Y215" s="15">
        <f t="shared" si="85"/>
        <v>38.82</v>
      </c>
      <c r="Z215" s="15">
        <f t="shared" si="86"/>
        <v>61.14</v>
      </c>
      <c r="AA215" s="15">
        <f>IF(FreightType="Lethbridge-Stewart Freight ",ROUND(2.99+IF(N215&gt;0.75,(N215-0.75)*2.25,0)*S215,2),IF(MarkupType="Supplier Markup",V215+V215*SupplierMarkup,"Error at finding value"))</f>
        <v>2.99</v>
      </c>
      <c r="AB215" s="15">
        <f t="shared" si="87"/>
        <v>0</v>
      </c>
    </row>
    <row r="216" spans="1:28" x14ac:dyDescent="0.25">
      <c r="A216" s="16">
        <f>OrdersTable!A216</f>
        <v>328</v>
      </c>
      <c r="B216" s="15" t="str">
        <f t="shared" si="67"/>
        <v>Dr</v>
      </c>
      <c r="C216" s="15" t="str">
        <f t="shared" si="88"/>
        <v>Ward</v>
      </c>
      <c r="D216" s="15" t="str">
        <f t="shared" si="68"/>
        <v>Keiren Nicholas</v>
      </c>
      <c r="E216" s="15" t="str">
        <f t="shared" si="69"/>
        <v>13 Green Crescent</v>
      </c>
      <c r="F216" s="15" t="str">
        <f t="shared" si="70"/>
        <v>Breakwater</v>
      </c>
      <c r="G216" s="15" t="str">
        <f t="shared" si="71"/>
        <v>VIC</v>
      </c>
      <c r="H216" s="15">
        <f t="shared" si="72"/>
        <v>3219</v>
      </c>
      <c r="I216" s="15">
        <f t="shared" si="83"/>
        <v>1596</v>
      </c>
      <c r="J216" s="15">
        <f>OrdersTable!B216</f>
        <v>862</v>
      </c>
      <c r="K216" s="15" t="str">
        <f t="shared" si="73"/>
        <v>Statues and Busts</v>
      </c>
      <c r="L216" s="15" t="str">
        <f t="shared" si="74"/>
        <v>Doctor Who: TITANS: The 10th Doctor</v>
      </c>
      <c r="M216" s="15" t="str">
        <f t="shared" si="75"/>
        <v>-</v>
      </c>
      <c r="N216" s="15">
        <f t="shared" si="76"/>
        <v>0.4</v>
      </c>
      <c r="O216" s="15" t="str">
        <f t="shared" si="77"/>
        <v>A40</v>
      </c>
      <c r="P216" s="15" t="str">
        <f t="shared" si="78"/>
        <v>Romana Imports</v>
      </c>
      <c r="Q216" s="15" t="str">
        <f t="shared" si="79"/>
        <v>17 Lalla Ward Road</v>
      </c>
      <c r="R216" s="3">
        <f>OrdersTable!C216</f>
        <v>44577</v>
      </c>
      <c r="S216" s="15">
        <f>OrdersTable!E216</f>
        <v>9</v>
      </c>
      <c r="T216" s="15">
        <f t="shared" si="80"/>
        <v>7.99</v>
      </c>
      <c r="U216" s="15">
        <f t="shared" si="81"/>
        <v>11.01</v>
      </c>
      <c r="V216" s="15">
        <f t="shared" si="82"/>
        <v>12.94</v>
      </c>
      <c r="W216" s="15">
        <f>IF(MarkupType="Store Markup",ROUND(V216+V216*StoreMarkup,2),IF(MarkupType="Supplier Markup",V216+V216*SupplierMarkup,"Error at finding value"))</f>
        <v>20.38</v>
      </c>
      <c r="X216" s="32" t="str">
        <f t="shared" si="84"/>
        <v>0.00</v>
      </c>
      <c r="Y216" s="15">
        <f t="shared" si="85"/>
        <v>116.46</v>
      </c>
      <c r="Z216" s="15">
        <f t="shared" si="86"/>
        <v>183.42</v>
      </c>
      <c r="AA216" s="15">
        <f>IF(FreightType="Lethbridge-Stewart Freight ",ROUND(2.99+IF(N216&gt;0.75,(N216-0.75)*2.25,0)*S216,2),IF(MarkupType="Supplier Markup",V216+V216*SupplierMarkup,"Error at finding value"))</f>
        <v>2.99</v>
      </c>
      <c r="AB216" s="15">
        <f t="shared" si="87"/>
        <v>0</v>
      </c>
    </row>
    <row r="217" spans="1:28" x14ac:dyDescent="0.25">
      <c r="A217" s="16">
        <f>OrdersTable!A217</f>
        <v>332</v>
      </c>
      <c r="B217" s="15" t="str">
        <f t="shared" si="67"/>
        <v>Mr</v>
      </c>
      <c r="C217" s="15" t="str">
        <f t="shared" si="88"/>
        <v>Selman</v>
      </c>
      <c r="D217" s="15" t="str">
        <f t="shared" si="68"/>
        <v>Jack Ryan</v>
      </c>
      <c r="E217" s="15" t="str">
        <f t="shared" si="69"/>
        <v>17 Van Essen Street</v>
      </c>
      <c r="F217" s="15" t="str">
        <f t="shared" si="70"/>
        <v>Airly</v>
      </c>
      <c r="G217" s="15" t="str">
        <f t="shared" si="71"/>
        <v>VIC</v>
      </c>
      <c r="H217" s="15">
        <f t="shared" si="72"/>
        <v>3851</v>
      </c>
      <c r="I217" s="15">
        <f t="shared" si="83"/>
        <v>1583</v>
      </c>
      <c r="J217" s="15">
        <f>OrdersTable!B217</f>
        <v>436</v>
      </c>
      <c r="K217" s="15" t="str">
        <f t="shared" si="73"/>
        <v>Giftware</v>
      </c>
      <c r="L217" s="15" t="str">
        <f t="shared" si="74"/>
        <v>Doctor Who: Adult Watch: TARDIS</v>
      </c>
      <c r="M217" s="15" t="str">
        <f t="shared" si="75"/>
        <v>-</v>
      </c>
      <c r="N217" s="15">
        <f t="shared" si="76"/>
        <v>1.5</v>
      </c>
      <c r="O217" s="15" t="str">
        <f t="shared" si="77"/>
        <v>A20</v>
      </c>
      <c r="P217" s="15" t="str">
        <f t="shared" si="78"/>
        <v>Morbius Inc.</v>
      </c>
      <c r="Q217" s="15" t="str">
        <f t="shared" si="79"/>
        <v>56 Michael Spice Hwy</v>
      </c>
      <c r="R217" s="3">
        <f>OrdersTable!C217</f>
        <v>44577</v>
      </c>
      <c r="S217" s="15">
        <f>OrdersTable!E217</f>
        <v>1</v>
      </c>
      <c r="T217" s="15">
        <f t="shared" si="80"/>
        <v>29.99</v>
      </c>
      <c r="U217" s="15">
        <f t="shared" si="81"/>
        <v>40.96</v>
      </c>
      <c r="V217" s="15">
        <f t="shared" si="82"/>
        <v>48.58</v>
      </c>
      <c r="W217" s="15">
        <f>IF(MarkupType="Store Markup",ROUND(V217+V217*StoreMarkup,2),IF(MarkupType="Supplier Markup",V217+V217*SupplierMarkup,"Error at finding value"))</f>
        <v>76.510000000000005</v>
      </c>
      <c r="X217" s="32" t="str">
        <f t="shared" si="84"/>
        <v>0.00</v>
      </c>
      <c r="Y217" s="15">
        <f t="shared" si="85"/>
        <v>48.58</v>
      </c>
      <c r="Z217" s="15">
        <f t="shared" si="86"/>
        <v>76.510000000000005</v>
      </c>
      <c r="AA217" s="15">
        <f>IF(FreightType="Lethbridge-Stewart Freight ",ROUND(2.99+IF(N217&gt;0.75,(N217-0.75)*2.25,0)*S217,2),IF(MarkupType="Supplier Markup",V217+V217*SupplierMarkup,"Error at finding value"))</f>
        <v>4.68</v>
      </c>
      <c r="AB217" s="15">
        <f t="shared" si="87"/>
        <v>0</v>
      </c>
    </row>
    <row r="218" spans="1:28" x14ac:dyDescent="0.25">
      <c r="A218" s="16">
        <f>OrdersTable!A218</f>
        <v>489</v>
      </c>
      <c r="B218" s="15" t="str">
        <f t="shared" si="67"/>
        <v>Mr</v>
      </c>
      <c r="C218" s="15" t="str">
        <f t="shared" si="88"/>
        <v>Edwards</v>
      </c>
      <c r="D218" s="15" t="str">
        <f t="shared" si="68"/>
        <v>Luke Russell</v>
      </c>
      <c r="E218" s="15" t="str">
        <f t="shared" si="69"/>
        <v>43 Valusaga Court</v>
      </c>
      <c r="F218" s="15" t="str">
        <f t="shared" si="70"/>
        <v>Alfredtown</v>
      </c>
      <c r="G218" s="15" t="str">
        <f t="shared" si="71"/>
        <v>NSW</v>
      </c>
      <c r="H218" s="15">
        <f t="shared" si="72"/>
        <v>2650</v>
      </c>
      <c r="I218" s="15">
        <f t="shared" si="83"/>
        <v>1124</v>
      </c>
      <c r="J218" s="15">
        <f>OrdersTable!B218</f>
        <v>792</v>
      </c>
      <c r="K218" s="15" t="str">
        <f t="shared" si="73"/>
        <v>Statues and Busts</v>
      </c>
      <c r="L218" s="15" t="str">
        <f t="shared" si="74"/>
        <v>Doctor Who: Masterpiece Collection Maxi Bust: 3rd Doctor</v>
      </c>
      <c r="M218" s="15" t="str">
        <f t="shared" si="75"/>
        <v>-</v>
      </c>
      <c r="N218" s="15">
        <f t="shared" si="76"/>
        <v>2.5</v>
      </c>
      <c r="O218" s="15" t="str">
        <f t="shared" si="77"/>
        <v>A20</v>
      </c>
      <c r="P218" s="15" t="str">
        <f t="shared" si="78"/>
        <v>Morbius Inc.</v>
      </c>
      <c r="Q218" s="15" t="str">
        <f t="shared" si="79"/>
        <v>56 Michael Spice Hwy</v>
      </c>
      <c r="R218" s="3">
        <f>OrdersTable!C218</f>
        <v>44577</v>
      </c>
      <c r="S218" s="15">
        <f>OrdersTable!E218</f>
        <v>9</v>
      </c>
      <c r="T218" s="15">
        <f t="shared" si="80"/>
        <v>49.99</v>
      </c>
      <c r="U218" s="15">
        <f t="shared" si="81"/>
        <v>68.39</v>
      </c>
      <c r="V218" s="15">
        <f t="shared" si="82"/>
        <v>80.98</v>
      </c>
      <c r="W218" s="15">
        <f>IF(MarkupType="Store Markup",ROUND(V218+V218*StoreMarkup,2),IF(MarkupType="Supplier Markup",V218+V218*SupplierMarkup,"Error at finding value"))</f>
        <v>127.54</v>
      </c>
      <c r="X218" s="32">
        <f t="shared" si="84"/>
        <v>9.09</v>
      </c>
      <c r="Y218" s="15">
        <f t="shared" si="85"/>
        <v>728.82</v>
      </c>
      <c r="Z218" s="15">
        <f t="shared" si="86"/>
        <v>1066.05</v>
      </c>
      <c r="AA218" s="15">
        <f>IF(FreightType="Lethbridge-Stewart Freight ",ROUND(2.99+IF(N218&gt;0.75,(N218-0.75)*2.25,0)*S218,2),IF(MarkupType="Supplier Markup",V218+V218*SupplierMarkup,"Error at finding value"))</f>
        <v>38.43</v>
      </c>
      <c r="AB218" s="15">
        <f t="shared" si="87"/>
        <v>81.81</v>
      </c>
    </row>
    <row r="219" spans="1:28" x14ac:dyDescent="0.25">
      <c r="A219" s="16">
        <f>OrdersTable!A219</f>
        <v>501</v>
      </c>
      <c r="B219" s="15" t="str">
        <f t="shared" si="67"/>
        <v>Miss</v>
      </c>
      <c r="C219" s="15" t="str">
        <f t="shared" si="88"/>
        <v>Tharenou</v>
      </c>
      <c r="D219" s="15" t="str">
        <f t="shared" si="68"/>
        <v>Kimberley Jacinta</v>
      </c>
      <c r="E219" s="15" t="str">
        <f t="shared" si="69"/>
        <v>49 Moncada Circuit</v>
      </c>
      <c r="F219" s="15" t="str">
        <f t="shared" si="70"/>
        <v>Belford</v>
      </c>
      <c r="G219" s="15" t="str">
        <f t="shared" si="71"/>
        <v>NSW</v>
      </c>
      <c r="H219" s="15">
        <f t="shared" si="72"/>
        <v>2335</v>
      </c>
      <c r="I219" s="15">
        <f t="shared" si="83"/>
        <v>716</v>
      </c>
      <c r="J219" s="15">
        <f>OrdersTable!B219</f>
        <v>259</v>
      </c>
      <c r="K219" s="15" t="str">
        <f t="shared" si="73"/>
        <v>Clothing and Apparel</v>
      </c>
      <c r="L219" s="15" t="str">
        <f t="shared" si="74"/>
        <v>Doctor Who: Men's Winter Pyjamas</v>
      </c>
      <c r="M219" s="15" t="str">
        <f t="shared" si="75"/>
        <v>XL</v>
      </c>
      <c r="N219" s="15">
        <f t="shared" si="76"/>
        <v>1.5</v>
      </c>
      <c r="O219" s="15" t="str">
        <f t="shared" si="77"/>
        <v>A50</v>
      </c>
      <c r="P219" s="15" t="str">
        <f t="shared" si="78"/>
        <v>Rassilon Ltd.</v>
      </c>
      <c r="Q219" s="15" t="str">
        <f t="shared" si="79"/>
        <v>82 Richard Mathews Road</v>
      </c>
      <c r="R219" s="3">
        <f>OrdersTable!C219</f>
        <v>44577</v>
      </c>
      <c r="S219" s="15">
        <f>OrdersTable!E219</f>
        <v>10</v>
      </c>
      <c r="T219" s="15">
        <f t="shared" si="80"/>
        <v>29.99</v>
      </c>
      <c r="U219" s="15">
        <f t="shared" si="81"/>
        <v>41.15</v>
      </c>
      <c r="V219" s="15">
        <f t="shared" si="82"/>
        <v>48.58</v>
      </c>
      <c r="W219" s="15">
        <f>IF(MarkupType="Store Markup",ROUND(V219+V219*StoreMarkup,2),IF(MarkupType="Supplier Markup",V219+V219*SupplierMarkup,"Error at finding value"))</f>
        <v>76.510000000000005</v>
      </c>
      <c r="X219" s="32" t="str">
        <f t="shared" si="84"/>
        <v>0.00</v>
      </c>
      <c r="Y219" s="15">
        <f t="shared" si="85"/>
        <v>485.8</v>
      </c>
      <c r="Z219" s="15">
        <f t="shared" si="86"/>
        <v>765.1</v>
      </c>
      <c r="AA219" s="15">
        <f>IF(FreightType="Lethbridge-Stewart Freight ",ROUND(2.99+IF(N219&gt;0.75,(N219-0.75)*2.25,0)*S219,2),IF(MarkupType="Supplier Markup",V219+V219*SupplierMarkup,"Error at finding value"))</f>
        <v>19.87</v>
      </c>
      <c r="AB219" s="15">
        <f t="shared" si="87"/>
        <v>0</v>
      </c>
    </row>
    <row r="220" spans="1:28" x14ac:dyDescent="0.25">
      <c r="A220" s="16">
        <f>OrdersTable!A220</f>
        <v>531</v>
      </c>
      <c r="B220" s="15" t="str">
        <f t="shared" si="67"/>
        <v>Ms</v>
      </c>
      <c r="C220" s="15" t="str">
        <f t="shared" si="88"/>
        <v>Stanton</v>
      </c>
      <c r="D220" s="15" t="str">
        <f t="shared" si="68"/>
        <v>Sharaze</v>
      </c>
      <c r="E220" s="15" t="str">
        <f t="shared" si="69"/>
        <v>1 Siddons Crescent</v>
      </c>
      <c r="F220" s="15" t="str">
        <f t="shared" si="70"/>
        <v>Alfredtown</v>
      </c>
      <c r="G220" s="15" t="str">
        <f t="shared" si="71"/>
        <v>NSW</v>
      </c>
      <c r="H220" s="15">
        <f t="shared" si="72"/>
        <v>2650</v>
      </c>
      <c r="I220" s="15">
        <f t="shared" si="83"/>
        <v>1124</v>
      </c>
      <c r="J220" s="15">
        <f>OrdersTable!B220</f>
        <v>676</v>
      </c>
      <c r="K220" s="15" t="str">
        <f t="shared" si="73"/>
        <v>Mugs</v>
      </c>
      <c r="L220" s="15" t="str">
        <f t="shared" si="74"/>
        <v>Doctor Who: Mug: The Eleventh Doctor</v>
      </c>
      <c r="M220" s="15" t="str">
        <f t="shared" si="75"/>
        <v>-</v>
      </c>
      <c r="N220" s="15">
        <f t="shared" si="76"/>
        <v>0.45</v>
      </c>
      <c r="O220" s="15" t="str">
        <f t="shared" si="77"/>
        <v>A20</v>
      </c>
      <c r="P220" s="15" t="str">
        <f t="shared" si="78"/>
        <v>Morbius Inc.</v>
      </c>
      <c r="Q220" s="15" t="str">
        <f t="shared" si="79"/>
        <v>56 Michael Spice Hwy</v>
      </c>
      <c r="R220" s="3">
        <f>OrdersTable!C220</f>
        <v>44577</v>
      </c>
      <c r="S220" s="15">
        <f>OrdersTable!E220</f>
        <v>9</v>
      </c>
      <c r="T220" s="15">
        <f t="shared" si="80"/>
        <v>8.99</v>
      </c>
      <c r="U220" s="15">
        <f t="shared" si="81"/>
        <v>12.55</v>
      </c>
      <c r="V220" s="15">
        <f t="shared" si="82"/>
        <v>14.56</v>
      </c>
      <c r="W220" s="15">
        <f>IF(MarkupType="Store Markup",ROUND(V220+V220*StoreMarkup,2),IF(MarkupType="Supplier Markup",V220+V220*SupplierMarkup,"Error at finding value"))</f>
        <v>22.93</v>
      </c>
      <c r="X220" s="32" t="str">
        <f t="shared" si="84"/>
        <v>0.00</v>
      </c>
      <c r="Y220" s="15">
        <f t="shared" si="85"/>
        <v>131.04</v>
      </c>
      <c r="Z220" s="15">
        <f t="shared" si="86"/>
        <v>206.37</v>
      </c>
      <c r="AA220" s="15">
        <f>IF(FreightType="Lethbridge-Stewart Freight ",ROUND(2.99+IF(N220&gt;0.75,(N220-0.75)*2.25,0)*S220,2),IF(MarkupType="Supplier Markup",V220+V220*SupplierMarkup,"Error at finding value"))</f>
        <v>2.99</v>
      </c>
      <c r="AB220" s="15">
        <f t="shared" si="87"/>
        <v>0</v>
      </c>
    </row>
    <row r="221" spans="1:28" x14ac:dyDescent="0.25">
      <c r="A221" s="16">
        <f>OrdersTable!A221</f>
        <v>540</v>
      </c>
      <c r="B221" s="15" t="str">
        <f t="shared" si="67"/>
        <v>Dr</v>
      </c>
      <c r="C221" s="15" t="str">
        <f t="shared" si="88"/>
        <v>Hackett</v>
      </c>
      <c r="D221" s="15" t="str">
        <f t="shared" si="68"/>
        <v>Patrick</v>
      </c>
      <c r="E221" s="15" t="str">
        <f t="shared" si="69"/>
        <v>25 Sweet Drive</v>
      </c>
      <c r="F221" s="15" t="str">
        <f t="shared" si="70"/>
        <v>Bridgewater</v>
      </c>
      <c r="G221" s="15" t="str">
        <f t="shared" si="71"/>
        <v>VIC</v>
      </c>
      <c r="H221" s="15">
        <f t="shared" si="72"/>
        <v>3516</v>
      </c>
      <c r="I221" s="15">
        <f t="shared" si="83"/>
        <v>1486</v>
      </c>
      <c r="J221" s="15">
        <f>OrdersTable!B221</f>
        <v>725</v>
      </c>
      <c r="K221" s="15" t="str">
        <f t="shared" si="73"/>
        <v>Props and Replicas</v>
      </c>
      <c r="L221" s="15" t="str">
        <f t="shared" si="74"/>
        <v>Doctor Who: Captain Jack Sonic Blaster</v>
      </c>
      <c r="M221" s="15" t="str">
        <f t="shared" si="75"/>
        <v>-</v>
      </c>
      <c r="N221" s="15">
        <f t="shared" si="76"/>
        <v>14.8</v>
      </c>
      <c r="O221" s="15" t="str">
        <f t="shared" si="77"/>
        <v>A30</v>
      </c>
      <c r="P221" s="15" t="str">
        <f t="shared" si="78"/>
        <v>Chesterton Enterprises</v>
      </c>
      <c r="Q221" s="15" t="str">
        <f t="shared" si="79"/>
        <v>41 William Russell Road</v>
      </c>
      <c r="R221" s="3">
        <f>OrdersTable!C221</f>
        <v>44577</v>
      </c>
      <c r="S221" s="15">
        <f>OrdersTable!E221</f>
        <v>6</v>
      </c>
      <c r="T221" s="15">
        <f t="shared" si="80"/>
        <v>295.99</v>
      </c>
      <c r="U221" s="15">
        <f t="shared" si="81"/>
        <v>403.88</v>
      </c>
      <c r="V221" s="15">
        <f t="shared" si="82"/>
        <v>479.5</v>
      </c>
      <c r="W221" s="15">
        <f>IF(MarkupType="Store Markup",ROUND(V221+V221*StoreMarkup,2),IF(MarkupType="Supplier Markup",V221+V221*SupplierMarkup,"Error at finding value"))</f>
        <v>755.21</v>
      </c>
      <c r="X221" s="32">
        <f t="shared" si="84"/>
        <v>53.81</v>
      </c>
      <c r="Y221" s="15">
        <f t="shared" si="85"/>
        <v>2877</v>
      </c>
      <c r="Z221" s="15">
        <f t="shared" si="86"/>
        <v>4208.3999999999996</v>
      </c>
      <c r="AA221" s="15">
        <f>IF(FreightType="Lethbridge-Stewart Freight ",ROUND(2.99+IF(N221&gt;0.75,(N221-0.75)*2.25,0)*S221,2),IF(MarkupType="Supplier Markup",V221+V221*SupplierMarkup,"Error at finding value"))</f>
        <v>192.67</v>
      </c>
      <c r="AB221" s="15">
        <f t="shared" si="87"/>
        <v>322.86</v>
      </c>
    </row>
    <row r="222" spans="1:28" x14ac:dyDescent="0.25">
      <c r="A222" s="16">
        <f>OrdersTable!A222</f>
        <v>543</v>
      </c>
      <c r="B222" s="15" t="str">
        <f t="shared" si="67"/>
        <v>Ms</v>
      </c>
      <c r="C222" s="15" t="str">
        <f t="shared" si="88"/>
        <v>Mendezona</v>
      </c>
      <c r="D222" s="15" t="str">
        <f t="shared" si="68"/>
        <v>Tara Colleen-Mary</v>
      </c>
      <c r="E222" s="15" t="str">
        <f t="shared" si="69"/>
        <v>27 Picone Drive</v>
      </c>
      <c r="F222" s="15" t="str">
        <f t="shared" si="70"/>
        <v>Aberfoyle</v>
      </c>
      <c r="G222" s="15" t="str">
        <f t="shared" si="71"/>
        <v>NSW</v>
      </c>
      <c r="H222" s="15">
        <f t="shared" si="72"/>
        <v>2350</v>
      </c>
      <c r="I222" s="15">
        <f t="shared" si="83"/>
        <v>363</v>
      </c>
      <c r="J222" s="15">
        <f>OrdersTable!B222</f>
        <v>830</v>
      </c>
      <c r="K222" s="15" t="str">
        <f t="shared" si="73"/>
        <v>Statues and Busts</v>
      </c>
      <c r="L222" s="15" t="str">
        <f t="shared" si="74"/>
        <v>Doctor Who: Mini Bust: Weeping Angel</v>
      </c>
      <c r="M222" s="15" t="str">
        <f t="shared" si="75"/>
        <v>-</v>
      </c>
      <c r="N222" s="15">
        <f t="shared" si="76"/>
        <v>1.8</v>
      </c>
      <c r="O222" s="15" t="str">
        <f t="shared" si="77"/>
        <v>A50</v>
      </c>
      <c r="P222" s="15" t="str">
        <f t="shared" si="78"/>
        <v>Rassilon Ltd.</v>
      </c>
      <c r="Q222" s="15" t="str">
        <f t="shared" si="79"/>
        <v>82 Richard Mathews Road</v>
      </c>
      <c r="R222" s="3">
        <f>OrdersTable!C222</f>
        <v>44577</v>
      </c>
      <c r="S222" s="15">
        <f>OrdersTable!E222</f>
        <v>10</v>
      </c>
      <c r="T222" s="15">
        <f t="shared" si="80"/>
        <v>35.99</v>
      </c>
      <c r="U222" s="15">
        <f t="shared" si="81"/>
        <v>49.35</v>
      </c>
      <c r="V222" s="15">
        <f t="shared" si="82"/>
        <v>58.3</v>
      </c>
      <c r="W222" s="15">
        <f>IF(MarkupType="Store Markup",ROUND(V222+V222*StoreMarkup,2),IF(MarkupType="Supplier Markup",V222+V222*SupplierMarkup,"Error at finding value"))</f>
        <v>91.82</v>
      </c>
      <c r="X222" s="32" t="str">
        <f t="shared" si="84"/>
        <v>0.00</v>
      </c>
      <c r="Y222" s="15">
        <f t="shared" si="85"/>
        <v>583</v>
      </c>
      <c r="Z222" s="15">
        <f t="shared" si="86"/>
        <v>918.2</v>
      </c>
      <c r="AA222" s="15">
        <f>IF(FreightType="Lethbridge-Stewart Freight ",ROUND(2.99+IF(N222&gt;0.75,(N222-0.75)*2.25,0)*S222,2),IF(MarkupType="Supplier Markup",V222+V222*SupplierMarkup,"Error at finding value"))</f>
        <v>26.62</v>
      </c>
      <c r="AB222" s="15">
        <f t="shared" si="87"/>
        <v>0</v>
      </c>
    </row>
    <row r="223" spans="1:28" x14ac:dyDescent="0.25">
      <c r="A223" s="16">
        <f>OrdersTable!A223</f>
        <v>557</v>
      </c>
      <c r="B223" s="15" t="str">
        <f t="shared" si="67"/>
        <v>Mrs</v>
      </c>
      <c r="C223" s="15" t="str">
        <f t="shared" si="88"/>
        <v>Allen</v>
      </c>
      <c r="D223" s="15" t="str">
        <f t="shared" si="68"/>
        <v>Morgan</v>
      </c>
      <c r="E223" s="15" t="str">
        <f t="shared" si="69"/>
        <v>15 Winsor Street</v>
      </c>
      <c r="F223" s="15" t="str">
        <f t="shared" si="70"/>
        <v>Appletree Flat</v>
      </c>
      <c r="G223" s="15" t="str">
        <f t="shared" si="71"/>
        <v>NSW</v>
      </c>
      <c r="H223" s="15">
        <f t="shared" si="72"/>
        <v>2330</v>
      </c>
      <c r="I223" s="15">
        <f t="shared" si="83"/>
        <v>691</v>
      </c>
      <c r="J223" s="15">
        <f>OrdersTable!B223</f>
        <v>778</v>
      </c>
      <c r="K223" s="15" t="str">
        <f t="shared" si="73"/>
        <v>Statues and Busts</v>
      </c>
      <c r="L223" s="15" t="str">
        <f t="shared" si="74"/>
        <v>Doctor Who: Legends Forever Bust: William Hartnell</v>
      </c>
      <c r="M223" s="15" t="str">
        <f t="shared" si="75"/>
        <v>-</v>
      </c>
      <c r="N223" s="15">
        <f t="shared" si="76"/>
        <v>1.375</v>
      </c>
      <c r="O223" s="15" t="str">
        <f t="shared" si="77"/>
        <v>A40</v>
      </c>
      <c r="P223" s="15" t="str">
        <f t="shared" si="78"/>
        <v>Romana Imports</v>
      </c>
      <c r="Q223" s="15" t="str">
        <f t="shared" si="79"/>
        <v>17 Lalla Ward Road</v>
      </c>
      <c r="R223" s="3">
        <f>OrdersTable!C223</f>
        <v>44577</v>
      </c>
      <c r="S223" s="15">
        <f>OrdersTable!E223</f>
        <v>6</v>
      </c>
      <c r="T223" s="15">
        <f t="shared" si="80"/>
        <v>27.5</v>
      </c>
      <c r="U223" s="15">
        <f t="shared" si="81"/>
        <v>37.520000000000003</v>
      </c>
      <c r="V223" s="15">
        <f t="shared" si="82"/>
        <v>44.55</v>
      </c>
      <c r="W223" s="15">
        <f>IF(MarkupType="Store Markup",ROUND(V223+V223*StoreMarkup,2),IF(MarkupType="Supplier Markup",V223+V223*SupplierMarkup,"Error at finding value"))</f>
        <v>70.17</v>
      </c>
      <c r="X223" s="32" t="str">
        <f t="shared" si="84"/>
        <v>0.00</v>
      </c>
      <c r="Y223" s="15">
        <f t="shared" si="85"/>
        <v>267.3</v>
      </c>
      <c r="Z223" s="15">
        <f t="shared" si="86"/>
        <v>421.02</v>
      </c>
      <c r="AA223" s="15">
        <f>IF(FreightType="Lethbridge-Stewart Freight ",ROUND(2.99+IF(N223&gt;0.75,(N223-0.75)*2.25,0)*S223,2),IF(MarkupType="Supplier Markup",V223+V223*SupplierMarkup,"Error at finding value"))</f>
        <v>11.43</v>
      </c>
      <c r="AB223" s="15">
        <f t="shared" si="87"/>
        <v>0</v>
      </c>
    </row>
    <row r="224" spans="1:28" x14ac:dyDescent="0.25">
      <c r="A224" s="16">
        <f>OrdersTable!A224</f>
        <v>567</v>
      </c>
      <c r="B224" s="15" t="str">
        <f t="shared" si="67"/>
        <v>Ms</v>
      </c>
      <c r="C224" s="15" t="str">
        <f t="shared" si="88"/>
        <v>Perkins</v>
      </c>
      <c r="D224" s="15" t="str">
        <f t="shared" si="68"/>
        <v>Sarah</v>
      </c>
      <c r="E224" s="15" t="str">
        <f t="shared" si="69"/>
        <v>7 Tengdahl Road</v>
      </c>
      <c r="F224" s="15" t="str">
        <f t="shared" si="70"/>
        <v>Areegra</v>
      </c>
      <c r="G224" s="15" t="str">
        <f t="shared" si="71"/>
        <v>VIC</v>
      </c>
      <c r="H224" s="15">
        <f t="shared" si="72"/>
        <v>3480</v>
      </c>
      <c r="I224" s="15">
        <f t="shared" si="83"/>
        <v>1559</v>
      </c>
      <c r="J224" s="15">
        <f>OrdersTable!B224</f>
        <v>196</v>
      </c>
      <c r="K224" s="15" t="str">
        <f t="shared" si="73"/>
        <v>Clothing and Apparel</v>
      </c>
      <c r="L224" s="15" t="str">
        <f t="shared" si="74"/>
        <v>Doctor Who: 12 Foot Tom Baker Scarf</v>
      </c>
      <c r="M224" s="15" t="str">
        <f t="shared" si="75"/>
        <v>-</v>
      </c>
      <c r="N224" s="15">
        <f t="shared" si="76"/>
        <v>2.5</v>
      </c>
      <c r="O224" s="15" t="str">
        <f t="shared" si="77"/>
        <v>A40</v>
      </c>
      <c r="P224" s="15" t="str">
        <f t="shared" si="78"/>
        <v>Romana Imports</v>
      </c>
      <c r="Q224" s="15" t="str">
        <f t="shared" si="79"/>
        <v>17 Lalla Ward Road</v>
      </c>
      <c r="R224" s="3">
        <f>OrdersTable!C224</f>
        <v>44577</v>
      </c>
      <c r="S224" s="15">
        <f>OrdersTable!E224</f>
        <v>7</v>
      </c>
      <c r="T224" s="15">
        <f t="shared" si="80"/>
        <v>49.99</v>
      </c>
      <c r="U224" s="15">
        <f t="shared" si="81"/>
        <v>68.28</v>
      </c>
      <c r="V224" s="15">
        <f t="shared" si="82"/>
        <v>80.98</v>
      </c>
      <c r="W224" s="15">
        <f>IF(MarkupType="Store Markup",ROUND(V224+V224*StoreMarkup,2),IF(MarkupType="Supplier Markup",V224+V224*SupplierMarkup,"Error at finding value"))</f>
        <v>127.54</v>
      </c>
      <c r="X224" s="32">
        <f t="shared" si="84"/>
        <v>9.09</v>
      </c>
      <c r="Y224" s="15">
        <f t="shared" si="85"/>
        <v>566.86</v>
      </c>
      <c r="Z224" s="15">
        <f t="shared" si="86"/>
        <v>829.15</v>
      </c>
      <c r="AA224" s="15">
        <f>IF(FreightType="Lethbridge-Stewart Freight ",ROUND(2.99+IF(N224&gt;0.75,(N224-0.75)*2.25,0)*S224,2),IF(MarkupType="Supplier Markup",V224+V224*SupplierMarkup,"Error at finding value"))</f>
        <v>30.55</v>
      </c>
      <c r="AB224" s="15">
        <f t="shared" si="87"/>
        <v>63.63</v>
      </c>
    </row>
    <row r="225" spans="1:28" x14ac:dyDescent="0.25">
      <c r="A225" s="16">
        <f>OrdersTable!A225</f>
        <v>600</v>
      </c>
      <c r="B225" s="15" t="str">
        <f t="shared" si="67"/>
        <v>Dr</v>
      </c>
      <c r="C225" s="15" t="str">
        <f t="shared" si="88"/>
        <v>McConnell</v>
      </c>
      <c r="D225" s="15" t="str">
        <f t="shared" si="68"/>
        <v>Hannah Clair</v>
      </c>
      <c r="E225" s="15" t="str">
        <f t="shared" si="69"/>
        <v>27 Mccarthy Circuit</v>
      </c>
      <c r="F225" s="15" t="str">
        <f t="shared" si="70"/>
        <v>Ashford</v>
      </c>
      <c r="G225" s="15" t="str">
        <f t="shared" si="71"/>
        <v>SA</v>
      </c>
      <c r="H225" s="15">
        <f t="shared" si="72"/>
        <v>5035</v>
      </c>
      <c r="I225" s="15">
        <f t="shared" si="83"/>
        <v>1877</v>
      </c>
      <c r="J225" s="15">
        <f>OrdersTable!B225</f>
        <v>196</v>
      </c>
      <c r="K225" s="15" t="str">
        <f t="shared" si="73"/>
        <v>Clothing and Apparel</v>
      </c>
      <c r="L225" s="15" t="str">
        <f t="shared" si="74"/>
        <v>Doctor Who: 12 Foot Tom Baker Scarf</v>
      </c>
      <c r="M225" s="15" t="str">
        <f t="shared" si="75"/>
        <v>-</v>
      </c>
      <c r="N225" s="15">
        <f t="shared" si="76"/>
        <v>2.5</v>
      </c>
      <c r="O225" s="15" t="str">
        <f t="shared" si="77"/>
        <v>A40</v>
      </c>
      <c r="P225" s="15" t="str">
        <f t="shared" si="78"/>
        <v>Romana Imports</v>
      </c>
      <c r="Q225" s="15" t="str">
        <f t="shared" si="79"/>
        <v>17 Lalla Ward Road</v>
      </c>
      <c r="R225" s="3">
        <f>OrdersTable!C225</f>
        <v>44577</v>
      </c>
      <c r="S225" s="15">
        <f>OrdersTable!E225</f>
        <v>2</v>
      </c>
      <c r="T225" s="15">
        <f t="shared" si="80"/>
        <v>49.99</v>
      </c>
      <c r="U225" s="15">
        <f t="shared" si="81"/>
        <v>68.28</v>
      </c>
      <c r="V225" s="15">
        <f t="shared" si="82"/>
        <v>80.98</v>
      </c>
      <c r="W225" s="15">
        <f>IF(MarkupType="Store Markup",ROUND(V225+V225*StoreMarkup,2),IF(MarkupType="Supplier Markup",V225+V225*SupplierMarkup,"Error at finding value"))</f>
        <v>127.54</v>
      </c>
      <c r="X225" s="32" t="str">
        <f t="shared" si="84"/>
        <v>0.00</v>
      </c>
      <c r="Y225" s="15">
        <f t="shared" si="85"/>
        <v>161.96</v>
      </c>
      <c r="Z225" s="15">
        <f t="shared" si="86"/>
        <v>255.08</v>
      </c>
      <c r="AA225" s="15">
        <f>IF(FreightType="Lethbridge-Stewart Freight ",ROUND(2.99+IF(N225&gt;0.75,(N225-0.75)*2.25,0)*S225,2),IF(MarkupType="Supplier Markup",V225+V225*SupplierMarkup,"Error at finding value"))</f>
        <v>10.87</v>
      </c>
      <c r="AB225" s="15">
        <f t="shared" si="87"/>
        <v>0</v>
      </c>
    </row>
    <row r="226" spans="1:28" x14ac:dyDescent="0.25">
      <c r="A226" s="16">
        <f>OrdersTable!A226</f>
        <v>609</v>
      </c>
      <c r="B226" s="15" t="str">
        <f t="shared" si="67"/>
        <v>Ms</v>
      </c>
      <c r="C226" s="15" t="str">
        <f t="shared" si="88"/>
        <v>Ashley</v>
      </c>
      <c r="D226" s="15" t="str">
        <f t="shared" si="68"/>
        <v>Matthew</v>
      </c>
      <c r="E226" s="15" t="str">
        <f t="shared" si="69"/>
        <v>3 Wagener Crescent</v>
      </c>
      <c r="F226" s="15" t="str">
        <f t="shared" si="70"/>
        <v>Aberfoyle</v>
      </c>
      <c r="G226" s="15" t="str">
        <f t="shared" si="71"/>
        <v>NSW</v>
      </c>
      <c r="H226" s="15">
        <f t="shared" si="72"/>
        <v>2350</v>
      </c>
      <c r="I226" s="15">
        <f t="shared" si="83"/>
        <v>363</v>
      </c>
      <c r="J226" s="15">
        <f>OrdersTable!B226</f>
        <v>515</v>
      </c>
      <c r="K226" s="15" t="str">
        <f t="shared" si="73"/>
        <v>Giftware</v>
      </c>
      <c r="L226" s="15" t="str">
        <f t="shared" si="74"/>
        <v>Doctor Who: Keyring K9</v>
      </c>
      <c r="M226" s="15" t="str">
        <f t="shared" si="75"/>
        <v>-</v>
      </c>
      <c r="N226" s="15">
        <f t="shared" si="76"/>
        <v>0.25</v>
      </c>
      <c r="O226" s="15" t="str">
        <f t="shared" si="77"/>
        <v>A50</v>
      </c>
      <c r="P226" s="15" t="str">
        <f t="shared" si="78"/>
        <v>Rassilon Ltd.</v>
      </c>
      <c r="Q226" s="15" t="str">
        <f t="shared" si="79"/>
        <v>82 Richard Mathews Road</v>
      </c>
      <c r="R226" s="3">
        <f>OrdersTable!C226</f>
        <v>44577</v>
      </c>
      <c r="S226" s="15">
        <f>OrdersTable!E226</f>
        <v>5</v>
      </c>
      <c r="T226" s="15">
        <f t="shared" si="80"/>
        <v>4.99</v>
      </c>
      <c r="U226" s="15">
        <f t="shared" si="81"/>
        <v>6.91</v>
      </c>
      <c r="V226" s="15">
        <f t="shared" si="82"/>
        <v>8.08</v>
      </c>
      <c r="W226" s="15">
        <f>IF(MarkupType="Store Markup",ROUND(V226+V226*StoreMarkup,2),IF(MarkupType="Supplier Markup",V226+V226*SupplierMarkup,"Error at finding value"))</f>
        <v>12.73</v>
      </c>
      <c r="X226" s="32" t="str">
        <f t="shared" si="84"/>
        <v>0.00</v>
      </c>
      <c r="Y226" s="15">
        <f t="shared" si="85"/>
        <v>40.4</v>
      </c>
      <c r="Z226" s="15">
        <f t="shared" si="86"/>
        <v>63.65</v>
      </c>
      <c r="AA226" s="15">
        <f>IF(FreightType="Lethbridge-Stewart Freight ",ROUND(2.99+IF(N226&gt;0.75,(N226-0.75)*2.25,0)*S226,2),IF(MarkupType="Supplier Markup",V226+V226*SupplierMarkup,"Error at finding value"))</f>
        <v>2.99</v>
      </c>
      <c r="AB226" s="15">
        <f t="shared" si="87"/>
        <v>0</v>
      </c>
    </row>
    <row r="227" spans="1:28" x14ac:dyDescent="0.25">
      <c r="A227" s="16">
        <f>OrdersTable!A227</f>
        <v>611</v>
      </c>
      <c r="B227" s="15" t="str">
        <f t="shared" si="67"/>
        <v>Mr</v>
      </c>
      <c r="C227" s="15" t="str">
        <f t="shared" si="88"/>
        <v>Wittman</v>
      </c>
      <c r="D227" s="15" t="str">
        <f t="shared" si="68"/>
        <v>Nicholas Jackson</v>
      </c>
      <c r="E227" s="15" t="str">
        <f t="shared" si="69"/>
        <v>48 Sheppard-Kadel Way</v>
      </c>
      <c r="F227" s="15" t="str">
        <f t="shared" si="70"/>
        <v>Nayook</v>
      </c>
      <c r="G227" s="15" t="str">
        <f t="shared" si="71"/>
        <v>VIC</v>
      </c>
      <c r="H227" s="15">
        <f t="shared" si="72"/>
        <v>3832</v>
      </c>
      <c r="I227" s="15">
        <f t="shared" si="83"/>
        <v>1552</v>
      </c>
      <c r="J227" s="15">
        <f>OrdersTable!B227</f>
        <v>582</v>
      </c>
      <c r="K227" s="15" t="str">
        <f t="shared" si="73"/>
        <v>Giftware</v>
      </c>
      <c r="L227" s="15" t="str">
        <f t="shared" si="74"/>
        <v>Doctor Who: Wallpaper: Classic TARDIS Roundels</v>
      </c>
      <c r="M227" s="15" t="str">
        <f t="shared" si="75"/>
        <v>-</v>
      </c>
      <c r="N227" s="15">
        <f t="shared" si="76"/>
        <v>1.75</v>
      </c>
      <c r="O227" s="15" t="str">
        <f t="shared" si="77"/>
        <v>A40</v>
      </c>
      <c r="P227" s="15" t="str">
        <f t="shared" si="78"/>
        <v>Romana Imports</v>
      </c>
      <c r="Q227" s="15" t="str">
        <f t="shared" si="79"/>
        <v>17 Lalla Ward Road</v>
      </c>
      <c r="R227" s="3">
        <f>OrdersTable!C227</f>
        <v>44577</v>
      </c>
      <c r="S227" s="15">
        <f>OrdersTable!E227</f>
        <v>9</v>
      </c>
      <c r="T227" s="15">
        <f t="shared" si="80"/>
        <v>34.99</v>
      </c>
      <c r="U227" s="15">
        <f t="shared" si="81"/>
        <v>47.77</v>
      </c>
      <c r="V227" s="15">
        <f t="shared" si="82"/>
        <v>56.68</v>
      </c>
      <c r="W227" s="15">
        <f>IF(MarkupType="Store Markup",ROUND(V227+V227*StoreMarkup,2),IF(MarkupType="Supplier Markup",V227+V227*SupplierMarkup,"Error at finding value"))</f>
        <v>89.27</v>
      </c>
      <c r="X227" s="32" t="str">
        <f t="shared" si="84"/>
        <v>0.00</v>
      </c>
      <c r="Y227" s="15">
        <f t="shared" si="85"/>
        <v>510.12</v>
      </c>
      <c r="Z227" s="15">
        <f t="shared" si="86"/>
        <v>803.43</v>
      </c>
      <c r="AA227" s="15">
        <f>IF(FreightType="Lethbridge-Stewart Freight ",ROUND(2.99+IF(N227&gt;0.75,(N227-0.75)*2.25,0)*S227,2),IF(MarkupType="Supplier Markup",V227+V227*SupplierMarkup,"Error at finding value"))</f>
        <v>23.24</v>
      </c>
      <c r="AB227" s="15">
        <f t="shared" si="87"/>
        <v>0</v>
      </c>
    </row>
    <row r="228" spans="1:28" x14ac:dyDescent="0.25">
      <c r="A228" s="16">
        <f>OrdersTable!A228</f>
        <v>802</v>
      </c>
      <c r="B228" s="15" t="str">
        <f t="shared" si="67"/>
        <v>Mr</v>
      </c>
      <c r="C228" s="15" t="str">
        <f t="shared" si="88"/>
        <v>Carlton</v>
      </c>
      <c r="D228" s="15" t="str">
        <f t="shared" si="68"/>
        <v>Lawrence</v>
      </c>
      <c r="E228" s="15" t="str">
        <f t="shared" si="69"/>
        <v>39 Walsh Way</v>
      </c>
      <c r="F228" s="15" t="str">
        <f t="shared" si="70"/>
        <v>Breakwater</v>
      </c>
      <c r="G228" s="15" t="str">
        <f t="shared" si="71"/>
        <v>VIC</v>
      </c>
      <c r="H228" s="15">
        <f t="shared" si="72"/>
        <v>3219</v>
      </c>
      <c r="I228" s="15">
        <f t="shared" si="83"/>
        <v>1596</v>
      </c>
      <c r="J228" s="15">
        <f>OrdersTable!B228</f>
        <v>696</v>
      </c>
      <c r="K228" s="15" t="str">
        <f t="shared" si="73"/>
        <v>Posters, Prints and Standees</v>
      </c>
      <c r="L228" s="15" t="str">
        <f t="shared" si="74"/>
        <v xml:space="preserve">Doctor Who: 50th Anniversary: Poster: To Victory </v>
      </c>
      <c r="M228" s="15" t="str">
        <f t="shared" si="75"/>
        <v>-</v>
      </c>
      <c r="N228" s="15">
        <f t="shared" si="76"/>
        <v>0.2</v>
      </c>
      <c r="O228" s="15" t="str">
        <f t="shared" si="77"/>
        <v>A40</v>
      </c>
      <c r="P228" s="15" t="str">
        <f t="shared" si="78"/>
        <v>Romana Imports</v>
      </c>
      <c r="Q228" s="15" t="str">
        <f t="shared" si="79"/>
        <v>17 Lalla Ward Road</v>
      </c>
      <c r="R228" s="3">
        <f>OrdersTable!C228</f>
        <v>44577</v>
      </c>
      <c r="S228" s="15">
        <f>OrdersTable!E228</f>
        <v>9</v>
      </c>
      <c r="T228" s="15">
        <f t="shared" si="80"/>
        <v>3.99</v>
      </c>
      <c r="U228" s="15">
        <f t="shared" si="81"/>
        <v>5.6</v>
      </c>
      <c r="V228" s="15">
        <f t="shared" si="82"/>
        <v>6.46</v>
      </c>
      <c r="W228" s="15">
        <f>IF(MarkupType="Store Markup",ROUND(V228+V228*StoreMarkup,2),IF(MarkupType="Supplier Markup",V228+V228*SupplierMarkup,"Error at finding value"))</f>
        <v>10.17</v>
      </c>
      <c r="X228" s="32" t="str">
        <f t="shared" si="84"/>
        <v>0.00</v>
      </c>
      <c r="Y228" s="15">
        <f t="shared" si="85"/>
        <v>58.14</v>
      </c>
      <c r="Z228" s="15">
        <f t="shared" si="86"/>
        <v>91.53</v>
      </c>
      <c r="AA228" s="15">
        <f>IF(FreightType="Lethbridge-Stewart Freight ",ROUND(2.99+IF(N228&gt;0.75,(N228-0.75)*2.25,0)*S228,2),IF(MarkupType="Supplier Markup",V228+V228*SupplierMarkup,"Error at finding value"))</f>
        <v>2.99</v>
      </c>
      <c r="AB228" s="15">
        <f t="shared" si="87"/>
        <v>0</v>
      </c>
    </row>
    <row r="229" spans="1:28" x14ac:dyDescent="0.25">
      <c r="A229" s="16">
        <f>OrdersTable!A229</f>
        <v>141</v>
      </c>
      <c r="B229" s="15" t="str">
        <f t="shared" si="67"/>
        <v>Mr</v>
      </c>
      <c r="C229" s="15" t="str">
        <f t="shared" si="88"/>
        <v>Bergmann</v>
      </c>
      <c r="D229" s="15" t="str">
        <f t="shared" si="68"/>
        <v>Beau Jay</v>
      </c>
      <c r="E229" s="15" t="str">
        <f t="shared" si="69"/>
        <v>47 McCullough Circuit</v>
      </c>
      <c r="F229" s="15" t="str">
        <f t="shared" si="70"/>
        <v>Breakwater</v>
      </c>
      <c r="G229" s="15" t="str">
        <f t="shared" si="71"/>
        <v>VIC</v>
      </c>
      <c r="H229" s="15">
        <f t="shared" si="72"/>
        <v>3219</v>
      </c>
      <c r="I229" s="15">
        <f t="shared" si="83"/>
        <v>1596</v>
      </c>
      <c r="J229" s="15">
        <f>OrdersTable!B229</f>
        <v>709</v>
      </c>
      <c r="K229" s="15" t="str">
        <f t="shared" si="73"/>
        <v>Posters, Prints and Standees</v>
      </c>
      <c r="L229" s="15" t="str">
        <f t="shared" si="74"/>
        <v>Doctor Who: Poster: Metallic TARDIS</v>
      </c>
      <c r="M229" s="15" t="str">
        <f t="shared" si="75"/>
        <v>-</v>
      </c>
      <c r="N229" s="15">
        <f t="shared" si="76"/>
        <v>0.2</v>
      </c>
      <c r="O229" s="15" t="str">
        <f t="shared" si="77"/>
        <v>A10</v>
      </c>
      <c r="P229" s="15" t="str">
        <f t="shared" si="78"/>
        <v>Gallifrey International</v>
      </c>
      <c r="Q229" s="15" t="str">
        <f t="shared" si="79"/>
        <v>181 Arcadia Street</v>
      </c>
      <c r="R229" s="3">
        <f>OrdersTable!C229</f>
        <v>44578</v>
      </c>
      <c r="S229" s="15">
        <f>OrdersTable!E229</f>
        <v>4</v>
      </c>
      <c r="T229" s="15">
        <f t="shared" si="80"/>
        <v>3.99</v>
      </c>
      <c r="U229" s="15">
        <f t="shared" si="81"/>
        <v>5.71</v>
      </c>
      <c r="V229" s="15">
        <f t="shared" si="82"/>
        <v>6.46</v>
      </c>
      <c r="W229" s="15">
        <f>IF(MarkupType="Store Markup",ROUND(V229+V229*StoreMarkup,2),IF(MarkupType="Supplier Markup",V229+V229*SupplierMarkup,"Error at finding value"))</f>
        <v>10.17</v>
      </c>
      <c r="X229" s="32" t="str">
        <f t="shared" si="84"/>
        <v>0.00</v>
      </c>
      <c r="Y229" s="15">
        <f t="shared" si="85"/>
        <v>25.84</v>
      </c>
      <c r="Z229" s="15">
        <f t="shared" si="86"/>
        <v>40.68</v>
      </c>
      <c r="AA229" s="15">
        <f>IF(FreightType="Lethbridge-Stewart Freight ",ROUND(2.99+IF(N229&gt;0.75,(N229-0.75)*2.25,0)*S229,2),IF(MarkupType="Supplier Markup",V229+V229*SupplierMarkup,"Error at finding value"))</f>
        <v>2.99</v>
      </c>
      <c r="AB229" s="15">
        <f t="shared" si="87"/>
        <v>0</v>
      </c>
    </row>
    <row r="230" spans="1:28" x14ac:dyDescent="0.25">
      <c r="A230" s="16">
        <f>OrdersTable!A230</f>
        <v>190</v>
      </c>
      <c r="B230" s="15" t="str">
        <f t="shared" si="67"/>
        <v>Mr</v>
      </c>
      <c r="C230" s="15" t="str">
        <f t="shared" si="88"/>
        <v>Azar</v>
      </c>
      <c r="D230" s="15" t="str">
        <f t="shared" si="68"/>
        <v>Hector Antonio</v>
      </c>
      <c r="E230" s="15" t="str">
        <f t="shared" si="69"/>
        <v>38 Hope Avenue</v>
      </c>
      <c r="F230" s="15" t="str">
        <f t="shared" si="70"/>
        <v>Glenfern</v>
      </c>
      <c r="G230" s="15" t="str">
        <f t="shared" si="71"/>
        <v>QLD</v>
      </c>
      <c r="H230" s="15">
        <f t="shared" si="72"/>
        <v>4515</v>
      </c>
      <c r="I230" s="15">
        <f t="shared" si="83"/>
        <v>128</v>
      </c>
      <c r="J230" s="15">
        <f>OrdersTable!B230</f>
        <v>580</v>
      </c>
      <c r="K230" s="15" t="str">
        <f t="shared" si="73"/>
        <v>Giftware</v>
      </c>
      <c r="L230" s="15" t="str">
        <f t="shared" si="74"/>
        <v>Doctor Who: Wallpaper: Classic TARDIS Columns</v>
      </c>
      <c r="M230" s="15" t="str">
        <f t="shared" si="75"/>
        <v>-</v>
      </c>
      <c r="N230" s="15">
        <f t="shared" si="76"/>
        <v>0.65500000000000003</v>
      </c>
      <c r="O230" s="15" t="str">
        <f t="shared" si="77"/>
        <v>A50</v>
      </c>
      <c r="P230" s="15" t="str">
        <f t="shared" si="78"/>
        <v>Rassilon Ltd.</v>
      </c>
      <c r="Q230" s="15" t="str">
        <f t="shared" si="79"/>
        <v>82 Richard Mathews Road</v>
      </c>
      <c r="R230" s="3">
        <f>OrdersTable!C230</f>
        <v>44578</v>
      </c>
      <c r="S230" s="15">
        <f>OrdersTable!E230</f>
        <v>5</v>
      </c>
      <c r="T230" s="15">
        <f t="shared" si="80"/>
        <v>13.11</v>
      </c>
      <c r="U230" s="15">
        <f t="shared" si="81"/>
        <v>18.18</v>
      </c>
      <c r="V230" s="15">
        <f t="shared" si="82"/>
        <v>21.24</v>
      </c>
      <c r="W230" s="15">
        <f>IF(MarkupType="Store Markup",ROUND(V230+V230*StoreMarkup,2),IF(MarkupType="Supplier Markup",V230+V230*SupplierMarkup,"Error at finding value"))</f>
        <v>33.450000000000003</v>
      </c>
      <c r="X230" s="32" t="str">
        <f t="shared" si="84"/>
        <v>0.00</v>
      </c>
      <c r="Y230" s="15">
        <f t="shared" si="85"/>
        <v>106.2</v>
      </c>
      <c r="Z230" s="15">
        <f t="shared" si="86"/>
        <v>167.25</v>
      </c>
      <c r="AA230" s="15">
        <f>IF(FreightType="Lethbridge-Stewart Freight ",ROUND(2.99+IF(N230&gt;0.75,(N230-0.75)*2.25,0)*S230,2),IF(MarkupType="Supplier Markup",V230+V230*SupplierMarkup,"Error at finding value"))</f>
        <v>2.99</v>
      </c>
      <c r="AB230" s="15">
        <f t="shared" si="87"/>
        <v>0</v>
      </c>
    </row>
    <row r="231" spans="1:28" x14ac:dyDescent="0.25">
      <c r="A231" s="16">
        <f>OrdersTable!A231</f>
        <v>200</v>
      </c>
      <c r="B231" s="15" t="str">
        <f t="shared" si="67"/>
        <v>Ms</v>
      </c>
      <c r="C231" s="15" t="str">
        <f t="shared" si="88"/>
        <v>Barton</v>
      </c>
      <c r="D231" s="15" t="str">
        <f t="shared" si="68"/>
        <v>Kimberley</v>
      </c>
      <c r="E231" s="15" t="str">
        <f t="shared" si="69"/>
        <v>9 Decuyper Road</v>
      </c>
      <c r="F231" s="15" t="str">
        <f t="shared" si="70"/>
        <v>Ashford</v>
      </c>
      <c r="G231" s="15" t="str">
        <f t="shared" si="71"/>
        <v>SA</v>
      </c>
      <c r="H231" s="15">
        <f t="shared" si="72"/>
        <v>5035</v>
      </c>
      <c r="I231" s="15">
        <f t="shared" si="83"/>
        <v>1877</v>
      </c>
      <c r="J231" s="15">
        <f>OrdersTable!B231</f>
        <v>541</v>
      </c>
      <c r="K231" s="15" t="str">
        <f t="shared" si="73"/>
        <v>Giftware</v>
      </c>
      <c r="L231" s="15" t="str">
        <f t="shared" si="74"/>
        <v>Doctor Who: Salt and Pepper Shakers: TARDIS</v>
      </c>
      <c r="M231" s="15" t="str">
        <f t="shared" si="75"/>
        <v>-</v>
      </c>
      <c r="N231" s="15">
        <f t="shared" si="76"/>
        <v>0.6</v>
      </c>
      <c r="O231" s="15" t="str">
        <f t="shared" si="77"/>
        <v>A10</v>
      </c>
      <c r="P231" s="15" t="str">
        <f t="shared" si="78"/>
        <v>Gallifrey International</v>
      </c>
      <c r="Q231" s="15" t="str">
        <f t="shared" si="79"/>
        <v>181 Arcadia Street</v>
      </c>
      <c r="R231" s="3">
        <f>OrdersTable!C231</f>
        <v>44578</v>
      </c>
      <c r="S231" s="15">
        <f>OrdersTable!E231</f>
        <v>10</v>
      </c>
      <c r="T231" s="15">
        <f t="shared" si="80"/>
        <v>11.99</v>
      </c>
      <c r="U231" s="15">
        <f t="shared" si="81"/>
        <v>16.62</v>
      </c>
      <c r="V231" s="15">
        <f t="shared" si="82"/>
        <v>19.420000000000002</v>
      </c>
      <c r="W231" s="15">
        <f>IF(MarkupType="Store Markup",ROUND(V231+V231*StoreMarkup,2),IF(MarkupType="Supplier Markup",V231+V231*SupplierMarkup,"Error at finding value"))</f>
        <v>30.59</v>
      </c>
      <c r="X231" s="32" t="str">
        <f t="shared" si="84"/>
        <v>0.00</v>
      </c>
      <c r="Y231" s="15">
        <f t="shared" si="85"/>
        <v>194.2</v>
      </c>
      <c r="Z231" s="15">
        <f t="shared" si="86"/>
        <v>305.89999999999998</v>
      </c>
      <c r="AA231" s="15">
        <f>IF(FreightType="Lethbridge-Stewart Freight ",ROUND(2.99+IF(N231&gt;0.75,(N231-0.75)*2.25,0)*S231,2),IF(MarkupType="Supplier Markup",V231+V231*SupplierMarkup,"Error at finding value"))</f>
        <v>2.99</v>
      </c>
      <c r="AB231" s="15">
        <f t="shared" si="87"/>
        <v>0</v>
      </c>
    </row>
    <row r="232" spans="1:28" x14ac:dyDescent="0.25">
      <c r="A232" s="16">
        <f>OrdersTable!A232</f>
        <v>284</v>
      </c>
      <c r="B232" s="15" t="str">
        <f t="shared" si="67"/>
        <v>Mr</v>
      </c>
      <c r="C232" s="15" t="str">
        <f t="shared" si="88"/>
        <v>Aitcheson</v>
      </c>
      <c r="D232" s="15" t="str">
        <f t="shared" si="68"/>
        <v>Ben James</v>
      </c>
      <c r="E232" s="15" t="str">
        <f t="shared" si="69"/>
        <v>32 Evans Avenue</v>
      </c>
      <c r="F232" s="15" t="str">
        <f t="shared" si="70"/>
        <v>Batlow</v>
      </c>
      <c r="G232" s="15" t="str">
        <f t="shared" si="71"/>
        <v>NSW</v>
      </c>
      <c r="H232" s="15">
        <f t="shared" si="72"/>
        <v>2730</v>
      </c>
      <c r="I232" s="15">
        <f t="shared" si="83"/>
        <v>1138</v>
      </c>
      <c r="J232" s="15">
        <f>OrdersTable!B232</f>
        <v>840</v>
      </c>
      <c r="K232" s="15" t="str">
        <f t="shared" si="73"/>
        <v>Statues and Busts</v>
      </c>
      <c r="L232" s="15" t="str">
        <f t="shared" si="74"/>
        <v>Doctor Who: Signature Edition Statue: Gallifrey Edition: Patrick Troughton</v>
      </c>
      <c r="M232" s="15" t="str">
        <f t="shared" si="75"/>
        <v>-</v>
      </c>
      <c r="N232" s="15">
        <f t="shared" si="76"/>
        <v>2.5</v>
      </c>
      <c r="O232" s="15" t="str">
        <f t="shared" si="77"/>
        <v>A40</v>
      </c>
      <c r="P232" s="15" t="str">
        <f t="shared" si="78"/>
        <v>Romana Imports</v>
      </c>
      <c r="Q232" s="15" t="str">
        <f t="shared" si="79"/>
        <v>17 Lalla Ward Road</v>
      </c>
      <c r="R232" s="3">
        <f>OrdersTable!C232</f>
        <v>44578</v>
      </c>
      <c r="S232" s="15">
        <f>OrdersTable!E232</f>
        <v>4</v>
      </c>
      <c r="T232" s="15">
        <f t="shared" si="80"/>
        <v>49.99</v>
      </c>
      <c r="U232" s="15">
        <f t="shared" si="81"/>
        <v>68.510000000000005</v>
      </c>
      <c r="V232" s="15">
        <f t="shared" si="82"/>
        <v>80.98</v>
      </c>
      <c r="W232" s="15">
        <f>IF(MarkupType="Store Markup",ROUND(V232+V232*StoreMarkup,2),IF(MarkupType="Supplier Markup",V232+V232*SupplierMarkup,"Error at finding value"))</f>
        <v>127.54</v>
      </c>
      <c r="X232" s="32">
        <f t="shared" si="84"/>
        <v>9.09</v>
      </c>
      <c r="Y232" s="15">
        <f t="shared" si="85"/>
        <v>323.92</v>
      </c>
      <c r="Z232" s="15">
        <f t="shared" si="86"/>
        <v>473.8</v>
      </c>
      <c r="AA232" s="15">
        <f>IF(FreightType="Lethbridge-Stewart Freight ",ROUND(2.99+IF(N232&gt;0.75,(N232-0.75)*2.25,0)*S232,2),IF(MarkupType="Supplier Markup",V232+V232*SupplierMarkup,"Error at finding value"))</f>
        <v>18.739999999999998</v>
      </c>
      <c r="AB232" s="15">
        <f t="shared" si="87"/>
        <v>36.36</v>
      </c>
    </row>
    <row r="233" spans="1:28" x14ac:dyDescent="0.25">
      <c r="A233" s="16">
        <f>OrdersTable!A233</f>
        <v>302</v>
      </c>
      <c r="B233" s="15" t="str">
        <f t="shared" si="67"/>
        <v>Ms</v>
      </c>
      <c r="C233" s="15" t="str">
        <f t="shared" si="88"/>
        <v>Lamshed</v>
      </c>
      <c r="D233" s="15" t="str">
        <f t="shared" si="68"/>
        <v>Laura Clare</v>
      </c>
      <c r="E233" s="15" t="str">
        <f t="shared" si="69"/>
        <v>22 Edser Drive</v>
      </c>
      <c r="F233" s="15" t="str">
        <f t="shared" si="70"/>
        <v>Caliph</v>
      </c>
      <c r="G233" s="15" t="str">
        <f t="shared" si="71"/>
        <v>SA</v>
      </c>
      <c r="H233" s="15">
        <f t="shared" si="72"/>
        <v>5310</v>
      </c>
      <c r="I233" s="15">
        <f t="shared" si="83"/>
        <v>1720</v>
      </c>
      <c r="J233" s="15">
        <f>OrdersTable!B233</f>
        <v>698</v>
      </c>
      <c r="K233" s="15" t="str">
        <f t="shared" si="73"/>
        <v>Posters, Prints and Standees</v>
      </c>
      <c r="L233" s="15" t="str">
        <f t="shared" si="74"/>
        <v>Doctor Who: Art Print: My Mysterious Doctor</v>
      </c>
      <c r="M233" s="15" t="str">
        <f t="shared" si="75"/>
        <v>-</v>
      </c>
      <c r="N233" s="15">
        <f t="shared" si="76"/>
        <v>0.75</v>
      </c>
      <c r="O233" s="15" t="str">
        <f t="shared" si="77"/>
        <v>A30</v>
      </c>
      <c r="P233" s="15" t="str">
        <f t="shared" si="78"/>
        <v>Chesterton Enterprises</v>
      </c>
      <c r="Q233" s="15" t="str">
        <f t="shared" si="79"/>
        <v>41 William Russell Road</v>
      </c>
      <c r="R233" s="3">
        <f>OrdersTable!C233</f>
        <v>44578</v>
      </c>
      <c r="S233" s="15">
        <f>OrdersTable!E233</f>
        <v>9</v>
      </c>
      <c r="T233" s="15">
        <f t="shared" si="80"/>
        <v>14.99</v>
      </c>
      <c r="U233" s="15">
        <f t="shared" si="81"/>
        <v>20.56</v>
      </c>
      <c r="V233" s="15">
        <f t="shared" si="82"/>
        <v>24.28</v>
      </c>
      <c r="W233" s="15">
        <f>IF(MarkupType="Store Markup",ROUND(V233+V233*StoreMarkup,2),IF(MarkupType="Supplier Markup",V233+V233*SupplierMarkup,"Error at finding value"))</f>
        <v>38.24</v>
      </c>
      <c r="X233" s="32" t="str">
        <f t="shared" si="84"/>
        <v>0.00</v>
      </c>
      <c r="Y233" s="15">
        <f t="shared" si="85"/>
        <v>218.52</v>
      </c>
      <c r="Z233" s="15">
        <f t="shared" si="86"/>
        <v>344.16</v>
      </c>
      <c r="AA233" s="15">
        <f>IF(FreightType="Lethbridge-Stewart Freight ",ROUND(2.99+IF(N233&gt;0.75,(N233-0.75)*2.25,0)*S233,2),IF(MarkupType="Supplier Markup",V233+V233*SupplierMarkup,"Error at finding value"))</f>
        <v>2.99</v>
      </c>
      <c r="AB233" s="15">
        <f t="shared" si="87"/>
        <v>0</v>
      </c>
    </row>
    <row r="234" spans="1:28" x14ac:dyDescent="0.25">
      <c r="A234" s="16">
        <f>OrdersTable!A234</f>
        <v>329</v>
      </c>
      <c r="B234" s="15" t="str">
        <f t="shared" si="67"/>
        <v>Ms</v>
      </c>
      <c r="C234" s="15" t="str">
        <f t="shared" si="88"/>
        <v>Hubbard</v>
      </c>
      <c r="D234" s="15" t="str">
        <f t="shared" si="68"/>
        <v>Sonya Marie</v>
      </c>
      <c r="E234" s="15" t="str">
        <f t="shared" si="69"/>
        <v>42 Keable Crescent</v>
      </c>
      <c r="F234" s="15" t="str">
        <f t="shared" si="70"/>
        <v>Boston</v>
      </c>
      <c r="G234" s="15" t="str">
        <f t="shared" si="71"/>
        <v>SA</v>
      </c>
      <c r="H234" s="15">
        <f t="shared" si="72"/>
        <v>5607</v>
      </c>
      <c r="I234" s="15">
        <f t="shared" si="83"/>
        <v>2076</v>
      </c>
      <c r="J234" s="15">
        <f>OrdersTable!B234</f>
        <v>590</v>
      </c>
      <c r="K234" s="15" t="str">
        <f t="shared" si="73"/>
        <v>iPhone Skins</v>
      </c>
      <c r="L234" s="15" t="str">
        <f t="shared" si="74"/>
        <v>Doctor Who: iPhone Skin: Exploding TARDIS</v>
      </c>
      <c r="M234" s="15" t="str">
        <f t="shared" si="75"/>
        <v>-</v>
      </c>
      <c r="N234" s="15">
        <f t="shared" si="76"/>
        <v>0.5</v>
      </c>
      <c r="O234" s="15" t="str">
        <f t="shared" si="77"/>
        <v>A20</v>
      </c>
      <c r="P234" s="15" t="str">
        <f t="shared" si="78"/>
        <v>Morbius Inc.</v>
      </c>
      <c r="Q234" s="15" t="str">
        <f t="shared" si="79"/>
        <v>56 Michael Spice Hwy</v>
      </c>
      <c r="R234" s="3">
        <f>OrdersTable!C234</f>
        <v>44578</v>
      </c>
      <c r="S234" s="15">
        <f>OrdersTable!E234</f>
        <v>10</v>
      </c>
      <c r="T234" s="15">
        <f t="shared" si="80"/>
        <v>9.99</v>
      </c>
      <c r="U234" s="15">
        <f t="shared" si="81"/>
        <v>13.86</v>
      </c>
      <c r="V234" s="15">
        <f t="shared" si="82"/>
        <v>16.18</v>
      </c>
      <c r="W234" s="15">
        <f>IF(MarkupType="Store Markup",ROUND(V234+V234*StoreMarkup,2),IF(MarkupType="Supplier Markup",V234+V234*SupplierMarkup,"Error at finding value"))</f>
        <v>25.48</v>
      </c>
      <c r="X234" s="32" t="str">
        <f t="shared" si="84"/>
        <v>0.00</v>
      </c>
      <c r="Y234" s="15">
        <f t="shared" si="85"/>
        <v>161.80000000000001</v>
      </c>
      <c r="Z234" s="15">
        <f t="shared" si="86"/>
        <v>254.8</v>
      </c>
      <c r="AA234" s="15">
        <f>IF(FreightType="Lethbridge-Stewart Freight ",ROUND(2.99+IF(N234&gt;0.75,(N234-0.75)*2.25,0)*S234,2),IF(MarkupType="Supplier Markup",V234+V234*SupplierMarkup,"Error at finding value"))</f>
        <v>2.99</v>
      </c>
      <c r="AB234" s="15">
        <f t="shared" si="87"/>
        <v>0</v>
      </c>
    </row>
    <row r="235" spans="1:28" x14ac:dyDescent="0.25">
      <c r="A235" s="16">
        <f>OrdersTable!A235</f>
        <v>657</v>
      </c>
      <c r="B235" s="15" t="str">
        <f t="shared" si="67"/>
        <v>Mr</v>
      </c>
      <c r="C235" s="15" t="str">
        <f t="shared" si="88"/>
        <v>Poljak</v>
      </c>
      <c r="D235" s="15" t="str">
        <f t="shared" si="68"/>
        <v>Anthony</v>
      </c>
      <c r="E235" s="15" t="str">
        <f t="shared" si="69"/>
        <v>45 Robertson Boulevard</v>
      </c>
      <c r="F235" s="15" t="str">
        <f t="shared" si="70"/>
        <v>Iluka</v>
      </c>
      <c r="G235" s="15" t="str">
        <f t="shared" si="71"/>
        <v>NSW</v>
      </c>
      <c r="H235" s="15">
        <f t="shared" si="72"/>
        <v>2466</v>
      </c>
      <c r="I235" s="15">
        <f t="shared" si="83"/>
        <v>347</v>
      </c>
      <c r="J235" s="15">
        <f>OrdersTable!B235</f>
        <v>464</v>
      </c>
      <c r="K235" s="15" t="str">
        <f t="shared" si="73"/>
        <v>Giftware</v>
      </c>
      <c r="L235" s="15" t="str">
        <f t="shared" si="74"/>
        <v>Doctor Who: Collectable License Plate: My Other Car Is A TARDIS</v>
      </c>
      <c r="M235" s="15" t="str">
        <f t="shared" si="75"/>
        <v>-</v>
      </c>
      <c r="N235" s="15">
        <f t="shared" si="76"/>
        <v>0.6</v>
      </c>
      <c r="O235" s="15" t="str">
        <f t="shared" si="77"/>
        <v>A50</v>
      </c>
      <c r="P235" s="15" t="str">
        <f t="shared" si="78"/>
        <v>Rassilon Ltd.</v>
      </c>
      <c r="Q235" s="15" t="str">
        <f t="shared" si="79"/>
        <v>82 Richard Mathews Road</v>
      </c>
      <c r="R235" s="3">
        <f>OrdersTable!C235</f>
        <v>44578</v>
      </c>
      <c r="S235" s="15">
        <f>OrdersTable!E235</f>
        <v>10</v>
      </c>
      <c r="T235" s="15">
        <f t="shared" si="80"/>
        <v>11.99</v>
      </c>
      <c r="U235" s="15">
        <f t="shared" si="81"/>
        <v>16.579999999999998</v>
      </c>
      <c r="V235" s="15">
        <f t="shared" si="82"/>
        <v>19.420000000000002</v>
      </c>
      <c r="W235" s="15">
        <f>IF(MarkupType="Store Markup",ROUND(V235+V235*StoreMarkup,2),IF(MarkupType="Supplier Markup",V235+V235*SupplierMarkup,"Error at finding value"))</f>
        <v>30.59</v>
      </c>
      <c r="X235" s="32" t="str">
        <f t="shared" si="84"/>
        <v>0.00</v>
      </c>
      <c r="Y235" s="15">
        <f t="shared" si="85"/>
        <v>194.2</v>
      </c>
      <c r="Z235" s="15">
        <f t="shared" si="86"/>
        <v>305.89999999999998</v>
      </c>
      <c r="AA235" s="15">
        <f>IF(FreightType="Lethbridge-Stewart Freight ",ROUND(2.99+IF(N235&gt;0.75,(N235-0.75)*2.25,0)*S235,2),IF(MarkupType="Supplier Markup",V235+V235*SupplierMarkup,"Error at finding value"))</f>
        <v>2.99</v>
      </c>
      <c r="AB235" s="15">
        <f t="shared" si="87"/>
        <v>0</v>
      </c>
    </row>
    <row r="236" spans="1:28" x14ac:dyDescent="0.25">
      <c r="A236" s="16">
        <f>OrdersTable!A236</f>
        <v>657</v>
      </c>
      <c r="B236" s="15" t="str">
        <f t="shared" si="67"/>
        <v>Mr</v>
      </c>
      <c r="C236" s="15" t="str">
        <f t="shared" si="88"/>
        <v>Poljak</v>
      </c>
      <c r="D236" s="15" t="str">
        <f t="shared" si="68"/>
        <v>Anthony</v>
      </c>
      <c r="E236" s="15" t="str">
        <f t="shared" si="69"/>
        <v>45 Robertson Boulevard</v>
      </c>
      <c r="F236" s="15" t="str">
        <f t="shared" si="70"/>
        <v>Iluka</v>
      </c>
      <c r="G236" s="15" t="str">
        <f t="shared" si="71"/>
        <v>NSW</v>
      </c>
      <c r="H236" s="15">
        <f t="shared" si="72"/>
        <v>2466</v>
      </c>
      <c r="I236" s="15">
        <f t="shared" si="83"/>
        <v>347</v>
      </c>
      <c r="J236" s="15">
        <f>OrdersTable!B236</f>
        <v>724</v>
      </c>
      <c r="K236" s="15" t="str">
        <f t="shared" si="73"/>
        <v>Posters, Prints and Standees</v>
      </c>
      <c r="L236" s="15" t="str">
        <f t="shared" si="74"/>
        <v>Doctor Who: Standee: The 10th Doctor</v>
      </c>
      <c r="M236" s="15" t="str">
        <f t="shared" si="75"/>
        <v>-</v>
      </c>
      <c r="N236" s="15">
        <f t="shared" si="76"/>
        <v>1.125</v>
      </c>
      <c r="O236" s="15" t="str">
        <f t="shared" si="77"/>
        <v>A50</v>
      </c>
      <c r="P236" s="15" t="str">
        <f t="shared" si="78"/>
        <v>Rassilon Ltd.</v>
      </c>
      <c r="Q236" s="15" t="str">
        <f t="shared" si="79"/>
        <v>82 Richard Mathews Road</v>
      </c>
      <c r="R236" s="3">
        <f>OrdersTable!C236</f>
        <v>44578</v>
      </c>
      <c r="S236" s="15">
        <f>OrdersTable!E236</f>
        <v>9</v>
      </c>
      <c r="T236" s="15">
        <f t="shared" si="80"/>
        <v>22.49</v>
      </c>
      <c r="U236" s="15">
        <f t="shared" si="81"/>
        <v>30.77</v>
      </c>
      <c r="V236" s="15">
        <f t="shared" si="82"/>
        <v>36.43</v>
      </c>
      <c r="W236" s="15">
        <f>IF(MarkupType="Store Markup",ROUND(V236+V236*StoreMarkup,2),IF(MarkupType="Supplier Markup",V236+V236*SupplierMarkup,"Error at finding value"))</f>
        <v>57.38</v>
      </c>
      <c r="X236" s="32" t="str">
        <f t="shared" si="84"/>
        <v>0.00</v>
      </c>
      <c r="Y236" s="15">
        <f t="shared" si="85"/>
        <v>327.87</v>
      </c>
      <c r="Z236" s="15">
        <f t="shared" si="86"/>
        <v>516.41999999999996</v>
      </c>
      <c r="AA236" s="15">
        <f>IF(FreightType="Lethbridge-Stewart Freight ",ROUND(2.99+IF(N236&gt;0.75,(N236-0.75)*2.25,0)*S236,2),IF(MarkupType="Supplier Markup",V236+V236*SupplierMarkup,"Error at finding value"))</f>
        <v>10.58</v>
      </c>
      <c r="AB236" s="15">
        <f t="shared" si="87"/>
        <v>0</v>
      </c>
    </row>
    <row r="237" spans="1:28" x14ac:dyDescent="0.25">
      <c r="A237" s="16">
        <f>OrdersTable!A237</f>
        <v>669</v>
      </c>
      <c r="B237" s="15" t="str">
        <f t="shared" si="67"/>
        <v>Dr</v>
      </c>
      <c r="C237" s="15" t="str">
        <f t="shared" si="88"/>
        <v>Ferjani</v>
      </c>
      <c r="D237" s="15" t="str">
        <f t="shared" si="68"/>
        <v>Rabah</v>
      </c>
      <c r="E237" s="15" t="str">
        <f t="shared" si="69"/>
        <v>2 Codrington Street</v>
      </c>
      <c r="F237" s="15" t="str">
        <f t="shared" si="70"/>
        <v>Belford</v>
      </c>
      <c r="G237" s="15" t="str">
        <f t="shared" si="71"/>
        <v>NSW</v>
      </c>
      <c r="H237" s="15">
        <f t="shared" si="72"/>
        <v>2335</v>
      </c>
      <c r="I237" s="15">
        <f t="shared" si="83"/>
        <v>716</v>
      </c>
      <c r="J237" s="15">
        <f>OrdersTable!B237</f>
        <v>652</v>
      </c>
      <c r="K237" s="15" t="str">
        <f t="shared" si="73"/>
        <v>Mugs</v>
      </c>
      <c r="L237" s="15" t="str">
        <f t="shared" si="74"/>
        <v>Doctor Who: Mug: Dalek 2D</v>
      </c>
      <c r="M237" s="15" t="str">
        <f t="shared" si="75"/>
        <v>-</v>
      </c>
      <c r="N237" s="15">
        <f t="shared" si="76"/>
        <v>0.35</v>
      </c>
      <c r="O237" s="15" t="str">
        <f t="shared" si="77"/>
        <v>A10</v>
      </c>
      <c r="P237" s="15" t="str">
        <f t="shared" si="78"/>
        <v>Gallifrey International</v>
      </c>
      <c r="Q237" s="15" t="str">
        <f t="shared" si="79"/>
        <v>181 Arcadia Street</v>
      </c>
      <c r="R237" s="3">
        <f>OrdersTable!C237</f>
        <v>44578</v>
      </c>
      <c r="S237" s="15">
        <f>OrdersTable!E237</f>
        <v>5</v>
      </c>
      <c r="T237" s="15">
        <f t="shared" si="80"/>
        <v>6.99</v>
      </c>
      <c r="U237" s="15">
        <f t="shared" si="81"/>
        <v>9.8800000000000008</v>
      </c>
      <c r="V237" s="15">
        <f t="shared" si="82"/>
        <v>11.32</v>
      </c>
      <c r="W237" s="15">
        <f>IF(MarkupType="Store Markup",ROUND(V237+V237*StoreMarkup,2),IF(MarkupType="Supplier Markup",V237+V237*SupplierMarkup,"Error at finding value"))</f>
        <v>17.829999999999998</v>
      </c>
      <c r="X237" s="32" t="str">
        <f t="shared" si="84"/>
        <v>0.00</v>
      </c>
      <c r="Y237" s="15">
        <f t="shared" si="85"/>
        <v>56.6</v>
      </c>
      <c r="Z237" s="15">
        <f t="shared" si="86"/>
        <v>89.15</v>
      </c>
      <c r="AA237" s="15">
        <f>IF(FreightType="Lethbridge-Stewart Freight ",ROUND(2.99+IF(N237&gt;0.75,(N237-0.75)*2.25,0)*S237,2),IF(MarkupType="Supplier Markup",V237+V237*SupplierMarkup,"Error at finding value"))</f>
        <v>2.99</v>
      </c>
      <c r="AB237" s="15">
        <f t="shared" si="87"/>
        <v>0</v>
      </c>
    </row>
    <row r="238" spans="1:28" x14ac:dyDescent="0.25">
      <c r="A238" s="16">
        <f>OrdersTable!A238</f>
        <v>750</v>
      </c>
      <c r="B238" s="15" t="str">
        <f t="shared" si="67"/>
        <v>Ms</v>
      </c>
      <c r="C238" s="15" t="str">
        <f t="shared" si="88"/>
        <v>Talbot</v>
      </c>
      <c r="D238" s="15" t="str">
        <f t="shared" si="68"/>
        <v>Carlie Wenderly</v>
      </c>
      <c r="E238" s="15" t="str">
        <f t="shared" si="69"/>
        <v>31 Somerville Way</v>
      </c>
      <c r="F238" s="15" t="str">
        <f t="shared" si="70"/>
        <v>Boston</v>
      </c>
      <c r="G238" s="15" t="str">
        <f t="shared" si="71"/>
        <v>SA</v>
      </c>
      <c r="H238" s="15">
        <f t="shared" si="72"/>
        <v>5607</v>
      </c>
      <c r="I238" s="15">
        <f t="shared" si="83"/>
        <v>2076</v>
      </c>
      <c r="J238" s="15">
        <f>OrdersTable!B238</f>
        <v>201</v>
      </c>
      <c r="K238" s="15" t="str">
        <f t="shared" si="73"/>
        <v>Clothing and Apparel</v>
      </c>
      <c r="L238" s="15" t="str">
        <f t="shared" si="74"/>
        <v>Doctor Who: Dalek Beanie</v>
      </c>
      <c r="M238" s="15" t="str">
        <f t="shared" si="75"/>
        <v>-</v>
      </c>
      <c r="N238" s="15">
        <f t="shared" si="76"/>
        <v>1.1399999999999999</v>
      </c>
      <c r="O238" s="15" t="str">
        <f t="shared" si="77"/>
        <v>A50</v>
      </c>
      <c r="P238" s="15" t="str">
        <f t="shared" si="78"/>
        <v>Rassilon Ltd.</v>
      </c>
      <c r="Q238" s="15" t="str">
        <f t="shared" si="79"/>
        <v>82 Richard Mathews Road</v>
      </c>
      <c r="R238" s="3">
        <f>OrdersTable!C238</f>
        <v>44578</v>
      </c>
      <c r="S238" s="15">
        <f>OrdersTable!E238</f>
        <v>7</v>
      </c>
      <c r="T238" s="15">
        <f t="shared" si="80"/>
        <v>22.75</v>
      </c>
      <c r="U238" s="15">
        <f t="shared" si="81"/>
        <v>31.26</v>
      </c>
      <c r="V238" s="15">
        <f t="shared" si="82"/>
        <v>36.86</v>
      </c>
      <c r="W238" s="15">
        <f>IF(MarkupType="Store Markup",ROUND(V238+V238*StoreMarkup,2),IF(MarkupType="Supplier Markup",V238+V238*SupplierMarkup,"Error at finding value"))</f>
        <v>58.05</v>
      </c>
      <c r="X238" s="32" t="str">
        <f t="shared" si="84"/>
        <v>0.00</v>
      </c>
      <c r="Y238" s="15">
        <f t="shared" si="85"/>
        <v>258.02</v>
      </c>
      <c r="Z238" s="15">
        <f t="shared" si="86"/>
        <v>406.35</v>
      </c>
      <c r="AA238" s="15">
        <f>IF(FreightType="Lethbridge-Stewart Freight ",ROUND(2.99+IF(N238&gt;0.75,(N238-0.75)*2.25,0)*S238,2),IF(MarkupType="Supplier Markup",V238+V238*SupplierMarkup,"Error at finding value"))</f>
        <v>9.1300000000000008</v>
      </c>
      <c r="AB238" s="15">
        <f t="shared" si="87"/>
        <v>0</v>
      </c>
    </row>
    <row r="239" spans="1:28" x14ac:dyDescent="0.25">
      <c r="A239" s="16">
        <f>OrdersTable!A239</f>
        <v>784</v>
      </c>
      <c r="B239" s="15" t="str">
        <f t="shared" si="67"/>
        <v>Ms</v>
      </c>
      <c r="C239" s="15" t="str">
        <f t="shared" si="88"/>
        <v>Hansen</v>
      </c>
      <c r="D239" s="15" t="str">
        <f t="shared" si="68"/>
        <v>Courtney Michelle</v>
      </c>
      <c r="E239" s="15" t="str">
        <f t="shared" si="69"/>
        <v>22 Elliot Crescent</v>
      </c>
      <c r="F239" s="15" t="str">
        <f t="shared" si="70"/>
        <v>Alfredtown</v>
      </c>
      <c r="G239" s="15" t="str">
        <f t="shared" si="71"/>
        <v>NSW</v>
      </c>
      <c r="H239" s="15">
        <f t="shared" si="72"/>
        <v>2650</v>
      </c>
      <c r="I239" s="15">
        <f t="shared" si="83"/>
        <v>1124</v>
      </c>
      <c r="J239" s="15">
        <f>OrdersTable!B239</f>
        <v>719</v>
      </c>
      <c r="K239" s="15" t="str">
        <f t="shared" si="73"/>
        <v>Posters, Prints and Standees</v>
      </c>
      <c r="L239" s="15" t="str">
        <f t="shared" si="74"/>
        <v>Doctor Who: Standee: Supreme Dalek</v>
      </c>
      <c r="M239" s="15" t="str">
        <f t="shared" si="75"/>
        <v>-</v>
      </c>
      <c r="N239" s="15">
        <f t="shared" si="76"/>
        <v>1.125</v>
      </c>
      <c r="O239" s="15" t="str">
        <f t="shared" si="77"/>
        <v>A50</v>
      </c>
      <c r="P239" s="15" t="str">
        <f t="shared" si="78"/>
        <v>Rassilon Ltd.</v>
      </c>
      <c r="Q239" s="15" t="str">
        <f t="shared" si="79"/>
        <v>82 Richard Mathews Road</v>
      </c>
      <c r="R239" s="3">
        <f>OrdersTable!C239</f>
        <v>44578</v>
      </c>
      <c r="S239" s="15">
        <f>OrdersTable!E239</f>
        <v>10</v>
      </c>
      <c r="T239" s="15">
        <f t="shared" si="80"/>
        <v>22.49</v>
      </c>
      <c r="U239" s="15">
        <f t="shared" si="81"/>
        <v>30.76</v>
      </c>
      <c r="V239" s="15">
        <f t="shared" si="82"/>
        <v>36.43</v>
      </c>
      <c r="W239" s="15">
        <f>IF(MarkupType="Store Markup",ROUND(V239+V239*StoreMarkup,2),IF(MarkupType="Supplier Markup",V239+V239*SupplierMarkup,"Error at finding value"))</f>
        <v>57.38</v>
      </c>
      <c r="X239" s="32" t="str">
        <f t="shared" si="84"/>
        <v>0.00</v>
      </c>
      <c r="Y239" s="15">
        <f t="shared" si="85"/>
        <v>364.3</v>
      </c>
      <c r="Z239" s="15">
        <f t="shared" si="86"/>
        <v>573.79999999999995</v>
      </c>
      <c r="AA239" s="15">
        <f>IF(FreightType="Lethbridge-Stewart Freight ",ROUND(2.99+IF(N239&gt;0.75,(N239-0.75)*2.25,0)*S239,2),IF(MarkupType="Supplier Markup",V239+V239*SupplierMarkup,"Error at finding value"))</f>
        <v>11.43</v>
      </c>
      <c r="AB239" s="15">
        <f t="shared" si="87"/>
        <v>0</v>
      </c>
    </row>
    <row r="240" spans="1:28" x14ac:dyDescent="0.25">
      <c r="A240" s="16">
        <f>OrdersTable!A240</f>
        <v>802</v>
      </c>
      <c r="B240" s="15" t="str">
        <f t="shared" si="67"/>
        <v>Mr</v>
      </c>
      <c r="C240" s="15" t="str">
        <f t="shared" si="88"/>
        <v>Carlton</v>
      </c>
      <c r="D240" s="15" t="str">
        <f t="shared" si="68"/>
        <v>Lawrence</v>
      </c>
      <c r="E240" s="15" t="str">
        <f t="shared" si="69"/>
        <v>39 Walsh Way</v>
      </c>
      <c r="F240" s="15" t="str">
        <f t="shared" si="70"/>
        <v>Breakwater</v>
      </c>
      <c r="G240" s="15" t="str">
        <f t="shared" si="71"/>
        <v>VIC</v>
      </c>
      <c r="H240" s="15">
        <f t="shared" si="72"/>
        <v>3219</v>
      </c>
      <c r="I240" s="15">
        <f t="shared" si="83"/>
        <v>1596</v>
      </c>
      <c r="J240" s="15">
        <f>OrdersTable!B240</f>
        <v>201</v>
      </c>
      <c r="K240" s="15" t="str">
        <f t="shared" si="73"/>
        <v>Clothing and Apparel</v>
      </c>
      <c r="L240" s="15" t="str">
        <f t="shared" si="74"/>
        <v>Doctor Who: Dalek Beanie</v>
      </c>
      <c r="M240" s="15" t="str">
        <f t="shared" si="75"/>
        <v>-</v>
      </c>
      <c r="N240" s="15">
        <f t="shared" si="76"/>
        <v>1.1399999999999999</v>
      </c>
      <c r="O240" s="15" t="str">
        <f t="shared" si="77"/>
        <v>A50</v>
      </c>
      <c r="P240" s="15" t="str">
        <f t="shared" si="78"/>
        <v>Rassilon Ltd.</v>
      </c>
      <c r="Q240" s="15" t="str">
        <f t="shared" si="79"/>
        <v>82 Richard Mathews Road</v>
      </c>
      <c r="R240" s="3">
        <f>OrdersTable!C240</f>
        <v>44578</v>
      </c>
      <c r="S240" s="15">
        <f>OrdersTable!E240</f>
        <v>3</v>
      </c>
      <c r="T240" s="15">
        <f t="shared" si="80"/>
        <v>22.75</v>
      </c>
      <c r="U240" s="15">
        <f t="shared" si="81"/>
        <v>31.26</v>
      </c>
      <c r="V240" s="15">
        <f t="shared" si="82"/>
        <v>36.86</v>
      </c>
      <c r="W240" s="15">
        <f>IF(MarkupType="Store Markup",ROUND(V240+V240*StoreMarkup,2),IF(MarkupType="Supplier Markup",V240+V240*SupplierMarkup,"Error at finding value"))</f>
        <v>58.05</v>
      </c>
      <c r="X240" s="32" t="str">
        <f t="shared" si="84"/>
        <v>0.00</v>
      </c>
      <c r="Y240" s="15">
        <f t="shared" si="85"/>
        <v>110.58</v>
      </c>
      <c r="Z240" s="15">
        <f t="shared" si="86"/>
        <v>174.15</v>
      </c>
      <c r="AA240" s="15">
        <f>IF(FreightType="Lethbridge-Stewart Freight ",ROUND(2.99+IF(N240&gt;0.75,(N240-0.75)*2.25,0)*S240,2),IF(MarkupType="Supplier Markup",V240+V240*SupplierMarkup,"Error at finding value"))</f>
        <v>5.62</v>
      </c>
      <c r="AB240" s="15">
        <f t="shared" si="87"/>
        <v>0</v>
      </c>
    </row>
    <row r="241" spans="1:28" x14ac:dyDescent="0.25">
      <c r="A241" s="16">
        <f>OrdersTable!A241</f>
        <v>66</v>
      </c>
      <c r="B241" s="15" t="str">
        <f t="shared" si="67"/>
        <v>Mr</v>
      </c>
      <c r="C241" s="15" t="str">
        <f t="shared" si="88"/>
        <v>Bachmann</v>
      </c>
      <c r="D241" s="15" t="str">
        <f t="shared" si="68"/>
        <v>Aaron</v>
      </c>
      <c r="E241" s="15" t="str">
        <f t="shared" si="69"/>
        <v>3 Csabai Avenue</v>
      </c>
      <c r="F241" s="15" t="str">
        <f t="shared" si="70"/>
        <v>Bridgewater</v>
      </c>
      <c r="G241" s="15" t="str">
        <f t="shared" si="71"/>
        <v>VIC</v>
      </c>
      <c r="H241" s="15">
        <f t="shared" si="72"/>
        <v>3516</v>
      </c>
      <c r="I241" s="15">
        <f t="shared" si="83"/>
        <v>1486</v>
      </c>
      <c r="J241" s="15">
        <f>OrdersTable!B241</f>
        <v>853</v>
      </c>
      <c r="K241" s="15" t="str">
        <f t="shared" si="73"/>
        <v>Statues and Busts</v>
      </c>
      <c r="L241" s="15" t="str">
        <f t="shared" si="74"/>
        <v>Doctor Who: Statue: The Master And Auton</v>
      </c>
      <c r="M241" s="15" t="str">
        <f t="shared" si="75"/>
        <v>-</v>
      </c>
      <c r="N241" s="15">
        <f t="shared" si="76"/>
        <v>3.5</v>
      </c>
      <c r="O241" s="15" t="str">
        <f t="shared" si="77"/>
        <v>A50</v>
      </c>
      <c r="P241" s="15" t="str">
        <f t="shared" si="78"/>
        <v>Rassilon Ltd.</v>
      </c>
      <c r="Q241" s="15" t="str">
        <f t="shared" si="79"/>
        <v>82 Richard Mathews Road</v>
      </c>
      <c r="R241" s="3">
        <f>OrdersTable!C241</f>
        <v>44579</v>
      </c>
      <c r="S241" s="15">
        <f>OrdersTable!E241</f>
        <v>9</v>
      </c>
      <c r="T241" s="15">
        <f t="shared" si="80"/>
        <v>69.989999999999995</v>
      </c>
      <c r="U241" s="15">
        <f t="shared" si="81"/>
        <v>95.51</v>
      </c>
      <c r="V241" s="15">
        <f t="shared" si="82"/>
        <v>113.38</v>
      </c>
      <c r="W241" s="15">
        <f>IF(MarkupType="Store Markup",ROUND(V241+V241*StoreMarkup,2),IF(MarkupType="Supplier Markup",V241+V241*SupplierMarkup,"Error at finding value"))</f>
        <v>178.57</v>
      </c>
      <c r="X241" s="32">
        <f t="shared" si="84"/>
        <v>12.72</v>
      </c>
      <c r="Y241" s="15">
        <f t="shared" si="85"/>
        <v>1020.42</v>
      </c>
      <c r="Z241" s="15">
        <f t="shared" si="86"/>
        <v>1492.65</v>
      </c>
      <c r="AA241" s="15">
        <f>IF(FreightType="Lethbridge-Stewart Freight ",ROUND(2.99+IF(N241&gt;0.75,(N241-0.75)*2.25,0)*S241,2),IF(MarkupType="Supplier Markup",V241+V241*SupplierMarkup,"Error at finding value"))</f>
        <v>58.68</v>
      </c>
      <c r="AB241" s="15">
        <f t="shared" si="87"/>
        <v>114.48</v>
      </c>
    </row>
    <row r="242" spans="1:28" x14ac:dyDescent="0.25">
      <c r="A242" s="16">
        <f>OrdersTable!A242</f>
        <v>139</v>
      </c>
      <c r="B242" s="15" t="str">
        <f t="shared" si="67"/>
        <v>Mrs</v>
      </c>
      <c r="C242" s="15" t="str">
        <f t="shared" si="88"/>
        <v>Atkinson</v>
      </c>
      <c r="D242" s="15" t="str">
        <f t="shared" si="68"/>
        <v>Leanne</v>
      </c>
      <c r="E242" s="15" t="str">
        <f t="shared" si="69"/>
        <v>45 Maloney Boulevard</v>
      </c>
      <c r="F242" s="15" t="str">
        <f t="shared" si="70"/>
        <v>Avon Plains</v>
      </c>
      <c r="G242" s="15" t="str">
        <f t="shared" si="71"/>
        <v>VIC</v>
      </c>
      <c r="H242" s="15">
        <f t="shared" si="72"/>
        <v>3477</v>
      </c>
      <c r="I242" s="15">
        <f t="shared" si="83"/>
        <v>1565</v>
      </c>
      <c r="J242" s="15">
        <f>OrdersTable!B242</f>
        <v>583</v>
      </c>
      <c r="K242" s="15" t="str">
        <f t="shared" si="73"/>
        <v>iPhone Skins</v>
      </c>
      <c r="L242" s="15" t="str">
        <f t="shared" si="74"/>
        <v>Doctor Who: iPhone Skin: Cyberman Delete</v>
      </c>
      <c r="M242" s="15" t="str">
        <f t="shared" si="75"/>
        <v>-</v>
      </c>
      <c r="N242" s="15">
        <f t="shared" si="76"/>
        <v>0.3</v>
      </c>
      <c r="O242" s="15" t="str">
        <f t="shared" si="77"/>
        <v>A50</v>
      </c>
      <c r="P242" s="15" t="str">
        <f t="shared" si="78"/>
        <v>Rassilon Ltd.</v>
      </c>
      <c r="Q242" s="15" t="str">
        <f t="shared" si="79"/>
        <v>82 Richard Mathews Road</v>
      </c>
      <c r="R242" s="3">
        <f>OrdersTable!C242</f>
        <v>44579</v>
      </c>
      <c r="S242" s="15">
        <f>OrdersTable!E242</f>
        <v>9</v>
      </c>
      <c r="T242" s="15">
        <f t="shared" si="80"/>
        <v>5.99</v>
      </c>
      <c r="U242" s="15">
        <f t="shared" si="81"/>
        <v>8.23</v>
      </c>
      <c r="V242" s="15">
        <f t="shared" si="82"/>
        <v>9.6999999999999993</v>
      </c>
      <c r="W242" s="15">
        <f>IF(MarkupType="Store Markup",ROUND(V242+V242*StoreMarkup,2),IF(MarkupType="Supplier Markup",V242+V242*SupplierMarkup,"Error at finding value"))</f>
        <v>15.28</v>
      </c>
      <c r="X242" s="32" t="str">
        <f t="shared" si="84"/>
        <v>0.00</v>
      </c>
      <c r="Y242" s="15">
        <f t="shared" si="85"/>
        <v>87.3</v>
      </c>
      <c r="Z242" s="15">
        <f t="shared" si="86"/>
        <v>137.52000000000001</v>
      </c>
      <c r="AA242" s="15">
        <f>IF(FreightType="Lethbridge-Stewart Freight ",ROUND(2.99+IF(N242&gt;0.75,(N242-0.75)*2.25,0)*S242,2),IF(MarkupType="Supplier Markup",V242+V242*SupplierMarkup,"Error at finding value"))</f>
        <v>2.99</v>
      </c>
      <c r="AB242" s="15">
        <f t="shared" si="87"/>
        <v>0</v>
      </c>
    </row>
    <row r="243" spans="1:28" x14ac:dyDescent="0.25">
      <c r="A243" s="16">
        <f>OrdersTable!A243</f>
        <v>526</v>
      </c>
      <c r="B243" s="15" t="str">
        <f t="shared" si="67"/>
        <v>Mrs</v>
      </c>
      <c r="C243" s="15" t="str">
        <f t="shared" si="88"/>
        <v>Bradford</v>
      </c>
      <c r="D243" s="15" t="str">
        <f t="shared" si="68"/>
        <v>Haleigh Renae Ann</v>
      </c>
      <c r="E243" s="15" t="str">
        <f t="shared" si="69"/>
        <v>31 Johnston Road</v>
      </c>
      <c r="F243" s="15" t="str">
        <f t="shared" si="70"/>
        <v>Ashford</v>
      </c>
      <c r="G243" s="15" t="str">
        <f t="shared" si="71"/>
        <v>SA</v>
      </c>
      <c r="H243" s="15">
        <f t="shared" si="72"/>
        <v>5035</v>
      </c>
      <c r="I243" s="15">
        <f t="shared" si="83"/>
        <v>1877</v>
      </c>
      <c r="J243" s="15">
        <f>OrdersTable!B243</f>
        <v>813</v>
      </c>
      <c r="K243" s="15" t="str">
        <f t="shared" si="73"/>
        <v>Statues and Busts</v>
      </c>
      <c r="L243" s="15" t="str">
        <f t="shared" si="74"/>
        <v>Doctor Who: Masterpiece Collection Maxi Bust: Leela</v>
      </c>
      <c r="M243" s="15" t="str">
        <f t="shared" si="75"/>
        <v>-</v>
      </c>
      <c r="N243" s="15">
        <f t="shared" si="76"/>
        <v>2.5</v>
      </c>
      <c r="O243" s="15" t="str">
        <f t="shared" si="77"/>
        <v>A30</v>
      </c>
      <c r="P243" s="15" t="str">
        <f t="shared" si="78"/>
        <v>Chesterton Enterprises</v>
      </c>
      <c r="Q243" s="15" t="str">
        <f t="shared" si="79"/>
        <v>41 William Russell Road</v>
      </c>
      <c r="R243" s="3">
        <f>OrdersTable!C243</f>
        <v>44579</v>
      </c>
      <c r="S243" s="15">
        <f>OrdersTable!E243</f>
        <v>5</v>
      </c>
      <c r="T243" s="15">
        <f t="shared" si="80"/>
        <v>49.99</v>
      </c>
      <c r="U243" s="15">
        <f t="shared" si="81"/>
        <v>68.319999999999993</v>
      </c>
      <c r="V243" s="15">
        <f t="shared" si="82"/>
        <v>80.98</v>
      </c>
      <c r="W243" s="15">
        <f>IF(MarkupType="Store Markup",ROUND(V243+V243*StoreMarkup,2),IF(MarkupType="Supplier Markup",V243+V243*SupplierMarkup,"Error at finding value"))</f>
        <v>127.54</v>
      </c>
      <c r="X243" s="32">
        <f t="shared" si="84"/>
        <v>9.09</v>
      </c>
      <c r="Y243" s="15">
        <f t="shared" si="85"/>
        <v>404.9</v>
      </c>
      <c r="Z243" s="15">
        <f t="shared" si="86"/>
        <v>592.25</v>
      </c>
      <c r="AA243" s="15">
        <f>IF(FreightType="Lethbridge-Stewart Freight ",ROUND(2.99+IF(N243&gt;0.75,(N243-0.75)*2.25,0)*S243,2),IF(MarkupType="Supplier Markup",V243+V243*SupplierMarkup,"Error at finding value"))</f>
        <v>22.68</v>
      </c>
      <c r="AB243" s="15">
        <f t="shared" si="87"/>
        <v>45.45</v>
      </c>
    </row>
    <row r="244" spans="1:28" x14ac:dyDescent="0.25">
      <c r="A244" s="16">
        <f>OrdersTable!A244</f>
        <v>544</v>
      </c>
      <c r="B244" s="15" t="str">
        <f t="shared" si="67"/>
        <v>Mr</v>
      </c>
      <c r="C244" s="15" t="str">
        <f t="shared" si="88"/>
        <v>Sullivan</v>
      </c>
      <c r="D244" s="15" t="str">
        <f t="shared" si="68"/>
        <v>Lawrence Bernard</v>
      </c>
      <c r="E244" s="15" t="str">
        <f t="shared" si="69"/>
        <v>11 Haydon Boulevard</v>
      </c>
      <c r="F244" s="15" t="str">
        <f t="shared" si="70"/>
        <v>Breakwater</v>
      </c>
      <c r="G244" s="15" t="str">
        <f t="shared" si="71"/>
        <v>VIC</v>
      </c>
      <c r="H244" s="15">
        <f t="shared" si="72"/>
        <v>3219</v>
      </c>
      <c r="I244" s="15">
        <f t="shared" si="83"/>
        <v>1596</v>
      </c>
      <c r="J244" s="15">
        <f>OrdersTable!B244</f>
        <v>780</v>
      </c>
      <c r="K244" s="15" t="str">
        <f t="shared" si="73"/>
        <v>Statues and Busts</v>
      </c>
      <c r="L244" s="15" t="str">
        <f t="shared" si="74"/>
        <v>Doctor Who: Masterpiece Collection Dalek: Genesis Of The Daleks</v>
      </c>
      <c r="M244" s="15" t="str">
        <f t="shared" si="75"/>
        <v>-</v>
      </c>
      <c r="N244" s="15">
        <f t="shared" si="76"/>
        <v>2.5</v>
      </c>
      <c r="O244" s="15" t="str">
        <f t="shared" si="77"/>
        <v>A30</v>
      </c>
      <c r="P244" s="15" t="str">
        <f t="shared" si="78"/>
        <v>Chesterton Enterprises</v>
      </c>
      <c r="Q244" s="15" t="str">
        <f t="shared" si="79"/>
        <v>41 William Russell Road</v>
      </c>
      <c r="R244" s="3">
        <f>OrdersTable!C244</f>
        <v>44579</v>
      </c>
      <c r="S244" s="15">
        <f>OrdersTable!E244</f>
        <v>6</v>
      </c>
      <c r="T244" s="15">
        <f t="shared" si="80"/>
        <v>49.99</v>
      </c>
      <c r="U244" s="15">
        <f t="shared" si="81"/>
        <v>68.23</v>
      </c>
      <c r="V244" s="15">
        <f t="shared" si="82"/>
        <v>80.98</v>
      </c>
      <c r="W244" s="15">
        <f>IF(MarkupType="Store Markup",ROUND(V244+V244*StoreMarkup,2),IF(MarkupType="Supplier Markup",V244+V244*SupplierMarkup,"Error at finding value"))</f>
        <v>127.54</v>
      </c>
      <c r="X244" s="32">
        <f t="shared" si="84"/>
        <v>9.09</v>
      </c>
      <c r="Y244" s="15">
        <f t="shared" si="85"/>
        <v>485.88</v>
      </c>
      <c r="Z244" s="15">
        <f t="shared" si="86"/>
        <v>710.7</v>
      </c>
      <c r="AA244" s="15">
        <f>IF(FreightType="Lethbridge-Stewart Freight ",ROUND(2.99+IF(N244&gt;0.75,(N244-0.75)*2.25,0)*S244,2),IF(MarkupType="Supplier Markup",V244+V244*SupplierMarkup,"Error at finding value"))</f>
        <v>26.62</v>
      </c>
      <c r="AB244" s="15">
        <f t="shared" si="87"/>
        <v>54.54</v>
      </c>
    </row>
    <row r="245" spans="1:28" x14ac:dyDescent="0.25">
      <c r="A245" s="16">
        <f>OrdersTable!A245</f>
        <v>557</v>
      </c>
      <c r="B245" s="15" t="str">
        <f t="shared" si="67"/>
        <v>Mrs</v>
      </c>
      <c r="C245" s="15" t="str">
        <f t="shared" si="88"/>
        <v>Allen</v>
      </c>
      <c r="D245" s="15" t="str">
        <f t="shared" si="68"/>
        <v>Morgan</v>
      </c>
      <c r="E245" s="15" t="str">
        <f t="shared" si="69"/>
        <v>15 Winsor Street</v>
      </c>
      <c r="F245" s="15" t="str">
        <f t="shared" si="70"/>
        <v>Appletree Flat</v>
      </c>
      <c r="G245" s="15" t="str">
        <f t="shared" si="71"/>
        <v>NSW</v>
      </c>
      <c r="H245" s="15">
        <f t="shared" si="72"/>
        <v>2330</v>
      </c>
      <c r="I245" s="15">
        <f t="shared" si="83"/>
        <v>691</v>
      </c>
      <c r="J245" s="15">
        <f>OrdersTable!B245</f>
        <v>759</v>
      </c>
      <c r="K245" s="15" t="str">
        <f t="shared" si="73"/>
        <v>Statues and Busts</v>
      </c>
      <c r="L245" s="15" t="str">
        <f t="shared" si="74"/>
        <v>Doctor Who: Legends Forever Bust: Jon Pertwee</v>
      </c>
      <c r="M245" s="15" t="str">
        <f t="shared" si="75"/>
        <v>-</v>
      </c>
      <c r="N245" s="15">
        <f t="shared" si="76"/>
        <v>1.375</v>
      </c>
      <c r="O245" s="15" t="str">
        <f t="shared" si="77"/>
        <v>A30</v>
      </c>
      <c r="P245" s="15" t="str">
        <f t="shared" si="78"/>
        <v>Chesterton Enterprises</v>
      </c>
      <c r="Q245" s="15" t="str">
        <f t="shared" si="79"/>
        <v>41 William Russell Road</v>
      </c>
      <c r="R245" s="3">
        <f>OrdersTable!C245</f>
        <v>44579</v>
      </c>
      <c r="S245" s="15">
        <f>OrdersTable!E245</f>
        <v>10</v>
      </c>
      <c r="T245" s="15">
        <f t="shared" si="80"/>
        <v>27.5</v>
      </c>
      <c r="U245" s="15">
        <f t="shared" si="81"/>
        <v>37.630000000000003</v>
      </c>
      <c r="V245" s="15">
        <f t="shared" si="82"/>
        <v>44.55</v>
      </c>
      <c r="W245" s="15">
        <f>IF(MarkupType="Store Markup",ROUND(V245+V245*StoreMarkup,2),IF(MarkupType="Supplier Markup",V245+V245*SupplierMarkup,"Error at finding value"))</f>
        <v>70.17</v>
      </c>
      <c r="X245" s="32" t="str">
        <f t="shared" si="84"/>
        <v>0.00</v>
      </c>
      <c r="Y245" s="15">
        <f t="shared" si="85"/>
        <v>445.5</v>
      </c>
      <c r="Z245" s="15">
        <f t="shared" si="86"/>
        <v>701.7</v>
      </c>
      <c r="AA245" s="15">
        <f>IF(FreightType="Lethbridge-Stewart Freight ",ROUND(2.99+IF(N245&gt;0.75,(N245-0.75)*2.25,0)*S245,2),IF(MarkupType="Supplier Markup",V245+V245*SupplierMarkup,"Error at finding value"))</f>
        <v>17.05</v>
      </c>
      <c r="AB245" s="15">
        <f t="shared" si="87"/>
        <v>0</v>
      </c>
    </row>
    <row r="246" spans="1:28" x14ac:dyDescent="0.25">
      <c r="A246" s="16">
        <f>OrdersTable!A246</f>
        <v>570</v>
      </c>
      <c r="B246" s="15" t="str">
        <f t="shared" si="67"/>
        <v>Mr</v>
      </c>
      <c r="C246" s="15" t="str">
        <f t="shared" si="88"/>
        <v>Adams</v>
      </c>
      <c r="D246" s="15" t="str">
        <f t="shared" si="68"/>
        <v>Matthew</v>
      </c>
      <c r="E246" s="15" t="str">
        <f t="shared" si="69"/>
        <v>36 Fenech Avenue</v>
      </c>
      <c r="F246" s="15" t="str">
        <f t="shared" si="70"/>
        <v>Bray Park</v>
      </c>
      <c r="G246" s="15" t="str">
        <f t="shared" si="71"/>
        <v>QLD</v>
      </c>
      <c r="H246" s="15">
        <f t="shared" si="72"/>
        <v>4500</v>
      </c>
      <c r="I246" s="15">
        <f t="shared" si="83"/>
        <v>139</v>
      </c>
      <c r="J246" s="15">
        <f>OrdersTable!B246</f>
        <v>145</v>
      </c>
      <c r="K246" s="15" t="str">
        <f t="shared" si="73"/>
        <v>Bobbleheads</v>
      </c>
      <c r="L246" s="15" t="str">
        <f t="shared" si="74"/>
        <v>Doctor Who: Bobblehead: Eleventh Doctor</v>
      </c>
      <c r="M246" s="15" t="str">
        <f t="shared" si="75"/>
        <v>-</v>
      </c>
      <c r="N246" s="15">
        <f t="shared" si="76"/>
        <v>1</v>
      </c>
      <c r="O246" s="15" t="str">
        <f t="shared" si="77"/>
        <v>A30</v>
      </c>
      <c r="P246" s="15" t="str">
        <f t="shared" si="78"/>
        <v>Chesterton Enterprises</v>
      </c>
      <c r="Q246" s="15" t="str">
        <f t="shared" si="79"/>
        <v>41 William Russell Road</v>
      </c>
      <c r="R246" s="3">
        <f>OrdersTable!C246</f>
        <v>44579</v>
      </c>
      <c r="S246" s="15">
        <f>OrdersTable!E246</f>
        <v>4</v>
      </c>
      <c r="T246" s="15">
        <f t="shared" si="80"/>
        <v>19.989999999999998</v>
      </c>
      <c r="U246" s="15">
        <f t="shared" si="81"/>
        <v>27.54</v>
      </c>
      <c r="V246" s="15">
        <f t="shared" si="82"/>
        <v>32.380000000000003</v>
      </c>
      <c r="W246" s="15">
        <f>IF(MarkupType="Store Markup",ROUND(V246+V246*StoreMarkup,2),IF(MarkupType="Supplier Markup",V246+V246*SupplierMarkup,"Error at finding value"))</f>
        <v>51</v>
      </c>
      <c r="X246" s="32" t="str">
        <f t="shared" si="84"/>
        <v>0.00</v>
      </c>
      <c r="Y246" s="15">
        <f t="shared" si="85"/>
        <v>129.52000000000001</v>
      </c>
      <c r="Z246" s="15">
        <f t="shared" si="86"/>
        <v>204</v>
      </c>
      <c r="AA246" s="15">
        <f>IF(FreightType="Lethbridge-Stewart Freight ",ROUND(2.99+IF(N246&gt;0.75,(N246-0.75)*2.25,0)*S246,2),IF(MarkupType="Supplier Markup",V246+V246*SupplierMarkup,"Error at finding value"))</f>
        <v>5.24</v>
      </c>
      <c r="AB246" s="15">
        <f t="shared" si="87"/>
        <v>0</v>
      </c>
    </row>
    <row r="247" spans="1:28" x14ac:dyDescent="0.25">
      <c r="A247" s="16">
        <f>OrdersTable!A247</f>
        <v>730</v>
      </c>
      <c r="B247" s="15" t="str">
        <f t="shared" si="67"/>
        <v>Mr</v>
      </c>
      <c r="C247" s="15" t="str">
        <f t="shared" si="88"/>
        <v>Romer</v>
      </c>
      <c r="D247" s="15" t="str">
        <f t="shared" si="68"/>
        <v>Leo Alexander</v>
      </c>
      <c r="E247" s="15" t="str">
        <f t="shared" si="69"/>
        <v>47 Bennett Circuit</v>
      </c>
      <c r="F247" s="15" t="str">
        <f t="shared" si="70"/>
        <v>Caliph</v>
      </c>
      <c r="G247" s="15" t="str">
        <f t="shared" si="71"/>
        <v>SA</v>
      </c>
      <c r="H247" s="15">
        <f t="shared" si="72"/>
        <v>5310</v>
      </c>
      <c r="I247" s="15">
        <f t="shared" si="83"/>
        <v>1720</v>
      </c>
      <c r="J247" s="15">
        <f>OrdersTable!B247</f>
        <v>725</v>
      </c>
      <c r="K247" s="15" t="str">
        <f t="shared" si="73"/>
        <v>Props and Replicas</v>
      </c>
      <c r="L247" s="15" t="str">
        <f t="shared" si="74"/>
        <v>Doctor Who: Captain Jack Sonic Blaster</v>
      </c>
      <c r="M247" s="15" t="str">
        <f t="shared" si="75"/>
        <v>-</v>
      </c>
      <c r="N247" s="15">
        <f t="shared" si="76"/>
        <v>14.8</v>
      </c>
      <c r="O247" s="15" t="str">
        <f t="shared" si="77"/>
        <v>A30</v>
      </c>
      <c r="P247" s="15" t="str">
        <f t="shared" si="78"/>
        <v>Chesterton Enterprises</v>
      </c>
      <c r="Q247" s="15" t="str">
        <f t="shared" si="79"/>
        <v>41 William Russell Road</v>
      </c>
      <c r="R247" s="3">
        <f>OrdersTable!C247</f>
        <v>44579</v>
      </c>
      <c r="S247" s="15">
        <f>OrdersTable!E247</f>
        <v>9</v>
      </c>
      <c r="T247" s="15">
        <f t="shared" si="80"/>
        <v>295.99</v>
      </c>
      <c r="U247" s="15">
        <f t="shared" si="81"/>
        <v>403.88</v>
      </c>
      <c r="V247" s="15">
        <f t="shared" si="82"/>
        <v>479.5</v>
      </c>
      <c r="W247" s="15">
        <f>IF(MarkupType="Store Markup",ROUND(V247+V247*StoreMarkup,2),IF(MarkupType="Supplier Markup",V247+V247*SupplierMarkup,"Error at finding value"))</f>
        <v>755.21</v>
      </c>
      <c r="X247" s="32">
        <f t="shared" si="84"/>
        <v>53.81</v>
      </c>
      <c r="Y247" s="15">
        <f t="shared" si="85"/>
        <v>4315.5</v>
      </c>
      <c r="Z247" s="15">
        <f t="shared" si="86"/>
        <v>6312.6</v>
      </c>
      <c r="AA247" s="15">
        <f>IF(FreightType="Lethbridge-Stewart Freight ",ROUND(2.99+IF(N247&gt;0.75,(N247-0.75)*2.25,0)*S247,2),IF(MarkupType="Supplier Markup",V247+V247*SupplierMarkup,"Error at finding value"))</f>
        <v>287.5</v>
      </c>
      <c r="AB247" s="15">
        <f t="shared" si="87"/>
        <v>484.29</v>
      </c>
    </row>
    <row r="248" spans="1:28" x14ac:dyDescent="0.25">
      <c r="A248" s="16">
        <f>OrdersTable!A248</f>
        <v>758</v>
      </c>
      <c r="B248" s="15" t="str">
        <f t="shared" si="67"/>
        <v>Mr</v>
      </c>
      <c r="C248" s="15" t="str">
        <f t="shared" si="88"/>
        <v>Whitehorn</v>
      </c>
      <c r="D248" s="15" t="str">
        <f t="shared" si="68"/>
        <v>James</v>
      </c>
      <c r="E248" s="15" t="str">
        <f t="shared" si="69"/>
        <v>32 Raubenheimer Circuit</v>
      </c>
      <c r="F248" s="15" t="str">
        <f t="shared" si="70"/>
        <v>Belconnen</v>
      </c>
      <c r="G248" s="15" t="str">
        <f t="shared" si="71"/>
        <v>ACT</v>
      </c>
      <c r="H248" s="15">
        <f t="shared" si="72"/>
        <v>2617</v>
      </c>
      <c r="I248" s="15">
        <f t="shared" si="83"/>
        <v>1194</v>
      </c>
      <c r="J248" s="15">
        <f>OrdersTable!B248</f>
        <v>812</v>
      </c>
      <c r="K248" s="15" t="str">
        <f t="shared" si="73"/>
        <v>Statues and Busts</v>
      </c>
      <c r="L248" s="15" t="str">
        <f t="shared" si="74"/>
        <v>Doctor Who: Masterpiece Collection Maxi Bust: Dalek: Day Of The Daleks</v>
      </c>
      <c r="M248" s="15" t="str">
        <f t="shared" si="75"/>
        <v>-</v>
      </c>
      <c r="N248" s="15">
        <f t="shared" si="76"/>
        <v>2.5</v>
      </c>
      <c r="O248" s="15" t="str">
        <f t="shared" si="77"/>
        <v>A20</v>
      </c>
      <c r="P248" s="15" t="str">
        <f t="shared" si="78"/>
        <v>Morbius Inc.</v>
      </c>
      <c r="Q248" s="15" t="str">
        <f t="shared" si="79"/>
        <v>56 Michael Spice Hwy</v>
      </c>
      <c r="R248" s="3">
        <f>OrdersTable!C248</f>
        <v>44579</v>
      </c>
      <c r="S248" s="15">
        <f>OrdersTable!E248</f>
        <v>10</v>
      </c>
      <c r="T248" s="15">
        <f t="shared" si="80"/>
        <v>49.99</v>
      </c>
      <c r="U248" s="15">
        <f t="shared" si="81"/>
        <v>68.47</v>
      </c>
      <c r="V248" s="15">
        <f t="shared" si="82"/>
        <v>80.98</v>
      </c>
      <c r="W248" s="15">
        <f>IF(MarkupType="Store Markup",ROUND(V248+V248*StoreMarkup,2),IF(MarkupType="Supplier Markup",V248+V248*SupplierMarkup,"Error at finding value"))</f>
        <v>127.54</v>
      </c>
      <c r="X248" s="32">
        <f t="shared" si="84"/>
        <v>9.09</v>
      </c>
      <c r="Y248" s="15">
        <f t="shared" si="85"/>
        <v>809.8</v>
      </c>
      <c r="Z248" s="15">
        <f t="shared" si="86"/>
        <v>1184.5</v>
      </c>
      <c r="AA248" s="15">
        <f>IF(FreightType="Lethbridge-Stewart Freight ",ROUND(2.99+IF(N248&gt;0.75,(N248-0.75)*2.25,0)*S248,2),IF(MarkupType="Supplier Markup",V248+V248*SupplierMarkup,"Error at finding value"))</f>
        <v>42.37</v>
      </c>
      <c r="AB248" s="15">
        <f t="shared" si="87"/>
        <v>90.9</v>
      </c>
    </row>
    <row r="249" spans="1:28" x14ac:dyDescent="0.25">
      <c r="A249" s="16">
        <f>OrdersTable!A249</f>
        <v>823</v>
      </c>
      <c r="B249" s="15" t="str">
        <f t="shared" si="67"/>
        <v>Mrs</v>
      </c>
      <c r="C249" s="15" t="str">
        <f t="shared" si="88"/>
        <v>Riordan</v>
      </c>
      <c r="D249" s="15" t="str">
        <f t="shared" si="68"/>
        <v>Brianna Leigh</v>
      </c>
      <c r="E249" s="15" t="str">
        <f t="shared" si="69"/>
        <v>7 Boyd Crescent</v>
      </c>
      <c r="F249" s="15" t="str">
        <f t="shared" si="70"/>
        <v>Bamboo</v>
      </c>
      <c r="G249" s="15" t="str">
        <f t="shared" si="71"/>
        <v>QLD</v>
      </c>
      <c r="H249" s="15">
        <f t="shared" si="72"/>
        <v>4873</v>
      </c>
      <c r="I249" s="15">
        <f t="shared" si="83"/>
        <v>1741</v>
      </c>
      <c r="J249" s="15">
        <f>OrdersTable!B249</f>
        <v>689</v>
      </c>
      <c r="K249" s="15" t="str">
        <f t="shared" si="73"/>
        <v>Posters, Prints and Standees</v>
      </c>
      <c r="L249" s="15" t="str">
        <f t="shared" si="74"/>
        <v>Doctor Who: 16'x12' Framed Print: Cold War</v>
      </c>
      <c r="M249" s="15" t="str">
        <f t="shared" si="75"/>
        <v>-</v>
      </c>
      <c r="N249" s="15">
        <f t="shared" si="76"/>
        <v>0.75</v>
      </c>
      <c r="O249" s="15" t="str">
        <f t="shared" si="77"/>
        <v>A50</v>
      </c>
      <c r="P249" s="15" t="str">
        <f t="shared" si="78"/>
        <v>Rassilon Ltd.</v>
      </c>
      <c r="Q249" s="15" t="str">
        <f t="shared" si="79"/>
        <v>82 Richard Mathews Road</v>
      </c>
      <c r="R249" s="3">
        <f>OrdersTable!C249</f>
        <v>44579</v>
      </c>
      <c r="S249" s="15">
        <f>OrdersTable!E249</f>
        <v>4</v>
      </c>
      <c r="T249" s="15">
        <f t="shared" si="80"/>
        <v>14.99</v>
      </c>
      <c r="U249" s="15">
        <f t="shared" si="81"/>
        <v>20.77</v>
      </c>
      <c r="V249" s="15">
        <f t="shared" si="82"/>
        <v>24.28</v>
      </c>
      <c r="W249" s="15">
        <f>IF(MarkupType="Store Markup",ROUND(V249+V249*StoreMarkup,2),IF(MarkupType="Supplier Markup",V249+V249*SupplierMarkup,"Error at finding value"))</f>
        <v>38.24</v>
      </c>
      <c r="X249" s="32" t="str">
        <f t="shared" si="84"/>
        <v>0.00</v>
      </c>
      <c r="Y249" s="15">
        <f t="shared" si="85"/>
        <v>97.12</v>
      </c>
      <c r="Z249" s="15">
        <f t="shared" si="86"/>
        <v>152.96</v>
      </c>
      <c r="AA249" s="15">
        <f>IF(FreightType="Lethbridge-Stewart Freight ",ROUND(2.99+IF(N249&gt;0.75,(N249-0.75)*2.25,0)*S249,2),IF(MarkupType="Supplier Markup",V249+V249*SupplierMarkup,"Error at finding value"))</f>
        <v>2.99</v>
      </c>
      <c r="AB249" s="15">
        <f t="shared" si="87"/>
        <v>0</v>
      </c>
    </row>
    <row r="250" spans="1:28" x14ac:dyDescent="0.25">
      <c r="A250" s="16">
        <f>OrdersTable!A250</f>
        <v>906</v>
      </c>
      <c r="B250" s="15" t="str">
        <f t="shared" si="67"/>
        <v>Mrs</v>
      </c>
      <c r="C250" s="15" t="str">
        <f t="shared" si="88"/>
        <v>Turner</v>
      </c>
      <c r="D250" s="15" t="str">
        <f t="shared" si="68"/>
        <v>Courtney</v>
      </c>
      <c r="E250" s="15" t="str">
        <f t="shared" si="69"/>
        <v>42 Fearon Avenue</v>
      </c>
      <c r="F250" s="15" t="str">
        <f t="shared" si="70"/>
        <v>Breakwater</v>
      </c>
      <c r="G250" s="15" t="str">
        <f t="shared" si="71"/>
        <v>VIC</v>
      </c>
      <c r="H250" s="15">
        <f t="shared" si="72"/>
        <v>3219</v>
      </c>
      <c r="I250" s="15">
        <f t="shared" si="83"/>
        <v>1596</v>
      </c>
      <c r="J250" s="15">
        <f>OrdersTable!B250</f>
        <v>164</v>
      </c>
      <c r="K250" s="15" t="str">
        <f t="shared" si="73"/>
        <v>Bobbleheads</v>
      </c>
      <c r="L250" s="15" t="str">
        <f t="shared" si="74"/>
        <v>Doctor Who: Bobblehead: Fourth Doctor</v>
      </c>
      <c r="M250" s="15" t="str">
        <f t="shared" si="75"/>
        <v>-</v>
      </c>
      <c r="N250" s="15">
        <f t="shared" si="76"/>
        <v>0.75</v>
      </c>
      <c r="O250" s="15" t="str">
        <f t="shared" si="77"/>
        <v>A40</v>
      </c>
      <c r="P250" s="15" t="str">
        <f t="shared" si="78"/>
        <v>Romana Imports</v>
      </c>
      <c r="Q250" s="15" t="str">
        <f t="shared" si="79"/>
        <v>17 Lalla Ward Road</v>
      </c>
      <c r="R250" s="3">
        <f>OrdersTable!C250</f>
        <v>44579</v>
      </c>
      <c r="S250" s="15">
        <f>OrdersTable!E250</f>
        <v>4</v>
      </c>
      <c r="T250" s="15">
        <f t="shared" si="80"/>
        <v>14.99</v>
      </c>
      <c r="U250" s="15">
        <f t="shared" si="81"/>
        <v>20.53</v>
      </c>
      <c r="V250" s="15">
        <f t="shared" si="82"/>
        <v>24.28</v>
      </c>
      <c r="W250" s="15">
        <f>IF(MarkupType="Store Markup",ROUND(V250+V250*StoreMarkup,2),IF(MarkupType="Supplier Markup",V250+V250*SupplierMarkup,"Error at finding value"))</f>
        <v>38.24</v>
      </c>
      <c r="X250" s="32" t="str">
        <f t="shared" si="84"/>
        <v>0.00</v>
      </c>
      <c r="Y250" s="15">
        <f t="shared" si="85"/>
        <v>97.12</v>
      </c>
      <c r="Z250" s="15">
        <f t="shared" si="86"/>
        <v>152.96</v>
      </c>
      <c r="AA250" s="15">
        <f>IF(FreightType="Lethbridge-Stewart Freight ",ROUND(2.99+IF(N250&gt;0.75,(N250-0.75)*2.25,0)*S250,2),IF(MarkupType="Supplier Markup",V250+V250*SupplierMarkup,"Error at finding value"))</f>
        <v>2.99</v>
      </c>
      <c r="AB250" s="15">
        <f t="shared" si="87"/>
        <v>0</v>
      </c>
    </row>
    <row r="251" spans="1:28" x14ac:dyDescent="0.25">
      <c r="A251" s="16">
        <f>OrdersTable!A251</f>
        <v>158</v>
      </c>
      <c r="B251" s="15" t="str">
        <f t="shared" si="67"/>
        <v>Mr</v>
      </c>
      <c r="C251" s="15" t="str">
        <f t="shared" si="88"/>
        <v>Fowler</v>
      </c>
      <c r="D251" s="15" t="str">
        <f t="shared" si="68"/>
        <v>James</v>
      </c>
      <c r="E251" s="15" t="str">
        <f t="shared" si="69"/>
        <v>30 Virk Court</v>
      </c>
      <c r="F251" s="15" t="str">
        <f t="shared" si="70"/>
        <v>Black Hills</v>
      </c>
      <c r="G251" s="15" t="str">
        <f t="shared" si="71"/>
        <v>TAS</v>
      </c>
      <c r="H251" s="15">
        <f t="shared" si="72"/>
        <v>7140</v>
      </c>
      <c r="I251" s="15">
        <f t="shared" si="83"/>
        <v>2191</v>
      </c>
      <c r="J251" s="15">
        <f>OrdersTable!B251</f>
        <v>778</v>
      </c>
      <c r="K251" s="15" t="str">
        <f t="shared" si="73"/>
        <v>Statues and Busts</v>
      </c>
      <c r="L251" s="15" t="str">
        <f t="shared" si="74"/>
        <v>Doctor Who: Legends Forever Bust: William Hartnell</v>
      </c>
      <c r="M251" s="15" t="str">
        <f t="shared" si="75"/>
        <v>-</v>
      </c>
      <c r="N251" s="15">
        <f t="shared" si="76"/>
        <v>1.375</v>
      </c>
      <c r="O251" s="15" t="str">
        <f t="shared" si="77"/>
        <v>A40</v>
      </c>
      <c r="P251" s="15" t="str">
        <f t="shared" si="78"/>
        <v>Romana Imports</v>
      </c>
      <c r="Q251" s="15" t="str">
        <f t="shared" si="79"/>
        <v>17 Lalla Ward Road</v>
      </c>
      <c r="R251" s="3">
        <f>OrdersTable!C251</f>
        <v>44580</v>
      </c>
      <c r="S251" s="15">
        <f>OrdersTable!E251</f>
        <v>1</v>
      </c>
      <c r="T251" s="15">
        <f t="shared" si="80"/>
        <v>27.5</v>
      </c>
      <c r="U251" s="15">
        <f t="shared" si="81"/>
        <v>37.520000000000003</v>
      </c>
      <c r="V251" s="15">
        <f t="shared" si="82"/>
        <v>44.55</v>
      </c>
      <c r="W251" s="15">
        <f>IF(MarkupType="Store Markup",ROUND(V251+V251*StoreMarkup,2),IF(MarkupType="Supplier Markup",V251+V251*SupplierMarkup,"Error at finding value"))</f>
        <v>70.17</v>
      </c>
      <c r="X251" s="32" t="str">
        <f t="shared" si="84"/>
        <v>0.00</v>
      </c>
      <c r="Y251" s="15">
        <f t="shared" si="85"/>
        <v>44.55</v>
      </c>
      <c r="Z251" s="15">
        <f t="shared" si="86"/>
        <v>70.17</v>
      </c>
      <c r="AA251" s="15">
        <f>IF(FreightType="Lethbridge-Stewart Freight ",ROUND(2.99+IF(N251&gt;0.75,(N251-0.75)*2.25,0)*S251,2),IF(MarkupType="Supplier Markup",V251+V251*SupplierMarkup,"Error at finding value"))</f>
        <v>4.4000000000000004</v>
      </c>
      <c r="AB251" s="15">
        <f t="shared" si="87"/>
        <v>0</v>
      </c>
    </row>
    <row r="252" spans="1:28" x14ac:dyDescent="0.25">
      <c r="A252" s="16">
        <f>OrdersTable!A252</f>
        <v>282</v>
      </c>
      <c r="B252" s="15" t="str">
        <f t="shared" si="67"/>
        <v>Dr</v>
      </c>
      <c r="C252" s="15" t="str">
        <f t="shared" si="88"/>
        <v>Johnson</v>
      </c>
      <c r="D252" s="15" t="str">
        <f t="shared" si="68"/>
        <v>Samantha Emily Louise</v>
      </c>
      <c r="E252" s="15" t="str">
        <f t="shared" si="69"/>
        <v>2 Wiggan Avenue</v>
      </c>
      <c r="F252" s="15" t="str">
        <f t="shared" si="70"/>
        <v>Boston</v>
      </c>
      <c r="G252" s="15" t="str">
        <f t="shared" si="71"/>
        <v>SA</v>
      </c>
      <c r="H252" s="15">
        <f t="shared" si="72"/>
        <v>5607</v>
      </c>
      <c r="I252" s="15">
        <f t="shared" si="83"/>
        <v>2076</v>
      </c>
      <c r="J252" s="15">
        <f>OrdersTable!B252</f>
        <v>681</v>
      </c>
      <c r="K252" s="15" t="str">
        <f t="shared" si="73"/>
        <v>Mugs</v>
      </c>
      <c r="L252" s="15" t="str">
        <f t="shared" si="74"/>
        <v>Doctor Who: Mug: The First Doctor</v>
      </c>
      <c r="M252" s="15" t="str">
        <f t="shared" si="75"/>
        <v>-</v>
      </c>
      <c r="N252" s="15">
        <f t="shared" si="76"/>
        <v>0.45</v>
      </c>
      <c r="O252" s="15" t="str">
        <f t="shared" si="77"/>
        <v>A20</v>
      </c>
      <c r="P252" s="15" t="str">
        <f t="shared" si="78"/>
        <v>Morbius Inc.</v>
      </c>
      <c r="Q252" s="15" t="str">
        <f t="shared" si="79"/>
        <v>56 Michael Spice Hwy</v>
      </c>
      <c r="R252" s="3">
        <f>OrdersTable!C252</f>
        <v>44580</v>
      </c>
      <c r="S252" s="15">
        <f>OrdersTable!E252</f>
        <v>6</v>
      </c>
      <c r="T252" s="15">
        <f t="shared" si="80"/>
        <v>8.99</v>
      </c>
      <c r="U252" s="15">
        <f t="shared" si="81"/>
        <v>12.51</v>
      </c>
      <c r="V252" s="15">
        <f t="shared" si="82"/>
        <v>14.56</v>
      </c>
      <c r="W252" s="15">
        <f>IF(MarkupType="Store Markup",ROUND(V252+V252*StoreMarkup,2),IF(MarkupType="Supplier Markup",V252+V252*SupplierMarkup,"Error at finding value"))</f>
        <v>22.93</v>
      </c>
      <c r="X252" s="32" t="str">
        <f t="shared" si="84"/>
        <v>0.00</v>
      </c>
      <c r="Y252" s="15">
        <f t="shared" si="85"/>
        <v>87.36</v>
      </c>
      <c r="Z252" s="15">
        <f t="shared" si="86"/>
        <v>137.58000000000001</v>
      </c>
      <c r="AA252" s="15">
        <f>IF(FreightType="Lethbridge-Stewart Freight ",ROUND(2.99+IF(N252&gt;0.75,(N252-0.75)*2.25,0)*S252,2),IF(MarkupType="Supplier Markup",V252+V252*SupplierMarkup,"Error at finding value"))</f>
        <v>2.99</v>
      </c>
      <c r="AB252" s="15">
        <f t="shared" si="87"/>
        <v>0</v>
      </c>
    </row>
    <row r="253" spans="1:28" x14ac:dyDescent="0.25">
      <c r="A253" s="16">
        <f>OrdersTable!A253</f>
        <v>312</v>
      </c>
      <c r="B253" s="15" t="str">
        <f t="shared" si="67"/>
        <v>Mr</v>
      </c>
      <c r="C253" s="15" t="str">
        <f t="shared" si="88"/>
        <v>Lloyd</v>
      </c>
      <c r="D253" s="15" t="str">
        <f t="shared" si="68"/>
        <v>Ben</v>
      </c>
      <c r="E253" s="15" t="str">
        <f t="shared" si="69"/>
        <v>13 Stark Avenue</v>
      </c>
      <c r="F253" s="15" t="str">
        <f t="shared" si="70"/>
        <v>Iluka</v>
      </c>
      <c r="G253" s="15" t="str">
        <f t="shared" si="71"/>
        <v>NSW</v>
      </c>
      <c r="H253" s="15">
        <f t="shared" si="72"/>
        <v>2466</v>
      </c>
      <c r="I253" s="15">
        <f t="shared" si="83"/>
        <v>347</v>
      </c>
      <c r="J253" s="15">
        <f>OrdersTable!B253</f>
        <v>213</v>
      </c>
      <c r="K253" s="15" t="str">
        <f t="shared" si="73"/>
        <v>Clothing and Apparel</v>
      </c>
      <c r="L253" s="15" t="str">
        <f t="shared" si="74"/>
        <v>Doctor Who: Fez and Bow Tie</v>
      </c>
      <c r="M253" s="15" t="str">
        <f t="shared" si="75"/>
        <v>-</v>
      </c>
      <c r="N253" s="15">
        <f t="shared" si="76"/>
        <v>0.97499999999999998</v>
      </c>
      <c r="O253" s="15" t="str">
        <f t="shared" si="77"/>
        <v>A50</v>
      </c>
      <c r="P253" s="15" t="str">
        <f t="shared" si="78"/>
        <v>Rassilon Ltd.</v>
      </c>
      <c r="Q253" s="15" t="str">
        <f t="shared" si="79"/>
        <v>82 Richard Mathews Road</v>
      </c>
      <c r="R253" s="3">
        <f>OrdersTable!C253</f>
        <v>44580</v>
      </c>
      <c r="S253" s="15">
        <f>OrdersTable!E253</f>
        <v>8</v>
      </c>
      <c r="T253" s="15">
        <f t="shared" si="80"/>
        <v>19.5</v>
      </c>
      <c r="U253" s="15">
        <f t="shared" si="81"/>
        <v>26.88</v>
      </c>
      <c r="V253" s="15">
        <f t="shared" si="82"/>
        <v>31.59</v>
      </c>
      <c r="W253" s="15">
        <f>IF(MarkupType="Store Markup",ROUND(V253+V253*StoreMarkup,2),IF(MarkupType="Supplier Markup",V253+V253*SupplierMarkup,"Error at finding value"))</f>
        <v>49.75</v>
      </c>
      <c r="X253" s="32" t="str">
        <f t="shared" si="84"/>
        <v>0.00</v>
      </c>
      <c r="Y253" s="15">
        <f t="shared" si="85"/>
        <v>252.72</v>
      </c>
      <c r="Z253" s="15">
        <f t="shared" si="86"/>
        <v>398</v>
      </c>
      <c r="AA253" s="15">
        <f>IF(FreightType="Lethbridge-Stewart Freight ",ROUND(2.99+IF(N253&gt;0.75,(N253-0.75)*2.25,0)*S253,2),IF(MarkupType="Supplier Markup",V253+V253*SupplierMarkup,"Error at finding value"))</f>
        <v>7.04</v>
      </c>
      <c r="AB253" s="15">
        <f t="shared" si="87"/>
        <v>0</v>
      </c>
    </row>
    <row r="254" spans="1:28" x14ac:dyDescent="0.25">
      <c r="A254" s="16">
        <f>OrdersTable!A254</f>
        <v>333</v>
      </c>
      <c r="B254" s="15" t="str">
        <f t="shared" si="67"/>
        <v>Mr</v>
      </c>
      <c r="C254" s="15" t="str">
        <f t="shared" si="88"/>
        <v>Martin</v>
      </c>
      <c r="D254" s="15" t="str">
        <f t="shared" si="68"/>
        <v>Damien Roger</v>
      </c>
      <c r="E254" s="15" t="str">
        <f t="shared" si="69"/>
        <v>23 Quennell Way</v>
      </c>
      <c r="F254" s="15" t="str">
        <f t="shared" si="70"/>
        <v>Aberfoyle</v>
      </c>
      <c r="G254" s="15" t="str">
        <f t="shared" si="71"/>
        <v>NSW</v>
      </c>
      <c r="H254" s="15">
        <f t="shared" si="72"/>
        <v>2350</v>
      </c>
      <c r="I254" s="15">
        <f t="shared" si="83"/>
        <v>363</v>
      </c>
      <c r="J254" s="15">
        <f>OrdersTable!B254</f>
        <v>239</v>
      </c>
      <c r="K254" s="15" t="str">
        <f t="shared" si="73"/>
        <v>Clothing and Apparel</v>
      </c>
      <c r="L254" s="15" t="str">
        <f t="shared" si="74"/>
        <v>Doctor Who: Men's Winter Pyjamas</v>
      </c>
      <c r="M254" s="15" t="str">
        <f t="shared" si="75"/>
        <v>L</v>
      </c>
      <c r="N254" s="15">
        <f t="shared" si="76"/>
        <v>1.5</v>
      </c>
      <c r="O254" s="15" t="str">
        <f t="shared" si="77"/>
        <v>A10</v>
      </c>
      <c r="P254" s="15" t="str">
        <f t="shared" si="78"/>
        <v>Gallifrey International</v>
      </c>
      <c r="Q254" s="15" t="str">
        <f t="shared" si="79"/>
        <v>181 Arcadia Street</v>
      </c>
      <c r="R254" s="3">
        <f>OrdersTable!C254</f>
        <v>44580</v>
      </c>
      <c r="S254" s="15">
        <f>OrdersTable!E254</f>
        <v>7</v>
      </c>
      <c r="T254" s="15">
        <f t="shared" si="80"/>
        <v>29.99</v>
      </c>
      <c r="U254" s="15">
        <f t="shared" si="81"/>
        <v>41.23</v>
      </c>
      <c r="V254" s="15">
        <f t="shared" si="82"/>
        <v>48.58</v>
      </c>
      <c r="W254" s="15">
        <f>IF(MarkupType="Store Markup",ROUND(V254+V254*StoreMarkup,2),IF(MarkupType="Supplier Markup",V254+V254*SupplierMarkup,"Error at finding value"))</f>
        <v>76.510000000000005</v>
      </c>
      <c r="X254" s="32" t="str">
        <f t="shared" si="84"/>
        <v>0.00</v>
      </c>
      <c r="Y254" s="15">
        <f t="shared" si="85"/>
        <v>340.06</v>
      </c>
      <c r="Z254" s="15">
        <f t="shared" si="86"/>
        <v>535.57000000000005</v>
      </c>
      <c r="AA254" s="15">
        <f>IF(FreightType="Lethbridge-Stewart Freight ",ROUND(2.99+IF(N254&gt;0.75,(N254-0.75)*2.25,0)*S254,2),IF(MarkupType="Supplier Markup",V254+V254*SupplierMarkup,"Error at finding value"))</f>
        <v>14.8</v>
      </c>
      <c r="AB254" s="15">
        <f t="shared" si="87"/>
        <v>0</v>
      </c>
    </row>
    <row r="255" spans="1:28" x14ac:dyDescent="0.25">
      <c r="A255" s="16">
        <f>OrdersTable!A255</f>
        <v>334</v>
      </c>
      <c r="B255" s="15" t="str">
        <f t="shared" si="67"/>
        <v>Mrs</v>
      </c>
      <c r="C255" s="15" t="str">
        <f t="shared" si="88"/>
        <v>Wilson</v>
      </c>
      <c r="D255" s="15" t="str">
        <f t="shared" si="68"/>
        <v>Hayley Lauren</v>
      </c>
      <c r="E255" s="15" t="str">
        <f t="shared" si="69"/>
        <v>3 Ashley Crescent</v>
      </c>
      <c r="F255" s="15" t="str">
        <f t="shared" si="70"/>
        <v>Black Hills</v>
      </c>
      <c r="G255" s="15" t="str">
        <f t="shared" si="71"/>
        <v>TAS</v>
      </c>
      <c r="H255" s="15">
        <f t="shared" si="72"/>
        <v>7140</v>
      </c>
      <c r="I255" s="15">
        <f t="shared" si="83"/>
        <v>2191</v>
      </c>
      <c r="J255" s="15">
        <f>OrdersTable!B255</f>
        <v>692</v>
      </c>
      <c r="K255" s="15" t="str">
        <f t="shared" si="73"/>
        <v>Posters, Prints and Standees</v>
      </c>
      <c r="L255" s="15" t="str">
        <f t="shared" si="74"/>
        <v>Doctor Who: 16'x12' Framed Print: Exploding TARDIS</v>
      </c>
      <c r="M255" s="15" t="str">
        <f t="shared" si="75"/>
        <v>-</v>
      </c>
      <c r="N255" s="15">
        <f t="shared" si="76"/>
        <v>0.75</v>
      </c>
      <c r="O255" s="15" t="str">
        <f t="shared" si="77"/>
        <v>A30</v>
      </c>
      <c r="P255" s="15" t="str">
        <f t="shared" si="78"/>
        <v>Chesterton Enterprises</v>
      </c>
      <c r="Q255" s="15" t="str">
        <f t="shared" si="79"/>
        <v>41 William Russell Road</v>
      </c>
      <c r="R255" s="3">
        <f>OrdersTable!C255</f>
        <v>44580</v>
      </c>
      <c r="S255" s="15">
        <f>OrdersTable!E255</f>
        <v>10</v>
      </c>
      <c r="T255" s="15">
        <f t="shared" si="80"/>
        <v>14.99</v>
      </c>
      <c r="U255" s="15">
        <f t="shared" si="81"/>
        <v>20.54</v>
      </c>
      <c r="V255" s="15">
        <f t="shared" si="82"/>
        <v>24.28</v>
      </c>
      <c r="W255" s="15">
        <f>IF(MarkupType="Store Markup",ROUND(V255+V255*StoreMarkup,2),IF(MarkupType="Supplier Markup",V255+V255*SupplierMarkup,"Error at finding value"))</f>
        <v>38.24</v>
      </c>
      <c r="X255" s="32" t="str">
        <f t="shared" si="84"/>
        <v>0.00</v>
      </c>
      <c r="Y255" s="15">
        <f t="shared" si="85"/>
        <v>242.8</v>
      </c>
      <c r="Z255" s="15">
        <f t="shared" si="86"/>
        <v>382.4</v>
      </c>
      <c r="AA255" s="15">
        <f>IF(FreightType="Lethbridge-Stewart Freight ",ROUND(2.99+IF(N255&gt;0.75,(N255-0.75)*2.25,0)*S255,2),IF(MarkupType="Supplier Markup",V255+V255*SupplierMarkup,"Error at finding value"))</f>
        <v>2.99</v>
      </c>
      <c r="AB255" s="15">
        <f t="shared" si="87"/>
        <v>0</v>
      </c>
    </row>
    <row r="256" spans="1:28" x14ac:dyDescent="0.25">
      <c r="A256" s="16">
        <f>OrdersTable!A256</f>
        <v>360</v>
      </c>
      <c r="B256" s="15" t="str">
        <f t="shared" si="67"/>
        <v>Ms</v>
      </c>
      <c r="C256" s="15" t="str">
        <f t="shared" si="88"/>
        <v>Bobonica</v>
      </c>
      <c r="D256" s="15" t="str">
        <f t="shared" si="68"/>
        <v>Claudia</v>
      </c>
      <c r="E256" s="15" t="str">
        <f t="shared" si="69"/>
        <v>47 Klein Way</v>
      </c>
      <c r="F256" s="15" t="str">
        <f t="shared" si="70"/>
        <v>Avon Plains</v>
      </c>
      <c r="G256" s="15" t="str">
        <f t="shared" si="71"/>
        <v>VIC</v>
      </c>
      <c r="H256" s="15">
        <f t="shared" si="72"/>
        <v>3477</v>
      </c>
      <c r="I256" s="15">
        <f t="shared" si="83"/>
        <v>1565</v>
      </c>
      <c r="J256" s="15">
        <f>OrdersTable!B256</f>
        <v>683</v>
      </c>
      <c r="K256" s="15" t="str">
        <f t="shared" si="73"/>
        <v>Mugs</v>
      </c>
      <c r="L256" s="15" t="str">
        <f t="shared" si="74"/>
        <v>Doctor Who: Mug: The Tenth Doctor</v>
      </c>
      <c r="M256" s="15" t="str">
        <f t="shared" si="75"/>
        <v>-</v>
      </c>
      <c r="N256" s="15">
        <f t="shared" si="76"/>
        <v>0.45</v>
      </c>
      <c r="O256" s="15" t="str">
        <f t="shared" si="77"/>
        <v>A20</v>
      </c>
      <c r="P256" s="15" t="str">
        <f t="shared" si="78"/>
        <v>Morbius Inc.</v>
      </c>
      <c r="Q256" s="15" t="str">
        <f t="shared" si="79"/>
        <v>56 Michael Spice Hwy</v>
      </c>
      <c r="R256" s="3">
        <f>OrdersTable!C256</f>
        <v>44580</v>
      </c>
      <c r="S256" s="15">
        <f>OrdersTable!E256</f>
        <v>5</v>
      </c>
      <c r="T256" s="15">
        <f t="shared" si="80"/>
        <v>8.99</v>
      </c>
      <c r="U256" s="15">
        <f t="shared" si="81"/>
        <v>12.54</v>
      </c>
      <c r="V256" s="15">
        <f t="shared" si="82"/>
        <v>14.56</v>
      </c>
      <c r="W256" s="15">
        <f>IF(MarkupType="Store Markup",ROUND(V256+V256*StoreMarkup,2),IF(MarkupType="Supplier Markup",V256+V256*SupplierMarkup,"Error at finding value"))</f>
        <v>22.93</v>
      </c>
      <c r="X256" s="32" t="str">
        <f t="shared" si="84"/>
        <v>0.00</v>
      </c>
      <c r="Y256" s="15">
        <f t="shared" si="85"/>
        <v>72.8</v>
      </c>
      <c r="Z256" s="15">
        <f t="shared" si="86"/>
        <v>114.65</v>
      </c>
      <c r="AA256" s="15">
        <f>IF(FreightType="Lethbridge-Stewart Freight ",ROUND(2.99+IF(N256&gt;0.75,(N256-0.75)*2.25,0)*S256,2),IF(MarkupType="Supplier Markup",V256+V256*SupplierMarkup,"Error at finding value"))</f>
        <v>2.99</v>
      </c>
      <c r="AB256" s="15">
        <f t="shared" si="87"/>
        <v>0</v>
      </c>
    </row>
    <row r="257" spans="1:28" x14ac:dyDescent="0.25">
      <c r="A257" s="16">
        <f>OrdersTable!A257</f>
        <v>501</v>
      </c>
      <c r="B257" s="15" t="str">
        <f t="shared" si="67"/>
        <v>Miss</v>
      </c>
      <c r="C257" s="15" t="str">
        <f t="shared" si="88"/>
        <v>Tharenou</v>
      </c>
      <c r="D257" s="15" t="str">
        <f t="shared" si="68"/>
        <v>Kimberley Jacinta</v>
      </c>
      <c r="E257" s="15" t="str">
        <f t="shared" si="69"/>
        <v>49 Moncada Circuit</v>
      </c>
      <c r="F257" s="15" t="str">
        <f t="shared" si="70"/>
        <v>Belford</v>
      </c>
      <c r="G257" s="15" t="str">
        <f t="shared" si="71"/>
        <v>NSW</v>
      </c>
      <c r="H257" s="15">
        <f t="shared" si="72"/>
        <v>2335</v>
      </c>
      <c r="I257" s="15">
        <f t="shared" si="83"/>
        <v>716</v>
      </c>
      <c r="J257" s="15">
        <f>OrdersTable!B257</f>
        <v>652</v>
      </c>
      <c r="K257" s="15" t="str">
        <f t="shared" si="73"/>
        <v>Mugs</v>
      </c>
      <c r="L257" s="15" t="str">
        <f t="shared" si="74"/>
        <v>Doctor Who: Mug: Dalek 2D</v>
      </c>
      <c r="M257" s="15" t="str">
        <f t="shared" si="75"/>
        <v>-</v>
      </c>
      <c r="N257" s="15">
        <f t="shared" si="76"/>
        <v>0.35</v>
      </c>
      <c r="O257" s="15" t="str">
        <f t="shared" si="77"/>
        <v>A10</v>
      </c>
      <c r="P257" s="15" t="str">
        <f t="shared" si="78"/>
        <v>Gallifrey International</v>
      </c>
      <c r="Q257" s="15" t="str">
        <f t="shared" si="79"/>
        <v>181 Arcadia Street</v>
      </c>
      <c r="R257" s="3">
        <f>OrdersTable!C257</f>
        <v>44580</v>
      </c>
      <c r="S257" s="15">
        <f>OrdersTable!E257</f>
        <v>8</v>
      </c>
      <c r="T257" s="15">
        <f t="shared" si="80"/>
        <v>6.99</v>
      </c>
      <c r="U257" s="15">
        <f t="shared" si="81"/>
        <v>9.8800000000000008</v>
      </c>
      <c r="V257" s="15">
        <f t="shared" si="82"/>
        <v>11.32</v>
      </c>
      <c r="W257" s="15">
        <f>IF(MarkupType="Store Markup",ROUND(V257+V257*StoreMarkup,2),IF(MarkupType="Supplier Markup",V257+V257*SupplierMarkup,"Error at finding value"))</f>
        <v>17.829999999999998</v>
      </c>
      <c r="X257" s="32" t="str">
        <f t="shared" si="84"/>
        <v>0.00</v>
      </c>
      <c r="Y257" s="15">
        <f t="shared" si="85"/>
        <v>90.56</v>
      </c>
      <c r="Z257" s="15">
        <f t="shared" si="86"/>
        <v>142.63999999999999</v>
      </c>
      <c r="AA257" s="15">
        <f>IF(FreightType="Lethbridge-Stewart Freight ",ROUND(2.99+IF(N257&gt;0.75,(N257-0.75)*2.25,0)*S257,2),IF(MarkupType="Supplier Markup",V257+V257*SupplierMarkup,"Error at finding value"))</f>
        <v>2.99</v>
      </c>
      <c r="AB257" s="15">
        <f t="shared" si="87"/>
        <v>0</v>
      </c>
    </row>
    <row r="258" spans="1:28" x14ac:dyDescent="0.25">
      <c r="A258" s="16">
        <f>OrdersTable!A258</f>
        <v>544</v>
      </c>
      <c r="B258" s="15" t="str">
        <f t="shared" si="67"/>
        <v>Mr</v>
      </c>
      <c r="C258" s="15" t="str">
        <f t="shared" si="88"/>
        <v>Sullivan</v>
      </c>
      <c r="D258" s="15" t="str">
        <f t="shared" si="68"/>
        <v>Lawrence Bernard</v>
      </c>
      <c r="E258" s="15" t="str">
        <f t="shared" si="69"/>
        <v>11 Haydon Boulevard</v>
      </c>
      <c r="F258" s="15" t="str">
        <f t="shared" si="70"/>
        <v>Breakwater</v>
      </c>
      <c r="G258" s="15" t="str">
        <f t="shared" si="71"/>
        <v>VIC</v>
      </c>
      <c r="H258" s="15">
        <f t="shared" si="72"/>
        <v>3219</v>
      </c>
      <c r="I258" s="15">
        <f t="shared" si="83"/>
        <v>1596</v>
      </c>
      <c r="J258" s="15">
        <f>OrdersTable!B258</f>
        <v>453</v>
      </c>
      <c r="K258" s="15" t="str">
        <f t="shared" si="73"/>
        <v>Giftware</v>
      </c>
      <c r="L258" s="15" t="str">
        <f t="shared" si="74"/>
        <v>Doctor Who: Ceramic Cookie Jar: TARDIS</v>
      </c>
      <c r="M258" s="15" t="str">
        <f t="shared" si="75"/>
        <v>-</v>
      </c>
      <c r="N258" s="15">
        <f t="shared" si="76"/>
        <v>1.35</v>
      </c>
      <c r="O258" s="15" t="str">
        <f t="shared" si="77"/>
        <v>A40</v>
      </c>
      <c r="P258" s="15" t="str">
        <f t="shared" si="78"/>
        <v>Romana Imports</v>
      </c>
      <c r="Q258" s="15" t="str">
        <f t="shared" si="79"/>
        <v>17 Lalla Ward Road</v>
      </c>
      <c r="R258" s="3">
        <f>OrdersTable!C258</f>
        <v>44580</v>
      </c>
      <c r="S258" s="15">
        <f>OrdersTable!E258</f>
        <v>6</v>
      </c>
      <c r="T258" s="15">
        <f t="shared" si="80"/>
        <v>26.99</v>
      </c>
      <c r="U258" s="15">
        <f t="shared" si="81"/>
        <v>37.119999999999997</v>
      </c>
      <c r="V258" s="15">
        <f t="shared" si="82"/>
        <v>43.72</v>
      </c>
      <c r="W258" s="15">
        <f>IF(MarkupType="Store Markup",ROUND(V258+V258*StoreMarkup,2),IF(MarkupType="Supplier Markup",V258+V258*SupplierMarkup,"Error at finding value"))</f>
        <v>68.86</v>
      </c>
      <c r="X258" s="32" t="str">
        <f t="shared" si="84"/>
        <v>0.00</v>
      </c>
      <c r="Y258" s="15">
        <f t="shared" si="85"/>
        <v>262.32</v>
      </c>
      <c r="Z258" s="15">
        <f t="shared" si="86"/>
        <v>413.16</v>
      </c>
      <c r="AA258" s="15">
        <f>IF(FreightType="Lethbridge-Stewart Freight ",ROUND(2.99+IF(N258&gt;0.75,(N258-0.75)*2.25,0)*S258,2),IF(MarkupType="Supplier Markup",V258+V258*SupplierMarkup,"Error at finding value"))</f>
        <v>11.09</v>
      </c>
      <c r="AB258" s="15">
        <f t="shared" si="87"/>
        <v>0</v>
      </c>
    </row>
    <row r="259" spans="1:28" x14ac:dyDescent="0.25">
      <c r="A259" s="16">
        <f>OrdersTable!A259</f>
        <v>544</v>
      </c>
      <c r="B259" s="15" t="str">
        <f t="shared" si="67"/>
        <v>Mr</v>
      </c>
      <c r="C259" s="15" t="str">
        <f t="shared" si="88"/>
        <v>Sullivan</v>
      </c>
      <c r="D259" s="15" t="str">
        <f t="shared" si="68"/>
        <v>Lawrence Bernard</v>
      </c>
      <c r="E259" s="15" t="str">
        <f t="shared" si="69"/>
        <v>11 Haydon Boulevard</v>
      </c>
      <c r="F259" s="15" t="str">
        <f t="shared" si="70"/>
        <v>Breakwater</v>
      </c>
      <c r="G259" s="15" t="str">
        <f t="shared" si="71"/>
        <v>VIC</v>
      </c>
      <c r="H259" s="15">
        <f t="shared" si="72"/>
        <v>3219</v>
      </c>
      <c r="I259" s="15">
        <f t="shared" si="83"/>
        <v>1596</v>
      </c>
      <c r="J259" s="15">
        <f>OrdersTable!B259</f>
        <v>679</v>
      </c>
      <c r="K259" s="15" t="str">
        <f t="shared" si="73"/>
        <v>Mugs</v>
      </c>
      <c r="L259" s="15" t="str">
        <f t="shared" si="74"/>
        <v>Doctor Who: Mug: The Fifth Doctor</v>
      </c>
      <c r="M259" s="15" t="str">
        <f t="shared" si="75"/>
        <v>-</v>
      </c>
      <c r="N259" s="15">
        <f t="shared" si="76"/>
        <v>0.45</v>
      </c>
      <c r="O259" s="15" t="str">
        <f t="shared" si="77"/>
        <v>A40</v>
      </c>
      <c r="P259" s="15" t="str">
        <f t="shared" si="78"/>
        <v>Romana Imports</v>
      </c>
      <c r="Q259" s="15" t="str">
        <f t="shared" si="79"/>
        <v>17 Lalla Ward Road</v>
      </c>
      <c r="R259" s="3">
        <f>OrdersTable!C259</f>
        <v>44580</v>
      </c>
      <c r="S259" s="15">
        <f>OrdersTable!E259</f>
        <v>9</v>
      </c>
      <c r="T259" s="15">
        <f t="shared" si="80"/>
        <v>8.99</v>
      </c>
      <c r="U259" s="15">
        <f t="shared" si="81"/>
        <v>12.28</v>
      </c>
      <c r="V259" s="15">
        <f t="shared" si="82"/>
        <v>14.56</v>
      </c>
      <c r="W259" s="15">
        <f>IF(MarkupType="Store Markup",ROUND(V259+V259*StoreMarkup,2),IF(MarkupType="Supplier Markup",V259+V259*SupplierMarkup,"Error at finding value"))</f>
        <v>22.93</v>
      </c>
      <c r="X259" s="32" t="str">
        <f t="shared" si="84"/>
        <v>0.00</v>
      </c>
      <c r="Y259" s="15">
        <f t="shared" si="85"/>
        <v>131.04</v>
      </c>
      <c r="Z259" s="15">
        <f t="shared" si="86"/>
        <v>206.37</v>
      </c>
      <c r="AA259" s="15">
        <f>IF(FreightType="Lethbridge-Stewart Freight ",ROUND(2.99+IF(N259&gt;0.75,(N259-0.75)*2.25,0)*S259,2),IF(MarkupType="Supplier Markup",V259+V259*SupplierMarkup,"Error at finding value"))</f>
        <v>2.99</v>
      </c>
      <c r="AB259" s="15">
        <f t="shared" si="87"/>
        <v>0</v>
      </c>
    </row>
    <row r="260" spans="1:28" x14ac:dyDescent="0.25">
      <c r="A260" s="16">
        <f>OrdersTable!A260</f>
        <v>568</v>
      </c>
      <c r="B260" s="15" t="str">
        <f t="shared" ref="B260:B323" si="89">VLOOKUP($A260,Cust,2,0)</f>
        <v>Mr</v>
      </c>
      <c r="C260" s="15" t="str">
        <f t="shared" si="88"/>
        <v>Byrne</v>
      </c>
      <c r="D260" s="15" t="str">
        <f t="shared" ref="D260:D323" si="90">VLOOKUP($A260,Cust,4,0)</f>
        <v>Gregory James</v>
      </c>
      <c r="E260" s="15" t="str">
        <f t="shared" ref="E260:E323" si="91">VLOOKUP($A260,Cust,6,0)</f>
        <v>18 Doroshenko Crescent</v>
      </c>
      <c r="F260" s="15" t="str">
        <f t="shared" ref="F260:F323" si="92">VLOOKUP($A260,Cust,7,0)</f>
        <v>Abington</v>
      </c>
      <c r="G260" s="15" t="str">
        <f t="shared" ref="G260:G323" si="93">VLOOKUP($A260,Cust,8,0)</f>
        <v>QLD</v>
      </c>
      <c r="H260" s="15">
        <f t="shared" ref="H260:H323" si="94">VLOOKUP($A260,Cust,9,0)</f>
        <v>4660</v>
      </c>
      <c r="I260" s="15">
        <f t="shared" si="83"/>
        <v>336</v>
      </c>
      <c r="J260" s="15">
        <f>OrdersTable!B260</f>
        <v>395</v>
      </c>
      <c r="K260" s="15" t="str">
        <f t="shared" ref="K260:K323" si="95">VLOOKUP($J260,Itms,2,0)</f>
        <v>Clothing and Apparel</v>
      </c>
      <c r="L260" s="15" t="str">
        <f t="shared" ref="L260:L323" si="96">VLOOKUP($J260,Itms,3,0)</f>
        <v xml:space="preserve">Doctor Who: T-Shirts: 7th Doctor Costume </v>
      </c>
      <c r="M260" s="15" t="str">
        <f t="shared" ref="M260:M323" si="97">VLOOKUP($J260,Itms,4,0)</f>
        <v>L</v>
      </c>
      <c r="N260" s="15">
        <f t="shared" ref="N260:N323" si="98">VLOOKUP($J260,Itms,5,0)</f>
        <v>0.8</v>
      </c>
      <c r="O260" s="15" t="str">
        <f t="shared" ref="O260:O323" si="99">VLOOKUP($J260,Itms,6,0)</f>
        <v>A10</v>
      </c>
      <c r="P260" s="15" t="str">
        <f t="shared" ref="P260:P323" si="100">VLOOKUP($O260,Supp,2,0)</f>
        <v>Gallifrey International</v>
      </c>
      <c r="Q260" s="15" t="str">
        <f t="shared" ref="Q260:Q323" si="101">VLOOKUP($O260,Supp,3,0)</f>
        <v>181 Arcadia Street</v>
      </c>
      <c r="R260" s="3">
        <f>OrdersTable!C260</f>
        <v>44580</v>
      </c>
      <c r="S260" s="15">
        <f>OrdersTable!E260</f>
        <v>8</v>
      </c>
      <c r="T260" s="15">
        <f t="shared" ref="T260:T323" si="102">VLOOKUP($J260,Itms,9,0)</f>
        <v>15.99</v>
      </c>
      <c r="U260" s="15">
        <f t="shared" ref="U260:U323" si="103">VLOOKUP($J260,Itms,10,0)</f>
        <v>22.07</v>
      </c>
      <c r="V260" s="15">
        <f t="shared" ref="V260:V323" si="104">IF(ExchRateType="IR",ROUND(T260*ExchRateIR,2),IF(ExchRateType="CA",ROUND(U260*ExchRateCA,2),"Error at finding value"))</f>
        <v>25.9</v>
      </c>
      <c r="W260" s="15">
        <f>IF(MarkupType="Store Markup",ROUND(V260+V260*StoreMarkup,2),IF(MarkupType="Supplier Markup",V260+V260*SupplierMarkup,"Error at finding value"))</f>
        <v>40.79</v>
      </c>
      <c r="X260" s="32" t="str">
        <f t="shared" si="84"/>
        <v>0.00</v>
      </c>
      <c r="Y260" s="15">
        <f t="shared" si="85"/>
        <v>207.2</v>
      </c>
      <c r="Z260" s="15">
        <f t="shared" si="86"/>
        <v>326.32</v>
      </c>
      <c r="AA260" s="15">
        <f>IF(FreightType="Lethbridge-Stewart Freight ",ROUND(2.99+IF(N260&gt;0.75,(N260-0.75)*2.25,0)*S260,2),IF(MarkupType="Supplier Markup",V260+V260*SupplierMarkup,"Error at finding value"))</f>
        <v>3.89</v>
      </c>
      <c r="AB260" s="15">
        <f t="shared" si="87"/>
        <v>0</v>
      </c>
    </row>
    <row r="261" spans="1:28" x14ac:dyDescent="0.25">
      <c r="A261" s="16">
        <f>OrdersTable!A261</f>
        <v>771</v>
      </c>
      <c r="B261" s="15" t="str">
        <f t="shared" si="89"/>
        <v>Dr</v>
      </c>
      <c r="C261" s="15" t="str">
        <f t="shared" si="88"/>
        <v>Virk</v>
      </c>
      <c r="D261" s="15" t="str">
        <f t="shared" si="90"/>
        <v>Balraj Singh</v>
      </c>
      <c r="E261" s="15" t="str">
        <f t="shared" si="91"/>
        <v>39 Napanje Drive</v>
      </c>
      <c r="F261" s="15" t="str">
        <f t="shared" si="92"/>
        <v>Abington</v>
      </c>
      <c r="G261" s="15" t="str">
        <f t="shared" si="93"/>
        <v>QLD</v>
      </c>
      <c r="H261" s="15">
        <f t="shared" si="94"/>
        <v>4660</v>
      </c>
      <c r="I261" s="15">
        <f t="shared" ref="I261:I324" si="105">VLOOKUP($A261,Cust,10,0)</f>
        <v>336</v>
      </c>
      <c r="J261" s="15">
        <f>OrdersTable!B261</f>
        <v>282</v>
      </c>
      <c r="K261" s="15" t="str">
        <f t="shared" si="95"/>
        <v>Clothing and Apparel</v>
      </c>
      <c r="L261" s="15" t="str">
        <f t="shared" si="96"/>
        <v>Doctor Who: Tardis Laplander Hat</v>
      </c>
      <c r="M261" s="15" t="str">
        <f t="shared" si="97"/>
        <v>-</v>
      </c>
      <c r="N261" s="15">
        <f t="shared" si="98"/>
        <v>0.97499999999999998</v>
      </c>
      <c r="O261" s="15" t="str">
        <f t="shared" si="99"/>
        <v>A10</v>
      </c>
      <c r="P261" s="15" t="str">
        <f t="shared" si="100"/>
        <v>Gallifrey International</v>
      </c>
      <c r="Q261" s="15" t="str">
        <f t="shared" si="101"/>
        <v>181 Arcadia Street</v>
      </c>
      <c r="R261" s="3">
        <f>OrdersTable!C261</f>
        <v>44580</v>
      </c>
      <c r="S261" s="15">
        <f>OrdersTable!E261</f>
        <v>3</v>
      </c>
      <c r="T261" s="15">
        <f t="shared" si="102"/>
        <v>19.5</v>
      </c>
      <c r="U261" s="15">
        <f t="shared" si="103"/>
        <v>26.93</v>
      </c>
      <c r="V261" s="15">
        <f t="shared" si="104"/>
        <v>31.59</v>
      </c>
      <c r="W261" s="15">
        <f>IF(MarkupType="Store Markup",ROUND(V261+V261*StoreMarkup,2),IF(MarkupType="Supplier Markup",V261+V261*SupplierMarkup,"Error at finding value"))</f>
        <v>49.75</v>
      </c>
      <c r="X261" s="32" t="str">
        <f t="shared" ref="X261:X324" si="106">IF(AND(W261&gt;100,S261&gt;=3),ROUND(0.07125*W261,2),"0.00")</f>
        <v>0.00</v>
      </c>
      <c r="Y261" s="15">
        <f t="shared" ref="Y261:Y324" si="107">ROUND(V261*S261,2)</f>
        <v>94.77</v>
      </c>
      <c r="Z261" s="15">
        <f t="shared" ref="Z261:Z324" si="108">ROUND((W261-X261)*S261,2)</f>
        <v>149.25</v>
      </c>
      <c r="AA261" s="15">
        <f>IF(FreightType="Lethbridge-Stewart Freight ",ROUND(2.99+IF(N261&gt;0.75,(N261-0.75)*2.25,0)*S261,2),IF(MarkupType="Supplier Markup",V261+V261*SupplierMarkup,"Error at finding value"))</f>
        <v>4.51</v>
      </c>
      <c r="AB261" s="15">
        <f t="shared" ref="AB261:AB324" si="109">ROUND(X261*S261,2)</f>
        <v>0</v>
      </c>
    </row>
    <row r="262" spans="1:28" x14ac:dyDescent="0.25">
      <c r="A262" s="16">
        <f>OrdersTable!A262</f>
        <v>226</v>
      </c>
      <c r="B262" s="15" t="str">
        <f t="shared" si="89"/>
        <v>Ms</v>
      </c>
      <c r="C262" s="15" t="str">
        <f t="shared" si="88"/>
        <v>Stewart</v>
      </c>
      <c r="D262" s="15" t="str">
        <f t="shared" si="90"/>
        <v>Jodi Louise</v>
      </c>
      <c r="E262" s="15" t="str">
        <f t="shared" si="91"/>
        <v>33 Abington Court</v>
      </c>
      <c r="F262" s="15" t="str">
        <f t="shared" si="92"/>
        <v>Iluka</v>
      </c>
      <c r="G262" s="15" t="str">
        <f t="shared" si="93"/>
        <v>NSW</v>
      </c>
      <c r="H262" s="15">
        <f t="shared" si="94"/>
        <v>2466</v>
      </c>
      <c r="I262" s="15">
        <f t="shared" si="105"/>
        <v>347</v>
      </c>
      <c r="J262" s="15">
        <f>OrdersTable!B262</f>
        <v>331</v>
      </c>
      <c r="K262" s="15" t="str">
        <f t="shared" si="95"/>
        <v>Clothing and Apparel</v>
      </c>
      <c r="L262" s="15" t="str">
        <f t="shared" si="96"/>
        <v xml:space="preserve">Doctor Who: T-Shirts: 4th Doctor Costume </v>
      </c>
      <c r="M262" s="15" t="str">
        <f t="shared" si="97"/>
        <v>L</v>
      </c>
      <c r="N262" s="15">
        <f t="shared" si="98"/>
        <v>0.8</v>
      </c>
      <c r="O262" s="15" t="str">
        <f t="shared" si="99"/>
        <v>A20</v>
      </c>
      <c r="P262" s="15" t="str">
        <f t="shared" si="100"/>
        <v>Morbius Inc.</v>
      </c>
      <c r="Q262" s="15" t="str">
        <f t="shared" si="101"/>
        <v>56 Michael Spice Hwy</v>
      </c>
      <c r="R262" s="3">
        <f>OrdersTable!C262</f>
        <v>44581</v>
      </c>
      <c r="S262" s="15">
        <f>OrdersTable!E262</f>
        <v>10</v>
      </c>
      <c r="T262" s="15">
        <f t="shared" si="102"/>
        <v>15.99</v>
      </c>
      <c r="U262" s="15">
        <f t="shared" si="103"/>
        <v>22.08</v>
      </c>
      <c r="V262" s="15">
        <f t="shared" si="104"/>
        <v>25.9</v>
      </c>
      <c r="W262" s="15">
        <f>IF(MarkupType="Store Markup",ROUND(V262+V262*StoreMarkup,2),IF(MarkupType="Supplier Markup",V262+V262*SupplierMarkup,"Error at finding value"))</f>
        <v>40.79</v>
      </c>
      <c r="X262" s="32" t="str">
        <f t="shared" si="106"/>
        <v>0.00</v>
      </c>
      <c r="Y262" s="15">
        <f t="shared" si="107"/>
        <v>259</v>
      </c>
      <c r="Z262" s="15">
        <f t="shared" si="108"/>
        <v>407.9</v>
      </c>
      <c r="AA262" s="15">
        <f>IF(FreightType="Lethbridge-Stewart Freight ",ROUND(2.99+IF(N262&gt;0.75,(N262-0.75)*2.25,0)*S262,2),IF(MarkupType="Supplier Markup",V262+V262*SupplierMarkup,"Error at finding value"))</f>
        <v>4.12</v>
      </c>
      <c r="AB262" s="15">
        <f t="shared" si="109"/>
        <v>0</v>
      </c>
    </row>
    <row r="263" spans="1:28" x14ac:dyDescent="0.25">
      <c r="A263" s="16">
        <f>OrdersTable!A263</f>
        <v>284</v>
      </c>
      <c r="B263" s="15" t="str">
        <f t="shared" si="89"/>
        <v>Mr</v>
      </c>
      <c r="C263" s="15" t="str">
        <f t="shared" si="88"/>
        <v>Aitcheson</v>
      </c>
      <c r="D263" s="15" t="str">
        <f t="shared" si="90"/>
        <v>Ben James</v>
      </c>
      <c r="E263" s="15" t="str">
        <f t="shared" si="91"/>
        <v>32 Evans Avenue</v>
      </c>
      <c r="F263" s="15" t="str">
        <f t="shared" si="92"/>
        <v>Batlow</v>
      </c>
      <c r="G263" s="15" t="str">
        <f t="shared" si="93"/>
        <v>NSW</v>
      </c>
      <c r="H263" s="15">
        <f t="shared" si="94"/>
        <v>2730</v>
      </c>
      <c r="I263" s="15">
        <f t="shared" si="105"/>
        <v>1138</v>
      </c>
      <c r="J263" s="15">
        <f>OrdersTable!B263</f>
        <v>541</v>
      </c>
      <c r="K263" s="15" t="str">
        <f t="shared" si="95"/>
        <v>Giftware</v>
      </c>
      <c r="L263" s="15" t="str">
        <f t="shared" si="96"/>
        <v>Doctor Who: Salt and Pepper Shakers: TARDIS</v>
      </c>
      <c r="M263" s="15" t="str">
        <f t="shared" si="97"/>
        <v>-</v>
      </c>
      <c r="N263" s="15">
        <f t="shared" si="98"/>
        <v>0.6</v>
      </c>
      <c r="O263" s="15" t="str">
        <f t="shared" si="99"/>
        <v>A10</v>
      </c>
      <c r="P263" s="15" t="str">
        <f t="shared" si="100"/>
        <v>Gallifrey International</v>
      </c>
      <c r="Q263" s="15" t="str">
        <f t="shared" si="101"/>
        <v>181 Arcadia Street</v>
      </c>
      <c r="R263" s="3">
        <f>OrdersTable!C263</f>
        <v>44581</v>
      </c>
      <c r="S263" s="15">
        <f>OrdersTable!E263</f>
        <v>2</v>
      </c>
      <c r="T263" s="15">
        <f t="shared" si="102"/>
        <v>11.99</v>
      </c>
      <c r="U263" s="15">
        <f t="shared" si="103"/>
        <v>16.62</v>
      </c>
      <c r="V263" s="15">
        <f t="shared" si="104"/>
        <v>19.420000000000002</v>
      </c>
      <c r="W263" s="15">
        <f>IF(MarkupType="Store Markup",ROUND(V263+V263*StoreMarkup,2),IF(MarkupType="Supplier Markup",V263+V263*SupplierMarkup,"Error at finding value"))</f>
        <v>30.59</v>
      </c>
      <c r="X263" s="32" t="str">
        <f t="shared" si="106"/>
        <v>0.00</v>
      </c>
      <c r="Y263" s="15">
        <f t="shared" si="107"/>
        <v>38.840000000000003</v>
      </c>
      <c r="Z263" s="15">
        <f t="shared" si="108"/>
        <v>61.18</v>
      </c>
      <c r="AA263" s="15">
        <f>IF(FreightType="Lethbridge-Stewart Freight ",ROUND(2.99+IF(N263&gt;0.75,(N263-0.75)*2.25,0)*S263,2),IF(MarkupType="Supplier Markup",V263+V263*SupplierMarkup,"Error at finding value"))</f>
        <v>2.99</v>
      </c>
      <c r="AB263" s="15">
        <f t="shared" si="109"/>
        <v>0</v>
      </c>
    </row>
    <row r="264" spans="1:28" x14ac:dyDescent="0.25">
      <c r="A264" s="16">
        <f>OrdersTable!A264</f>
        <v>296</v>
      </c>
      <c r="B264" s="15" t="str">
        <f t="shared" si="89"/>
        <v>Miss</v>
      </c>
      <c r="C264" s="15" t="str">
        <f t="shared" si="88"/>
        <v>Kussrow</v>
      </c>
      <c r="D264" s="15" t="str">
        <f t="shared" si="90"/>
        <v>Katherine Anne</v>
      </c>
      <c r="E264" s="15" t="str">
        <f t="shared" si="91"/>
        <v>10 Downes Street</v>
      </c>
      <c r="F264" s="15" t="str">
        <f t="shared" si="92"/>
        <v>Breakwater</v>
      </c>
      <c r="G264" s="15" t="str">
        <f t="shared" si="93"/>
        <v>VIC</v>
      </c>
      <c r="H264" s="15">
        <f t="shared" si="94"/>
        <v>3219</v>
      </c>
      <c r="I264" s="15">
        <f t="shared" si="105"/>
        <v>1596</v>
      </c>
      <c r="J264" s="15">
        <f>OrdersTable!B264</f>
        <v>709</v>
      </c>
      <c r="K264" s="15" t="str">
        <f t="shared" si="95"/>
        <v>Posters, Prints and Standees</v>
      </c>
      <c r="L264" s="15" t="str">
        <f t="shared" si="96"/>
        <v>Doctor Who: Poster: Metallic TARDIS</v>
      </c>
      <c r="M264" s="15" t="str">
        <f t="shared" si="97"/>
        <v>-</v>
      </c>
      <c r="N264" s="15">
        <f t="shared" si="98"/>
        <v>0.2</v>
      </c>
      <c r="O264" s="15" t="str">
        <f t="shared" si="99"/>
        <v>A10</v>
      </c>
      <c r="P264" s="15" t="str">
        <f t="shared" si="100"/>
        <v>Gallifrey International</v>
      </c>
      <c r="Q264" s="15" t="str">
        <f t="shared" si="101"/>
        <v>181 Arcadia Street</v>
      </c>
      <c r="R264" s="3">
        <f>OrdersTable!C264</f>
        <v>44581</v>
      </c>
      <c r="S264" s="15">
        <f>OrdersTable!E264</f>
        <v>9</v>
      </c>
      <c r="T264" s="15">
        <f t="shared" si="102"/>
        <v>3.99</v>
      </c>
      <c r="U264" s="15">
        <f t="shared" si="103"/>
        <v>5.71</v>
      </c>
      <c r="V264" s="15">
        <f t="shared" si="104"/>
        <v>6.46</v>
      </c>
      <c r="W264" s="15">
        <f>IF(MarkupType="Store Markup",ROUND(V264+V264*StoreMarkup,2),IF(MarkupType="Supplier Markup",V264+V264*SupplierMarkup,"Error at finding value"))</f>
        <v>10.17</v>
      </c>
      <c r="X264" s="32" t="str">
        <f t="shared" si="106"/>
        <v>0.00</v>
      </c>
      <c r="Y264" s="15">
        <f t="shared" si="107"/>
        <v>58.14</v>
      </c>
      <c r="Z264" s="15">
        <f t="shared" si="108"/>
        <v>91.53</v>
      </c>
      <c r="AA264" s="15">
        <f>IF(FreightType="Lethbridge-Stewart Freight ",ROUND(2.99+IF(N264&gt;0.75,(N264-0.75)*2.25,0)*S264,2),IF(MarkupType="Supplier Markup",V264+V264*SupplierMarkup,"Error at finding value"))</f>
        <v>2.99</v>
      </c>
      <c r="AB264" s="15">
        <f t="shared" si="109"/>
        <v>0</v>
      </c>
    </row>
    <row r="265" spans="1:28" x14ac:dyDescent="0.25">
      <c r="A265" s="16">
        <f>OrdersTable!A265</f>
        <v>338</v>
      </c>
      <c r="B265" s="15" t="str">
        <f t="shared" si="89"/>
        <v>Miss</v>
      </c>
      <c r="C265" s="15" t="str">
        <f t="shared" si="88"/>
        <v>Pellegrino</v>
      </c>
      <c r="D265" s="15" t="str">
        <f t="shared" si="90"/>
        <v>Samantha</v>
      </c>
      <c r="E265" s="15" t="str">
        <f t="shared" si="91"/>
        <v>38 McKeown Street</v>
      </c>
      <c r="F265" s="15" t="str">
        <f t="shared" si="92"/>
        <v>Avon Plains</v>
      </c>
      <c r="G265" s="15" t="str">
        <f t="shared" si="93"/>
        <v>VIC</v>
      </c>
      <c r="H265" s="15">
        <f t="shared" si="94"/>
        <v>3477</v>
      </c>
      <c r="I265" s="15">
        <f t="shared" si="105"/>
        <v>1565</v>
      </c>
      <c r="J265" s="15">
        <f>OrdersTable!B265</f>
        <v>316</v>
      </c>
      <c r="K265" s="15" t="str">
        <f t="shared" si="95"/>
        <v>Clothing and Apparel</v>
      </c>
      <c r="L265" s="15" t="str">
        <f t="shared" si="96"/>
        <v xml:space="preserve">Doctor Who: T-Shirts: 4th Doctor Costume </v>
      </c>
      <c r="M265" s="15" t="str">
        <f t="shared" si="97"/>
        <v>S</v>
      </c>
      <c r="N265" s="15">
        <f t="shared" si="98"/>
        <v>0.8</v>
      </c>
      <c r="O265" s="15" t="str">
        <f t="shared" si="99"/>
        <v>A30</v>
      </c>
      <c r="P265" s="15" t="str">
        <f t="shared" si="100"/>
        <v>Chesterton Enterprises</v>
      </c>
      <c r="Q265" s="15" t="str">
        <f t="shared" si="101"/>
        <v>41 William Russell Road</v>
      </c>
      <c r="R265" s="3">
        <f>OrdersTable!C265</f>
        <v>44581</v>
      </c>
      <c r="S265" s="15">
        <f>OrdersTable!E265</f>
        <v>10</v>
      </c>
      <c r="T265" s="15">
        <f t="shared" si="102"/>
        <v>15.99</v>
      </c>
      <c r="U265" s="15">
        <f t="shared" si="103"/>
        <v>21.94</v>
      </c>
      <c r="V265" s="15">
        <f t="shared" si="104"/>
        <v>25.9</v>
      </c>
      <c r="W265" s="15">
        <f>IF(MarkupType="Store Markup",ROUND(V265+V265*StoreMarkup,2),IF(MarkupType="Supplier Markup",V265+V265*SupplierMarkup,"Error at finding value"))</f>
        <v>40.79</v>
      </c>
      <c r="X265" s="32" t="str">
        <f t="shared" si="106"/>
        <v>0.00</v>
      </c>
      <c r="Y265" s="15">
        <f t="shared" si="107"/>
        <v>259</v>
      </c>
      <c r="Z265" s="15">
        <f t="shared" si="108"/>
        <v>407.9</v>
      </c>
      <c r="AA265" s="15">
        <f>IF(FreightType="Lethbridge-Stewart Freight ",ROUND(2.99+IF(N265&gt;0.75,(N265-0.75)*2.25,0)*S265,2),IF(MarkupType="Supplier Markup",V265+V265*SupplierMarkup,"Error at finding value"))</f>
        <v>4.12</v>
      </c>
      <c r="AB265" s="15">
        <f t="shared" si="109"/>
        <v>0</v>
      </c>
    </row>
    <row r="266" spans="1:28" x14ac:dyDescent="0.25">
      <c r="A266" s="16">
        <f>OrdersTable!A266</f>
        <v>390</v>
      </c>
      <c r="B266" s="15" t="str">
        <f t="shared" si="89"/>
        <v>Ms</v>
      </c>
      <c r="C266" s="15" t="str">
        <f t="shared" si="88"/>
        <v>Queen</v>
      </c>
      <c r="D266" s="15" t="str">
        <f t="shared" si="90"/>
        <v>Joanne</v>
      </c>
      <c r="E266" s="15" t="str">
        <f t="shared" si="91"/>
        <v>30 Hall Drive</v>
      </c>
      <c r="F266" s="15" t="str">
        <f t="shared" si="92"/>
        <v>Belconnen</v>
      </c>
      <c r="G266" s="15" t="str">
        <f t="shared" si="93"/>
        <v>ACT</v>
      </c>
      <c r="H266" s="15">
        <f t="shared" si="94"/>
        <v>2617</v>
      </c>
      <c r="I266" s="15">
        <f t="shared" si="105"/>
        <v>1194</v>
      </c>
      <c r="J266" s="15">
        <f>OrdersTable!B266</f>
        <v>769</v>
      </c>
      <c r="K266" s="15" t="str">
        <f t="shared" si="95"/>
        <v>Statues and Busts</v>
      </c>
      <c r="L266" s="15" t="str">
        <f t="shared" si="96"/>
        <v>Doctor Who: Legends Forever Bust: Tom Baker</v>
      </c>
      <c r="M266" s="15" t="str">
        <f t="shared" si="97"/>
        <v>-</v>
      </c>
      <c r="N266" s="15">
        <f t="shared" si="98"/>
        <v>1.375</v>
      </c>
      <c r="O266" s="15" t="str">
        <f t="shared" si="99"/>
        <v>A30</v>
      </c>
      <c r="P266" s="15" t="str">
        <f t="shared" si="100"/>
        <v>Chesterton Enterprises</v>
      </c>
      <c r="Q266" s="15" t="str">
        <f t="shared" si="101"/>
        <v>41 William Russell Road</v>
      </c>
      <c r="R266" s="3">
        <f>OrdersTable!C266</f>
        <v>44581</v>
      </c>
      <c r="S266" s="15">
        <f>OrdersTable!E266</f>
        <v>1</v>
      </c>
      <c r="T266" s="15">
        <f t="shared" si="102"/>
        <v>27.5</v>
      </c>
      <c r="U266" s="15">
        <f t="shared" si="103"/>
        <v>37.76</v>
      </c>
      <c r="V266" s="15">
        <f t="shared" si="104"/>
        <v>44.55</v>
      </c>
      <c r="W266" s="15">
        <f>IF(MarkupType="Store Markup",ROUND(V266+V266*StoreMarkup,2),IF(MarkupType="Supplier Markup",V266+V266*SupplierMarkup,"Error at finding value"))</f>
        <v>70.17</v>
      </c>
      <c r="X266" s="32" t="str">
        <f t="shared" si="106"/>
        <v>0.00</v>
      </c>
      <c r="Y266" s="15">
        <f t="shared" si="107"/>
        <v>44.55</v>
      </c>
      <c r="Z266" s="15">
        <f t="shared" si="108"/>
        <v>70.17</v>
      </c>
      <c r="AA266" s="15">
        <f>IF(FreightType="Lethbridge-Stewart Freight ",ROUND(2.99+IF(N266&gt;0.75,(N266-0.75)*2.25,0)*S266,2),IF(MarkupType="Supplier Markup",V266+V266*SupplierMarkup,"Error at finding value"))</f>
        <v>4.4000000000000004</v>
      </c>
      <c r="AB266" s="15">
        <f t="shared" si="109"/>
        <v>0</v>
      </c>
    </row>
    <row r="267" spans="1:28" x14ac:dyDescent="0.25">
      <c r="A267" s="16">
        <f>OrdersTable!A267</f>
        <v>412</v>
      </c>
      <c r="B267" s="15" t="str">
        <f t="shared" si="89"/>
        <v>Miss</v>
      </c>
      <c r="C267" s="15" t="str">
        <f t="shared" ref="C267:C330" si="110">VLOOKUP($A267,Cust,3,0)</f>
        <v>Moraitis</v>
      </c>
      <c r="D267" s="15" t="str">
        <f t="shared" si="90"/>
        <v>Vikki Sue</v>
      </c>
      <c r="E267" s="15" t="str">
        <f t="shared" si="91"/>
        <v>11 Stuckings Boulevard</v>
      </c>
      <c r="F267" s="15" t="str">
        <f t="shared" si="92"/>
        <v>Airly</v>
      </c>
      <c r="G267" s="15" t="str">
        <f t="shared" si="93"/>
        <v>VIC</v>
      </c>
      <c r="H267" s="15">
        <f t="shared" si="94"/>
        <v>3851</v>
      </c>
      <c r="I267" s="15">
        <f t="shared" si="105"/>
        <v>1583</v>
      </c>
      <c r="J267" s="15">
        <f>OrdersTable!B267</f>
        <v>782</v>
      </c>
      <c r="K267" s="15" t="str">
        <f t="shared" si="95"/>
        <v>Statues and Busts</v>
      </c>
      <c r="L267" s="15" t="str">
        <f t="shared" si="96"/>
        <v>Doctor Who: Masterpiece Collection Maxi Bust: 10th Doctor</v>
      </c>
      <c r="M267" s="15" t="str">
        <f t="shared" si="97"/>
        <v>-</v>
      </c>
      <c r="N267" s="15">
        <f t="shared" si="98"/>
        <v>2.5</v>
      </c>
      <c r="O267" s="15" t="str">
        <f t="shared" si="99"/>
        <v>A30</v>
      </c>
      <c r="P267" s="15" t="str">
        <f t="shared" si="100"/>
        <v>Chesterton Enterprises</v>
      </c>
      <c r="Q267" s="15" t="str">
        <f t="shared" si="101"/>
        <v>41 William Russell Road</v>
      </c>
      <c r="R267" s="3">
        <f>OrdersTable!C267</f>
        <v>44581</v>
      </c>
      <c r="S267" s="15">
        <f>OrdersTable!E267</f>
        <v>6</v>
      </c>
      <c r="T267" s="15">
        <f t="shared" si="102"/>
        <v>49.99</v>
      </c>
      <c r="U267" s="15">
        <f t="shared" si="103"/>
        <v>68.5</v>
      </c>
      <c r="V267" s="15">
        <f t="shared" si="104"/>
        <v>80.98</v>
      </c>
      <c r="W267" s="15">
        <f>IF(MarkupType="Store Markup",ROUND(V267+V267*StoreMarkup,2),IF(MarkupType="Supplier Markup",V267+V267*SupplierMarkup,"Error at finding value"))</f>
        <v>127.54</v>
      </c>
      <c r="X267" s="32">
        <f t="shared" si="106"/>
        <v>9.09</v>
      </c>
      <c r="Y267" s="15">
        <f t="shared" si="107"/>
        <v>485.88</v>
      </c>
      <c r="Z267" s="15">
        <f t="shared" si="108"/>
        <v>710.7</v>
      </c>
      <c r="AA267" s="15">
        <f>IF(FreightType="Lethbridge-Stewart Freight ",ROUND(2.99+IF(N267&gt;0.75,(N267-0.75)*2.25,0)*S267,2),IF(MarkupType="Supplier Markup",V267+V267*SupplierMarkup,"Error at finding value"))</f>
        <v>26.62</v>
      </c>
      <c r="AB267" s="15">
        <f t="shared" si="109"/>
        <v>54.54</v>
      </c>
    </row>
    <row r="268" spans="1:28" x14ac:dyDescent="0.25">
      <c r="A268" s="16">
        <f>OrdersTable!A268</f>
        <v>501</v>
      </c>
      <c r="B268" s="15" t="str">
        <f t="shared" si="89"/>
        <v>Miss</v>
      </c>
      <c r="C268" s="15" t="str">
        <f t="shared" si="110"/>
        <v>Tharenou</v>
      </c>
      <c r="D268" s="15" t="str">
        <f t="shared" si="90"/>
        <v>Kimberley Jacinta</v>
      </c>
      <c r="E268" s="15" t="str">
        <f t="shared" si="91"/>
        <v>49 Moncada Circuit</v>
      </c>
      <c r="F268" s="15" t="str">
        <f t="shared" si="92"/>
        <v>Belford</v>
      </c>
      <c r="G268" s="15" t="str">
        <f t="shared" si="93"/>
        <v>NSW</v>
      </c>
      <c r="H268" s="15">
        <f t="shared" si="94"/>
        <v>2335</v>
      </c>
      <c r="I268" s="15">
        <f t="shared" si="105"/>
        <v>716</v>
      </c>
      <c r="J268" s="15">
        <f>OrdersTable!B268</f>
        <v>358</v>
      </c>
      <c r="K268" s="15" t="str">
        <f t="shared" si="95"/>
        <v>Clothing and Apparel</v>
      </c>
      <c r="L268" s="15" t="str">
        <f t="shared" si="96"/>
        <v xml:space="preserve">Doctor Who: T-Shirts: 5th Doctor Costume </v>
      </c>
      <c r="M268" s="15" t="str">
        <f t="shared" si="97"/>
        <v>M</v>
      </c>
      <c r="N268" s="15">
        <f t="shared" si="98"/>
        <v>0.8</v>
      </c>
      <c r="O268" s="15" t="str">
        <f t="shared" si="99"/>
        <v>A30</v>
      </c>
      <c r="P268" s="15" t="str">
        <f t="shared" si="100"/>
        <v>Chesterton Enterprises</v>
      </c>
      <c r="Q268" s="15" t="str">
        <f t="shared" si="101"/>
        <v>41 William Russell Road</v>
      </c>
      <c r="R268" s="3">
        <f>OrdersTable!C268</f>
        <v>44581</v>
      </c>
      <c r="S268" s="15">
        <f>OrdersTable!E268</f>
        <v>3</v>
      </c>
      <c r="T268" s="15">
        <f t="shared" si="102"/>
        <v>15.99</v>
      </c>
      <c r="U268" s="15">
        <f t="shared" si="103"/>
        <v>21.96</v>
      </c>
      <c r="V268" s="15">
        <f t="shared" si="104"/>
        <v>25.9</v>
      </c>
      <c r="W268" s="15">
        <f>IF(MarkupType="Store Markup",ROUND(V268+V268*StoreMarkup,2),IF(MarkupType="Supplier Markup",V268+V268*SupplierMarkup,"Error at finding value"))</f>
        <v>40.79</v>
      </c>
      <c r="X268" s="32" t="str">
        <f t="shared" si="106"/>
        <v>0.00</v>
      </c>
      <c r="Y268" s="15">
        <f t="shared" si="107"/>
        <v>77.7</v>
      </c>
      <c r="Z268" s="15">
        <f t="shared" si="108"/>
        <v>122.37</v>
      </c>
      <c r="AA268" s="15">
        <f>IF(FreightType="Lethbridge-Stewart Freight ",ROUND(2.99+IF(N268&gt;0.75,(N268-0.75)*2.25,0)*S268,2),IF(MarkupType="Supplier Markup",V268+V268*SupplierMarkup,"Error at finding value"))</f>
        <v>3.33</v>
      </c>
      <c r="AB268" s="15">
        <f t="shared" si="109"/>
        <v>0</v>
      </c>
    </row>
    <row r="269" spans="1:28" x14ac:dyDescent="0.25">
      <c r="A269" s="16">
        <f>OrdersTable!A269</f>
        <v>526</v>
      </c>
      <c r="B269" s="15" t="str">
        <f t="shared" si="89"/>
        <v>Mrs</v>
      </c>
      <c r="C269" s="15" t="str">
        <f t="shared" si="110"/>
        <v>Bradford</v>
      </c>
      <c r="D269" s="15" t="str">
        <f t="shared" si="90"/>
        <v>Haleigh Renae Ann</v>
      </c>
      <c r="E269" s="15" t="str">
        <f t="shared" si="91"/>
        <v>31 Johnston Road</v>
      </c>
      <c r="F269" s="15" t="str">
        <f t="shared" si="92"/>
        <v>Ashford</v>
      </c>
      <c r="G269" s="15" t="str">
        <f t="shared" si="93"/>
        <v>SA</v>
      </c>
      <c r="H269" s="15">
        <f t="shared" si="94"/>
        <v>5035</v>
      </c>
      <c r="I269" s="15">
        <f t="shared" si="105"/>
        <v>1877</v>
      </c>
      <c r="J269" s="15">
        <f>OrdersTable!B269</f>
        <v>316</v>
      </c>
      <c r="K269" s="15" t="str">
        <f t="shared" si="95"/>
        <v>Clothing and Apparel</v>
      </c>
      <c r="L269" s="15" t="str">
        <f t="shared" si="96"/>
        <v xml:space="preserve">Doctor Who: T-Shirts: 4th Doctor Costume </v>
      </c>
      <c r="M269" s="15" t="str">
        <f t="shared" si="97"/>
        <v>S</v>
      </c>
      <c r="N269" s="15">
        <f t="shared" si="98"/>
        <v>0.8</v>
      </c>
      <c r="O269" s="15" t="str">
        <f t="shared" si="99"/>
        <v>A30</v>
      </c>
      <c r="P269" s="15" t="str">
        <f t="shared" si="100"/>
        <v>Chesterton Enterprises</v>
      </c>
      <c r="Q269" s="15" t="str">
        <f t="shared" si="101"/>
        <v>41 William Russell Road</v>
      </c>
      <c r="R269" s="3">
        <f>OrdersTable!C269</f>
        <v>44581</v>
      </c>
      <c r="S269" s="15">
        <f>OrdersTable!E269</f>
        <v>10</v>
      </c>
      <c r="T269" s="15">
        <f t="shared" si="102"/>
        <v>15.99</v>
      </c>
      <c r="U269" s="15">
        <f t="shared" si="103"/>
        <v>21.94</v>
      </c>
      <c r="V269" s="15">
        <f t="shared" si="104"/>
        <v>25.9</v>
      </c>
      <c r="W269" s="15">
        <f>IF(MarkupType="Store Markup",ROUND(V269+V269*StoreMarkup,2),IF(MarkupType="Supplier Markup",V269+V269*SupplierMarkup,"Error at finding value"))</f>
        <v>40.79</v>
      </c>
      <c r="X269" s="32" t="str">
        <f t="shared" si="106"/>
        <v>0.00</v>
      </c>
      <c r="Y269" s="15">
        <f t="shared" si="107"/>
        <v>259</v>
      </c>
      <c r="Z269" s="15">
        <f t="shared" si="108"/>
        <v>407.9</v>
      </c>
      <c r="AA269" s="15">
        <f>IF(FreightType="Lethbridge-Stewart Freight ",ROUND(2.99+IF(N269&gt;0.75,(N269-0.75)*2.25,0)*S269,2),IF(MarkupType="Supplier Markup",V269+V269*SupplierMarkup,"Error at finding value"))</f>
        <v>4.12</v>
      </c>
      <c r="AB269" s="15">
        <f t="shared" si="109"/>
        <v>0</v>
      </c>
    </row>
    <row r="270" spans="1:28" x14ac:dyDescent="0.25">
      <c r="A270" s="16">
        <f>OrdersTable!A270</f>
        <v>568</v>
      </c>
      <c r="B270" s="15" t="str">
        <f t="shared" si="89"/>
        <v>Mr</v>
      </c>
      <c r="C270" s="15" t="str">
        <f t="shared" si="110"/>
        <v>Byrne</v>
      </c>
      <c r="D270" s="15" t="str">
        <f t="shared" si="90"/>
        <v>Gregory James</v>
      </c>
      <c r="E270" s="15" t="str">
        <f t="shared" si="91"/>
        <v>18 Doroshenko Crescent</v>
      </c>
      <c r="F270" s="15" t="str">
        <f t="shared" si="92"/>
        <v>Abington</v>
      </c>
      <c r="G270" s="15" t="str">
        <f t="shared" si="93"/>
        <v>QLD</v>
      </c>
      <c r="H270" s="15">
        <f t="shared" si="94"/>
        <v>4660</v>
      </c>
      <c r="I270" s="15">
        <f t="shared" si="105"/>
        <v>336</v>
      </c>
      <c r="J270" s="15">
        <f>OrdersTable!B270</f>
        <v>679</v>
      </c>
      <c r="K270" s="15" t="str">
        <f t="shared" si="95"/>
        <v>Mugs</v>
      </c>
      <c r="L270" s="15" t="str">
        <f t="shared" si="96"/>
        <v>Doctor Who: Mug: The Fifth Doctor</v>
      </c>
      <c r="M270" s="15" t="str">
        <f t="shared" si="97"/>
        <v>-</v>
      </c>
      <c r="N270" s="15">
        <f t="shared" si="98"/>
        <v>0.45</v>
      </c>
      <c r="O270" s="15" t="str">
        <f t="shared" si="99"/>
        <v>A40</v>
      </c>
      <c r="P270" s="15" t="str">
        <f t="shared" si="100"/>
        <v>Romana Imports</v>
      </c>
      <c r="Q270" s="15" t="str">
        <f t="shared" si="101"/>
        <v>17 Lalla Ward Road</v>
      </c>
      <c r="R270" s="3">
        <f>OrdersTable!C270</f>
        <v>44581</v>
      </c>
      <c r="S270" s="15">
        <f>OrdersTable!E270</f>
        <v>1</v>
      </c>
      <c r="T270" s="15">
        <f t="shared" si="102"/>
        <v>8.99</v>
      </c>
      <c r="U270" s="15">
        <f t="shared" si="103"/>
        <v>12.28</v>
      </c>
      <c r="V270" s="15">
        <f t="shared" si="104"/>
        <v>14.56</v>
      </c>
      <c r="W270" s="15">
        <f>IF(MarkupType="Store Markup",ROUND(V270+V270*StoreMarkup,2),IF(MarkupType="Supplier Markup",V270+V270*SupplierMarkup,"Error at finding value"))</f>
        <v>22.93</v>
      </c>
      <c r="X270" s="32" t="str">
        <f t="shared" si="106"/>
        <v>0.00</v>
      </c>
      <c r="Y270" s="15">
        <f t="shared" si="107"/>
        <v>14.56</v>
      </c>
      <c r="Z270" s="15">
        <f t="shared" si="108"/>
        <v>22.93</v>
      </c>
      <c r="AA270" s="15">
        <f>IF(FreightType="Lethbridge-Stewart Freight ",ROUND(2.99+IF(N270&gt;0.75,(N270-0.75)*2.25,0)*S270,2),IF(MarkupType="Supplier Markup",V270+V270*SupplierMarkup,"Error at finding value"))</f>
        <v>2.99</v>
      </c>
      <c r="AB270" s="15">
        <f t="shared" si="109"/>
        <v>0</v>
      </c>
    </row>
    <row r="271" spans="1:28" x14ac:dyDescent="0.25">
      <c r="A271" s="16">
        <f>OrdersTable!A271</f>
        <v>669</v>
      </c>
      <c r="B271" s="15" t="str">
        <f t="shared" si="89"/>
        <v>Dr</v>
      </c>
      <c r="C271" s="15" t="str">
        <f t="shared" si="110"/>
        <v>Ferjani</v>
      </c>
      <c r="D271" s="15" t="str">
        <f t="shared" si="90"/>
        <v>Rabah</v>
      </c>
      <c r="E271" s="15" t="str">
        <f t="shared" si="91"/>
        <v>2 Codrington Street</v>
      </c>
      <c r="F271" s="15" t="str">
        <f t="shared" si="92"/>
        <v>Belford</v>
      </c>
      <c r="G271" s="15" t="str">
        <f t="shared" si="93"/>
        <v>NSW</v>
      </c>
      <c r="H271" s="15">
        <f t="shared" si="94"/>
        <v>2335</v>
      </c>
      <c r="I271" s="15">
        <f t="shared" si="105"/>
        <v>716</v>
      </c>
      <c r="J271" s="15">
        <f>OrdersTable!B271</f>
        <v>826</v>
      </c>
      <c r="K271" s="15" t="str">
        <f t="shared" si="95"/>
        <v>Statues and Busts</v>
      </c>
      <c r="L271" s="15" t="str">
        <f t="shared" si="96"/>
        <v>Doctor Who: Mini Bust: Cyberman</v>
      </c>
      <c r="M271" s="15" t="str">
        <f t="shared" si="97"/>
        <v>-</v>
      </c>
      <c r="N271" s="15">
        <f t="shared" si="98"/>
        <v>1.8</v>
      </c>
      <c r="O271" s="15" t="str">
        <f t="shared" si="99"/>
        <v>A40</v>
      </c>
      <c r="P271" s="15" t="str">
        <f t="shared" si="100"/>
        <v>Romana Imports</v>
      </c>
      <c r="Q271" s="15" t="str">
        <f t="shared" si="101"/>
        <v>17 Lalla Ward Road</v>
      </c>
      <c r="R271" s="3">
        <f>OrdersTable!C271</f>
        <v>44581</v>
      </c>
      <c r="S271" s="15">
        <f>OrdersTable!E271</f>
        <v>8</v>
      </c>
      <c r="T271" s="15">
        <f t="shared" si="102"/>
        <v>35.99</v>
      </c>
      <c r="U271" s="15">
        <f t="shared" si="103"/>
        <v>49.13</v>
      </c>
      <c r="V271" s="15">
        <f t="shared" si="104"/>
        <v>58.3</v>
      </c>
      <c r="W271" s="15">
        <f>IF(MarkupType="Store Markup",ROUND(V271+V271*StoreMarkup,2),IF(MarkupType="Supplier Markup",V271+V271*SupplierMarkup,"Error at finding value"))</f>
        <v>91.82</v>
      </c>
      <c r="X271" s="32" t="str">
        <f t="shared" si="106"/>
        <v>0.00</v>
      </c>
      <c r="Y271" s="15">
        <f t="shared" si="107"/>
        <v>466.4</v>
      </c>
      <c r="Z271" s="15">
        <f t="shared" si="108"/>
        <v>734.56</v>
      </c>
      <c r="AA271" s="15">
        <f>IF(FreightType="Lethbridge-Stewart Freight ",ROUND(2.99+IF(N271&gt;0.75,(N271-0.75)*2.25,0)*S271,2),IF(MarkupType="Supplier Markup",V271+V271*SupplierMarkup,"Error at finding value"))</f>
        <v>21.89</v>
      </c>
      <c r="AB271" s="15">
        <f t="shared" si="109"/>
        <v>0</v>
      </c>
    </row>
    <row r="272" spans="1:28" x14ac:dyDescent="0.25">
      <c r="A272" s="16">
        <f>OrdersTable!A272</f>
        <v>730</v>
      </c>
      <c r="B272" s="15" t="str">
        <f t="shared" si="89"/>
        <v>Mr</v>
      </c>
      <c r="C272" s="15" t="str">
        <f t="shared" si="110"/>
        <v>Romer</v>
      </c>
      <c r="D272" s="15" t="str">
        <f t="shared" si="90"/>
        <v>Leo Alexander</v>
      </c>
      <c r="E272" s="15" t="str">
        <f t="shared" si="91"/>
        <v>47 Bennett Circuit</v>
      </c>
      <c r="F272" s="15" t="str">
        <f t="shared" si="92"/>
        <v>Caliph</v>
      </c>
      <c r="G272" s="15" t="str">
        <f t="shared" si="93"/>
        <v>SA</v>
      </c>
      <c r="H272" s="15">
        <f t="shared" si="94"/>
        <v>5310</v>
      </c>
      <c r="I272" s="15">
        <f t="shared" si="105"/>
        <v>1720</v>
      </c>
      <c r="J272" s="15">
        <f>OrdersTable!B272</f>
        <v>620</v>
      </c>
      <c r="K272" s="15" t="str">
        <f t="shared" si="95"/>
        <v>iPhone Skins</v>
      </c>
      <c r="L272" s="15" t="str">
        <f t="shared" si="96"/>
        <v>Doctor Who: iPhone Skin: TARDIS Water Colour</v>
      </c>
      <c r="M272" s="15" t="str">
        <f t="shared" si="97"/>
        <v>-</v>
      </c>
      <c r="N272" s="15">
        <f t="shared" si="98"/>
        <v>0.5</v>
      </c>
      <c r="O272" s="15" t="str">
        <f t="shared" si="99"/>
        <v>A30</v>
      </c>
      <c r="P272" s="15" t="str">
        <f t="shared" si="100"/>
        <v>Chesterton Enterprises</v>
      </c>
      <c r="Q272" s="15" t="str">
        <f t="shared" si="101"/>
        <v>41 William Russell Road</v>
      </c>
      <c r="R272" s="3">
        <f>OrdersTable!C272</f>
        <v>44581</v>
      </c>
      <c r="S272" s="15">
        <f>OrdersTable!E272</f>
        <v>2</v>
      </c>
      <c r="T272" s="15">
        <f t="shared" si="102"/>
        <v>9.99</v>
      </c>
      <c r="U272" s="15">
        <f t="shared" si="103"/>
        <v>13.81</v>
      </c>
      <c r="V272" s="15">
        <f t="shared" si="104"/>
        <v>16.18</v>
      </c>
      <c r="W272" s="15">
        <f>IF(MarkupType="Store Markup",ROUND(V272+V272*StoreMarkup,2),IF(MarkupType="Supplier Markup",V272+V272*SupplierMarkup,"Error at finding value"))</f>
        <v>25.48</v>
      </c>
      <c r="X272" s="32" t="str">
        <f t="shared" si="106"/>
        <v>0.00</v>
      </c>
      <c r="Y272" s="15">
        <f t="shared" si="107"/>
        <v>32.36</v>
      </c>
      <c r="Z272" s="15">
        <f t="shared" si="108"/>
        <v>50.96</v>
      </c>
      <c r="AA272" s="15">
        <f>IF(FreightType="Lethbridge-Stewart Freight ",ROUND(2.99+IF(N272&gt;0.75,(N272-0.75)*2.25,0)*S272,2),IF(MarkupType="Supplier Markup",V272+V272*SupplierMarkup,"Error at finding value"))</f>
        <v>2.99</v>
      </c>
      <c r="AB272" s="15">
        <f t="shared" si="109"/>
        <v>0</v>
      </c>
    </row>
    <row r="273" spans="1:28" x14ac:dyDescent="0.25">
      <c r="A273" s="16">
        <f>OrdersTable!A273</f>
        <v>823</v>
      </c>
      <c r="B273" s="15" t="str">
        <f t="shared" si="89"/>
        <v>Mrs</v>
      </c>
      <c r="C273" s="15" t="str">
        <f t="shared" si="110"/>
        <v>Riordan</v>
      </c>
      <c r="D273" s="15" t="str">
        <f t="shared" si="90"/>
        <v>Brianna Leigh</v>
      </c>
      <c r="E273" s="15" t="str">
        <f t="shared" si="91"/>
        <v>7 Boyd Crescent</v>
      </c>
      <c r="F273" s="15" t="str">
        <f t="shared" si="92"/>
        <v>Bamboo</v>
      </c>
      <c r="G273" s="15" t="str">
        <f t="shared" si="93"/>
        <v>QLD</v>
      </c>
      <c r="H273" s="15">
        <f t="shared" si="94"/>
        <v>4873</v>
      </c>
      <c r="I273" s="15">
        <f t="shared" si="105"/>
        <v>1741</v>
      </c>
      <c r="J273" s="15">
        <f>OrdersTable!B273</f>
        <v>813</v>
      </c>
      <c r="K273" s="15" t="str">
        <f t="shared" si="95"/>
        <v>Statues and Busts</v>
      </c>
      <c r="L273" s="15" t="str">
        <f t="shared" si="96"/>
        <v>Doctor Who: Masterpiece Collection Maxi Bust: Leela</v>
      </c>
      <c r="M273" s="15" t="str">
        <f t="shared" si="97"/>
        <v>-</v>
      </c>
      <c r="N273" s="15">
        <f t="shared" si="98"/>
        <v>2.5</v>
      </c>
      <c r="O273" s="15" t="str">
        <f t="shared" si="99"/>
        <v>A30</v>
      </c>
      <c r="P273" s="15" t="str">
        <f t="shared" si="100"/>
        <v>Chesterton Enterprises</v>
      </c>
      <c r="Q273" s="15" t="str">
        <f t="shared" si="101"/>
        <v>41 William Russell Road</v>
      </c>
      <c r="R273" s="3">
        <f>OrdersTable!C273</f>
        <v>44581</v>
      </c>
      <c r="S273" s="15">
        <f>OrdersTable!E273</f>
        <v>8</v>
      </c>
      <c r="T273" s="15">
        <f t="shared" si="102"/>
        <v>49.99</v>
      </c>
      <c r="U273" s="15">
        <f t="shared" si="103"/>
        <v>68.319999999999993</v>
      </c>
      <c r="V273" s="15">
        <f t="shared" si="104"/>
        <v>80.98</v>
      </c>
      <c r="W273" s="15">
        <f>IF(MarkupType="Store Markup",ROUND(V273+V273*StoreMarkup,2),IF(MarkupType="Supplier Markup",V273+V273*SupplierMarkup,"Error at finding value"))</f>
        <v>127.54</v>
      </c>
      <c r="X273" s="32">
        <f t="shared" si="106"/>
        <v>9.09</v>
      </c>
      <c r="Y273" s="15">
        <f t="shared" si="107"/>
        <v>647.84</v>
      </c>
      <c r="Z273" s="15">
        <f t="shared" si="108"/>
        <v>947.6</v>
      </c>
      <c r="AA273" s="15">
        <f>IF(FreightType="Lethbridge-Stewart Freight ",ROUND(2.99+IF(N273&gt;0.75,(N273-0.75)*2.25,0)*S273,2),IF(MarkupType="Supplier Markup",V273+V273*SupplierMarkup,"Error at finding value"))</f>
        <v>34.49</v>
      </c>
      <c r="AB273" s="15">
        <f t="shared" si="109"/>
        <v>72.72</v>
      </c>
    </row>
    <row r="274" spans="1:28" x14ac:dyDescent="0.25">
      <c r="A274" s="16">
        <f>OrdersTable!A274</f>
        <v>112</v>
      </c>
      <c r="B274" s="15" t="str">
        <f t="shared" si="89"/>
        <v>Mr</v>
      </c>
      <c r="C274" s="15" t="str">
        <f t="shared" si="110"/>
        <v>Dahal</v>
      </c>
      <c r="D274" s="15" t="str">
        <f t="shared" si="90"/>
        <v>Subash</v>
      </c>
      <c r="E274" s="15" t="str">
        <f t="shared" si="91"/>
        <v>121-127 Railway Pde, Granville, NSW 2142</v>
      </c>
      <c r="F274" s="15" t="str">
        <f t="shared" si="92"/>
        <v>Granville</v>
      </c>
      <c r="G274" s="15" t="str">
        <f t="shared" si="93"/>
        <v>NSW</v>
      </c>
      <c r="H274" s="15">
        <f t="shared" si="94"/>
        <v>2142</v>
      </c>
      <c r="I274" s="15">
        <f t="shared" si="105"/>
        <v>907</v>
      </c>
      <c r="J274" s="15">
        <f>OrdersTable!B274</f>
        <v>694</v>
      </c>
      <c r="K274" s="15" t="str">
        <f t="shared" si="95"/>
        <v>Posters, Prints and Standees</v>
      </c>
      <c r="L274" s="15" t="str">
        <f t="shared" si="96"/>
        <v>Doctor Who: 16'x12' Framed Print: Hide</v>
      </c>
      <c r="M274" s="15" t="str">
        <f t="shared" si="97"/>
        <v>-</v>
      </c>
      <c r="N274" s="15">
        <f t="shared" si="98"/>
        <v>0.75</v>
      </c>
      <c r="O274" s="15" t="str">
        <f t="shared" si="99"/>
        <v>A40</v>
      </c>
      <c r="P274" s="15" t="str">
        <f t="shared" si="100"/>
        <v>Romana Imports</v>
      </c>
      <c r="Q274" s="15" t="str">
        <f t="shared" si="101"/>
        <v>17 Lalla Ward Road</v>
      </c>
      <c r="R274" s="3">
        <f>OrdersTable!C274</f>
        <v>44582</v>
      </c>
      <c r="S274" s="15">
        <f>OrdersTable!E274</f>
        <v>3</v>
      </c>
      <c r="T274" s="15">
        <f t="shared" si="102"/>
        <v>14.99</v>
      </c>
      <c r="U274" s="15">
        <f t="shared" si="103"/>
        <v>20.49</v>
      </c>
      <c r="V274" s="15">
        <f t="shared" si="104"/>
        <v>24.28</v>
      </c>
      <c r="W274" s="15">
        <f>IF(MarkupType="Store Markup",ROUND(V274+V274*StoreMarkup,2),IF(MarkupType="Supplier Markup",V274+V274*SupplierMarkup,"Error at finding value"))</f>
        <v>38.24</v>
      </c>
      <c r="X274" s="32" t="str">
        <f t="shared" si="106"/>
        <v>0.00</v>
      </c>
      <c r="Y274" s="15">
        <f t="shared" si="107"/>
        <v>72.84</v>
      </c>
      <c r="Z274" s="15">
        <f t="shared" si="108"/>
        <v>114.72</v>
      </c>
      <c r="AA274" s="15">
        <f>IF(FreightType="Lethbridge-Stewart Freight ",ROUND(2.99+IF(N274&gt;0.75,(N274-0.75)*2.25,0)*S274,2),IF(MarkupType="Supplier Markup",V274+V274*SupplierMarkup,"Error at finding value"))</f>
        <v>2.99</v>
      </c>
      <c r="AB274" s="15">
        <f t="shared" si="109"/>
        <v>0</v>
      </c>
    </row>
    <row r="275" spans="1:28" x14ac:dyDescent="0.25">
      <c r="A275" s="16">
        <f>OrdersTable!A275</f>
        <v>139</v>
      </c>
      <c r="B275" s="15" t="str">
        <f t="shared" si="89"/>
        <v>Mrs</v>
      </c>
      <c r="C275" s="15" t="str">
        <f t="shared" si="110"/>
        <v>Atkinson</v>
      </c>
      <c r="D275" s="15" t="str">
        <f t="shared" si="90"/>
        <v>Leanne</v>
      </c>
      <c r="E275" s="15" t="str">
        <f t="shared" si="91"/>
        <v>45 Maloney Boulevard</v>
      </c>
      <c r="F275" s="15" t="str">
        <f t="shared" si="92"/>
        <v>Avon Plains</v>
      </c>
      <c r="G275" s="15" t="str">
        <f t="shared" si="93"/>
        <v>VIC</v>
      </c>
      <c r="H275" s="15">
        <f t="shared" si="94"/>
        <v>3477</v>
      </c>
      <c r="I275" s="15">
        <f t="shared" si="105"/>
        <v>1565</v>
      </c>
      <c r="J275" s="15">
        <f>OrdersTable!B275</f>
        <v>607</v>
      </c>
      <c r="K275" s="15" t="str">
        <f t="shared" si="95"/>
        <v>iPhone Skins</v>
      </c>
      <c r="L275" s="15" t="str">
        <f t="shared" si="96"/>
        <v>Doctor Who: iPhone Skin: Keep Calm I'm The Doctor</v>
      </c>
      <c r="M275" s="15" t="str">
        <f t="shared" si="97"/>
        <v>-</v>
      </c>
      <c r="N275" s="15">
        <f t="shared" si="98"/>
        <v>0.5</v>
      </c>
      <c r="O275" s="15" t="str">
        <f t="shared" si="99"/>
        <v>A40</v>
      </c>
      <c r="P275" s="15" t="str">
        <f t="shared" si="100"/>
        <v>Romana Imports</v>
      </c>
      <c r="Q275" s="15" t="str">
        <f t="shared" si="101"/>
        <v>17 Lalla Ward Road</v>
      </c>
      <c r="R275" s="3">
        <f>OrdersTable!C275</f>
        <v>44582</v>
      </c>
      <c r="S275" s="15">
        <f>OrdersTable!E275</f>
        <v>4</v>
      </c>
      <c r="T275" s="15">
        <f t="shared" si="102"/>
        <v>9.99</v>
      </c>
      <c r="U275" s="15">
        <f t="shared" si="103"/>
        <v>13.81</v>
      </c>
      <c r="V275" s="15">
        <f t="shared" si="104"/>
        <v>16.18</v>
      </c>
      <c r="W275" s="15">
        <f>IF(MarkupType="Store Markup",ROUND(V275+V275*StoreMarkup,2),IF(MarkupType="Supplier Markup",V275+V275*SupplierMarkup,"Error at finding value"))</f>
        <v>25.48</v>
      </c>
      <c r="X275" s="32" t="str">
        <f t="shared" si="106"/>
        <v>0.00</v>
      </c>
      <c r="Y275" s="15">
        <f t="shared" si="107"/>
        <v>64.72</v>
      </c>
      <c r="Z275" s="15">
        <f t="shared" si="108"/>
        <v>101.92</v>
      </c>
      <c r="AA275" s="15">
        <f>IF(FreightType="Lethbridge-Stewart Freight ",ROUND(2.99+IF(N275&gt;0.75,(N275-0.75)*2.25,0)*S275,2),IF(MarkupType="Supplier Markup",V275+V275*SupplierMarkup,"Error at finding value"))</f>
        <v>2.99</v>
      </c>
      <c r="AB275" s="15">
        <f t="shared" si="109"/>
        <v>0</v>
      </c>
    </row>
    <row r="276" spans="1:28" x14ac:dyDescent="0.25">
      <c r="A276" s="16">
        <f>OrdersTable!A276</f>
        <v>142</v>
      </c>
      <c r="B276" s="15" t="str">
        <f t="shared" si="89"/>
        <v>Miss</v>
      </c>
      <c r="C276" s="15" t="str">
        <f t="shared" si="110"/>
        <v>Western</v>
      </c>
      <c r="D276" s="15" t="str">
        <f t="shared" si="90"/>
        <v>Lee Reuben</v>
      </c>
      <c r="E276" s="15" t="str">
        <f t="shared" si="91"/>
        <v>14 Fields Road</v>
      </c>
      <c r="F276" s="15" t="str">
        <f t="shared" si="92"/>
        <v>Airly</v>
      </c>
      <c r="G276" s="15" t="str">
        <f t="shared" si="93"/>
        <v>VIC</v>
      </c>
      <c r="H276" s="15">
        <f t="shared" si="94"/>
        <v>3851</v>
      </c>
      <c r="I276" s="15">
        <f t="shared" si="105"/>
        <v>1583</v>
      </c>
      <c r="J276" s="15">
        <f>OrdersTable!B276</f>
        <v>186</v>
      </c>
      <c r="K276" s="15" t="str">
        <f t="shared" si="95"/>
        <v>Bobbleheads</v>
      </c>
      <c r="L276" s="15" t="str">
        <f t="shared" si="96"/>
        <v>Doctor Who: Monitor Mate: 50th Anniversary Original TARDIS</v>
      </c>
      <c r="M276" s="15" t="str">
        <f t="shared" si="97"/>
        <v>-</v>
      </c>
      <c r="N276" s="15">
        <f t="shared" si="98"/>
        <v>0.45</v>
      </c>
      <c r="O276" s="15" t="str">
        <f t="shared" si="99"/>
        <v>A20</v>
      </c>
      <c r="P276" s="15" t="str">
        <f t="shared" si="100"/>
        <v>Morbius Inc.</v>
      </c>
      <c r="Q276" s="15" t="str">
        <f t="shared" si="101"/>
        <v>56 Michael Spice Hwy</v>
      </c>
      <c r="R276" s="3">
        <f>OrdersTable!C276</f>
        <v>44582</v>
      </c>
      <c r="S276" s="15">
        <f>OrdersTable!E276</f>
        <v>8</v>
      </c>
      <c r="T276" s="15">
        <f t="shared" si="102"/>
        <v>8.99</v>
      </c>
      <c r="U276" s="15">
        <f t="shared" si="103"/>
        <v>12.46</v>
      </c>
      <c r="V276" s="15">
        <f t="shared" si="104"/>
        <v>14.56</v>
      </c>
      <c r="W276" s="15">
        <f>IF(MarkupType="Store Markup",ROUND(V276+V276*StoreMarkup,2),IF(MarkupType="Supplier Markup",V276+V276*SupplierMarkup,"Error at finding value"))</f>
        <v>22.93</v>
      </c>
      <c r="X276" s="32" t="str">
        <f t="shared" si="106"/>
        <v>0.00</v>
      </c>
      <c r="Y276" s="15">
        <f t="shared" si="107"/>
        <v>116.48</v>
      </c>
      <c r="Z276" s="15">
        <f t="shared" si="108"/>
        <v>183.44</v>
      </c>
      <c r="AA276" s="15">
        <f>IF(FreightType="Lethbridge-Stewart Freight ",ROUND(2.99+IF(N276&gt;0.75,(N276-0.75)*2.25,0)*S276,2),IF(MarkupType="Supplier Markup",V276+V276*SupplierMarkup,"Error at finding value"))</f>
        <v>2.99</v>
      </c>
      <c r="AB276" s="15">
        <f t="shared" si="109"/>
        <v>0</v>
      </c>
    </row>
    <row r="277" spans="1:28" x14ac:dyDescent="0.25">
      <c r="A277" s="16">
        <f>OrdersTable!A277</f>
        <v>146</v>
      </c>
      <c r="B277" s="15" t="str">
        <f t="shared" si="89"/>
        <v>Miss</v>
      </c>
      <c r="C277" s="15" t="str">
        <f t="shared" si="110"/>
        <v>Brown</v>
      </c>
      <c r="D277" s="15" t="str">
        <f t="shared" si="90"/>
        <v>Sarah Danielle</v>
      </c>
      <c r="E277" s="15" t="str">
        <f t="shared" si="91"/>
        <v>50 Brieschke Court</v>
      </c>
      <c r="F277" s="15" t="str">
        <f t="shared" si="92"/>
        <v>Bray Park</v>
      </c>
      <c r="G277" s="15" t="str">
        <f t="shared" si="93"/>
        <v>QLD</v>
      </c>
      <c r="H277" s="15">
        <f t="shared" si="94"/>
        <v>4500</v>
      </c>
      <c r="I277" s="15">
        <f t="shared" si="105"/>
        <v>139</v>
      </c>
      <c r="J277" s="15">
        <f>OrdersTable!B277</f>
        <v>745</v>
      </c>
      <c r="K277" s="15" t="str">
        <f t="shared" si="95"/>
        <v>Props and Replicas</v>
      </c>
      <c r="L277" s="15" t="str">
        <f t="shared" si="96"/>
        <v>Doctor Who: TARDIS Type 40 Plaque</v>
      </c>
      <c r="M277" s="15" t="str">
        <f t="shared" si="97"/>
        <v>-</v>
      </c>
      <c r="N277" s="15">
        <f t="shared" si="98"/>
        <v>1.75</v>
      </c>
      <c r="O277" s="15" t="str">
        <f t="shared" si="99"/>
        <v>A30</v>
      </c>
      <c r="P277" s="15" t="str">
        <f t="shared" si="100"/>
        <v>Chesterton Enterprises</v>
      </c>
      <c r="Q277" s="15" t="str">
        <f t="shared" si="101"/>
        <v>41 William Russell Road</v>
      </c>
      <c r="R277" s="3">
        <f>OrdersTable!C277</f>
        <v>44582</v>
      </c>
      <c r="S277" s="15">
        <f>OrdersTable!E277</f>
        <v>10</v>
      </c>
      <c r="T277" s="15">
        <f t="shared" si="102"/>
        <v>34.99</v>
      </c>
      <c r="U277" s="15">
        <f t="shared" si="103"/>
        <v>47.86</v>
      </c>
      <c r="V277" s="15">
        <f t="shared" si="104"/>
        <v>56.68</v>
      </c>
      <c r="W277" s="15">
        <f>IF(MarkupType="Store Markup",ROUND(V277+V277*StoreMarkup,2),IF(MarkupType="Supplier Markup",V277+V277*SupplierMarkup,"Error at finding value"))</f>
        <v>89.27</v>
      </c>
      <c r="X277" s="32" t="str">
        <f t="shared" si="106"/>
        <v>0.00</v>
      </c>
      <c r="Y277" s="15">
        <f t="shared" si="107"/>
        <v>566.79999999999995</v>
      </c>
      <c r="Z277" s="15">
        <f t="shared" si="108"/>
        <v>892.7</v>
      </c>
      <c r="AA277" s="15">
        <f>IF(FreightType="Lethbridge-Stewart Freight ",ROUND(2.99+IF(N277&gt;0.75,(N277-0.75)*2.25,0)*S277,2),IF(MarkupType="Supplier Markup",V277+V277*SupplierMarkup,"Error at finding value"))</f>
        <v>25.49</v>
      </c>
      <c r="AB277" s="15">
        <f t="shared" si="109"/>
        <v>0</v>
      </c>
    </row>
    <row r="278" spans="1:28" x14ac:dyDescent="0.25">
      <c r="A278" s="16">
        <f>OrdersTable!A278</f>
        <v>224</v>
      </c>
      <c r="B278" s="15" t="str">
        <f t="shared" si="89"/>
        <v>Miss</v>
      </c>
      <c r="C278" s="15" t="str">
        <f t="shared" si="110"/>
        <v>Baruwal</v>
      </c>
      <c r="D278" s="15" t="str">
        <f t="shared" si="90"/>
        <v>Pratikshya</v>
      </c>
      <c r="E278" s="15" t="str">
        <f t="shared" si="91"/>
        <v>43 Gilloway Street</v>
      </c>
      <c r="F278" s="15" t="str">
        <f t="shared" si="92"/>
        <v>Iluka</v>
      </c>
      <c r="G278" s="15" t="str">
        <f t="shared" si="93"/>
        <v>NSW</v>
      </c>
      <c r="H278" s="15">
        <f t="shared" si="94"/>
        <v>2466</v>
      </c>
      <c r="I278" s="15">
        <f t="shared" si="105"/>
        <v>347</v>
      </c>
      <c r="J278" s="15">
        <f>OrdersTable!B278</f>
        <v>758</v>
      </c>
      <c r="K278" s="15" t="str">
        <f t="shared" si="95"/>
        <v>Statues and Busts</v>
      </c>
      <c r="L278" s="15" t="str">
        <f t="shared" si="96"/>
        <v>Doctor Who: Helmet: Sontaran Officer Linx</v>
      </c>
      <c r="M278" s="15" t="str">
        <f t="shared" si="97"/>
        <v>-</v>
      </c>
      <c r="N278" s="15">
        <f t="shared" si="98"/>
        <v>1.75</v>
      </c>
      <c r="O278" s="15" t="str">
        <f t="shared" si="99"/>
        <v>A50</v>
      </c>
      <c r="P278" s="15" t="str">
        <f t="shared" si="100"/>
        <v>Rassilon Ltd.</v>
      </c>
      <c r="Q278" s="15" t="str">
        <f t="shared" si="101"/>
        <v>82 Richard Mathews Road</v>
      </c>
      <c r="R278" s="3">
        <f>OrdersTable!C278</f>
        <v>44582</v>
      </c>
      <c r="S278" s="15">
        <f>OrdersTable!E278</f>
        <v>7</v>
      </c>
      <c r="T278" s="15">
        <f t="shared" si="102"/>
        <v>34.99</v>
      </c>
      <c r="U278" s="15">
        <f t="shared" si="103"/>
        <v>47.79</v>
      </c>
      <c r="V278" s="15">
        <f t="shared" si="104"/>
        <v>56.68</v>
      </c>
      <c r="W278" s="15">
        <f>IF(MarkupType="Store Markup",ROUND(V278+V278*StoreMarkup,2),IF(MarkupType="Supplier Markup",V278+V278*SupplierMarkup,"Error at finding value"))</f>
        <v>89.27</v>
      </c>
      <c r="X278" s="32" t="str">
        <f t="shared" si="106"/>
        <v>0.00</v>
      </c>
      <c r="Y278" s="15">
        <f t="shared" si="107"/>
        <v>396.76</v>
      </c>
      <c r="Z278" s="15">
        <f t="shared" si="108"/>
        <v>624.89</v>
      </c>
      <c r="AA278" s="15">
        <f>IF(FreightType="Lethbridge-Stewart Freight ",ROUND(2.99+IF(N278&gt;0.75,(N278-0.75)*2.25,0)*S278,2),IF(MarkupType="Supplier Markup",V278+V278*SupplierMarkup,"Error at finding value"))</f>
        <v>18.739999999999998</v>
      </c>
      <c r="AB278" s="15">
        <f t="shared" si="109"/>
        <v>0</v>
      </c>
    </row>
    <row r="279" spans="1:28" x14ac:dyDescent="0.25">
      <c r="A279" s="16">
        <f>OrdersTable!A279</f>
        <v>226</v>
      </c>
      <c r="B279" s="15" t="str">
        <f t="shared" si="89"/>
        <v>Ms</v>
      </c>
      <c r="C279" s="15" t="str">
        <f t="shared" si="110"/>
        <v>Stewart</v>
      </c>
      <c r="D279" s="15" t="str">
        <f t="shared" si="90"/>
        <v>Jodi Louise</v>
      </c>
      <c r="E279" s="15" t="str">
        <f t="shared" si="91"/>
        <v>33 Abington Court</v>
      </c>
      <c r="F279" s="15" t="str">
        <f t="shared" si="92"/>
        <v>Iluka</v>
      </c>
      <c r="G279" s="15" t="str">
        <f t="shared" si="93"/>
        <v>NSW</v>
      </c>
      <c r="H279" s="15">
        <f t="shared" si="94"/>
        <v>2466</v>
      </c>
      <c r="I279" s="15">
        <f t="shared" si="105"/>
        <v>347</v>
      </c>
      <c r="J279" s="15">
        <f>OrdersTable!B279</f>
        <v>358</v>
      </c>
      <c r="K279" s="15" t="str">
        <f t="shared" si="95"/>
        <v>Clothing and Apparel</v>
      </c>
      <c r="L279" s="15" t="str">
        <f t="shared" si="96"/>
        <v xml:space="preserve">Doctor Who: T-Shirts: 5th Doctor Costume </v>
      </c>
      <c r="M279" s="15" t="str">
        <f t="shared" si="97"/>
        <v>M</v>
      </c>
      <c r="N279" s="15">
        <f t="shared" si="98"/>
        <v>0.8</v>
      </c>
      <c r="O279" s="15" t="str">
        <f t="shared" si="99"/>
        <v>A30</v>
      </c>
      <c r="P279" s="15" t="str">
        <f t="shared" si="100"/>
        <v>Chesterton Enterprises</v>
      </c>
      <c r="Q279" s="15" t="str">
        <f t="shared" si="101"/>
        <v>41 William Russell Road</v>
      </c>
      <c r="R279" s="3">
        <f>OrdersTable!C279</f>
        <v>44582</v>
      </c>
      <c r="S279" s="15">
        <f>OrdersTable!E279</f>
        <v>2</v>
      </c>
      <c r="T279" s="15">
        <f t="shared" si="102"/>
        <v>15.99</v>
      </c>
      <c r="U279" s="15">
        <f t="shared" si="103"/>
        <v>21.96</v>
      </c>
      <c r="V279" s="15">
        <f t="shared" si="104"/>
        <v>25.9</v>
      </c>
      <c r="W279" s="15">
        <f>IF(MarkupType="Store Markup",ROUND(V279+V279*StoreMarkup,2),IF(MarkupType="Supplier Markup",V279+V279*SupplierMarkup,"Error at finding value"))</f>
        <v>40.79</v>
      </c>
      <c r="X279" s="32" t="str">
        <f t="shared" si="106"/>
        <v>0.00</v>
      </c>
      <c r="Y279" s="15">
        <f t="shared" si="107"/>
        <v>51.8</v>
      </c>
      <c r="Z279" s="15">
        <f t="shared" si="108"/>
        <v>81.58</v>
      </c>
      <c r="AA279" s="15">
        <f>IF(FreightType="Lethbridge-Stewart Freight ",ROUND(2.99+IF(N279&gt;0.75,(N279-0.75)*2.25,0)*S279,2),IF(MarkupType="Supplier Markup",V279+V279*SupplierMarkup,"Error at finding value"))</f>
        <v>3.22</v>
      </c>
      <c r="AB279" s="15">
        <f t="shared" si="109"/>
        <v>0</v>
      </c>
    </row>
    <row r="280" spans="1:28" x14ac:dyDescent="0.25">
      <c r="A280" s="16">
        <f>OrdersTable!A280</f>
        <v>360</v>
      </c>
      <c r="B280" s="15" t="str">
        <f t="shared" si="89"/>
        <v>Ms</v>
      </c>
      <c r="C280" s="15" t="str">
        <f t="shared" si="110"/>
        <v>Bobonica</v>
      </c>
      <c r="D280" s="15" t="str">
        <f t="shared" si="90"/>
        <v>Claudia</v>
      </c>
      <c r="E280" s="15" t="str">
        <f t="shared" si="91"/>
        <v>47 Klein Way</v>
      </c>
      <c r="F280" s="15" t="str">
        <f t="shared" si="92"/>
        <v>Avon Plains</v>
      </c>
      <c r="G280" s="15" t="str">
        <f t="shared" si="93"/>
        <v>VIC</v>
      </c>
      <c r="H280" s="15">
        <f t="shared" si="94"/>
        <v>3477</v>
      </c>
      <c r="I280" s="15">
        <f t="shared" si="105"/>
        <v>1565</v>
      </c>
      <c r="J280" s="15">
        <f>OrdersTable!B280</f>
        <v>759</v>
      </c>
      <c r="K280" s="15" t="str">
        <f t="shared" si="95"/>
        <v>Statues and Busts</v>
      </c>
      <c r="L280" s="15" t="str">
        <f t="shared" si="96"/>
        <v>Doctor Who: Legends Forever Bust: Jon Pertwee</v>
      </c>
      <c r="M280" s="15" t="str">
        <f t="shared" si="97"/>
        <v>-</v>
      </c>
      <c r="N280" s="15">
        <f t="shared" si="98"/>
        <v>1.375</v>
      </c>
      <c r="O280" s="15" t="str">
        <f t="shared" si="99"/>
        <v>A30</v>
      </c>
      <c r="P280" s="15" t="str">
        <f t="shared" si="100"/>
        <v>Chesterton Enterprises</v>
      </c>
      <c r="Q280" s="15" t="str">
        <f t="shared" si="101"/>
        <v>41 William Russell Road</v>
      </c>
      <c r="R280" s="3">
        <f>OrdersTable!C280</f>
        <v>44582</v>
      </c>
      <c r="S280" s="15">
        <f>OrdersTable!E280</f>
        <v>8</v>
      </c>
      <c r="T280" s="15">
        <f t="shared" si="102"/>
        <v>27.5</v>
      </c>
      <c r="U280" s="15">
        <f t="shared" si="103"/>
        <v>37.630000000000003</v>
      </c>
      <c r="V280" s="15">
        <f t="shared" si="104"/>
        <v>44.55</v>
      </c>
      <c r="W280" s="15">
        <f>IF(MarkupType="Store Markup",ROUND(V280+V280*StoreMarkup,2),IF(MarkupType="Supplier Markup",V280+V280*SupplierMarkup,"Error at finding value"))</f>
        <v>70.17</v>
      </c>
      <c r="X280" s="32" t="str">
        <f t="shared" si="106"/>
        <v>0.00</v>
      </c>
      <c r="Y280" s="15">
        <f t="shared" si="107"/>
        <v>356.4</v>
      </c>
      <c r="Z280" s="15">
        <f t="shared" si="108"/>
        <v>561.36</v>
      </c>
      <c r="AA280" s="15">
        <f>IF(FreightType="Lethbridge-Stewart Freight ",ROUND(2.99+IF(N280&gt;0.75,(N280-0.75)*2.25,0)*S280,2),IF(MarkupType="Supplier Markup",V280+V280*SupplierMarkup,"Error at finding value"))</f>
        <v>14.24</v>
      </c>
      <c r="AB280" s="15">
        <f t="shared" si="109"/>
        <v>0</v>
      </c>
    </row>
    <row r="281" spans="1:28" x14ac:dyDescent="0.25">
      <c r="A281" s="16">
        <f>OrdersTable!A281</f>
        <v>370</v>
      </c>
      <c r="B281" s="15" t="str">
        <f t="shared" si="89"/>
        <v>Mr</v>
      </c>
      <c r="C281" s="15" t="str">
        <f t="shared" si="110"/>
        <v>Kennedy</v>
      </c>
      <c r="D281" s="15" t="str">
        <f t="shared" si="90"/>
        <v>Joseph Dominic</v>
      </c>
      <c r="E281" s="15" t="str">
        <f t="shared" si="91"/>
        <v>43 Barton Road</v>
      </c>
      <c r="F281" s="15" t="str">
        <f t="shared" si="92"/>
        <v>Boston</v>
      </c>
      <c r="G281" s="15" t="str">
        <f t="shared" si="93"/>
        <v>SA</v>
      </c>
      <c r="H281" s="15">
        <f t="shared" si="94"/>
        <v>5607</v>
      </c>
      <c r="I281" s="15">
        <f t="shared" si="105"/>
        <v>2076</v>
      </c>
      <c r="J281" s="15">
        <f>OrdersTable!B281</f>
        <v>867</v>
      </c>
      <c r="K281" s="15" t="str">
        <f t="shared" si="95"/>
        <v>Statues and Busts</v>
      </c>
      <c r="L281" s="15" t="str">
        <f t="shared" si="96"/>
        <v>Doctor Who: TITANS: The 11th Doctor</v>
      </c>
      <c r="M281" s="15" t="str">
        <f t="shared" si="97"/>
        <v>-</v>
      </c>
      <c r="N281" s="15">
        <f t="shared" si="98"/>
        <v>0.4</v>
      </c>
      <c r="O281" s="15" t="str">
        <f t="shared" si="99"/>
        <v>A20</v>
      </c>
      <c r="P281" s="15" t="str">
        <f t="shared" si="100"/>
        <v>Morbius Inc.</v>
      </c>
      <c r="Q281" s="15" t="str">
        <f t="shared" si="101"/>
        <v>56 Michael Spice Hwy</v>
      </c>
      <c r="R281" s="3">
        <f>OrdersTable!C281</f>
        <v>44582</v>
      </c>
      <c r="S281" s="15">
        <f>OrdersTable!E281</f>
        <v>1</v>
      </c>
      <c r="T281" s="15">
        <f t="shared" si="102"/>
        <v>7.99</v>
      </c>
      <c r="U281" s="15">
        <f t="shared" si="103"/>
        <v>11.1</v>
      </c>
      <c r="V281" s="15">
        <f t="shared" si="104"/>
        <v>12.94</v>
      </c>
      <c r="W281" s="15">
        <f>IF(MarkupType="Store Markup",ROUND(V281+V281*StoreMarkup,2),IF(MarkupType="Supplier Markup",V281+V281*SupplierMarkup,"Error at finding value"))</f>
        <v>20.38</v>
      </c>
      <c r="X281" s="32" t="str">
        <f t="shared" si="106"/>
        <v>0.00</v>
      </c>
      <c r="Y281" s="15">
        <f t="shared" si="107"/>
        <v>12.94</v>
      </c>
      <c r="Z281" s="15">
        <f t="shared" si="108"/>
        <v>20.38</v>
      </c>
      <c r="AA281" s="15">
        <f>IF(FreightType="Lethbridge-Stewart Freight ",ROUND(2.99+IF(N281&gt;0.75,(N281-0.75)*2.25,0)*S281,2),IF(MarkupType="Supplier Markup",V281+V281*SupplierMarkup,"Error at finding value"))</f>
        <v>2.99</v>
      </c>
      <c r="AB281" s="15">
        <f t="shared" si="109"/>
        <v>0</v>
      </c>
    </row>
    <row r="282" spans="1:28" x14ac:dyDescent="0.25">
      <c r="A282" s="16">
        <f>OrdersTable!A282</f>
        <v>390</v>
      </c>
      <c r="B282" s="15" t="str">
        <f t="shared" si="89"/>
        <v>Ms</v>
      </c>
      <c r="C282" s="15" t="str">
        <f t="shared" si="110"/>
        <v>Queen</v>
      </c>
      <c r="D282" s="15" t="str">
        <f t="shared" si="90"/>
        <v>Joanne</v>
      </c>
      <c r="E282" s="15" t="str">
        <f t="shared" si="91"/>
        <v>30 Hall Drive</v>
      </c>
      <c r="F282" s="15" t="str">
        <f t="shared" si="92"/>
        <v>Belconnen</v>
      </c>
      <c r="G282" s="15" t="str">
        <f t="shared" si="93"/>
        <v>ACT</v>
      </c>
      <c r="H282" s="15">
        <f t="shared" si="94"/>
        <v>2617</v>
      </c>
      <c r="I282" s="15">
        <f t="shared" si="105"/>
        <v>1194</v>
      </c>
      <c r="J282" s="15">
        <f>OrdersTable!B282</f>
        <v>696</v>
      </c>
      <c r="K282" s="15" t="str">
        <f t="shared" si="95"/>
        <v>Posters, Prints and Standees</v>
      </c>
      <c r="L282" s="15" t="str">
        <f t="shared" si="96"/>
        <v xml:space="preserve">Doctor Who: 50th Anniversary: Poster: To Victory </v>
      </c>
      <c r="M282" s="15" t="str">
        <f t="shared" si="97"/>
        <v>-</v>
      </c>
      <c r="N282" s="15">
        <f t="shared" si="98"/>
        <v>0.2</v>
      </c>
      <c r="O282" s="15" t="str">
        <f t="shared" si="99"/>
        <v>A40</v>
      </c>
      <c r="P282" s="15" t="str">
        <f t="shared" si="100"/>
        <v>Romana Imports</v>
      </c>
      <c r="Q282" s="15" t="str">
        <f t="shared" si="101"/>
        <v>17 Lalla Ward Road</v>
      </c>
      <c r="R282" s="3">
        <f>OrdersTable!C282</f>
        <v>44582</v>
      </c>
      <c r="S282" s="15">
        <f>OrdersTable!E282</f>
        <v>3</v>
      </c>
      <c r="T282" s="15">
        <f t="shared" si="102"/>
        <v>3.99</v>
      </c>
      <c r="U282" s="15">
        <f t="shared" si="103"/>
        <v>5.6</v>
      </c>
      <c r="V282" s="15">
        <f t="shared" si="104"/>
        <v>6.46</v>
      </c>
      <c r="W282" s="15">
        <f>IF(MarkupType="Store Markup",ROUND(V282+V282*StoreMarkup,2),IF(MarkupType="Supplier Markup",V282+V282*SupplierMarkup,"Error at finding value"))</f>
        <v>10.17</v>
      </c>
      <c r="X282" s="32" t="str">
        <f t="shared" si="106"/>
        <v>0.00</v>
      </c>
      <c r="Y282" s="15">
        <f t="shared" si="107"/>
        <v>19.38</v>
      </c>
      <c r="Z282" s="15">
        <f t="shared" si="108"/>
        <v>30.51</v>
      </c>
      <c r="AA282" s="15">
        <f>IF(FreightType="Lethbridge-Stewart Freight ",ROUND(2.99+IF(N282&gt;0.75,(N282-0.75)*2.25,0)*S282,2),IF(MarkupType="Supplier Markup",V282+V282*SupplierMarkup,"Error at finding value"))</f>
        <v>2.99</v>
      </c>
      <c r="AB282" s="15">
        <f t="shared" si="109"/>
        <v>0</v>
      </c>
    </row>
    <row r="283" spans="1:28" x14ac:dyDescent="0.25">
      <c r="A283" s="16">
        <f>OrdersTable!A283</f>
        <v>568</v>
      </c>
      <c r="B283" s="15" t="str">
        <f t="shared" si="89"/>
        <v>Mr</v>
      </c>
      <c r="C283" s="15" t="str">
        <f t="shared" si="110"/>
        <v>Byrne</v>
      </c>
      <c r="D283" s="15" t="str">
        <f t="shared" si="90"/>
        <v>Gregory James</v>
      </c>
      <c r="E283" s="15" t="str">
        <f t="shared" si="91"/>
        <v>18 Doroshenko Crescent</v>
      </c>
      <c r="F283" s="15" t="str">
        <f t="shared" si="92"/>
        <v>Abington</v>
      </c>
      <c r="G283" s="15" t="str">
        <f t="shared" si="93"/>
        <v>QLD</v>
      </c>
      <c r="H283" s="15">
        <f t="shared" si="94"/>
        <v>4660</v>
      </c>
      <c r="I283" s="15">
        <f t="shared" si="105"/>
        <v>336</v>
      </c>
      <c r="J283" s="15">
        <f>OrdersTable!B283</f>
        <v>164</v>
      </c>
      <c r="K283" s="15" t="str">
        <f t="shared" si="95"/>
        <v>Bobbleheads</v>
      </c>
      <c r="L283" s="15" t="str">
        <f t="shared" si="96"/>
        <v>Doctor Who: Bobblehead: Fourth Doctor</v>
      </c>
      <c r="M283" s="15" t="str">
        <f t="shared" si="97"/>
        <v>-</v>
      </c>
      <c r="N283" s="15">
        <f t="shared" si="98"/>
        <v>0.75</v>
      </c>
      <c r="O283" s="15" t="str">
        <f t="shared" si="99"/>
        <v>A40</v>
      </c>
      <c r="P283" s="15" t="str">
        <f t="shared" si="100"/>
        <v>Romana Imports</v>
      </c>
      <c r="Q283" s="15" t="str">
        <f t="shared" si="101"/>
        <v>17 Lalla Ward Road</v>
      </c>
      <c r="R283" s="3">
        <f>OrdersTable!C283</f>
        <v>44582</v>
      </c>
      <c r="S283" s="15">
        <f>OrdersTable!E283</f>
        <v>3</v>
      </c>
      <c r="T283" s="15">
        <f t="shared" si="102"/>
        <v>14.99</v>
      </c>
      <c r="U283" s="15">
        <f t="shared" si="103"/>
        <v>20.53</v>
      </c>
      <c r="V283" s="15">
        <f t="shared" si="104"/>
        <v>24.28</v>
      </c>
      <c r="W283" s="15">
        <f>IF(MarkupType="Store Markup",ROUND(V283+V283*StoreMarkup,2),IF(MarkupType="Supplier Markup",V283+V283*SupplierMarkup,"Error at finding value"))</f>
        <v>38.24</v>
      </c>
      <c r="X283" s="32" t="str">
        <f t="shared" si="106"/>
        <v>0.00</v>
      </c>
      <c r="Y283" s="15">
        <f t="shared" si="107"/>
        <v>72.84</v>
      </c>
      <c r="Z283" s="15">
        <f t="shared" si="108"/>
        <v>114.72</v>
      </c>
      <c r="AA283" s="15">
        <f>IF(FreightType="Lethbridge-Stewart Freight ",ROUND(2.99+IF(N283&gt;0.75,(N283-0.75)*2.25,0)*S283,2),IF(MarkupType="Supplier Markup",V283+V283*SupplierMarkup,"Error at finding value"))</f>
        <v>2.99</v>
      </c>
      <c r="AB283" s="15">
        <f t="shared" si="109"/>
        <v>0</v>
      </c>
    </row>
    <row r="284" spans="1:28" x14ac:dyDescent="0.25">
      <c r="A284" s="16">
        <f>OrdersTable!A284</f>
        <v>573</v>
      </c>
      <c r="B284" s="15" t="str">
        <f t="shared" si="89"/>
        <v>Mrs</v>
      </c>
      <c r="C284" s="15" t="str">
        <f t="shared" si="110"/>
        <v>Hollonds</v>
      </c>
      <c r="D284" s="15" t="str">
        <f t="shared" si="90"/>
        <v>Suzan</v>
      </c>
      <c r="E284" s="15" t="str">
        <f t="shared" si="91"/>
        <v>49 Patel Way</v>
      </c>
      <c r="F284" s="15" t="str">
        <f t="shared" si="92"/>
        <v>Belconnen</v>
      </c>
      <c r="G284" s="15" t="str">
        <f t="shared" si="93"/>
        <v>ACT</v>
      </c>
      <c r="H284" s="15">
        <f t="shared" si="94"/>
        <v>2617</v>
      </c>
      <c r="I284" s="15">
        <f t="shared" si="105"/>
        <v>1194</v>
      </c>
      <c r="J284" s="15">
        <f>OrdersTable!B284</f>
        <v>817</v>
      </c>
      <c r="K284" s="15" t="str">
        <f t="shared" si="95"/>
        <v>Statues and Busts</v>
      </c>
      <c r="L284" s="15" t="str">
        <f t="shared" si="96"/>
        <v>Doctor Who: Masterpiece Collection Maxi Bust: Torchwood Captain Jack Harkness</v>
      </c>
      <c r="M284" s="15" t="str">
        <f t="shared" si="97"/>
        <v>-</v>
      </c>
      <c r="N284" s="15">
        <f t="shared" si="98"/>
        <v>2.5</v>
      </c>
      <c r="O284" s="15" t="str">
        <f t="shared" si="99"/>
        <v>A10</v>
      </c>
      <c r="P284" s="15" t="str">
        <f t="shared" si="100"/>
        <v>Gallifrey International</v>
      </c>
      <c r="Q284" s="15" t="str">
        <f t="shared" si="101"/>
        <v>181 Arcadia Street</v>
      </c>
      <c r="R284" s="3">
        <f>OrdersTable!C284</f>
        <v>44582</v>
      </c>
      <c r="S284" s="15">
        <f>OrdersTable!E284</f>
        <v>6</v>
      </c>
      <c r="T284" s="15">
        <f t="shared" si="102"/>
        <v>49.99</v>
      </c>
      <c r="U284" s="15">
        <f t="shared" si="103"/>
        <v>68.44</v>
      </c>
      <c r="V284" s="15">
        <f t="shared" si="104"/>
        <v>80.98</v>
      </c>
      <c r="W284" s="15">
        <f>IF(MarkupType="Store Markup",ROUND(V284+V284*StoreMarkup,2),IF(MarkupType="Supplier Markup",V284+V284*SupplierMarkup,"Error at finding value"))</f>
        <v>127.54</v>
      </c>
      <c r="X284" s="32">
        <f t="shared" si="106"/>
        <v>9.09</v>
      </c>
      <c r="Y284" s="15">
        <f t="shared" si="107"/>
        <v>485.88</v>
      </c>
      <c r="Z284" s="15">
        <f t="shared" si="108"/>
        <v>710.7</v>
      </c>
      <c r="AA284" s="15">
        <f>IF(FreightType="Lethbridge-Stewart Freight ",ROUND(2.99+IF(N284&gt;0.75,(N284-0.75)*2.25,0)*S284,2),IF(MarkupType="Supplier Markup",V284+V284*SupplierMarkup,"Error at finding value"))</f>
        <v>26.62</v>
      </c>
      <c r="AB284" s="15">
        <f t="shared" si="109"/>
        <v>54.54</v>
      </c>
    </row>
    <row r="285" spans="1:28" x14ac:dyDescent="0.25">
      <c r="A285" s="16">
        <f>OrdersTable!A285</f>
        <v>580</v>
      </c>
      <c r="B285" s="15" t="str">
        <f t="shared" si="89"/>
        <v>Mr</v>
      </c>
      <c r="C285" s="15" t="str">
        <f t="shared" si="110"/>
        <v>Faatoafe</v>
      </c>
      <c r="D285" s="15" t="str">
        <f t="shared" si="90"/>
        <v>Jasson Iosefa</v>
      </c>
      <c r="E285" s="15" t="str">
        <f t="shared" si="91"/>
        <v>29 Schaffer Boulevard</v>
      </c>
      <c r="F285" s="15" t="str">
        <f t="shared" si="92"/>
        <v>Binduli</v>
      </c>
      <c r="G285" s="15" t="str">
        <f t="shared" si="93"/>
        <v>WA</v>
      </c>
      <c r="H285" s="15">
        <f t="shared" si="94"/>
        <v>6430</v>
      </c>
      <c r="I285" s="15">
        <f t="shared" si="105"/>
        <v>3543</v>
      </c>
      <c r="J285" s="15">
        <f>OrdersTable!B285</f>
        <v>710</v>
      </c>
      <c r="K285" s="15" t="str">
        <f t="shared" si="95"/>
        <v>Posters, Prints and Standees</v>
      </c>
      <c r="L285" s="15" t="str">
        <f t="shared" si="96"/>
        <v>Doctor Who: Poster: Regenerate</v>
      </c>
      <c r="M285" s="15" t="str">
        <f t="shared" si="97"/>
        <v>-</v>
      </c>
      <c r="N285" s="15">
        <f t="shared" si="98"/>
        <v>0.2</v>
      </c>
      <c r="O285" s="15" t="str">
        <f t="shared" si="99"/>
        <v>A40</v>
      </c>
      <c r="P285" s="15" t="str">
        <f t="shared" si="100"/>
        <v>Romana Imports</v>
      </c>
      <c r="Q285" s="15" t="str">
        <f t="shared" si="101"/>
        <v>17 Lalla Ward Road</v>
      </c>
      <c r="R285" s="3">
        <f>OrdersTable!C285</f>
        <v>44582</v>
      </c>
      <c r="S285" s="15">
        <f>OrdersTable!E285</f>
        <v>9</v>
      </c>
      <c r="T285" s="15">
        <f t="shared" si="102"/>
        <v>3.99</v>
      </c>
      <c r="U285" s="15">
        <f t="shared" si="103"/>
        <v>5.5</v>
      </c>
      <c r="V285" s="15">
        <f t="shared" si="104"/>
        <v>6.46</v>
      </c>
      <c r="W285" s="15">
        <f>IF(MarkupType="Store Markup",ROUND(V285+V285*StoreMarkup,2),IF(MarkupType="Supplier Markup",V285+V285*SupplierMarkup,"Error at finding value"))</f>
        <v>10.17</v>
      </c>
      <c r="X285" s="32" t="str">
        <f t="shared" si="106"/>
        <v>0.00</v>
      </c>
      <c r="Y285" s="15">
        <f t="shared" si="107"/>
        <v>58.14</v>
      </c>
      <c r="Z285" s="15">
        <f t="shared" si="108"/>
        <v>91.53</v>
      </c>
      <c r="AA285" s="15">
        <f>IF(FreightType="Lethbridge-Stewart Freight ",ROUND(2.99+IF(N285&gt;0.75,(N285-0.75)*2.25,0)*S285,2),IF(MarkupType="Supplier Markup",V285+V285*SupplierMarkup,"Error at finding value"))</f>
        <v>2.99</v>
      </c>
      <c r="AB285" s="15">
        <f t="shared" si="109"/>
        <v>0</v>
      </c>
    </row>
    <row r="286" spans="1:28" x14ac:dyDescent="0.25">
      <c r="A286" s="16">
        <f>OrdersTable!A286</f>
        <v>594</v>
      </c>
      <c r="B286" s="15" t="str">
        <f t="shared" si="89"/>
        <v>Mrs</v>
      </c>
      <c r="C286" s="15" t="str">
        <f t="shared" si="110"/>
        <v>Entriken</v>
      </c>
      <c r="D286" s="15" t="str">
        <f t="shared" si="90"/>
        <v>Gwenda Dawn</v>
      </c>
      <c r="E286" s="15" t="str">
        <f t="shared" si="91"/>
        <v>8 Miljkovic Drive</v>
      </c>
      <c r="F286" s="15" t="str">
        <f t="shared" si="92"/>
        <v>Nayook</v>
      </c>
      <c r="G286" s="15" t="str">
        <f t="shared" si="93"/>
        <v>VIC</v>
      </c>
      <c r="H286" s="15">
        <f t="shared" si="94"/>
        <v>3832</v>
      </c>
      <c r="I286" s="15">
        <f t="shared" si="105"/>
        <v>1552</v>
      </c>
      <c r="J286" s="15">
        <f>OrdersTable!B286</f>
        <v>805</v>
      </c>
      <c r="K286" s="15" t="str">
        <f t="shared" si="95"/>
        <v>Statues and Busts</v>
      </c>
      <c r="L286" s="15" t="str">
        <f t="shared" si="96"/>
        <v>Doctor Who: Masterpiece Collection Maxi Bust: 5th Doctor</v>
      </c>
      <c r="M286" s="15" t="str">
        <f t="shared" si="97"/>
        <v>-</v>
      </c>
      <c r="N286" s="15">
        <f t="shared" si="98"/>
        <v>2.5</v>
      </c>
      <c r="O286" s="15" t="str">
        <f t="shared" si="99"/>
        <v>A20</v>
      </c>
      <c r="P286" s="15" t="str">
        <f t="shared" si="100"/>
        <v>Morbius Inc.</v>
      </c>
      <c r="Q286" s="15" t="str">
        <f t="shared" si="101"/>
        <v>56 Michael Spice Hwy</v>
      </c>
      <c r="R286" s="3">
        <f>OrdersTable!C286</f>
        <v>44582</v>
      </c>
      <c r="S286" s="15">
        <f>OrdersTable!E286</f>
        <v>7</v>
      </c>
      <c r="T286" s="15">
        <f t="shared" si="102"/>
        <v>49.99</v>
      </c>
      <c r="U286" s="15">
        <f t="shared" si="103"/>
        <v>68.42</v>
      </c>
      <c r="V286" s="15">
        <f t="shared" si="104"/>
        <v>80.98</v>
      </c>
      <c r="W286" s="15">
        <f>IF(MarkupType="Store Markup",ROUND(V286+V286*StoreMarkup,2),IF(MarkupType="Supplier Markup",V286+V286*SupplierMarkup,"Error at finding value"))</f>
        <v>127.54</v>
      </c>
      <c r="X286" s="32">
        <f t="shared" si="106"/>
        <v>9.09</v>
      </c>
      <c r="Y286" s="15">
        <f t="shared" si="107"/>
        <v>566.86</v>
      </c>
      <c r="Z286" s="15">
        <f t="shared" si="108"/>
        <v>829.15</v>
      </c>
      <c r="AA286" s="15">
        <f>IF(FreightType="Lethbridge-Stewart Freight ",ROUND(2.99+IF(N286&gt;0.75,(N286-0.75)*2.25,0)*S286,2),IF(MarkupType="Supplier Markup",V286+V286*SupplierMarkup,"Error at finding value"))</f>
        <v>30.55</v>
      </c>
      <c r="AB286" s="15">
        <f t="shared" si="109"/>
        <v>63.63</v>
      </c>
    </row>
    <row r="287" spans="1:28" x14ac:dyDescent="0.25">
      <c r="A287" s="16">
        <f>OrdersTable!A287</f>
        <v>849</v>
      </c>
      <c r="B287" s="15" t="str">
        <f t="shared" si="89"/>
        <v>Dr</v>
      </c>
      <c r="C287" s="15" t="str">
        <f t="shared" si="110"/>
        <v>Blair</v>
      </c>
      <c r="D287" s="15" t="str">
        <f t="shared" si="90"/>
        <v>Taylor Ashleigh</v>
      </c>
      <c r="E287" s="15" t="str">
        <f t="shared" si="91"/>
        <v>42 Ward Avenue</v>
      </c>
      <c r="F287" s="15" t="str">
        <f t="shared" si="92"/>
        <v>Airly</v>
      </c>
      <c r="G287" s="15" t="str">
        <f t="shared" si="93"/>
        <v>VIC</v>
      </c>
      <c r="H287" s="15">
        <f t="shared" si="94"/>
        <v>3851</v>
      </c>
      <c r="I287" s="15">
        <f t="shared" si="105"/>
        <v>1583</v>
      </c>
      <c r="J287" s="15">
        <f>OrdersTable!B287</f>
        <v>692</v>
      </c>
      <c r="K287" s="15" t="str">
        <f t="shared" si="95"/>
        <v>Posters, Prints and Standees</v>
      </c>
      <c r="L287" s="15" t="str">
        <f t="shared" si="96"/>
        <v>Doctor Who: 16'x12' Framed Print: Exploding TARDIS</v>
      </c>
      <c r="M287" s="15" t="str">
        <f t="shared" si="97"/>
        <v>-</v>
      </c>
      <c r="N287" s="15">
        <f t="shared" si="98"/>
        <v>0.75</v>
      </c>
      <c r="O287" s="15" t="str">
        <f t="shared" si="99"/>
        <v>A30</v>
      </c>
      <c r="P287" s="15" t="str">
        <f t="shared" si="100"/>
        <v>Chesterton Enterprises</v>
      </c>
      <c r="Q287" s="15" t="str">
        <f t="shared" si="101"/>
        <v>41 William Russell Road</v>
      </c>
      <c r="R287" s="3">
        <f>OrdersTable!C287</f>
        <v>44582</v>
      </c>
      <c r="S287" s="15">
        <f>OrdersTable!E287</f>
        <v>6</v>
      </c>
      <c r="T287" s="15">
        <f t="shared" si="102"/>
        <v>14.99</v>
      </c>
      <c r="U287" s="15">
        <f t="shared" si="103"/>
        <v>20.54</v>
      </c>
      <c r="V287" s="15">
        <f t="shared" si="104"/>
        <v>24.28</v>
      </c>
      <c r="W287" s="15">
        <f>IF(MarkupType="Store Markup",ROUND(V287+V287*StoreMarkup,2),IF(MarkupType="Supplier Markup",V287+V287*SupplierMarkup,"Error at finding value"))</f>
        <v>38.24</v>
      </c>
      <c r="X287" s="32" t="str">
        <f t="shared" si="106"/>
        <v>0.00</v>
      </c>
      <c r="Y287" s="15">
        <f t="shared" si="107"/>
        <v>145.68</v>
      </c>
      <c r="Z287" s="15">
        <f t="shared" si="108"/>
        <v>229.44</v>
      </c>
      <c r="AA287" s="15">
        <f>IF(FreightType="Lethbridge-Stewart Freight ",ROUND(2.99+IF(N287&gt;0.75,(N287-0.75)*2.25,0)*S287,2),IF(MarkupType="Supplier Markup",V287+V287*SupplierMarkup,"Error at finding value"))</f>
        <v>2.99</v>
      </c>
      <c r="AB287" s="15">
        <f t="shared" si="109"/>
        <v>0</v>
      </c>
    </row>
    <row r="288" spans="1:28" x14ac:dyDescent="0.25">
      <c r="A288" s="16">
        <f>OrdersTable!A288</f>
        <v>989</v>
      </c>
      <c r="B288" s="15" t="str">
        <f t="shared" si="89"/>
        <v>Miss</v>
      </c>
      <c r="C288" s="15" t="str">
        <f t="shared" si="110"/>
        <v>McInnes</v>
      </c>
      <c r="D288" s="15" t="str">
        <f t="shared" si="90"/>
        <v>Nina Marie</v>
      </c>
      <c r="E288" s="15" t="str">
        <f t="shared" si="91"/>
        <v>28 Caruss Road</v>
      </c>
      <c r="F288" s="15" t="str">
        <f t="shared" si="92"/>
        <v>Belford</v>
      </c>
      <c r="G288" s="15" t="str">
        <f t="shared" si="93"/>
        <v>NSW</v>
      </c>
      <c r="H288" s="15">
        <f t="shared" si="94"/>
        <v>2335</v>
      </c>
      <c r="I288" s="15">
        <f t="shared" si="105"/>
        <v>716</v>
      </c>
      <c r="J288" s="15">
        <f>OrdersTable!B288</f>
        <v>583</v>
      </c>
      <c r="K288" s="15" t="str">
        <f t="shared" si="95"/>
        <v>iPhone Skins</v>
      </c>
      <c r="L288" s="15" t="str">
        <f t="shared" si="96"/>
        <v>Doctor Who: iPhone Skin: Cyberman Delete</v>
      </c>
      <c r="M288" s="15" t="str">
        <f t="shared" si="97"/>
        <v>-</v>
      </c>
      <c r="N288" s="15">
        <f t="shared" si="98"/>
        <v>0.3</v>
      </c>
      <c r="O288" s="15" t="str">
        <f t="shared" si="99"/>
        <v>A50</v>
      </c>
      <c r="P288" s="15" t="str">
        <f t="shared" si="100"/>
        <v>Rassilon Ltd.</v>
      </c>
      <c r="Q288" s="15" t="str">
        <f t="shared" si="101"/>
        <v>82 Richard Mathews Road</v>
      </c>
      <c r="R288" s="3">
        <f>OrdersTable!C288</f>
        <v>44582</v>
      </c>
      <c r="S288" s="15">
        <f>OrdersTable!E288</f>
        <v>9</v>
      </c>
      <c r="T288" s="15">
        <f t="shared" si="102"/>
        <v>5.99</v>
      </c>
      <c r="U288" s="15">
        <f t="shared" si="103"/>
        <v>8.23</v>
      </c>
      <c r="V288" s="15">
        <f t="shared" si="104"/>
        <v>9.6999999999999993</v>
      </c>
      <c r="W288" s="15">
        <f>IF(MarkupType="Store Markup",ROUND(V288+V288*StoreMarkup,2),IF(MarkupType="Supplier Markup",V288+V288*SupplierMarkup,"Error at finding value"))</f>
        <v>15.28</v>
      </c>
      <c r="X288" s="32" t="str">
        <f t="shared" si="106"/>
        <v>0.00</v>
      </c>
      <c r="Y288" s="15">
        <f t="shared" si="107"/>
        <v>87.3</v>
      </c>
      <c r="Z288" s="15">
        <f t="shared" si="108"/>
        <v>137.52000000000001</v>
      </c>
      <c r="AA288" s="15">
        <f>IF(FreightType="Lethbridge-Stewart Freight ",ROUND(2.99+IF(N288&gt;0.75,(N288-0.75)*2.25,0)*S288,2),IF(MarkupType="Supplier Markup",V288+V288*SupplierMarkup,"Error at finding value"))</f>
        <v>2.99</v>
      </c>
      <c r="AB288" s="15">
        <f t="shared" si="109"/>
        <v>0</v>
      </c>
    </row>
    <row r="289" spans="1:28" x14ac:dyDescent="0.25">
      <c r="A289" s="16">
        <f>OrdersTable!A289</f>
        <v>232</v>
      </c>
      <c r="B289" s="15" t="str">
        <f t="shared" si="89"/>
        <v>Mrs</v>
      </c>
      <c r="C289" s="15" t="str">
        <f t="shared" si="110"/>
        <v>Bishop</v>
      </c>
      <c r="D289" s="15" t="str">
        <f t="shared" si="90"/>
        <v>Katherine Marie</v>
      </c>
      <c r="E289" s="15" t="str">
        <f t="shared" si="91"/>
        <v>19 Whitehorn Circuit</v>
      </c>
      <c r="F289" s="15" t="str">
        <f t="shared" si="92"/>
        <v>Black Hills</v>
      </c>
      <c r="G289" s="15" t="str">
        <f t="shared" si="93"/>
        <v>TAS</v>
      </c>
      <c r="H289" s="15">
        <f t="shared" si="94"/>
        <v>7140</v>
      </c>
      <c r="I289" s="15">
        <f t="shared" si="105"/>
        <v>2191</v>
      </c>
      <c r="J289" s="15">
        <f>OrdersTable!B289</f>
        <v>709</v>
      </c>
      <c r="K289" s="15" t="str">
        <f t="shared" si="95"/>
        <v>Posters, Prints and Standees</v>
      </c>
      <c r="L289" s="15" t="str">
        <f t="shared" si="96"/>
        <v>Doctor Who: Poster: Metallic TARDIS</v>
      </c>
      <c r="M289" s="15" t="str">
        <f t="shared" si="97"/>
        <v>-</v>
      </c>
      <c r="N289" s="15">
        <f t="shared" si="98"/>
        <v>0.2</v>
      </c>
      <c r="O289" s="15" t="str">
        <f t="shared" si="99"/>
        <v>A10</v>
      </c>
      <c r="P289" s="15" t="str">
        <f t="shared" si="100"/>
        <v>Gallifrey International</v>
      </c>
      <c r="Q289" s="15" t="str">
        <f t="shared" si="101"/>
        <v>181 Arcadia Street</v>
      </c>
      <c r="R289" s="3">
        <f>OrdersTable!C289</f>
        <v>44583</v>
      </c>
      <c r="S289" s="15">
        <f>OrdersTable!E289</f>
        <v>10</v>
      </c>
      <c r="T289" s="15">
        <f t="shared" si="102"/>
        <v>3.99</v>
      </c>
      <c r="U289" s="15">
        <f t="shared" si="103"/>
        <v>5.71</v>
      </c>
      <c r="V289" s="15">
        <f t="shared" si="104"/>
        <v>6.46</v>
      </c>
      <c r="W289" s="15">
        <f>IF(MarkupType="Store Markup",ROUND(V289+V289*StoreMarkup,2),IF(MarkupType="Supplier Markup",V289+V289*SupplierMarkup,"Error at finding value"))</f>
        <v>10.17</v>
      </c>
      <c r="X289" s="32" t="str">
        <f t="shared" si="106"/>
        <v>0.00</v>
      </c>
      <c r="Y289" s="15">
        <f t="shared" si="107"/>
        <v>64.599999999999994</v>
      </c>
      <c r="Z289" s="15">
        <f t="shared" si="108"/>
        <v>101.7</v>
      </c>
      <c r="AA289" s="15">
        <f>IF(FreightType="Lethbridge-Stewart Freight ",ROUND(2.99+IF(N289&gt;0.75,(N289-0.75)*2.25,0)*S289,2),IF(MarkupType="Supplier Markup",V289+V289*SupplierMarkup,"Error at finding value"))</f>
        <v>2.99</v>
      </c>
      <c r="AB289" s="15">
        <f t="shared" si="109"/>
        <v>0</v>
      </c>
    </row>
    <row r="290" spans="1:28" x14ac:dyDescent="0.25">
      <c r="A290" s="16">
        <f>OrdersTable!A290</f>
        <v>333</v>
      </c>
      <c r="B290" s="15" t="str">
        <f t="shared" si="89"/>
        <v>Mr</v>
      </c>
      <c r="C290" s="15" t="str">
        <f t="shared" si="110"/>
        <v>Martin</v>
      </c>
      <c r="D290" s="15" t="str">
        <f t="shared" si="90"/>
        <v>Damien Roger</v>
      </c>
      <c r="E290" s="15" t="str">
        <f t="shared" si="91"/>
        <v>23 Quennell Way</v>
      </c>
      <c r="F290" s="15" t="str">
        <f t="shared" si="92"/>
        <v>Aberfoyle</v>
      </c>
      <c r="G290" s="15" t="str">
        <f t="shared" si="93"/>
        <v>NSW</v>
      </c>
      <c r="H290" s="15">
        <f t="shared" si="94"/>
        <v>2350</v>
      </c>
      <c r="I290" s="15">
        <f t="shared" si="105"/>
        <v>363</v>
      </c>
      <c r="J290" s="15">
        <f>OrdersTable!B290</f>
        <v>780</v>
      </c>
      <c r="K290" s="15" t="str">
        <f t="shared" si="95"/>
        <v>Statues and Busts</v>
      </c>
      <c r="L290" s="15" t="str">
        <f t="shared" si="96"/>
        <v>Doctor Who: Masterpiece Collection Dalek: Genesis Of The Daleks</v>
      </c>
      <c r="M290" s="15" t="str">
        <f t="shared" si="97"/>
        <v>-</v>
      </c>
      <c r="N290" s="15">
        <f t="shared" si="98"/>
        <v>2.5</v>
      </c>
      <c r="O290" s="15" t="str">
        <f t="shared" si="99"/>
        <v>A30</v>
      </c>
      <c r="P290" s="15" t="str">
        <f t="shared" si="100"/>
        <v>Chesterton Enterprises</v>
      </c>
      <c r="Q290" s="15" t="str">
        <f t="shared" si="101"/>
        <v>41 William Russell Road</v>
      </c>
      <c r="R290" s="3">
        <f>OrdersTable!C290</f>
        <v>44583</v>
      </c>
      <c r="S290" s="15">
        <f>OrdersTable!E290</f>
        <v>5</v>
      </c>
      <c r="T290" s="15">
        <f t="shared" si="102"/>
        <v>49.99</v>
      </c>
      <c r="U290" s="15">
        <f t="shared" si="103"/>
        <v>68.23</v>
      </c>
      <c r="V290" s="15">
        <f t="shared" si="104"/>
        <v>80.98</v>
      </c>
      <c r="W290" s="15">
        <f>IF(MarkupType="Store Markup",ROUND(V290+V290*StoreMarkup,2),IF(MarkupType="Supplier Markup",V290+V290*SupplierMarkup,"Error at finding value"))</f>
        <v>127.54</v>
      </c>
      <c r="X290" s="32">
        <f t="shared" si="106"/>
        <v>9.09</v>
      </c>
      <c r="Y290" s="15">
        <f t="shared" si="107"/>
        <v>404.9</v>
      </c>
      <c r="Z290" s="15">
        <f t="shared" si="108"/>
        <v>592.25</v>
      </c>
      <c r="AA290" s="15">
        <f>IF(FreightType="Lethbridge-Stewart Freight ",ROUND(2.99+IF(N290&gt;0.75,(N290-0.75)*2.25,0)*S290,2),IF(MarkupType="Supplier Markup",V290+V290*SupplierMarkup,"Error at finding value"))</f>
        <v>22.68</v>
      </c>
      <c r="AB290" s="15">
        <f t="shared" si="109"/>
        <v>45.45</v>
      </c>
    </row>
    <row r="291" spans="1:28" x14ac:dyDescent="0.25">
      <c r="A291" s="16">
        <f>OrdersTable!A291</f>
        <v>360</v>
      </c>
      <c r="B291" s="15" t="str">
        <f t="shared" si="89"/>
        <v>Ms</v>
      </c>
      <c r="C291" s="15" t="str">
        <f t="shared" si="110"/>
        <v>Bobonica</v>
      </c>
      <c r="D291" s="15" t="str">
        <f t="shared" si="90"/>
        <v>Claudia</v>
      </c>
      <c r="E291" s="15" t="str">
        <f t="shared" si="91"/>
        <v>47 Klein Way</v>
      </c>
      <c r="F291" s="15" t="str">
        <f t="shared" si="92"/>
        <v>Avon Plains</v>
      </c>
      <c r="G291" s="15" t="str">
        <f t="shared" si="93"/>
        <v>VIC</v>
      </c>
      <c r="H291" s="15">
        <f t="shared" si="94"/>
        <v>3477</v>
      </c>
      <c r="I291" s="15">
        <f t="shared" si="105"/>
        <v>1565</v>
      </c>
      <c r="J291" s="15">
        <f>OrdersTable!B291</f>
        <v>374</v>
      </c>
      <c r="K291" s="15" t="str">
        <f t="shared" si="95"/>
        <v>Clothing and Apparel</v>
      </c>
      <c r="L291" s="15" t="str">
        <f t="shared" si="96"/>
        <v xml:space="preserve">Doctor Who: T-Shirts: 5th Doctor Costume </v>
      </c>
      <c r="M291" s="15" t="str">
        <f t="shared" si="97"/>
        <v>XL</v>
      </c>
      <c r="N291" s="15">
        <f t="shared" si="98"/>
        <v>0.8</v>
      </c>
      <c r="O291" s="15" t="str">
        <f t="shared" si="99"/>
        <v>A50</v>
      </c>
      <c r="P291" s="15" t="str">
        <f t="shared" si="100"/>
        <v>Rassilon Ltd.</v>
      </c>
      <c r="Q291" s="15" t="str">
        <f t="shared" si="101"/>
        <v>82 Richard Mathews Road</v>
      </c>
      <c r="R291" s="3">
        <f>OrdersTable!C291</f>
        <v>44583</v>
      </c>
      <c r="S291" s="15">
        <f>OrdersTable!E291</f>
        <v>1</v>
      </c>
      <c r="T291" s="15">
        <f t="shared" si="102"/>
        <v>15.99</v>
      </c>
      <c r="U291" s="15">
        <f t="shared" si="103"/>
        <v>21.97</v>
      </c>
      <c r="V291" s="15">
        <f t="shared" si="104"/>
        <v>25.9</v>
      </c>
      <c r="W291" s="15">
        <f>IF(MarkupType="Store Markup",ROUND(V291+V291*StoreMarkup,2),IF(MarkupType="Supplier Markup",V291+V291*SupplierMarkup,"Error at finding value"))</f>
        <v>40.79</v>
      </c>
      <c r="X291" s="32" t="str">
        <f t="shared" si="106"/>
        <v>0.00</v>
      </c>
      <c r="Y291" s="15">
        <f t="shared" si="107"/>
        <v>25.9</v>
      </c>
      <c r="Z291" s="15">
        <f t="shared" si="108"/>
        <v>40.79</v>
      </c>
      <c r="AA291" s="15">
        <f>IF(FreightType="Lethbridge-Stewart Freight ",ROUND(2.99+IF(N291&gt;0.75,(N291-0.75)*2.25,0)*S291,2),IF(MarkupType="Supplier Markup",V291+V291*SupplierMarkup,"Error at finding value"))</f>
        <v>3.1</v>
      </c>
      <c r="AB291" s="15">
        <f t="shared" si="109"/>
        <v>0</v>
      </c>
    </row>
    <row r="292" spans="1:28" x14ac:dyDescent="0.25">
      <c r="A292" s="16">
        <f>OrdersTable!A292</f>
        <v>390</v>
      </c>
      <c r="B292" s="15" t="str">
        <f t="shared" si="89"/>
        <v>Ms</v>
      </c>
      <c r="C292" s="15" t="str">
        <f t="shared" si="110"/>
        <v>Queen</v>
      </c>
      <c r="D292" s="15" t="str">
        <f t="shared" si="90"/>
        <v>Joanne</v>
      </c>
      <c r="E292" s="15" t="str">
        <f t="shared" si="91"/>
        <v>30 Hall Drive</v>
      </c>
      <c r="F292" s="15" t="str">
        <f t="shared" si="92"/>
        <v>Belconnen</v>
      </c>
      <c r="G292" s="15" t="str">
        <f t="shared" si="93"/>
        <v>ACT</v>
      </c>
      <c r="H292" s="15">
        <f t="shared" si="94"/>
        <v>2617</v>
      </c>
      <c r="I292" s="15">
        <f t="shared" si="105"/>
        <v>1194</v>
      </c>
      <c r="J292" s="15">
        <f>OrdersTable!B292</f>
        <v>853</v>
      </c>
      <c r="K292" s="15" t="str">
        <f t="shared" si="95"/>
        <v>Statues and Busts</v>
      </c>
      <c r="L292" s="15" t="str">
        <f t="shared" si="96"/>
        <v>Doctor Who: Statue: The Master And Auton</v>
      </c>
      <c r="M292" s="15" t="str">
        <f t="shared" si="97"/>
        <v>-</v>
      </c>
      <c r="N292" s="15">
        <f t="shared" si="98"/>
        <v>3.5</v>
      </c>
      <c r="O292" s="15" t="str">
        <f t="shared" si="99"/>
        <v>A50</v>
      </c>
      <c r="P292" s="15" t="str">
        <f t="shared" si="100"/>
        <v>Rassilon Ltd.</v>
      </c>
      <c r="Q292" s="15" t="str">
        <f t="shared" si="101"/>
        <v>82 Richard Mathews Road</v>
      </c>
      <c r="R292" s="3">
        <f>OrdersTable!C292</f>
        <v>44583</v>
      </c>
      <c r="S292" s="15">
        <f>OrdersTable!E292</f>
        <v>3</v>
      </c>
      <c r="T292" s="15">
        <f t="shared" si="102"/>
        <v>69.989999999999995</v>
      </c>
      <c r="U292" s="15">
        <f t="shared" si="103"/>
        <v>95.51</v>
      </c>
      <c r="V292" s="15">
        <f t="shared" si="104"/>
        <v>113.38</v>
      </c>
      <c r="W292" s="15">
        <f>IF(MarkupType="Store Markup",ROUND(V292+V292*StoreMarkup,2),IF(MarkupType="Supplier Markup",V292+V292*SupplierMarkup,"Error at finding value"))</f>
        <v>178.57</v>
      </c>
      <c r="X292" s="32">
        <f t="shared" si="106"/>
        <v>12.72</v>
      </c>
      <c r="Y292" s="15">
        <f t="shared" si="107"/>
        <v>340.14</v>
      </c>
      <c r="Z292" s="15">
        <f t="shared" si="108"/>
        <v>497.55</v>
      </c>
      <c r="AA292" s="15">
        <f>IF(FreightType="Lethbridge-Stewart Freight ",ROUND(2.99+IF(N292&gt;0.75,(N292-0.75)*2.25,0)*S292,2),IF(MarkupType="Supplier Markup",V292+V292*SupplierMarkup,"Error at finding value"))</f>
        <v>21.55</v>
      </c>
      <c r="AB292" s="15">
        <f t="shared" si="109"/>
        <v>38.159999999999997</v>
      </c>
    </row>
    <row r="293" spans="1:28" x14ac:dyDescent="0.25">
      <c r="A293" s="16">
        <f>OrdersTable!A293</f>
        <v>527</v>
      </c>
      <c r="B293" s="15" t="str">
        <f t="shared" si="89"/>
        <v>Mr</v>
      </c>
      <c r="C293" s="15" t="str">
        <f t="shared" si="110"/>
        <v>McTaggart</v>
      </c>
      <c r="D293" s="15" t="str">
        <f t="shared" si="90"/>
        <v>Daniel</v>
      </c>
      <c r="E293" s="15" t="str">
        <f t="shared" si="91"/>
        <v>24 Mulholland Avenue</v>
      </c>
      <c r="F293" s="15" t="str">
        <f t="shared" si="92"/>
        <v>Belconnen</v>
      </c>
      <c r="G293" s="15" t="str">
        <f t="shared" si="93"/>
        <v>ACT</v>
      </c>
      <c r="H293" s="15">
        <f t="shared" si="94"/>
        <v>2617</v>
      </c>
      <c r="I293" s="15">
        <f t="shared" si="105"/>
        <v>1194</v>
      </c>
      <c r="J293" s="15">
        <f>OrdersTable!B293</f>
        <v>709</v>
      </c>
      <c r="K293" s="15" t="str">
        <f t="shared" si="95"/>
        <v>Posters, Prints and Standees</v>
      </c>
      <c r="L293" s="15" t="str">
        <f t="shared" si="96"/>
        <v>Doctor Who: Poster: Metallic TARDIS</v>
      </c>
      <c r="M293" s="15" t="str">
        <f t="shared" si="97"/>
        <v>-</v>
      </c>
      <c r="N293" s="15">
        <f t="shared" si="98"/>
        <v>0.2</v>
      </c>
      <c r="O293" s="15" t="str">
        <f t="shared" si="99"/>
        <v>A10</v>
      </c>
      <c r="P293" s="15" t="str">
        <f t="shared" si="100"/>
        <v>Gallifrey International</v>
      </c>
      <c r="Q293" s="15" t="str">
        <f t="shared" si="101"/>
        <v>181 Arcadia Street</v>
      </c>
      <c r="R293" s="3">
        <f>OrdersTable!C293</f>
        <v>44583</v>
      </c>
      <c r="S293" s="15">
        <f>OrdersTable!E293</f>
        <v>10</v>
      </c>
      <c r="T293" s="15">
        <f t="shared" si="102"/>
        <v>3.99</v>
      </c>
      <c r="U293" s="15">
        <f t="shared" si="103"/>
        <v>5.71</v>
      </c>
      <c r="V293" s="15">
        <f t="shared" si="104"/>
        <v>6.46</v>
      </c>
      <c r="W293" s="15">
        <f>IF(MarkupType="Store Markup",ROUND(V293+V293*StoreMarkup,2),IF(MarkupType="Supplier Markup",V293+V293*SupplierMarkup,"Error at finding value"))</f>
        <v>10.17</v>
      </c>
      <c r="X293" s="32" t="str">
        <f t="shared" si="106"/>
        <v>0.00</v>
      </c>
      <c r="Y293" s="15">
        <f t="shared" si="107"/>
        <v>64.599999999999994</v>
      </c>
      <c r="Z293" s="15">
        <f t="shared" si="108"/>
        <v>101.7</v>
      </c>
      <c r="AA293" s="15">
        <f>IF(FreightType="Lethbridge-Stewart Freight ",ROUND(2.99+IF(N293&gt;0.75,(N293-0.75)*2.25,0)*S293,2),IF(MarkupType="Supplier Markup",V293+V293*SupplierMarkup,"Error at finding value"))</f>
        <v>2.99</v>
      </c>
      <c r="AB293" s="15">
        <f t="shared" si="109"/>
        <v>0</v>
      </c>
    </row>
    <row r="294" spans="1:28" x14ac:dyDescent="0.25">
      <c r="A294" s="16">
        <f>OrdersTable!A294</f>
        <v>611</v>
      </c>
      <c r="B294" s="15" t="str">
        <f t="shared" si="89"/>
        <v>Mr</v>
      </c>
      <c r="C294" s="15" t="str">
        <f t="shared" si="110"/>
        <v>Wittman</v>
      </c>
      <c r="D294" s="15" t="str">
        <f t="shared" si="90"/>
        <v>Nicholas Jackson</v>
      </c>
      <c r="E294" s="15" t="str">
        <f t="shared" si="91"/>
        <v>48 Sheppard-Kadel Way</v>
      </c>
      <c r="F294" s="15" t="str">
        <f t="shared" si="92"/>
        <v>Nayook</v>
      </c>
      <c r="G294" s="15" t="str">
        <f t="shared" si="93"/>
        <v>VIC</v>
      </c>
      <c r="H294" s="15">
        <f t="shared" si="94"/>
        <v>3832</v>
      </c>
      <c r="I294" s="15">
        <f t="shared" si="105"/>
        <v>1552</v>
      </c>
      <c r="J294" s="15">
        <f>OrdersTable!B294</f>
        <v>530</v>
      </c>
      <c r="K294" s="15" t="str">
        <f t="shared" si="95"/>
        <v>Giftware</v>
      </c>
      <c r="L294" s="15" t="str">
        <f t="shared" si="96"/>
        <v>Doctor Who: Keyring TARDIS</v>
      </c>
      <c r="M294" s="15" t="str">
        <f t="shared" si="97"/>
        <v>-</v>
      </c>
      <c r="N294" s="15">
        <f t="shared" si="98"/>
        <v>0.25</v>
      </c>
      <c r="O294" s="15" t="str">
        <f t="shared" si="99"/>
        <v>A20</v>
      </c>
      <c r="P294" s="15" t="str">
        <f t="shared" si="100"/>
        <v>Morbius Inc.</v>
      </c>
      <c r="Q294" s="15" t="str">
        <f t="shared" si="101"/>
        <v>56 Michael Spice Hwy</v>
      </c>
      <c r="R294" s="3">
        <f>OrdersTable!C294</f>
        <v>44583</v>
      </c>
      <c r="S294" s="15">
        <f>OrdersTable!E294</f>
        <v>7</v>
      </c>
      <c r="T294" s="15">
        <f t="shared" si="102"/>
        <v>4.99</v>
      </c>
      <c r="U294" s="15">
        <f t="shared" si="103"/>
        <v>7.1</v>
      </c>
      <c r="V294" s="15">
        <f t="shared" si="104"/>
        <v>8.08</v>
      </c>
      <c r="W294" s="15">
        <f>IF(MarkupType="Store Markup",ROUND(V294+V294*StoreMarkup,2),IF(MarkupType="Supplier Markup",V294+V294*SupplierMarkup,"Error at finding value"))</f>
        <v>12.73</v>
      </c>
      <c r="X294" s="32" t="str">
        <f t="shared" si="106"/>
        <v>0.00</v>
      </c>
      <c r="Y294" s="15">
        <f t="shared" si="107"/>
        <v>56.56</v>
      </c>
      <c r="Z294" s="15">
        <f t="shared" si="108"/>
        <v>89.11</v>
      </c>
      <c r="AA294" s="15">
        <f>IF(FreightType="Lethbridge-Stewart Freight ",ROUND(2.99+IF(N294&gt;0.75,(N294-0.75)*2.25,0)*S294,2),IF(MarkupType="Supplier Markup",V294+V294*SupplierMarkup,"Error at finding value"))</f>
        <v>2.99</v>
      </c>
      <c r="AB294" s="15">
        <f t="shared" si="109"/>
        <v>0</v>
      </c>
    </row>
    <row r="295" spans="1:28" x14ac:dyDescent="0.25">
      <c r="A295" s="16">
        <f>OrdersTable!A295</f>
        <v>634</v>
      </c>
      <c r="B295" s="15" t="str">
        <f t="shared" si="89"/>
        <v>Miss</v>
      </c>
      <c r="C295" s="15" t="str">
        <f t="shared" si="110"/>
        <v>Betts</v>
      </c>
      <c r="D295" s="15" t="str">
        <f t="shared" si="90"/>
        <v>Melissa Leigh</v>
      </c>
      <c r="E295" s="15" t="str">
        <f t="shared" si="91"/>
        <v>4 Aitcheson Drive</v>
      </c>
      <c r="F295" s="15" t="str">
        <f t="shared" si="92"/>
        <v>Bray Park</v>
      </c>
      <c r="G295" s="15" t="str">
        <f t="shared" si="93"/>
        <v>QLD</v>
      </c>
      <c r="H295" s="15">
        <f t="shared" si="94"/>
        <v>4500</v>
      </c>
      <c r="I295" s="15">
        <f t="shared" si="105"/>
        <v>139</v>
      </c>
      <c r="J295" s="15">
        <f>OrdersTable!B295</f>
        <v>358</v>
      </c>
      <c r="K295" s="15" t="str">
        <f t="shared" si="95"/>
        <v>Clothing and Apparel</v>
      </c>
      <c r="L295" s="15" t="str">
        <f t="shared" si="96"/>
        <v xml:space="preserve">Doctor Who: T-Shirts: 5th Doctor Costume </v>
      </c>
      <c r="M295" s="15" t="str">
        <f t="shared" si="97"/>
        <v>M</v>
      </c>
      <c r="N295" s="15">
        <f t="shared" si="98"/>
        <v>0.8</v>
      </c>
      <c r="O295" s="15" t="str">
        <f t="shared" si="99"/>
        <v>A30</v>
      </c>
      <c r="P295" s="15" t="str">
        <f t="shared" si="100"/>
        <v>Chesterton Enterprises</v>
      </c>
      <c r="Q295" s="15" t="str">
        <f t="shared" si="101"/>
        <v>41 William Russell Road</v>
      </c>
      <c r="R295" s="3">
        <f>OrdersTable!C295</f>
        <v>44583</v>
      </c>
      <c r="S295" s="15">
        <f>OrdersTable!E295</f>
        <v>2</v>
      </c>
      <c r="T295" s="15">
        <f t="shared" si="102"/>
        <v>15.99</v>
      </c>
      <c r="U295" s="15">
        <f t="shared" si="103"/>
        <v>21.96</v>
      </c>
      <c r="V295" s="15">
        <f t="shared" si="104"/>
        <v>25.9</v>
      </c>
      <c r="W295" s="15">
        <f>IF(MarkupType="Store Markup",ROUND(V295+V295*StoreMarkup,2),IF(MarkupType="Supplier Markup",V295+V295*SupplierMarkup,"Error at finding value"))</f>
        <v>40.79</v>
      </c>
      <c r="X295" s="32" t="str">
        <f t="shared" si="106"/>
        <v>0.00</v>
      </c>
      <c r="Y295" s="15">
        <f t="shared" si="107"/>
        <v>51.8</v>
      </c>
      <c r="Z295" s="15">
        <f t="shared" si="108"/>
        <v>81.58</v>
      </c>
      <c r="AA295" s="15">
        <f>IF(FreightType="Lethbridge-Stewart Freight ",ROUND(2.99+IF(N295&gt;0.75,(N295-0.75)*2.25,0)*S295,2),IF(MarkupType="Supplier Markup",V295+V295*SupplierMarkup,"Error at finding value"))</f>
        <v>3.22</v>
      </c>
      <c r="AB295" s="15">
        <f t="shared" si="109"/>
        <v>0</v>
      </c>
    </row>
    <row r="296" spans="1:28" x14ac:dyDescent="0.25">
      <c r="A296" s="16">
        <f>OrdersTable!A296</f>
        <v>730</v>
      </c>
      <c r="B296" s="15" t="str">
        <f t="shared" si="89"/>
        <v>Mr</v>
      </c>
      <c r="C296" s="15" t="str">
        <f t="shared" si="110"/>
        <v>Romer</v>
      </c>
      <c r="D296" s="15" t="str">
        <f t="shared" si="90"/>
        <v>Leo Alexander</v>
      </c>
      <c r="E296" s="15" t="str">
        <f t="shared" si="91"/>
        <v>47 Bennett Circuit</v>
      </c>
      <c r="F296" s="15" t="str">
        <f t="shared" si="92"/>
        <v>Caliph</v>
      </c>
      <c r="G296" s="15" t="str">
        <f t="shared" si="93"/>
        <v>SA</v>
      </c>
      <c r="H296" s="15">
        <f t="shared" si="94"/>
        <v>5310</v>
      </c>
      <c r="I296" s="15">
        <f t="shared" si="105"/>
        <v>1720</v>
      </c>
      <c r="J296" s="15">
        <f>OrdersTable!B296</f>
        <v>801</v>
      </c>
      <c r="K296" s="15" t="str">
        <f t="shared" si="95"/>
        <v>Statues and Busts</v>
      </c>
      <c r="L296" s="15" t="str">
        <f t="shared" si="96"/>
        <v>Doctor Who: Masterpiece Collection Maxi Bust: 4th Doctor</v>
      </c>
      <c r="M296" s="15" t="str">
        <f t="shared" si="97"/>
        <v>-</v>
      </c>
      <c r="N296" s="15">
        <f t="shared" si="98"/>
        <v>2.5</v>
      </c>
      <c r="O296" s="15" t="str">
        <f t="shared" si="99"/>
        <v>A30</v>
      </c>
      <c r="P296" s="15" t="str">
        <f t="shared" si="100"/>
        <v>Chesterton Enterprises</v>
      </c>
      <c r="Q296" s="15" t="str">
        <f t="shared" si="101"/>
        <v>41 William Russell Road</v>
      </c>
      <c r="R296" s="3">
        <f>OrdersTable!C296</f>
        <v>44583</v>
      </c>
      <c r="S296" s="15">
        <f>OrdersTable!E296</f>
        <v>3</v>
      </c>
      <c r="T296" s="15">
        <f t="shared" si="102"/>
        <v>49.99</v>
      </c>
      <c r="U296" s="15">
        <f t="shared" si="103"/>
        <v>68.180000000000007</v>
      </c>
      <c r="V296" s="15">
        <f t="shared" si="104"/>
        <v>80.98</v>
      </c>
      <c r="W296" s="15">
        <f>IF(MarkupType="Store Markup",ROUND(V296+V296*StoreMarkup,2),IF(MarkupType="Supplier Markup",V296+V296*SupplierMarkup,"Error at finding value"))</f>
        <v>127.54</v>
      </c>
      <c r="X296" s="32">
        <f t="shared" si="106"/>
        <v>9.09</v>
      </c>
      <c r="Y296" s="15">
        <f t="shared" si="107"/>
        <v>242.94</v>
      </c>
      <c r="Z296" s="15">
        <f t="shared" si="108"/>
        <v>355.35</v>
      </c>
      <c r="AA296" s="15">
        <f>IF(FreightType="Lethbridge-Stewart Freight ",ROUND(2.99+IF(N296&gt;0.75,(N296-0.75)*2.25,0)*S296,2),IF(MarkupType="Supplier Markup",V296+V296*SupplierMarkup,"Error at finding value"))</f>
        <v>14.8</v>
      </c>
      <c r="AB296" s="15">
        <f t="shared" si="109"/>
        <v>27.27</v>
      </c>
    </row>
    <row r="297" spans="1:28" x14ac:dyDescent="0.25">
      <c r="A297" s="16">
        <f>OrdersTable!A297</f>
        <v>758</v>
      </c>
      <c r="B297" s="15" t="str">
        <f t="shared" si="89"/>
        <v>Mr</v>
      </c>
      <c r="C297" s="15" t="str">
        <f t="shared" si="110"/>
        <v>Whitehorn</v>
      </c>
      <c r="D297" s="15" t="str">
        <f t="shared" si="90"/>
        <v>James</v>
      </c>
      <c r="E297" s="15" t="str">
        <f t="shared" si="91"/>
        <v>32 Raubenheimer Circuit</v>
      </c>
      <c r="F297" s="15" t="str">
        <f t="shared" si="92"/>
        <v>Belconnen</v>
      </c>
      <c r="G297" s="15" t="str">
        <f t="shared" si="93"/>
        <v>ACT</v>
      </c>
      <c r="H297" s="15">
        <f t="shared" si="94"/>
        <v>2617</v>
      </c>
      <c r="I297" s="15">
        <f t="shared" si="105"/>
        <v>1194</v>
      </c>
      <c r="J297" s="15">
        <f>OrdersTable!B297</f>
        <v>787</v>
      </c>
      <c r="K297" s="15" t="str">
        <f t="shared" si="95"/>
        <v>Statues and Busts</v>
      </c>
      <c r="L297" s="15" t="str">
        <f t="shared" si="96"/>
        <v>Doctor Who: Masterpiece Collection Maxi Bust: 1st Doctor</v>
      </c>
      <c r="M297" s="15" t="str">
        <f t="shared" si="97"/>
        <v>-</v>
      </c>
      <c r="N297" s="15">
        <f t="shared" si="98"/>
        <v>2.5</v>
      </c>
      <c r="O297" s="15" t="str">
        <f t="shared" si="99"/>
        <v>A10</v>
      </c>
      <c r="P297" s="15" t="str">
        <f t="shared" si="100"/>
        <v>Gallifrey International</v>
      </c>
      <c r="Q297" s="15" t="str">
        <f t="shared" si="101"/>
        <v>181 Arcadia Street</v>
      </c>
      <c r="R297" s="3">
        <f>OrdersTable!C297</f>
        <v>44583</v>
      </c>
      <c r="S297" s="15">
        <f>OrdersTable!E297</f>
        <v>8</v>
      </c>
      <c r="T297" s="15">
        <f t="shared" si="102"/>
        <v>49.99</v>
      </c>
      <c r="U297" s="15">
        <f t="shared" si="103"/>
        <v>68.290000000000006</v>
      </c>
      <c r="V297" s="15">
        <f t="shared" si="104"/>
        <v>80.98</v>
      </c>
      <c r="W297" s="15">
        <f>IF(MarkupType="Store Markup",ROUND(V297+V297*StoreMarkup,2),IF(MarkupType="Supplier Markup",V297+V297*SupplierMarkup,"Error at finding value"))</f>
        <v>127.54</v>
      </c>
      <c r="X297" s="32">
        <f t="shared" si="106"/>
        <v>9.09</v>
      </c>
      <c r="Y297" s="15">
        <f t="shared" si="107"/>
        <v>647.84</v>
      </c>
      <c r="Z297" s="15">
        <f t="shared" si="108"/>
        <v>947.6</v>
      </c>
      <c r="AA297" s="15">
        <f>IF(FreightType="Lethbridge-Stewart Freight ",ROUND(2.99+IF(N297&gt;0.75,(N297-0.75)*2.25,0)*S297,2),IF(MarkupType="Supplier Markup",V297+V297*SupplierMarkup,"Error at finding value"))</f>
        <v>34.49</v>
      </c>
      <c r="AB297" s="15">
        <f t="shared" si="109"/>
        <v>72.72</v>
      </c>
    </row>
    <row r="298" spans="1:28" x14ac:dyDescent="0.25">
      <c r="A298" s="16">
        <f>OrdersTable!A298</f>
        <v>771</v>
      </c>
      <c r="B298" s="15" t="str">
        <f t="shared" si="89"/>
        <v>Dr</v>
      </c>
      <c r="C298" s="15" t="str">
        <f t="shared" si="110"/>
        <v>Virk</v>
      </c>
      <c r="D298" s="15" t="str">
        <f t="shared" si="90"/>
        <v>Balraj Singh</v>
      </c>
      <c r="E298" s="15" t="str">
        <f t="shared" si="91"/>
        <v>39 Napanje Drive</v>
      </c>
      <c r="F298" s="15" t="str">
        <f t="shared" si="92"/>
        <v>Abington</v>
      </c>
      <c r="G298" s="15" t="str">
        <f t="shared" si="93"/>
        <v>QLD</v>
      </c>
      <c r="H298" s="15">
        <f t="shared" si="94"/>
        <v>4660</v>
      </c>
      <c r="I298" s="15">
        <f t="shared" si="105"/>
        <v>336</v>
      </c>
      <c r="J298" s="15">
        <f>OrdersTable!B298</f>
        <v>843</v>
      </c>
      <c r="K298" s="15" t="str">
        <f t="shared" si="95"/>
        <v>Statues and Busts</v>
      </c>
      <c r="L298" s="15" t="str">
        <f t="shared" si="96"/>
        <v>Doctor Who: Signature Edition Statue: Gallifrey Edition: Tom Baker</v>
      </c>
      <c r="M298" s="15" t="str">
        <f t="shared" si="97"/>
        <v>-</v>
      </c>
      <c r="N298" s="15">
        <f t="shared" si="98"/>
        <v>2.5</v>
      </c>
      <c r="O298" s="15" t="str">
        <f t="shared" si="99"/>
        <v>A20</v>
      </c>
      <c r="P298" s="15" t="str">
        <f t="shared" si="100"/>
        <v>Morbius Inc.</v>
      </c>
      <c r="Q298" s="15" t="str">
        <f t="shared" si="101"/>
        <v>56 Michael Spice Hwy</v>
      </c>
      <c r="R298" s="3">
        <f>OrdersTable!C298</f>
        <v>44583</v>
      </c>
      <c r="S298" s="15">
        <f>OrdersTable!E298</f>
        <v>6</v>
      </c>
      <c r="T298" s="15">
        <f t="shared" si="102"/>
        <v>49.99</v>
      </c>
      <c r="U298" s="15">
        <f t="shared" si="103"/>
        <v>68.33</v>
      </c>
      <c r="V298" s="15">
        <f t="shared" si="104"/>
        <v>80.98</v>
      </c>
      <c r="W298" s="15">
        <f>IF(MarkupType="Store Markup",ROUND(V298+V298*StoreMarkup,2),IF(MarkupType="Supplier Markup",V298+V298*SupplierMarkup,"Error at finding value"))</f>
        <v>127.54</v>
      </c>
      <c r="X298" s="32">
        <f t="shared" si="106"/>
        <v>9.09</v>
      </c>
      <c r="Y298" s="15">
        <f t="shared" si="107"/>
        <v>485.88</v>
      </c>
      <c r="Z298" s="15">
        <f t="shared" si="108"/>
        <v>710.7</v>
      </c>
      <c r="AA298" s="15">
        <f>IF(FreightType="Lethbridge-Stewart Freight ",ROUND(2.99+IF(N298&gt;0.75,(N298-0.75)*2.25,0)*S298,2),IF(MarkupType="Supplier Markup",V298+V298*SupplierMarkup,"Error at finding value"))</f>
        <v>26.62</v>
      </c>
      <c r="AB298" s="15">
        <f t="shared" si="109"/>
        <v>54.54</v>
      </c>
    </row>
    <row r="299" spans="1:28" x14ac:dyDescent="0.25">
      <c r="A299" s="16">
        <f>OrdersTable!A299</f>
        <v>802</v>
      </c>
      <c r="B299" s="15" t="str">
        <f t="shared" si="89"/>
        <v>Mr</v>
      </c>
      <c r="C299" s="15" t="str">
        <f t="shared" si="110"/>
        <v>Carlton</v>
      </c>
      <c r="D299" s="15" t="str">
        <f t="shared" si="90"/>
        <v>Lawrence</v>
      </c>
      <c r="E299" s="15" t="str">
        <f t="shared" si="91"/>
        <v>39 Walsh Way</v>
      </c>
      <c r="F299" s="15" t="str">
        <f t="shared" si="92"/>
        <v>Breakwater</v>
      </c>
      <c r="G299" s="15" t="str">
        <f t="shared" si="93"/>
        <v>VIC</v>
      </c>
      <c r="H299" s="15">
        <f t="shared" si="94"/>
        <v>3219</v>
      </c>
      <c r="I299" s="15">
        <f t="shared" si="105"/>
        <v>1596</v>
      </c>
      <c r="J299" s="15">
        <f>OrdersTable!B299</f>
        <v>543</v>
      </c>
      <c r="K299" s="15" t="str">
        <f t="shared" si="95"/>
        <v>Giftware</v>
      </c>
      <c r="L299" s="15" t="str">
        <f t="shared" si="96"/>
        <v>Doctor Who: Sonic Screwdriver Pen</v>
      </c>
      <c r="M299" s="15" t="str">
        <f t="shared" si="97"/>
        <v>-</v>
      </c>
      <c r="N299" s="15">
        <f t="shared" si="98"/>
        <v>0.65</v>
      </c>
      <c r="O299" s="15" t="str">
        <f t="shared" si="99"/>
        <v>A20</v>
      </c>
      <c r="P299" s="15" t="str">
        <f t="shared" si="100"/>
        <v>Morbius Inc.</v>
      </c>
      <c r="Q299" s="15" t="str">
        <f t="shared" si="101"/>
        <v>56 Michael Spice Hwy</v>
      </c>
      <c r="R299" s="3">
        <f>OrdersTable!C299</f>
        <v>44583</v>
      </c>
      <c r="S299" s="15">
        <f>OrdersTable!E299</f>
        <v>8</v>
      </c>
      <c r="T299" s="15">
        <f t="shared" si="102"/>
        <v>12.99</v>
      </c>
      <c r="U299" s="15">
        <f t="shared" si="103"/>
        <v>18.02</v>
      </c>
      <c r="V299" s="15">
        <f t="shared" si="104"/>
        <v>21.04</v>
      </c>
      <c r="W299" s="15">
        <f>IF(MarkupType="Store Markup",ROUND(V299+V299*StoreMarkup,2),IF(MarkupType="Supplier Markup",V299+V299*SupplierMarkup,"Error at finding value"))</f>
        <v>33.14</v>
      </c>
      <c r="X299" s="32" t="str">
        <f t="shared" si="106"/>
        <v>0.00</v>
      </c>
      <c r="Y299" s="15">
        <f t="shared" si="107"/>
        <v>168.32</v>
      </c>
      <c r="Z299" s="15">
        <f t="shared" si="108"/>
        <v>265.12</v>
      </c>
      <c r="AA299" s="15">
        <f>IF(FreightType="Lethbridge-Stewart Freight ",ROUND(2.99+IF(N299&gt;0.75,(N299-0.75)*2.25,0)*S299,2),IF(MarkupType="Supplier Markup",V299+V299*SupplierMarkup,"Error at finding value"))</f>
        <v>2.99</v>
      </c>
      <c r="AB299" s="15">
        <f t="shared" si="109"/>
        <v>0</v>
      </c>
    </row>
    <row r="300" spans="1:28" x14ac:dyDescent="0.25">
      <c r="A300" s="16">
        <f>OrdersTable!A300</f>
        <v>830</v>
      </c>
      <c r="B300" s="15" t="str">
        <f t="shared" si="89"/>
        <v>Miss</v>
      </c>
      <c r="C300" s="15" t="str">
        <f t="shared" si="110"/>
        <v>Blakeney</v>
      </c>
      <c r="D300" s="15" t="str">
        <f t="shared" si="90"/>
        <v>Hannah</v>
      </c>
      <c r="E300" s="15" t="str">
        <f t="shared" si="91"/>
        <v>31 Sproule Street</v>
      </c>
      <c r="F300" s="15" t="str">
        <f t="shared" si="92"/>
        <v>Belford</v>
      </c>
      <c r="G300" s="15" t="str">
        <f t="shared" si="93"/>
        <v>NSW</v>
      </c>
      <c r="H300" s="15">
        <f t="shared" si="94"/>
        <v>2335</v>
      </c>
      <c r="I300" s="15">
        <f t="shared" si="105"/>
        <v>716</v>
      </c>
      <c r="J300" s="15">
        <f>OrdersTable!B300</f>
        <v>259</v>
      </c>
      <c r="K300" s="15" t="str">
        <f t="shared" si="95"/>
        <v>Clothing and Apparel</v>
      </c>
      <c r="L300" s="15" t="str">
        <f t="shared" si="96"/>
        <v>Doctor Who: Men's Winter Pyjamas</v>
      </c>
      <c r="M300" s="15" t="str">
        <f t="shared" si="97"/>
        <v>XL</v>
      </c>
      <c r="N300" s="15">
        <f t="shared" si="98"/>
        <v>1.5</v>
      </c>
      <c r="O300" s="15" t="str">
        <f t="shared" si="99"/>
        <v>A50</v>
      </c>
      <c r="P300" s="15" t="str">
        <f t="shared" si="100"/>
        <v>Rassilon Ltd.</v>
      </c>
      <c r="Q300" s="15" t="str">
        <f t="shared" si="101"/>
        <v>82 Richard Mathews Road</v>
      </c>
      <c r="R300" s="3">
        <f>OrdersTable!C300</f>
        <v>44583</v>
      </c>
      <c r="S300" s="15">
        <f>OrdersTable!E300</f>
        <v>7</v>
      </c>
      <c r="T300" s="15">
        <f t="shared" si="102"/>
        <v>29.99</v>
      </c>
      <c r="U300" s="15">
        <f t="shared" si="103"/>
        <v>41.15</v>
      </c>
      <c r="V300" s="15">
        <f t="shared" si="104"/>
        <v>48.58</v>
      </c>
      <c r="W300" s="15">
        <f>IF(MarkupType="Store Markup",ROUND(V300+V300*StoreMarkup,2),IF(MarkupType="Supplier Markup",V300+V300*SupplierMarkup,"Error at finding value"))</f>
        <v>76.510000000000005</v>
      </c>
      <c r="X300" s="32" t="str">
        <f t="shared" si="106"/>
        <v>0.00</v>
      </c>
      <c r="Y300" s="15">
        <f t="shared" si="107"/>
        <v>340.06</v>
      </c>
      <c r="Z300" s="15">
        <f t="shared" si="108"/>
        <v>535.57000000000005</v>
      </c>
      <c r="AA300" s="15">
        <f>IF(FreightType="Lethbridge-Stewart Freight ",ROUND(2.99+IF(N300&gt;0.75,(N300-0.75)*2.25,0)*S300,2),IF(MarkupType="Supplier Markup",V300+V300*SupplierMarkup,"Error at finding value"))</f>
        <v>14.8</v>
      </c>
      <c r="AB300" s="15">
        <f t="shared" si="109"/>
        <v>0</v>
      </c>
    </row>
    <row r="301" spans="1:28" x14ac:dyDescent="0.25">
      <c r="A301" s="16">
        <f>OrdersTable!A301</f>
        <v>830</v>
      </c>
      <c r="B301" s="15" t="str">
        <f t="shared" si="89"/>
        <v>Miss</v>
      </c>
      <c r="C301" s="15" t="str">
        <f t="shared" si="110"/>
        <v>Blakeney</v>
      </c>
      <c r="D301" s="15" t="str">
        <f t="shared" si="90"/>
        <v>Hannah</v>
      </c>
      <c r="E301" s="15" t="str">
        <f t="shared" si="91"/>
        <v>31 Sproule Street</v>
      </c>
      <c r="F301" s="15" t="str">
        <f t="shared" si="92"/>
        <v>Belford</v>
      </c>
      <c r="G301" s="15" t="str">
        <f t="shared" si="93"/>
        <v>NSW</v>
      </c>
      <c r="H301" s="15">
        <f t="shared" si="94"/>
        <v>2335</v>
      </c>
      <c r="I301" s="15">
        <f t="shared" si="105"/>
        <v>716</v>
      </c>
      <c r="J301" s="15">
        <f>OrdersTable!B301</f>
        <v>585</v>
      </c>
      <c r="K301" s="15" t="str">
        <f t="shared" si="95"/>
        <v>iPhone Skins</v>
      </c>
      <c r="L301" s="15" t="str">
        <f t="shared" si="96"/>
        <v>Doctor Who: iPhone Skin: Dalek To Victory</v>
      </c>
      <c r="M301" s="15" t="str">
        <f t="shared" si="97"/>
        <v>-</v>
      </c>
      <c r="N301" s="15">
        <f t="shared" si="98"/>
        <v>0.5</v>
      </c>
      <c r="O301" s="15" t="str">
        <f t="shared" si="99"/>
        <v>A10</v>
      </c>
      <c r="P301" s="15" t="str">
        <f t="shared" si="100"/>
        <v>Gallifrey International</v>
      </c>
      <c r="Q301" s="15" t="str">
        <f t="shared" si="101"/>
        <v>181 Arcadia Street</v>
      </c>
      <c r="R301" s="3">
        <f>OrdersTable!C301</f>
        <v>44583</v>
      </c>
      <c r="S301" s="15">
        <f>OrdersTable!E301</f>
        <v>6</v>
      </c>
      <c r="T301" s="15">
        <f t="shared" si="102"/>
        <v>9.99</v>
      </c>
      <c r="U301" s="15">
        <f t="shared" si="103"/>
        <v>13.7</v>
      </c>
      <c r="V301" s="15">
        <f t="shared" si="104"/>
        <v>16.18</v>
      </c>
      <c r="W301" s="15">
        <f>IF(MarkupType="Store Markup",ROUND(V301+V301*StoreMarkup,2),IF(MarkupType="Supplier Markup",V301+V301*SupplierMarkup,"Error at finding value"))</f>
        <v>25.48</v>
      </c>
      <c r="X301" s="32" t="str">
        <f t="shared" si="106"/>
        <v>0.00</v>
      </c>
      <c r="Y301" s="15">
        <f t="shared" si="107"/>
        <v>97.08</v>
      </c>
      <c r="Z301" s="15">
        <f t="shared" si="108"/>
        <v>152.88</v>
      </c>
      <c r="AA301" s="15">
        <f>IF(FreightType="Lethbridge-Stewart Freight ",ROUND(2.99+IF(N301&gt;0.75,(N301-0.75)*2.25,0)*S301,2),IF(MarkupType="Supplier Markup",V301+V301*SupplierMarkup,"Error at finding value"))</f>
        <v>2.99</v>
      </c>
      <c r="AB301" s="15">
        <f t="shared" si="109"/>
        <v>0</v>
      </c>
    </row>
    <row r="302" spans="1:28" x14ac:dyDescent="0.25">
      <c r="A302" s="16">
        <f>OrdersTable!A302</f>
        <v>849</v>
      </c>
      <c r="B302" s="15" t="str">
        <f t="shared" si="89"/>
        <v>Dr</v>
      </c>
      <c r="C302" s="15" t="str">
        <f t="shared" si="110"/>
        <v>Blair</v>
      </c>
      <c r="D302" s="15" t="str">
        <f t="shared" si="90"/>
        <v>Taylor Ashleigh</v>
      </c>
      <c r="E302" s="15" t="str">
        <f t="shared" si="91"/>
        <v>42 Ward Avenue</v>
      </c>
      <c r="F302" s="15" t="str">
        <f t="shared" si="92"/>
        <v>Airly</v>
      </c>
      <c r="G302" s="15" t="str">
        <f t="shared" si="93"/>
        <v>VIC</v>
      </c>
      <c r="H302" s="15">
        <f t="shared" si="94"/>
        <v>3851</v>
      </c>
      <c r="I302" s="15">
        <f t="shared" si="105"/>
        <v>1583</v>
      </c>
      <c r="J302" s="15">
        <f>OrdersTable!B302</f>
        <v>676</v>
      </c>
      <c r="K302" s="15" t="str">
        <f t="shared" si="95"/>
        <v>Mugs</v>
      </c>
      <c r="L302" s="15" t="str">
        <f t="shared" si="96"/>
        <v>Doctor Who: Mug: The Eleventh Doctor</v>
      </c>
      <c r="M302" s="15" t="str">
        <f t="shared" si="97"/>
        <v>-</v>
      </c>
      <c r="N302" s="15">
        <f t="shared" si="98"/>
        <v>0.45</v>
      </c>
      <c r="O302" s="15" t="str">
        <f t="shared" si="99"/>
        <v>A20</v>
      </c>
      <c r="P302" s="15" t="str">
        <f t="shared" si="100"/>
        <v>Morbius Inc.</v>
      </c>
      <c r="Q302" s="15" t="str">
        <f t="shared" si="101"/>
        <v>56 Michael Spice Hwy</v>
      </c>
      <c r="R302" s="3">
        <f>OrdersTable!C302</f>
        <v>44583</v>
      </c>
      <c r="S302" s="15">
        <f>OrdersTable!E302</f>
        <v>2</v>
      </c>
      <c r="T302" s="15">
        <f t="shared" si="102"/>
        <v>8.99</v>
      </c>
      <c r="U302" s="15">
        <f t="shared" si="103"/>
        <v>12.55</v>
      </c>
      <c r="V302" s="15">
        <f t="shared" si="104"/>
        <v>14.56</v>
      </c>
      <c r="W302" s="15">
        <f>IF(MarkupType="Store Markup",ROUND(V302+V302*StoreMarkup,2),IF(MarkupType="Supplier Markup",V302+V302*SupplierMarkup,"Error at finding value"))</f>
        <v>22.93</v>
      </c>
      <c r="X302" s="32" t="str">
        <f t="shared" si="106"/>
        <v>0.00</v>
      </c>
      <c r="Y302" s="15">
        <f t="shared" si="107"/>
        <v>29.12</v>
      </c>
      <c r="Z302" s="15">
        <f t="shared" si="108"/>
        <v>45.86</v>
      </c>
      <c r="AA302" s="15">
        <f>IF(FreightType="Lethbridge-Stewart Freight ",ROUND(2.99+IF(N302&gt;0.75,(N302-0.75)*2.25,0)*S302,2),IF(MarkupType="Supplier Markup",V302+V302*SupplierMarkup,"Error at finding value"))</f>
        <v>2.99</v>
      </c>
      <c r="AB302" s="15">
        <f t="shared" si="109"/>
        <v>0</v>
      </c>
    </row>
    <row r="303" spans="1:28" x14ac:dyDescent="0.25">
      <c r="A303" s="16">
        <f>OrdersTable!A303</f>
        <v>232</v>
      </c>
      <c r="B303" s="15" t="str">
        <f t="shared" si="89"/>
        <v>Mrs</v>
      </c>
      <c r="C303" s="15" t="str">
        <f t="shared" si="110"/>
        <v>Bishop</v>
      </c>
      <c r="D303" s="15" t="str">
        <f t="shared" si="90"/>
        <v>Katherine Marie</v>
      </c>
      <c r="E303" s="15" t="str">
        <f t="shared" si="91"/>
        <v>19 Whitehorn Circuit</v>
      </c>
      <c r="F303" s="15" t="str">
        <f t="shared" si="92"/>
        <v>Black Hills</v>
      </c>
      <c r="G303" s="15" t="str">
        <f t="shared" si="93"/>
        <v>TAS</v>
      </c>
      <c r="H303" s="15">
        <f t="shared" si="94"/>
        <v>7140</v>
      </c>
      <c r="I303" s="15">
        <f t="shared" si="105"/>
        <v>2191</v>
      </c>
      <c r="J303" s="15">
        <f>OrdersTable!B303</f>
        <v>752</v>
      </c>
      <c r="K303" s="15" t="str">
        <f t="shared" si="95"/>
        <v>Statues and Busts</v>
      </c>
      <c r="L303" s="15" t="str">
        <f t="shared" si="96"/>
        <v>Doctor Who: Helmet: Cyberman Leader</v>
      </c>
      <c r="M303" s="15" t="str">
        <f t="shared" si="97"/>
        <v>-</v>
      </c>
      <c r="N303" s="15">
        <f t="shared" si="98"/>
        <v>2</v>
      </c>
      <c r="O303" s="15" t="str">
        <f t="shared" si="99"/>
        <v>A30</v>
      </c>
      <c r="P303" s="15" t="str">
        <f t="shared" si="100"/>
        <v>Chesterton Enterprises</v>
      </c>
      <c r="Q303" s="15" t="str">
        <f t="shared" si="101"/>
        <v>41 William Russell Road</v>
      </c>
      <c r="R303" s="3">
        <f>OrdersTable!C303</f>
        <v>44584</v>
      </c>
      <c r="S303" s="15">
        <f>OrdersTable!E303</f>
        <v>1</v>
      </c>
      <c r="T303" s="15">
        <f t="shared" si="102"/>
        <v>39.99</v>
      </c>
      <c r="U303" s="15">
        <f t="shared" si="103"/>
        <v>54.85</v>
      </c>
      <c r="V303" s="15">
        <f t="shared" si="104"/>
        <v>64.78</v>
      </c>
      <c r="W303" s="15">
        <f>IF(MarkupType="Store Markup",ROUND(V303+V303*StoreMarkup,2),IF(MarkupType="Supplier Markup",V303+V303*SupplierMarkup,"Error at finding value"))</f>
        <v>102.03</v>
      </c>
      <c r="X303" s="32" t="str">
        <f t="shared" si="106"/>
        <v>0.00</v>
      </c>
      <c r="Y303" s="15">
        <f t="shared" si="107"/>
        <v>64.78</v>
      </c>
      <c r="Z303" s="15">
        <f t="shared" si="108"/>
        <v>102.03</v>
      </c>
      <c r="AA303" s="15">
        <f>IF(FreightType="Lethbridge-Stewart Freight ",ROUND(2.99+IF(N303&gt;0.75,(N303-0.75)*2.25,0)*S303,2),IF(MarkupType="Supplier Markup",V303+V303*SupplierMarkup,"Error at finding value"))</f>
        <v>5.8</v>
      </c>
      <c r="AB303" s="15">
        <f t="shared" si="109"/>
        <v>0</v>
      </c>
    </row>
    <row r="304" spans="1:28" x14ac:dyDescent="0.25">
      <c r="A304" s="16">
        <f>OrdersTable!A304</f>
        <v>282</v>
      </c>
      <c r="B304" s="15" t="str">
        <f t="shared" si="89"/>
        <v>Dr</v>
      </c>
      <c r="C304" s="15" t="str">
        <f t="shared" si="110"/>
        <v>Johnson</v>
      </c>
      <c r="D304" s="15" t="str">
        <f t="shared" si="90"/>
        <v>Samantha Emily Louise</v>
      </c>
      <c r="E304" s="15" t="str">
        <f t="shared" si="91"/>
        <v>2 Wiggan Avenue</v>
      </c>
      <c r="F304" s="15" t="str">
        <f t="shared" si="92"/>
        <v>Boston</v>
      </c>
      <c r="G304" s="15" t="str">
        <f t="shared" si="93"/>
        <v>SA</v>
      </c>
      <c r="H304" s="15">
        <f t="shared" si="94"/>
        <v>5607</v>
      </c>
      <c r="I304" s="15">
        <f t="shared" si="105"/>
        <v>2076</v>
      </c>
      <c r="J304" s="15">
        <f>OrdersTable!B304</f>
        <v>395</v>
      </c>
      <c r="K304" s="15" t="str">
        <f t="shared" si="95"/>
        <v>Clothing and Apparel</v>
      </c>
      <c r="L304" s="15" t="str">
        <f t="shared" si="96"/>
        <v xml:space="preserve">Doctor Who: T-Shirts: 7th Doctor Costume </v>
      </c>
      <c r="M304" s="15" t="str">
        <f t="shared" si="97"/>
        <v>L</v>
      </c>
      <c r="N304" s="15">
        <f t="shared" si="98"/>
        <v>0.8</v>
      </c>
      <c r="O304" s="15" t="str">
        <f t="shared" si="99"/>
        <v>A10</v>
      </c>
      <c r="P304" s="15" t="str">
        <f t="shared" si="100"/>
        <v>Gallifrey International</v>
      </c>
      <c r="Q304" s="15" t="str">
        <f t="shared" si="101"/>
        <v>181 Arcadia Street</v>
      </c>
      <c r="R304" s="3">
        <f>OrdersTable!C304</f>
        <v>44584</v>
      </c>
      <c r="S304" s="15">
        <f>OrdersTable!E304</f>
        <v>2</v>
      </c>
      <c r="T304" s="15">
        <f t="shared" si="102"/>
        <v>15.99</v>
      </c>
      <c r="U304" s="15">
        <f t="shared" si="103"/>
        <v>22.07</v>
      </c>
      <c r="V304" s="15">
        <f t="shared" si="104"/>
        <v>25.9</v>
      </c>
      <c r="W304" s="15">
        <f>IF(MarkupType="Store Markup",ROUND(V304+V304*StoreMarkup,2),IF(MarkupType="Supplier Markup",V304+V304*SupplierMarkup,"Error at finding value"))</f>
        <v>40.79</v>
      </c>
      <c r="X304" s="32" t="str">
        <f t="shared" si="106"/>
        <v>0.00</v>
      </c>
      <c r="Y304" s="15">
        <f t="shared" si="107"/>
        <v>51.8</v>
      </c>
      <c r="Z304" s="15">
        <f t="shared" si="108"/>
        <v>81.58</v>
      </c>
      <c r="AA304" s="15">
        <f>IF(FreightType="Lethbridge-Stewart Freight ",ROUND(2.99+IF(N304&gt;0.75,(N304-0.75)*2.25,0)*S304,2),IF(MarkupType="Supplier Markup",V304+V304*SupplierMarkup,"Error at finding value"))</f>
        <v>3.22</v>
      </c>
      <c r="AB304" s="15">
        <f t="shared" si="109"/>
        <v>0</v>
      </c>
    </row>
    <row r="305" spans="1:28" x14ac:dyDescent="0.25">
      <c r="A305" s="16">
        <f>OrdersTable!A305</f>
        <v>328</v>
      </c>
      <c r="B305" s="15" t="str">
        <f t="shared" si="89"/>
        <v>Dr</v>
      </c>
      <c r="C305" s="15" t="str">
        <f t="shared" si="110"/>
        <v>Ward</v>
      </c>
      <c r="D305" s="15" t="str">
        <f t="shared" si="90"/>
        <v>Keiren Nicholas</v>
      </c>
      <c r="E305" s="15" t="str">
        <f t="shared" si="91"/>
        <v>13 Green Crescent</v>
      </c>
      <c r="F305" s="15" t="str">
        <f t="shared" si="92"/>
        <v>Breakwater</v>
      </c>
      <c r="G305" s="15" t="str">
        <f t="shared" si="93"/>
        <v>VIC</v>
      </c>
      <c r="H305" s="15">
        <f t="shared" si="94"/>
        <v>3219</v>
      </c>
      <c r="I305" s="15">
        <f t="shared" si="105"/>
        <v>1596</v>
      </c>
      <c r="J305" s="15">
        <f>OrdersTable!B305</f>
        <v>453</v>
      </c>
      <c r="K305" s="15" t="str">
        <f t="shared" si="95"/>
        <v>Giftware</v>
      </c>
      <c r="L305" s="15" t="str">
        <f t="shared" si="96"/>
        <v>Doctor Who: Ceramic Cookie Jar: TARDIS</v>
      </c>
      <c r="M305" s="15" t="str">
        <f t="shared" si="97"/>
        <v>-</v>
      </c>
      <c r="N305" s="15">
        <f t="shared" si="98"/>
        <v>1.35</v>
      </c>
      <c r="O305" s="15" t="str">
        <f t="shared" si="99"/>
        <v>A40</v>
      </c>
      <c r="P305" s="15" t="str">
        <f t="shared" si="100"/>
        <v>Romana Imports</v>
      </c>
      <c r="Q305" s="15" t="str">
        <f t="shared" si="101"/>
        <v>17 Lalla Ward Road</v>
      </c>
      <c r="R305" s="3">
        <f>OrdersTable!C305</f>
        <v>44584</v>
      </c>
      <c r="S305" s="15">
        <f>OrdersTable!E305</f>
        <v>4</v>
      </c>
      <c r="T305" s="15">
        <f t="shared" si="102"/>
        <v>26.99</v>
      </c>
      <c r="U305" s="15">
        <f t="shared" si="103"/>
        <v>37.119999999999997</v>
      </c>
      <c r="V305" s="15">
        <f t="shared" si="104"/>
        <v>43.72</v>
      </c>
      <c r="W305" s="15">
        <f>IF(MarkupType="Store Markup",ROUND(V305+V305*StoreMarkup,2),IF(MarkupType="Supplier Markup",V305+V305*SupplierMarkup,"Error at finding value"))</f>
        <v>68.86</v>
      </c>
      <c r="X305" s="32" t="str">
        <f t="shared" si="106"/>
        <v>0.00</v>
      </c>
      <c r="Y305" s="15">
        <f t="shared" si="107"/>
        <v>174.88</v>
      </c>
      <c r="Z305" s="15">
        <f t="shared" si="108"/>
        <v>275.44</v>
      </c>
      <c r="AA305" s="15">
        <f>IF(FreightType="Lethbridge-Stewart Freight ",ROUND(2.99+IF(N305&gt;0.75,(N305-0.75)*2.25,0)*S305,2),IF(MarkupType="Supplier Markup",V305+V305*SupplierMarkup,"Error at finding value"))</f>
        <v>8.39</v>
      </c>
      <c r="AB305" s="15">
        <f t="shared" si="109"/>
        <v>0</v>
      </c>
    </row>
    <row r="306" spans="1:28" x14ac:dyDescent="0.25">
      <c r="A306" s="16">
        <f>OrdersTable!A306</f>
        <v>329</v>
      </c>
      <c r="B306" s="15" t="str">
        <f t="shared" si="89"/>
        <v>Ms</v>
      </c>
      <c r="C306" s="15" t="str">
        <f t="shared" si="110"/>
        <v>Hubbard</v>
      </c>
      <c r="D306" s="15" t="str">
        <f t="shared" si="90"/>
        <v>Sonya Marie</v>
      </c>
      <c r="E306" s="15" t="str">
        <f t="shared" si="91"/>
        <v>42 Keable Crescent</v>
      </c>
      <c r="F306" s="15" t="str">
        <f t="shared" si="92"/>
        <v>Boston</v>
      </c>
      <c r="G306" s="15" t="str">
        <f t="shared" si="93"/>
        <v>SA</v>
      </c>
      <c r="H306" s="15">
        <f t="shared" si="94"/>
        <v>5607</v>
      </c>
      <c r="I306" s="15">
        <f t="shared" si="105"/>
        <v>2076</v>
      </c>
      <c r="J306" s="15">
        <f>OrdersTable!B306</f>
        <v>213</v>
      </c>
      <c r="K306" s="15" t="str">
        <f t="shared" si="95"/>
        <v>Clothing and Apparel</v>
      </c>
      <c r="L306" s="15" t="str">
        <f t="shared" si="96"/>
        <v>Doctor Who: Fez and Bow Tie</v>
      </c>
      <c r="M306" s="15" t="str">
        <f t="shared" si="97"/>
        <v>-</v>
      </c>
      <c r="N306" s="15">
        <f t="shared" si="98"/>
        <v>0.97499999999999998</v>
      </c>
      <c r="O306" s="15" t="str">
        <f t="shared" si="99"/>
        <v>A50</v>
      </c>
      <c r="P306" s="15" t="str">
        <f t="shared" si="100"/>
        <v>Rassilon Ltd.</v>
      </c>
      <c r="Q306" s="15" t="str">
        <f t="shared" si="101"/>
        <v>82 Richard Mathews Road</v>
      </c>
      <c r="R306" s="3">
        <f>OrdersTable!C306</f>
        <v>44584</v>
      </c>
      <c r="S306" s="15">
        <f>OrdersTable!E306</f>
        <v>9</v>
      </c>
      <c r="T306" s="15">
        <f t="shared" si="102"/>
        <v>19.5</v>
      </c>
      <c r="U306" s="15">
        <f t="shared" si="103"/>
        <v>26.88</v>
      </c>
      <c r="V306" s="15">
        <f t="shared" si="104"/>
        <v>31.59</v>
      </c>
      <c r="W306" s="15">
        <f>IF(MarkupType="Store Markup",ROUND(V306+V306*StoreMarkup,2),IF(MarkupType="Supplier Markup",V306+V306*SupplierMarkup,"Error at finding value"))</f>
        <v>49.75</v>
      </c>
      <c r="X306" s="32" t="str">
        <f t="shared" si="106"/>
        <v>0.00</v>
      </c>
      <c r="Y306" s="15">
        <f t="shared" si="107"/>
        <v>284.31</v>
      </c>
      <c r="Z306" s="15">
        <f t="shared" si="108"/>
        <v>447.75</v>
      </c>
      <c r="AA306" s="15">
        <f>IF(FreightType="Lethbridge-Stewart Freight ",ROUND(2.99+IF(N306&gt;0.75,(N306-0.75)*2.25,0)*S306,2),IF(MarkupType="Supplier Markup",V306+V306*SupplierMarkup,"Error at finding value"))</f>
        <v>7.55</v>
      </c>
      <c r="AB306" s="15">
        <f t="shared" si="109"/>
        <v>0</v>
      </c>
    </row>
    <row r="307" spans="1:28" x14ac:dyDescent="0.25">
      <c r="A307" s="16">
        <f>OrdersTable!A307</f>
        <v>390</v>
      </c>
      <c r="B307" s="15" t="str">
        <f t="shared" si="89"/>
        <v>Ms</v>
      </c>
      <c r="C307" s="15" t="str">
        <f t="shared" si="110"/>
        <v>Queen</v>
      </c>
      <c r="D307" s="15" t="str">
        <f t="shared" si="90"/>
        <v>Joanne</v>
      </c>
      <c r="E307" s="15" t="str">
        <f t="shared" si="91"/>
        <v>30 Hall Drive</v>
      </c>
      <c r="F307" s="15" t="str">
        <f t="shared" si="92"/>
        <v>Belconnen</v>
      </c>
      <c r="G307" s="15" t="str">
        <f t="shared" si="93"/>
        <v>ACT</v>
      </c>
      <c r="H307" s="15">
        <f t="shared" si="94"/>
        <v>2617</v>
      </c>
      <c r="I307" s="15">
        <f t="shared" si="105"/>
        <v>1194</v>
      </c>
      <c r="J307" s="15">
        <f>OrdersTable!B307</f>
        <v>709</v>
      </c>
      <c r="K307" s="15" t="str">
        <f t="shared" si="95"/>
        <v>Posters, Prints and Standees</v>
      </c>
      <c r="L307" s="15" t="str">
        <f t="shared" si="96"/>
        <v>Doctor Who: Poster: Metallic TARDIS</v>
      </c>
      <c r="M307" s="15" t="str">
        <f t="shared" si="97"/>
        <v>-</v>
      </c>
      <c r="N307" s="15">
        <f t="shared" si="98"/>
        <v>0.2</v>
      </c>
      <c r="O307" s="15" t="str">
        <f t="shared" si="99"/>
        <v>A10</v>
      </c>
      <c r="P307" s="15" t="str">
        <f t="shared" si="100"/>
        <v>Gallifrey International</v>
      </c>
      <c r="Q307" s="15" t="str">
        <f t="shared" si="101"/>
        <v>181 Arcadia Street</v>
      </c>
      <c r="R307" s="3">
        <f>OrdersTable!C307</f>
        <v>44584</v>
      </c>
      <c r="S307" s="15">
        <f>OrdersTable!E307</f>
        <v>6</v>
      </c>
      <c r="T307" s="15">
        <f t="shared" si="102"/>
        <v>3.99</v>
      </c>
      <c r="U307" s="15">
        <f t="shared" si="103"/>
        <v>5.71</v>
      </c>
      <c r="V307" s="15">
        <f t="shared" si="104"/>
        <v>6.46</v>
      </c>
      <c r="W307" s="15">
        <f>IF(MarkupType="Store Markup",ROUND(V307+V307*StoreMarkup,2),IF(MarkupType="Supplier Markup",V307+V307*SupplierMarkup,"Error at finding value"))</f>
        <v>10.17</v>
      </c>
      <c r="X307" s="32" t="str">
        <f t="shared" si="106"/>
        <v>0.00</v>
      </c>
      <c r="Y307" s="15">
        <f t="shared" si="107"/>
        <v>38.76</v>
      </c>
      <c r="Z307" s="15">
        <f t="shared" si="108"/>
        <v>61.02</v>
      </c>
      <c r="AA307" s="15">
        <f>IF(FreightType="Lethbridge-Stewart Freight ",ROUND(2.99+IF(N307&gt;0.75,(N307-0.75)*2.25,0)*S307,2),IF(MarkupType="Supplier Markup",V307+V307*SupplierMarkup,"Error at finding value"))</f>
        <v>2.99</v>
      </c>
      <c r="AB307" s="15">
        <f t="shared" si="109"/>
        <v>0</v>
      </c>
    </row>
    <row r="308" spans="1:28" x14ac:dyDescent="0.25">
      <c r="A308" s="16">
        <f>OrdersTable!A308</f>
        <v>515</v>
      </c>
      <c r="B308" s="15" t="str">
        <f t="shared" si="89"/>
        <v>Mr</v>
      </c>
      <c r="C308" s="15" t="str">
        <f t="shared" si="110"/>
        <v>Noffke</v>
      </c>
      <c r="D308" s="15" t="str">
        <f t="shared" si="90"/>
        <v>William Thomas</v>
      </c>
      <c r="E308" s="15" t="str">
        <f t="shared" si="91"/>
        <v>20 Tyler Drive</v>
      </c>
      <c r="F308" s="15" t="str">
        <f t="shared" si="92"/>
        <v>Areegra</v>
      </c>
      <c r="G308" s="15" t="str">
        <f t="shared" si="93"/>
        <v>VIC</v>
      </c>
      <c r="H308" s="15">
        <f t="shared" si="94"/>
        <v>3480</v>
      </c>
      <c r="I308" s="15">
        <f t="shared" si="105"/>
        <v>1559</v>
      </c>
      <c r="J308" s="15">
        <f>OrdersTable!B308</f>
        <v>530</v>
      </c>
      <c r="K308" s="15" t="str">
        <f t="shared" si="95"/>
        <v>Giftware</v>
      </c>
      <c r="L308" s="15" t="str">
        <f t="shared" si="96"/>
        <v>Doctor Who: Keyring TARDIS</v>
      </c>
      <c r="M308" s="15" t="str">
        <f t="shared" si="97"/>
        <v>-</v>
      </c>
      <c r="N308" s="15">
        <f t="shared" si="98"/>
        <v>0.25</v>
      </c>
      <c r="O308" s="15" t="str">
        <f t="shared" si="99"/>
        <v>A20</v>
      </c>
      <c r="P308" s="15" t="str">
        <f t="shared" si="100"/>
        <v>Morbius Inc.</v>
      </c>
      <c r="Q308" s="15" t="str">
        <f t="shared" si="101"/>
        <v>56 Michael Spice Hwy</v>
      </c>
      <c r="R308" s="3">
        <f>OrdersTable!C308</f>
        <v>44584</v>
      </c>
      <c r="S308" s="15">
        <f>OrdersTable!E308</f>
        <v>7</v>
      </c>
      <c r="T308" s="15">
        <f t="shared" si="102"/>
        <v>4.99</v>
      </c>
      <c r="U308" s="15">
        <f t="shared" si="103"/>
        <v>7.1</v>
      </c>
      <c r="V308" s="15">
        <f t="shared" si="104"/>
        <v>8.08</v>
      </c>
      <c r="W308" s="15">
        <f>IF(MarkupType="Store Markup",ROUND(V308+V308*StoreMarkup,2),IF(MarkupType="Supplier Markup",V308+V308*SupplierMarkup,"Error at finding value"))</f>
        <v>12.73</v>
      </c>
      <c r="X308" s="32" t="str">
        <f t="shared" si="106"/>
        <v>0.00</v>
      </c>
      <c r="Y308" s="15">
        <f t="shared" si="107"/>
        <v>56.56</v>
      </c>
      <c r="Z308" s="15">
        <f t="shared" si="108"/>
        <v>89.11</v>
      </c>
      <c r="AA308" s="15">
        <f>IF(FreightType="Lethbridge-Stewart Freight ",ROUND(2.99+IF(N308&gt;0.75,(N308-0.75)*2.25,0)*S308,2),IF(MarkupType="Supplier Markup",V308+V308*SupplierMarkup,"Error at finding value"))</f>
        <v>2.99</v>
      </c>
      <c r="AB308" s="15">
        <f t="shared" si="109"/>
        <v>0</v>
      </c>
    </row>
    <row r="309" spans="1:28" x14ac:dyDescent="0.25">
      <c r="A309" s="16">
        <f>OrdersTable!A309</f>
        <v>546</v>
      </c>
      <c r="B309" s="15" t="str">
        <f t="shared" si="89"/>
        <v>Ms</v>
      </c>
      <c r="C309" s="15" t="str">
        <f t="shared" si="110"/>
        <v>Shortt</v>
      </c>
      <c r="D309" s="15" t="str">
        <f t="shared" si="90"/>
        <v>Rickylee Sidonia</v>
      </c>
      <c r="E309" s="15" t="str">
        <f t="shared" si="91"/>
        <v>4 Hughes Road</v>
      </c>
      <c r="F309" s="15" t="str">
        <f t="shared" si="92"/>
        <v>Glenfern</v>
      </c>
      <c r="G309" s="15" t="str">
        <f t="shared" si="93"/>
        <v>QLD</v>
      </c>
      <c r="H309" s="15">
        <f t="shared" si="94"/>
        <v>4515</v>
      </c>
      <c r="I309" s="15">
        <f t="shared" si="105"/>
        <v>128</v>
      </c>
      <c r="J309" s="15">
        <f>OrdersTable!B309</f>
        <v>453</v>
      </c>
      <c r="K309" s="15" t="str">
        <f t="shared" si="95"/>
        <v>Giftware</v>
      </c>
      <c r="L309" s="15" t="str">
        <f t="shared" si="96"/>
        <v>Doctor Who: Ceramic Cookie Jar: TARDIS</v>
      </c>
      <c r="M309" s="15" t="str">
        <f t="shared" si="97"/>
        <v>-</v>
      </c>
      <c r="N309" s="15">
        <f t="shared" si="98"/>
        <v>1.35</v>
      </c>
      <c r="O309" s="15" t="str">
        <f t="shared" si="99"/>
        <v>A40</v>
      </c>
      <c r="P309" s="15" t="str">
        <f t="shared" si="100"/>
        <v>Romana Imports</v>
      </c>
      <c r="Q309" s="15" t="str">
        <f t="shared" si="101"/>
        <v>17 Lalla Ward Road</v>
      </c>
      <c r="R309" s="3">
        <f>OrdersTable!C309</f>
        <v>44584</v>
      </c>
      <c r="S309" s="15">
        <f>OrdersTable!E309</f>
        <v>4</v>
      </c>
      <c r="T309" s="15">
        <f t="shared" si="102"/>
        <v>26.99</v>
      </c>
      <c r="U309" s="15">
        <f t="shared" si="103"/>
        <v>37.119999999999997</v>
      </c>
      <c r="V309" s="15">
        <f t="shared" si="104"/>
        <v>43.72</v>
      </c>
      <c r="W309" s="15">
        <f>IF(MarkupType="Store Markup",ROUND(V309+V309*StoreMarkup,2),IF(MarkupType="Supplier Markup",V309+V309*SupplierMarkup,"Error at finding value"))</f>
        <v>68.86</v>
      </c>
      <c r="X309" s="32" t="str">
        <f t="shared" si="106"/>
        <v>0.00</v>
      </c>
      <c r="Y309" s="15">
        <f t="shared" si="107"/>
        <v>174.88</v>
      </c>
      <c r="Z309" s="15">
        <f t="shared" si="108"/>
        <v>275.44</v>
      </c>
      <c r="AA309" s="15">
        <f>IF(FreightType="Lethbridge-Stewart Freight ",ROUND(2.99+IF(N309&gt;0.75,(N309-0.75)*2.25,0)*S309,2),IF(MarkupType="Supplier Markup",V309+V309*SupplierMarkup,"Error at finding value"))</f>
        <v>8.39</v>
      </c>
      <c r="AB309" s="15">
        <f t="shared" si="109"/>
        <v>0</v>
      </c>
    </row>
    <row r="310" spans="1:28" x14ac:dyDescent="0.25">
      <c r="A310" s="16">
        <f>OrdersTable!A310</f>
        <v>557</v>
      </c>
      <c r="B310" s="15" t="str">
        <f t="shared" si="89"/>
        <v>Mrs</v>
      </c>
      <c r="C310" s="15" t="str">
        <f t="shared" si="110"/>
        <v>Allen</v>
      </c>
      <c r="D310" s="15" t="str">
        <f t="shared" si="90"/>
        <v>Morgan</v>
      </c>
      <c r="E310" s="15" t="str">
        <f t="shared" si="91"/>
        <v>15 Winsor Street</v>
      </c>
      <c r="F310" s="15" t="str">
        <f t="shared" si="92"/>
        <v>Appletree Flat</v>
      </c>
      <c r="G310" s="15" t="str">
        <f t="shared" si="93"/>
        <v>NSW</v>
      </c>
      <c r="H310" s="15">
        <f t="shared" si="94"/>
        <v>2330</v>
      </c>
      <c r="I310" s="15">
        <f t="shared" si="105"/>
        <v>691</v>
      </c>
      <c r="J310" s="15">
        <f>OrdersTable!B310</f>
        <v>780</v>
      </c>
      <c r="K310" s="15" t="str">
        <f t="shared" si="95"/>
        <v>Statues and Busts</v>
      </c>
      <c r="L310" s="15" t="str">
        <f t="shared" si="96"/>
        <v>Doctor Who: Masterpiece Collection Dalek: Genesis Of The Daleks</v>
      </c>
      <c r="M310" s="15" t="str">
        <f t="shared" si="97"/>
        <v>-</v>
      </c>
      <c r="N310" s="15">
        <f t="shared" si="98"/>
        <v>2.5</v>
      </c>
      <c r="O310" s="15" t="str">
        <f t="shared" si="99"/>
        <v>A30</v>
      </c>
      <c r="P310" s="15" t="str">
        <f t="shared" si="100"/>
        <v>Chesterton Enterprises</v>
      </c>
      <c r="Q310" s="15" t="str">
        <f t="shared" si="101"/>
        <v>41 William Russell Road</v>
      </c>
      <c r="R310" s="3">
        <f>OrdersTable!C310</f>
        <v>44584</v>
      </c>
      <c r="S310" s="15">
        <f>OrdersTable!E310</f>
        <v>6</v>
      </c>
      <c r="T310" s="15">
        <f t="shared" si="102"/>
        <v>49.99</v>
      </c>
      <c r="U310" s="15">
        <f t="shared" si="103"/>
        <v>68.23</v>
      </c>
      <c r="V310" s="15">
        <f t="shared" si="104"/>
        <v>80.98</v>
      </c>
      <c r="W310" s="15">
        <f>IF(MarkupType="Store Markup",ROUND(V310+V310*StoreMarkup,2),IF(MarkupType="Supplier Markup",V310+V310*SupplierMarkup,"Error at finding value"))</f>
        <v>127.54</v>
      </c>
      <c r="X310" s="32">
        <f t="shared" si="106"/>
        <v>9.09</v>
      </c>
      <c r="Y310" s="15">
        <f t="shared" si="107"/>
        <v>485.88</v>
      </c>
      <c r="Z310" s="15">
        <f t="shared" si="108"/>
        <v>710.7</v>
      </c>
      <c r="AA310" s="15">
        <f>IF(FreightType="Lethbridge-Stewart Freight ",ROUND(2.99+IF(N310&gt;0.75,(N310-0.75)*2.25,0)*S310,2),IF(MarkupType="Supplier Markup",V310+V310*SupplierMarkup,"Error at finding value"))</f>
        <v>26.62</v>
      </c>
      <c r="AB310" s="15">
        <f t="shared" si="109"/>
        <v>54.54</v>
      </c>
    </row>
    <row r="311" spans="1:28" x14ac:dyDescent="0.25">
      <c r="A311" s="16">
        <f>OrdersTable!A311</f>
        <v>567</v>
      </c>
      <c r="B311" s="15" t="str">
        <f t="shared" si="89"/>
        <v>Ms</v>
      </c>
      <c r="C311" s="15" t="str">
        <f t="shared" si="110"/>
        <v>Perkins</v>
      </c>
      <c r="D311" s="15" t="str">
        <f t="shared" si="90"/>
        <v>Sarah</v>
      </c>
      <c r="E311" s="15" t="str">
        <f t="shared" si="91"/>
        <v>7 Tengdahl Road</v>
      </c>
      <c r="F311" s="15" t="str">
        <f t="shared" si="92"/>
        <v>Areegra</v>
      </c>
      <c r="G311" s="15" t="str">
        <f t="shared" si="93"/>
        <v>VIC</v>
      </c>
      <c r="H311" s="15">
        <f t="shared" si="94"/>
        <v>3480</v>
      </c>
      <c r="I311" s="15">
        <f t="shared" si="105"/>
        <v>1559</v>
      </c>
      <c r="J311" s="15">
        <f>OrdersTable!B311</f>
        <v>219</v>
      </c>
      <c r="K311" s="15" t="str">
        <f t="shared" si="95"/>
        <v>Clothing and Apparel</v>
      </c>
      <c r="L311" s="15" t="str">
        <f t="shared" si="96"/>
        <v>Doctor Who: Men's Winter Pyjamas</v>
      </c>
      <c r="M311" s="15" t="str">
        <f t="shared" si="97"/>
        <v>M</v>
      </c>
      <c r="N311" s="15">
        <f t="shared" si="98"/>
        <v>1.5</v>
      </c>
      <c r="O311" s="15" t="str">
        <f t="shared" si="99"/>
        <v>A40</v>
      </c>
      <c r="P311" s="15" t="str">
        <f t="shared" si="100"/>
        <v>Romana Imports</v>
      </c>
      <c r="Q311" s="15" t="str">
        <f t="shared" si="101"/>
        <v>17 Lalla Ward Road</v>
      </c>
      <c r="R311" s="3">
        <f>OrdersTable!C311</f>
        <v>44584</v>
      </c>
      <c r="S311" s="15">
        <f>OrdersTable!E311</f>
        <v>6</v>
      </c>
      <c r="T311" s="15">
        <f t="shared" si="102"/>
        <v>29.99</v>
      </c>
      <c r="U311" s="15">
        <f t="shared" si="103"/>
        <v>41.24</v>
      </c>
      <c r="V311" s="15">
        <f t="shared" si="104"/>
        <v>48.58</v>
      </c>
      <c r="W311" s="15">
        <f>IF(MarkupType="Store Markup",ROUND(V311+V311*StoreMarkup,2),IF(MarkupType="Supplier Markup",V311+V311*SupplierMarkup,"Error at finding value"))</f>
        <v>76.510000000000005</v>
      </c>
      <c r="X311" s="32" t="str">
        <f t="shared" si="106"/>
        <v>0.00</v>
      </c>
      <c r="Y311" s="15">
        <f t="shared" si="107"/>
        <v>291.48</v>
      </c>
      <c r="Z311" s="15">
        <f t="shared" si="108"/>
        <v>459.06</v>
      </c>
      <c r="AA311" s="15">
        <f>IF(FreightType="Lethbridge-Stewart Freight ",ROUND(2.99+IF(N311&gt;0.75,(N311-0.75)*2.25,0)*S311,2),IF(MarkupType="Supplier Markup",V311+V311*SupplierMarkup,"Error at finding value"))</f>
        <v>13.12</v>
      </c>
      <c r="AB311" s="15">
        <f t="shared" si="109"/>
        <v>0</v>
      </c>
    </row>
    <row r="312" spans="1:28" x14ac:dyDescent="0.25">
      <c r="A312" s="16">
        <f>OrdersTable!A312</f>
        <v>602</v>
      </c>
      <c r="B312" s="15" t="str">
        <f t="shared" si="89"/>
        <v>Mr</v>
      </c>
      <c r="C312" s="15" t="str">
        <f t="shared" si="110"/>
        <v>Spinelli</v>
      </c>
      <c r="D312" s="15" t="str">
        <f t="shared" si="90"/>
        <v>Paul Walter</v>
      </c>
      <c r="E312" s="15" t="str">
        <f t="shared" si="91"/>
        <v>35 Azar Drive</v>
      </c>
      <c r="F312" s="15" t="str">
        <f t="shared" si="92"/>
        <v>Bray Park</v>
      </c>
      <c r="G312" s="15" t="str">
        <f t="shared" si="93"/>
        <v>QLD</v>
      </c>
      <c r="H312" s="15">
        <f t="shared" si="94"/>
        <v>4500</v>
      </c>
      <c r="I312" s="15">
        <f t="shared" si="105"/>
        <v>139</v>
      </c>
      <c r="J312" s="15">
        <f>OrdersTable!B312</f>
        <v>652</v>
      </c>
      <c r="K312" s="15" t="str">
        <f t="shared" si="95"/>
        <v>Mugs</v>
      </c>
      <c r="L312" s="15" t="str">
        <f t="shared" si="96"/>
        <v>Doctor Who: Mug: Dalek 2D</v>
      </c>
      <c r="M312" s="15" t="str">
        <f t="shared" si="97"/>
        <v>-</v>
      </c>
      <c r="N312" s="15">
        <f t="shared" si="98"/>
        <v>0.35</v>
      </c>
      <c r="O312" s="15" t="str">
        <f t="shared" si="99"/>
        <v>A10</v>
      </c>
      <c r="P312" s="15" t="str">
        <f t="shared" si="100"/>
        <v>Gallifrey International</v>
      </c>
      <c r="Q312" s="15" t="str">
        <f t="shared" si="101"/>
        <v>181 Arcadia Street</v>
      </c>
      <c r="R312" s="3">
        <f>OrdersTable!C312</f>
        <v>44584</v>
      </c>
      <c r="S312" s="15">
        <f>OrdersTable!E312</f>
        <v>2</v>
      </c>
      <c r="T312" s="15">
        <f t="shared" si="102"/>
        <v>6.99</v>
      </c>
      <c r="U312" s="15">
        <f t="shared" si="103"/>
        <v>9.8800000000000008</v>
      </c>
      <c r="V312" s="15">
        <f t="shared" si="104"/>
        <v>11.32</v>
      </c>
      <c r="W312" s="15">
        <f>IF(MarkupType="Store Markup",ROUND(V312+V312*StoreMarkup,2),IF(MarkupType="Supplier Markup",V312+V312*SupplierMarkup,"Error at finding value"))</f>
        <v>17.829999999999998</v>
      </c>
      <c r="X312" s="32" t="str">
        <f t="shared" si="106"/>
        <v>0.00</v>
      </c>
      <c r="Y312" s="15">
        <f t="shared" si="107"/>
        <v>22.64</v>
      </c>
      <c r="Z312" s="15">
        <f t="shared" si="108"/>
        <v>35.659999999999997</v>
      </c>
      <c r="AA312" s="15">
        <f>IF(FreightType="Lethbridge-Stewart Freight ",ROUND(2.99+IF(N312&gt;0.75,(N312-0.75)*2.25,0)*S312,2),IF(MarkupType="Supplier Markup",V312+V312*SupplierMarkup,"Error at finding value"))</f>
        <v>2.99</v>
      </c>
      <c r="AB312" s="15">
        <f t="shared" si="109"/>
        <v>0</v>
      </c>
    </row>
    <row r="313" spans="1:28" x14ac:dyDescent="0.25">
      <c r="A313" s="16">
        <f>OrdersTable!A313</f>
        <v>611</v>
      </c>
      <c r="B313" s="15" t="str">
        <f t="shared" si="89"/>
        <v>Mr</v>
      </c>
      <c r="C313" s="15" t="str">
        <f t="shared" si="110"/>
        <v>Wittman</v>
      </c>
      <c r="D313" s="15" t="str">
        <f t="shared" si="90"/>
        <v>Nicholas Jackson</v>
      </c>
      <c r="E313" s="15" t="str">
        <f t="shared" si="91"/>
        <v>48 Sheppard-Kadel Way</v>
      </c>
      <c r="F313" s="15" t="str">
        <f t="shared" si="92"/>
        <v>Nayook</v>
      </c>
      <c r="G313" s="15" t="str">
        <f t="shared" si="93"/>
        <v>VIC</v>
      </c>
      <c r="H313" s="15">
        <f t="shared" si="94"/>
        <v>3832</v>
      </c>
      <c r="I313" s="15">
        <f t="shared" si="105"/>
        <v>1552</v>
      </c>
      <c r="J313" s="15">
        <f>OrdersTable!B313</f>
        <v>810</v>
      </c>
      <c r="K313" s="15" t="str">
        <f t="shared" si="95"/>
        <v>Statues and Busts</v>
      </c>
      <c r="L313" s="15" t="str">
        <f t="shared" si="96"/>
        <v>Doctor Who: Masterpiece Collection Maxi Bust: Amy Pond</v>
      </c>
      <c r="M313" s="15" t="str">
        <f t="shared" si="97"/>
        <v>-</v>
      </c>
      <c r="N313" s="15">
        <f t="shared" si="98"/>
        <v>2.5</v>
      </c>
      <c r="O313" s="15" t="str">
        <f t="shared" si="99"/>
        <v>A50</v>
      </c>
      <c r="P313" s="15" t="str">
        <f t="shared" si="100"/>
        <v>Rassilon Ltd.</v>
      </c>
      <c r="Q313" s="15" t="str">
        <f t="shared" si="101"/>
        <v>82 Richard Mathews Road</v>
      </c>
      <c r="R313" s="3">
        <f>OrdersTable!C313</f>
        <v>44584</v>
      </c>
      <c r="S313" s="15">
        <f>OrdersTable!E313</f>
        <v>4</v>
      </c>
      <c r="T313" s="15">
        <f t="shared" si="102"/>
        <v>49.99</v>
      </c>
      <c r="U313" s="15">
        <f t="shared" si="103"/>
        <v>68.260000000000005</v>
      </c>
      <c r="V313" s="15">
        <f t="shared" si="104"/>
        <v>80.98</v>
      </c>
      <c r="W313" s="15">
        <f>IF(MarkupType="Store Markup",ROUND(V313+V313*StoreMarkup,2),IF(MarkupType="Supplier Markup",V313+V313*SupplierMarkup,"Error at finding value"))</f>
        <v>127.54</v>
      </c>
      <c r="X313" s="32">
        <f t="shared" si="106"/>
        <v>9.09</v>
      </c>
      <c r="Y313" s="15">
        <f t="shared" si="107"/>
        <v>323.92</v>
      </c>
      <c r="Z313" s="15">
        <f t="shared" si="108"/>
        <v>473.8</v>
      </c>
      <c r="AA313" s="15">
        <f>IF(FreightType="Lethbridge-Stewart Freight ",ROUND(2.99+IF(N313&gt;0.75,(N313-0.75)*2.25,0)*S313,2),IF(MarkupType="Supplier Markup",V313+V313*SupplierMarkup,"Error at finding value"))</f>
        <v>18.739999999999998</v>
      </c>
      <c r="AB313" s="15">
        <f t="shared" si="109"/>
        <v>36.36</v>
      </c>
    </row>
    <row r="314" spans="1:28" x14ac:dyDescent="0.25">
      <c r="A314" s="16">
        <f>OrdersTable!A314</f>
        <v>747</v>
      </c>
      <c r="B314" s="15" t="str">
        <f t="shared" si="89"/>
        <v>Miss</v>
      </c>
      <c r="C314" s="15" t="str">
        <f t="shared" si="110"/>
        <v>Coom</v>
      </c>
      <c r="D314" s="15" t="str">
        <f t="shared" si="90"/>
        <v>Mackenzie Megan</v>
      </c>
      <c r="E314" s="15" t="str">
        <f t="shared" si="91"/>
        <v>2 Tsalikis Road</v>
      </c>
      <c r="F314" s="15" t="str">
        <f t="shared" si="92"/>
        <v>Aberfoyle</v>
      </c>
      <c r="G314" s="15" t="str">
        <f t="shared" si="93"/>
        <v>NSW</v>
      </c>
      <c r="H314" s="15">
        <f t="shared" si="94"/>
        <v>2350</v>
      </c>
      <c r="I314" s="15">
        <f t="shared" si="105"/>
        <v>363</v>
      </c>
      <c r="J314" s="15">
        <f>OrdersTable!B314</f>
        <v>668</v>
      </c>
      <c r="K314" s="15" t="str">
        <f t="shared" si="95"/>
        <v>Mugs</v>
      </c>
      <c r="L314" s="15" t="str">
        <f t="shared" si="96"/>
        <v>Doctor Who: Mug: Silver TARDIS</v>
      </c>
      <c r="M314" s="15" t="str">
        <f t="shared" si="97"/>
        <v>-</v>
      </c>
      <c r="N314" s="15">
        <f t="shared" si="98"/>
        <v>1.1499999999999999</v>
      </c>
      <c r="O314" s="15" t="str">
        <f t="shared" si="99"/>
        <v>A50</v>
      </c>
      <c r="P314" s="15" t="str">
        <f t="shared" si="100"/>
        <v>Rassilon Ltd.</v>
      </c>
      <c r="Q314" s="15" t="str">
        <f t="shared" si="101"/>
        <v>82 Richard Mathews Road</v>
      </c>
      <c r="R314" s="3">
        <f>OrdersTable!C314</f>
        <v>44584</v>
      </c>
      <c r="S314" s="15">
        <f>OrdersTable!E314</f>
        <v>1</v>
      </c>
      <c r="T314" s="15">
        <f t="shared" si="102"/>
        <v>22.99</v>
      </c>
      <c r="U314" s="15">
        <f t="shared" si="103"/>
        <v>31.53</v>
      </c>
      <c r="V314" s="15">
        <f t="shared" si="104"/>
        <v>37.24</v>
      </c>
      <c r="W314" s="15">
        <f>IF(MarkupType="Store Markup",ROUND(V314+V314*StoreMarkup,2),IF(MarkupType="Supplier Markup",V314+V314*SupplierMarkup,"Error at finding value"))</f>
        <v>58.65</v>
      </c>
      <c r="X314" s="32" t="str">
        <f t="shared" si="106"/>
        <v>0.00</v>
      </c>
      <c r="Y314" s="15">
        <f t="shared" si="107"/>
        <v>37.24</v>
      </c>
      <c r="Z314" s="15">
        <f t="shared" si="108"/>
        <v>58.65</v>
      </c>
      <c r="AA314" s="15">
        <f>IF(FreightType="Lethbridge-Stewart Freight ",ROUND(2.99+IF(N314&gt;0.75,(N314-0.75)*2.25,0)*S314,2),IF(MarkupType="Supplier Markup",V314+V314*SupplierMarkup,"Error at finding value"))</f>
        <v>3.89</v>
      </c>
      <c r="AB314" s="15">
        <f t="shared" si="109"/>
        <v>0</v>
      </c>
    </row>
    <row r="315" spans="1:28" x14ac:dyDescent="0.25">
      <c r="A315" s="16">
        <f>OrdersTable!A315</f>
        <v>249</v>
      </c>
      <c r="B315" s="15" t="str">
        <f t="shared" si="89"/>
        <v>Mr</v>
      </c>
      <c r="C315" s="15" t="str">
        <f t="shared" si="110"/>
        <v>Sinclair</v>
      </c>
      <c r="D315" s="15" t="str">
        <f t="shared" si="90"/>
        <v>Travis James Foord</v>
      </c>
      <c r="E315" s="15" t="str">
        <f t="shared" si="91"/>
        <v>25 Leunen Avenue</v>
      </c>
      <c r="F315" s="15" t="str">
        <f t="shared" si="92"/>
        <v>Batlow</v>
      </c>
      <c r="G315" s="15" t="str">
        <f t="shared" si="93"/>
        <v>NSW</v>
      </c>
      <c r="H315" s="15">
        <f t="shared" si="94"/>
        <v>2730</v>
      </c>
      <c r="I315" s="15">
        <f t="shared" si="105"/>
        <v>1138</v>
      </c>
      <c r="J315" s="15">
        <f>OrdersTable!B315</f>
        <v>219</v>
      </c>
      <c r="K315" s="15" t="str">
        <f t="shared" si="95"/>
        <v>Clothing and Apparel</v>
      </c>
      <c r="L315" s="15" t="str">
        <f t="shared" si="96"/>
        <v>Doctor Who: Men's Winter Pyjamas</v>
      </c>
      <c r="M315" s="15" t="str">
        <f t="shared" si="97"/>
        <v>M</v>
      </c>
      <c r="N315" s="15">
        <f t="shared" si="98"/>
        <v>1.5</v>
      </c>
      <c r="O315" s="15" t="str">
        <f t="shared" si="99"/>
        <v>A40</v>
      </c>
      <c r="P315" s="15" t="str">
        <f t="shared" si="100"/>
        <v>Romana Imports</v>
      </c>
      <c r="Q315" s="15" t="str">
        <f t="shared" si="101"/>
        <v>17 Lalla Ward Road</v>
      </c>
      <c r="R315" s="3">
        <f>OrdersTable!C315</f>
        <v>44585</v>
      </c>
      <c r="S315" s="15">
        <f>OrdersTable!E315</f>
        <v>9</v>
      </c>
      <c r="T315" s="15">
        <f t="shared" si="102"/>
        <v>29.99</v>
      </c>
      <c r="U315" s="15">
        <f t="shared" si="103"/>
        <v>41.24</v>
      </c>
      <c r="V315" s="15">
        <f t="shared" si="104"/>
        <v>48.58</v>
      </c>
      <c r="W315" s="15">
        <f>IF(MarkupType="Store Markup",ROUND(V315+V315*StoreMarkup,2),IF(MarkupType="Supplier Markup",V315+V315*SupplierMarkup,"Error at finding value"))</f>
        <v>76.510000000000005</v>
      </c>
      <c r="X315" s="32" t="str">
        <f t="shared" si="106"/>
        <v>0.00</v>
      </c>
      <c r="Y315" s="15">
        <f t="shared" si="107"/>
        <v>437.22</v>
      </c>
      <c r="Z315" s="15">
        <f t="shared" si="108"/>
        <v>688.59</v>
      </c>
      <c r="AA315" s="15">
        <f>IF(FreightType="Lethbridge-Stewart Freight ",ROUND(2.99+IF(N315&gt;0.75,(N315-0.75)*2.25,0)*S315,2),IF(MarkupType="Supplier Markup",V315+V315*SupplierMarkup,"Error at finding value"))</f>
        <v>18.18</v>
      </c>
      <c r="AB315" s="15">
        <f t="shared" si="109"/>
        <v>0</v>
      </c>
    </row>
    <row r="316" spans="1:28" x14ac:dyDescent="0.25">
      <c r="A316" s="16">
        <f>OrdersTable!A316</f>
        <v>284</v>
      </c>
      <c r="B316" s="15" t="str">
        <f t="shared" si="89"/>
        <v>Mr</v>
      </c>
      <c r="C316" s="15" t="str">
        <f t="shared" si="110"/>
        <v>Aitcheson</v>
      </c>
      <c r="D316" s="15" t="str">
        <f t="shared" si="90"/>
        <v>Ben James</v>
      </c>
      <c r="E316" s="15" t="str">
        <f t="shared" si="91"/>
        <v>32 Evans Avenue</v>
      </c>
      <c r="F316" s="15" t="str">
        <f t="shared" si="92"/>
        <v>Batlow</v>
      </c>
      <c r="G316" s="15" t="str">
        <f t="shared" si="93"/>
        <v>NSW</v>
      </c>
      <c r="H316" s="15">
        <f t="shared" si="94"/>
        <v>2730</v>
      </c>
      <c r="I316" s="15">
        <f t="shared" si="105"/>
        <v>1138</v>
      </c>
      <c r="J316" s="15">
        <f>OrdersTable!B316</f>
        <v>464</v>
      </c>
      <c r="K316" s="15" t="str">
        <f t="shared" si="95"/>
        <v>Giftware</v>
      </c>
      <c r="L316" s="15" t="str">
        <f t="shared" si="96"/>
        <v>Doctor Who: Collectable License Plate: My Other Car Is A TARDIS</v>
      </c>
      <c r="M316" s="15" t="str">
        <f t="shared" si="97"/>
        <v>-</v>
      </c>
      <c r="N316" s="15">
        <f t="shared" si="98"/>
        <v>0.6</v>
      </c>
      <c r="O316" s="15" t="str">
        <f t="shared" si="99"/>
        <v>A50</v>
      </c>
      <c r="P316" s="15" t="str">
        <f t="shared" si="100"/>
        <v>Rassilon Ltd.</v>
      </c>
      <c r="Q316" s="15" t="str">
        <f t="shared" si="101"/>
        <v>82 Richard Mathews Road</v>
      </c>
      <c r="R316" s="3">
        <f>OrdersTable!C316</f>
        <v>44585</v>
      </c>
      <c r="S316" s="15">
        <f>OrdersTable!E316</f>
        <v>5</v>
      </c>
      <c r="T316" s="15">
        <f t="shared" si="102"/>
        <v>11.99</v>
      </c>
      <c r="U316" s="15">
        <f t="shared" si="103"/>
        <v>16.579999999999998</v>
      </c>
      <c r="V316" s="15">
        <f t="shared" si="104"/>
        <v>19.420000000000002</v>
      </c>
      <c r="W316" s="15">
        <f>IF(MarkupType="Store Markup",ROUND(V316+V316*StoreMarkup,2),IF(MarkupType="Supplier Markup",V316+V316*SupplierMarkup,"Error at finding value"))</f>
        <v>30.59</v>
      </c>
      <c r="X316" s="32" t="str">
        <f t="shared" si="106"/>
        <v>0.00</v>
      </c>
      <c r="Y316" s="15">
        <f t="shared" si="107"/>
        <v>97.1</v>
      </c>
      <c r="Z316" s="15">
        <f t="shared" si="108"/>
        <v>152.94999999999999</v>
      </c>
      <c r="AA316" s="15">
        <f>IF(FreightType="Lethbridge-Stewart Freight ",ROUND(2.99+IF(N316&gt;0.75,(N316-0.75)*2.25,0)*S316,2),IF(MarkupType="Supplier Markup",V316+V316*SupplierMarkup,"Error at finding value"))</f>
        <v>2.99</v>
      </c>
      <c r="AB316" s="15">
        <f t="shared" si="109"/>
        <v>0</v>
      </c>
    </row>
    <row r="317" spans="1:28" x14ac:dyDescent="0.25">
      <c r="A317" s="16">
        <f>OrdersTable!A317</f>
        <v>296</v>
      </c>
      <c r="B317" s="15" t="str">
        <f t="shared" si="89"/>
        <v>Miss</v>
      </c>
      <c r="C317" s="15" t="str">
        <f t="shared" si="110"/>
        <v>Kussrow</v>
      </c>
      <c r="D317" s="15" t="str">
        <f t="shared" si="90"/>
        <v>Katherine Anne</v>
      </c>
      <c r="E317" s="15" t="str">
        <f t="shared" si="91"/>
        <v>10 Downes Street</v>
      </c>
      <c r="F317" s="15" t="str">
        <f t="shared" si="92"/>
        <v>Breakwater</v>
      </c>
      <c r="G317" s="15" t="str">
        <f t="shared" si="93"/>
        <v>VIC</v>
      </c>
      <c r="H317" s="15">
        <f t="shared" si="94"/>
        <v>3219</v>
      </c>
      <c r="I317" s="15">
        <f t="shared" si="105"/>
        <v>1596</v>
      </c>
      <c r="J317" s="15">
        <f>OrdersTable!B317</f>
        <v>330</v>
      </c>
      <c r="K317" s="15" t="str">
        <f t="shared" si="95"/>
        <v>Clothing and Apparel</v>
      </c>
      <c r="L317" s="15" t="str">
        <f t="shared" si="96"/>
        <v xml:space="preserve">Doctor Who: T-Shirts: 4th Doctor Costume </v>
      </c>
      <c r="M317" s="15" t="str">
        <f t="shared" si="97"/>
        <v>M</v>
      </c>
      <c r="N317" s="15">
        <f t="shared" si="98"/>
        <v>0.8</v>
      </c>
      <c r="O317" s="15" t="str">
        <f t="shared" si="99"/>
        <v>A20</v>
      </c>
      <c r="P317" s="15" t="str">
        <f t="shared" si="100"/>
        <v>Morbius Inc.</v>
      </c>
      <c r="Q317" s="15" t="str">
        <f t="shared" si="101"/>
        <v>56 Michael Spice Hwy</v>
      </c>
      <c r="R317" s="3">
        <f>OrdersTable!C317</f>
        <v>44585</v>
      </c>
      <c r="S317" s="15">
        <f>OrdersTable!E317</f>
        <v>5</v>
      </c>
      <c r="T317" s="15">
        <f t="shared" si="102"/>
        <v>15.99</v>
      </c>
      <c r="U317" s="15">
        <f t="shared" si="103"/>
        <v>22.03</v>
      </c>
      <c r="V317" s="15">
        <f t="shared" si="104"/>
        <v>25.9</v>
      </c>
      <c r="W317" s="15">
        <f>IF(MarkupType="Store Markup",ROUND(V317+V317*StoreMarkup,2),IF(MarkupType="Supplier Markup",V317+V317*SupplierMarkup,"Error at finding value"))</f>
        <v>40.79</v>
      </c>
      <c r="X317" s="32" t="str">
        <f t="shared" si="106"/>
        <v>0.00</v>
      </c>
      <c r="Y317" s="15">
        <f t="shared" si="107"/>
        <v>129.5</v>
      </c>
      <c r="Z317" s="15">
        <f t="shared" si="108"/>
        <v>203.95</v>
      </c>
      <c r="AA317" s="15">
        <f>IF(FreightType="Lethbridge-Stewart Freight ",ROUND(2.99+IF(N317&gt;0.75,(N317-0.75)*2.25,0)*S317,2),IF(MarkupType="Supplier Markup",V317+V317*SupplierMarkup,"Error at finding value"))</f>
        <v>3.55</v>
      </c>
      <c r="AB317" s="15">
        <f t="shared" si="109"/>
        <v>0</v>
      </c>
    </row>
    <row r="318" spans="1:28" x14ac:dyDescent="0.25">
      <c r="A318" s="16">
        <f>OrdersTable!A318</f>
        <v>328</v>
      </c>
      <c r="B318" s="15" t="str">
        <f t="shared" si="89"/>
        <v>Dr</v>
      </c>
      <c r="C318" s="15" t="str">
        <f t="shared" si="110"/>
        <v>Ward</v>
      </c>
      <c r="D318" s="15" t="str">
        <f t="shared" si="90"/>
        <v>Keiren Nicholas</v>
      </c>
      <c r="E318" s="15" t="str">
        <f t="shared" si="91"/>
        <v>13 Green Crescent</v>
      </c>
      <c r="F318" s="15" t="str">
        <f t="shared" si="92"/>
        <v>Breakwater</v>
      </c>
      <c r="G318" s="15" t="str">
        <f t="shared" si="93"/>
        <v>VIC</v>
      </c>
      <c r="H318" s="15">
        <f t="shared" si="94"/>
        <v>3219</v>
      </c>
      <c r="I318" s="15">
        <f t="shared" si="105"/>
        <v>1596</v>
      </c>
      <c r="J318" s="15">
        <f>OrdersTable!B318</f>
        <v>853</v>
      </c>
      <c r="K318" s="15" t="str">
        <f t="shared" si="95"/>
        <v>Statues and Busts</v>
      </c>
      <c r="L318" s="15" t="str">
        <f t="shared" si="96"/>
        <v>Doctor Who: Statue: The Master And Auton</v>
      </c>
      <c r="M318" s="15" t="str">
        <f t="shared" si="97"/>
        <v>-</v>
      </c>
      <c r="N318" s="15">
        <f t="shared" si="98"/>
        <v>3.5</v>
      </c>
      <c r="O318" s="15" t="str">
        <f t="shared" si="99"/>
        <v>A50</v>
      </c>
      <c r="P318" s="15" t="str">
        <f t="shared" si="100"/>
        <v>Rassilon Ltd.</v>
      </c>
      <c r="Q318" s="15" t="str">
        <f t="shared" si="101"/>
        <v>82 Richard Mathews Road</v>
      </c>
      <c r="R318" s="3">
        <f>OrdersTable!C318</f>
        <v>44585</v>
      </c>
      <c r="S318" s="15">
        <f>OrdersTable!E318</f>
        <v>8</v>
      </c>
      <c r="T318" s="15">
        <f t="shared" si="102"/>
        <v>69.989999999999995</v>
      </c>
      <c r="U318" s="15">
        <f t="shared" si="103"/>
        <v>95.51</v>
      </c>
      <c r="V318" s="15">
        <f t="shared" si="104"/>
        <v>113.38</v>
      </c>
      <c r="W318" s="15">
        <f>IF(MarkupType="Store Markup",ROUND(V318+V318*StoreMarkup,2),IF(MarkupType="Supplier Markup",V318+V318*SupplierMarkup,"Error at finding value"))</f>
        <v>178.57</v>
      </c>
      <c r="X318" s="32">
        <f t="shared" si="106"/>
        <v>12.72</v>
      </c>
      <c r="Y318" s="15">
        <f t="shared" si="107"/>
        <v>907.04</v>
      </c>
      <c r="Z318" s="15">
        <f t="shared" si="108"/>
        <v>1326.8</v>
      </c>
      <c r="AA318" s="15">
        <f>IF(FreightType="Lethbridge-Stewart Freight ",ROUND(2.99+IF(N318&gt;0.75,(N318-0.75)*2.25,0)*S318,2),IF(MarkupType="Supplier Markup",V318+V318*SupplierMarkup,"Error at finding value"))</f>
        <v>52.49</v>
      </c>
      <c r="AB318" s="15">
        <f t="shared" si="109"/>
        <v>101.76</v>
      </c>
    </row>
    <row r="319" spans="1:28" x14ac:dyDescent="0.25">
      <c r="A319" s="16">
        <f>OrdersTable!A319</f>
        <v>467</v>
      </c>
      <c r="B319" s="15" t="str">
        <f t="shared" si="89"/>
        <v>Mrs</v>
      </c>
      <c r="C319" s="15" t="str">
        <f t="shared" si="110"/>
        <v>Daniell</v>
      </c>
      <c r="D319" s="15" t="str">
        <f t="shared" si="90"/>
        <v>Bronte Eliza</v>
      </c>
      <c r="E319" s="15" t="str">
        <f t="shared" si="91"/>
        <v>41 Wilson Boulevard</v>
      </c>
      <c r="F319" s="15" t="str">
        <f t="shared" si="92"/>
        <v>Aberfoyle</v>
      </c>
      <c r="G319" s="15" t="str">
        <f t="shared" si="93"/>
        <v>NSW</v>
      </c>
      <c r="H319" s="15">
        <f t="shared" si="94"/>
        <v>2350</v>
      </c>
      <c r="I319" s="15">
        <f t="shared" si="105"/>
        <v>363</v>
      </c>
      <c r="J319" s="15">
        <f>OrdersTable!B319</f>
        <v>541</v>
      </c>
      <c r="K319" s="15" t="str">
        <f t="shared" si="95"/>
        <v>Giftware</v>
      </c>
      <c r="L319" s="15" t="str">
        <f t="shared" si="96"/>
        <v>Doctor Who: Salt and Pepper Shakers: TARDIS</v>
      </c>
      <c r="M319" s="15" t="str">
        <f t="shared" si="97"/>
        <v>-</v>
      </c>
      <c r="N319" s="15">
        <f t="shared" si="98"/>
        <v>0.6</v>
      </c>
      <c r="O319" s="15" t="str">
        <f t="shared" si="99"/>
        <v>A10</v>
      </c>
      <c r="P319" s="15" t="str">
        <f t="shared" si="100"/>
        <v>Gallifrey International</v>
      </c>
      <c r="Q319" s="15" t="str">
        <f t="shared" si="101"/>
        <v>181 Arcadia Street</v>
      </c>
      <c r="R319" s="3">
        <f>OrdersTable!C319</f>
        <v>44585</v>
      </c>
      <c r="S319" s="15">
        <f>OrdersTable!E319</f>
        <v>1</v>
      </c>
      <c r="T319" s="15">
        <f t="shared" si="102"/>
        <v>11.99</v>
      </c>
      <c r="U319" s="15">
        <f t="shared" si="103"/>
        <v>16.62</v>
      </c>
      <c r="V319" s="15">
        <f t="shared" si="104"/>
        <v>19.420000000000002</v>
      </c>
      <c r="W319" s="15">
        <f>IF(MarkupType="Store Markup",ROUND(V319+V319*StoreMarkup,2),IF(MarkupType="Supplier Markup",V319+V319*SupplierMarkup,"Error at finding value"))</f>
        <v>30.59</v>
      </c>
      <c r="X319" s="32" t="str">
        <f t="shared" si="106"/>
        <v>0.00</v>
      </c>
      <c r="Y319" s="15">
        <f t="shared" si="107"/>
        <v>19.420000000000002</v>
      </c>
      <c r="Z319" s="15">
        <f t="shared" si="108"/>
        <v>30.59</v>
      </c>
      <c r="AA319" s="15">
        <f>IF(FreightType="Lethbridge-Stewart Freight ",ROUND(2.99+IF(N319&gt;0.75,(N319-0.75)*2.25,0)*S319,2),IF(MarkupType="Supplier Markup",V319+V319*SupplierMarkup,"Error at finding value"))</f>
        <v>2.99</v>
      </c>
      <c r="AB319" s="15">
        <f t="shared" si="109"/>
        <v>0</v>
      </c>
    </row>
    <row r="320" spans="1:28" x14ac:dyDescent="0.25">
      <c r="A320" s="16">
        <f>OrdersTable!A320</f>
        <v>500</v>
      </c>
      <c r="B320" s="15" t="str">
        <f t="shared" si="89"/>
        <v>Ms</v>
      </c>
      <c r="C320" s="15" t="str">
        <f t="shared" si="110"/>
        <v>Helmers</v>
      </c>
      <c r="D320" s="15" t="str">
        <f t="shared" si="90"/>
        <v>Kristy-Lee</v>
      </c>
      <c r="E320" s="15" t="str">
        <f t="shared" si="91"/>
        <v>43 Welthagen Court</v>
      </c>
      <c r="F320" s="15" t="str">
        <f t="shared" si="92"/>
        <v>Areegra</v>
      </c>
      <c r="G320" s="15" t="str">
        <f t="shared" si="93"/>
        <v>VIC</v>
      </c>
      <c r="H320" s="15">
        <f t="shared" si="94"/>
        <v>3480</v>
      </c>
      <c r="I320" s="15">
        <f t="shared" si="105"/>
        <v>1559</v>
      </c>
      <c r="J320" s="15">
        <f>OrdersTable!B320</f>
        <v>145</v>
      </c>
      <c r="K320" s="15" t="str">
        <f t="shared" si="95"/>
        <v>Bobbleheads</v>
      </c>
      <c r="L320" s="15" t="str">
        <f t="shared" si="96"/>
        <v>Doctor Who: Bobblehead: Eleventh Doctor</v>
      </c>
      <c r="M320" s="15" t="str">
        <f t="shared" si="97"/>
        <v>-</v>
      </c>
      <c r="N320" s="15">
        <f t="shared" si="98"/>
        <v>1</v>
      </c>
      <c r="O320" s="15" t="str">
        <f t="shared" si="99"/>
        <v>A30</v>
      </c>
      <c r="P320" s="15" t="str">
        <f t="shared" si="100"/>
        <v>Chesterton Enterprises</v>
      </c>
      <c r="Q320" s="15" t="str">
        <f t="shared" si="101"/>
        <v>41 William Russell Road</v>
      </c>
      <c r="R320" s="3">
        <f>OrdersTable!C320</f>
        <v>44585</v>
      </c>
      <c r="S320" s="15">
        <f>OrdersTable!E320</f>
        <v>9</v>
      </c>
      <c r="T320" s="15">
        <f t="shared" si="102"/>
        <v>19.989999999999998</v>
      </c>
      <c r="U320" s="15">
        <f t="shared" si="103"/>
        <v>27.54</v>
      </c>
      <c r="V320" s="15">
        <f t="shared" si="104"/>
        <v>32.380000000000003</v>
      </c>
      <c r="W320" s="15">
        <f>IF(MarkupType="Store Markup",ROUND(V320+V320*StoreMarkup,2),IF(MarkupType="Supplier Markup",V320+V320*SupplierMarkup,"Error at finding value"))</f>
        <v>51</v>
      </c>
      <c r="X320" s="32" t="str">
        <f t="shared" si="106"/>
        <v>0.00</v>
      </c>
      <c r="Y320" s="15">
        <f t="shared" si="107"/>
        <v>291.42</v>
      </c>
      <c r="Z320" s="15">
        <f t="shared" si="108"/>
        <v>459</v>
      </c>
      <c r="AA320" s="15">
        <f>IF(FreightType="Lethbridge-Stewart Freight ",ROUND(2.99+IF(N320&gt;0.75,(N320-0.75)*2.25,0)*S320,2),IF(MarkupType="Supplier Markup",V320+V320*SupplierMarkup,"Error at finding value"))</f>
        <v>8.0500000000000007</v>
      </c>
      <c r="AB320" s="15">
        <f t="shared" si="109"/>
        <v>0</v>
      </c>
    </row>
    <row r="321" spans="1:28" x14ac:dyDescent="0.25">
      <c r="A321" s="16">
        <f>OrdersTable!A321</f>
        <v>526</v>
      </c>
      <c r="B321" s="15" t="str">
        <f t="shared" si="89"/>
        <v>Mrs</v>
      </c>
      <c r="C321" s="15" t="str">
        <f t="shared" si="110"/>
        <v>Bradford</v>
      </c>
      <c r="D321" s="15" t="str">
        <f t="shared" si="90"/>
        <v>Haleigh Renae Ann</v>
      </c>
      <c r="E321" s="15" t="str">
        <f t="shared" si="91"/>
        <v>31 Johnston Road</v>
      </c>
      <c r="F321" s="15" t="str">
        <f t="shared" si="92"/>
        <v>Ashford</v>
      </c>
      <c r="G321" s="15" t="str">
        <f t="shared" si="93"/>
        <v>SA</v>
      </c>
      <c r="H321" s="15">
        <f t="shared" si="94"/>
        <v>5035</v>
      </c>
      <c r="I321" s="15">
        <f t="shared" si="105"/>
        <v>1877</v>
      </c>
      <c r="J321" s="15">
        <f>OrdersTable!B321</f>
        <v>692</v>
      </c>
      <c r="K321" s="15" t="str">
        <f t="shared" si="95"/>
        <v>Posters, Prints and Standees</v>
      </c>
      <c r="L321" s="15" t="str">
        <f t="shared" si="96"/>
        <v>Doctor Who: 16'x12' Framed Print: Exploding TARDIS</v>
      </c>
      <c r="M321" s="15" t="str">
        <f t="shared" si="97"/>
        <v>-</v>
      </c>
      <c r="N321" s="15">
        <f t="shared" si="98"/>
        <v>0.75</v>
      </c>
      <c r="O321" s="15" t="str">
        <f t="shared" si="99"/>
        <v>A30</v>
      </c>
      <c r="P321" s="15" t="str">
        <f t="shared" si="100"/>
        <v>Chesterton Enterprises</v>
      </c>
      <c r="Q321" s="15" t="str">
        <f t="shared" si="101"/>
        <v>41 William Russell Road</v>
      </c>
      <c r="R321" s="3">
        <f>OrdersTable!C321</f>
        <v>44585</v>
      </c>
      <c r="S321" s="15">
        <f>OrdersTable!E321</f>
        <v>5</v>
      </c>
      <c r="T321" s="15">
        <f t="shared" si="102"/>
        <v>14.99</v>
      </c>
      <c r="U321" s="15">
        <f t="shared" si="103"/>
        <v>20.54</v>
      </c>
      <c r="V321" s="15">
        <f t="shared" si="104"/>
        <v>24.28</v>
      </c>
      <c r="W321" s="15">
        <f>IF(MarkupType="Store Markup",ROUND(V321+V321*StoreMarkup,2),IF(MarkupType="Supplier Markup",V321+V321*SupplierMarkup,"Error at finding value"))</f>
        <v>38.24</v>
      </c>
      <c r="X321" s="32" t="str">
        <f t="shared" si="106"/>
        <v>0.00</v>
      </c>
      <c r="Y321" s="15">
        <f t="shared" si="107"/>
        <v>121.4</v>
      </c>
      <c r="Z321" s="15">
        <f t="shared" si="108"/>
        <v>191.2</v>
      </c>
      <c r="AA321" s="15">
        <f>IF(FreightType="Lethbridge-Stewart Freight ",ROUND(2.99+IF(N321&gt;0.75,(N321-0.75)*2.25,0)*S321,2),IF(MarkupType="Supplier Markup",V321+V321*SupplierMarkup,"Error at finding value"))</f>
        <v>2.99</v>
      </c>
      <c r="AB321" s="15">
        <f t="shared" si="109"/>
        <v>0</v>
      </c>
    </row>
    <row r="322" spans="1:28" x14ac:dyDescent="0.25">
      <c r="A322" s="16">
        <f>OrdersTable!A322</f>
        <v>527</v>
      </c>
      <c r="B322" s="15" t="str">
        <f t="shared" si="89"/>
        <v>Mr</v>
      </c>
      <c r="C322" s="15" t="str">
        <f t="shared" si="110"/>
        <v>McTaggart</v>
      </c>
      <c r="D322" s="15" t="str">
        <f t="shared" si="90"/>
        <v>Daniel</v>
      </c>
      <c r="E322" s="15" t="str">
        <f t="shared" si="91"/>
        <v>24 Mulholland Avenue</v>
      </c>
      <c r="F322" s="15" t="str">
        <f t="shared" si="92"/>
        <v>Belconnen</v>
      </c>
      <c r="G322" s="15" t="str">
        <f t="shared" si="93"/>
        <v>ACT</v>
      </c>
      <c r="H322" s="15">
        <f t="shared" si="94"/>
        <v>2617</v>
      </c>
      <c r="I322" s="15">
        <f t="shared" si="105"/>
        <v>1194</v>
      </c>
      <c r="J322" s="15">
        <f>OrdersTable!B322</f>
        <v>812</v>
      </c>
      <c r="K322" s="15" t="str">
        <f t="shared" si="95"/>
        <v>Statues and Busts</v>
      </c>
      <c r="L322" s="15" t="str">
        <f t="shared" si="96"/>
        <v>Doctor Who: Masterpiece Collection Maxi Bust: Dalek: Day Of The Daleks</v>
      </c>
      <c r="M322" s="15" t="str">
        <f t="shared" si="97"/>
        <v>-</v>
      </c>
      <c r="N322" s="15">
        <f t="shared" si="98"/>
        <v>2.5</v>
      </c>
      <c r="O322" s="15" t="str">
        <f t="shared" si="99"/>
        <v>A20</v>
      </c>
      <c r="P322" s="15" t="str">
        <f t="shared" si="100"/>
        <v>Morbius Inc.</v>
      </c>
      <c r="Q322" s="15" t="str">
        <f t="shared" si="101"/>
        <v>56 Michael Spice Hwy</v>
      </c>
      <c r="R322" s="3">
        <f>OrdersTable!C322</f>
        <v>44585</v>
      </c>
      <c r="S322" s="15">
        <f>OrdersTable!E322</f>
        <v>9</v>
      </c>
      <c r="T322" s="15">
        <f t="shared" si="102"/>
        <v>49.99</v>
      </c>
      <c r="U322" s="15">
        <f t="shared" si="103"/>
        <v>68.47</v>
      </c>
      <c r="V322" s="15">
        <f t="shared" si="104"/>
        <v>80.98</v>
      </c>
      <c r="W322" s="15">
        <f>IF(MarkupType="Store Markup",ROUND(V322+V322*StoreMarkup,2),IF(MarkupType="Supplier Markup",V322+V322*SupplierMarkup,"Error at finding value"))</f>
        <v>127.54</v>
      </c>
      <c r="X322" s="32">
        <f t="shared" si="106"/>
        <v>9.09</v>
      </c>
      <c r="Y322" s="15">
        <f t="shared" si="107"/>
        <v>728.82</v>
      </c>
      <c r="Z322" s="15">
        <f t="shared" si="108"/>
        <v>1066.05</v>
      </c>
      <c r="AA322" s="15">
        <f>IF(FreightType="Lethbridge-Stewart Freight ",ROUND(2.99+IF(N322&gt;0.75,(N322-0.75)*2.25,0)*S322,2),IF(MarkupType="Supplier Markup",V322+V322*SupplierMarkup,"Error at finding value"))</f>
        <v>38.43</v>
      </c>
      <c r="AB322" s="15">
        <f t="shared" si="109"/>
        <v>81.81</v>
      </c>
    </row>
    <row r="323" spans="1:28" x14ac:dyDescent="0.25">
      <c r="A323" s="16">
        <f>OrdersTable!A323</f>
        <v>531</v>
      </c>
      <c r="B323" s="15" t="str">
        <f t="shared" si="89"/>
        <v>Ms</v>
      </c>
      <c r="C323" s="15" t="str">
        <f t="shared" si="110"/>
        <v>Stanton</v>
      </c>
      <c r="D323" s="15" t="str">
        <f t="shared" si="90"/>
        <v>Sharaze</v>
      </c>
      <c r="E323" s="15" t="str">
        <f t="shared" si="91"/>
        <v>1 Siddons Crescent</v>
      </c>
      <c r="F323" s="15" t="str">
        <f t="shared" si="92"/>
        <v>Alfredtown</v>
      </c>
      <c r="G323" s="15" t="str">
        <f t="shared" si="93"/>
        <v>NSW</v>
      </c>
      <c r="H323" s="15">
        <f t="shared" si="94"/>
        <v>2650</v>
      </c>
      <c r="I323" s="15">
        <f t="shared" si="105"/>
        <v>1124</v>
      </c>
      <c r="J323" s="15">
        <f>OrdersTable!B323</f>
        <v>590</v>
      </c>
      <c r="K323" s="15" t="str">
        <f t="shared" si="95"/>
        <v>iPhone Skins</v>
      </c>
      <c r="L323" s="15" t="str">
        <f t="shared" si="96"/>
        <v>Doctor Who: iPhone Skin: Exploding TARDIS</v>
      </c>
      <c r="M323" s="15" t="str">
        <f t="shared" si="97"/>
        <v>-</v>
      </c>
      <c r="N323" s="15">
        <f t="shared" si="98"/>
        <v>0.5</v>
      </c>
      <c r="O323" s="15" t="str">
        <f t="shared" si="99"/>
        <v>A20</v>
      </c>
      <c r="P323" s="15" t="str">
        <f t="shared" si="100"/>
        <v>Morbius Inc.</v>
      </c>
      <c r="Q323" s="15" t="str">
        <f t="shared" si="101"/>
        <v>56 Michael Spice Hwy</v>
      </c>
      <c r="R323" s="3">
        <f>OrdersTable!C323</f>
        <v>44585</v>
      </c>
      <c r="S323" s="15">
        <f>OrdersTable!E323</f>
        <v>2</v>
      </c>
      <c r="T323" s="15">
        <f t="shared" si="102"/>
        <v>9.99</v>
      </c>
      <c r="U323" s="15">
        <f t="shared" si="103"/>
        <v>13.86</v>
      </c>
      <c r="V323" s="15">
        <f t="shared" si="104"/>
        <v>16.18</v>
      </c>
      <c r="W323" s="15">
        <f>IF(MarkupType="Store Markup",ROUND(V323+V323*StoreMarkup,2),IF(MarkupType="Supplier Markup",V323+V323*SupplierMarkup,"Error at finding value"))</f>
        <v>25.48</v>
      </c>
      <c r="X323" s="32" t="str">
        <f t="shared" si="106"/>
        <v>0.00</v>
      </c>
      <c r="Y323" s="15">
        <f t="shared" si="107"/>
        <v>32.36</v>
      </c>
      <c r="Z323" s="15">
        <f t="shared" si="108"/>
        <v>50.96</v>
      </c>
      <c r="AA323" s="15">
        <f>IF(FreightType="Lethbridge-Stewart Freight ",ROUND(2.99+IF(N323&gt;0.75,(N323-0.75)*2.25,0)*S323,2),IF(MarkupType="Supplier Markup",V323+V323*SupplierMarkup,"Error at finding value"))</f>
        <v>2.99</v>
      </c>
      <c r="AB323" s="15">
        <f t="shared" si="109"/>
        <v>0</v>
      </c>
    </row>
    <row r="324" spans="1:28" x14ac:dyDescent="0.25">
      <c r="A324" s="16">
        <f>OrdersTable!A324</f>
        <v>538</v>
      </c>
      <c r="B324" s="15" t="str">
        <f t="shared" ref="B324:B387" si="111">VLOOKUP($A324,Cust,2,0)</f>
        <v>Dr</v>
      </c>
      <c r="C324" s="15" t="str">
        <f t="shared" si="110"/>
        <v>Radovic</v>
      </c>
      <c r="D324" s="15" t="str">
        <f t="shared" ref="D324:D387" si="112">VLOOKUP($A324,Cust,4,0)</f>
        <v>Harley Benjamin</v>
      </c>
      <c r="E324" s="15" t="str">
        <f t="shared" ref="E324:E387" si="113">VLOOKUP($A324,Cust,6,0)</f>
        <v>50 Hocking Way</v>
      </c>
      <c r="F324" s="15" t="str">
        <f t="shared" ref="F324:F387" si="114">VLOOKUP($A324,Cust,7,0)</f>
        <v>Bray Park</v>
      </c>
      <c r="G324" s="15" t="str">
        <f t="shared" ref="G324:G387" si="115">VLOOKUP($A324,Cust,8,0)</f>
        <v>QLD</v>
      </c>
      <c r="H324" s="15">
        <f t="shared" ref="H324:H387" si="116">VLOOKUP($A324,Cust,9,0)</f>
        <v>4500</v>
      </c>
      <c r="I324" s="15">
        <f t="shared" si="105"/>
        <v>139</v>
      </c>
      <c r="J324" s="15">
        <f>OrdersTable!B324</f>
        <v>862</v>
      </c>
      <c r="K324" s="15" t="str">
        <f t="shared" ref="K324:K387" si="117">VLOOKUP($J324,Itms,2,0)</f>
        <v>Statues and Busts</v>
      </c>
      <c r="L324" s="15" t="str">
        <f t="shared" ref="L324:L387" si="118">VLOOKUP($J324,Itms,3,0)</f>
        <v>Doctor Who: TITANS: The 10th Doctor</v>
      </c>
      <c r="M324" s="15" t="str">
        <f t="shared" ref="M324:M387" si="119">VLOOKUP($J324,Itms,4,0)</f>
        <v>-</v>
      </c>
      <c r="N324" s="15">
        <f t="shared" ref="N324:N387" si="120">VLOOKUP($J324,Itms,5,0)</f>
        <v>0.4</v>
      </c>
      <c r="O324" s="15" t="str">
        <f t="shared" ref="O324:O387" si="121">VLOOKUP($J324,Itms,6,0)</f>
        <v>A40</v>
      </c>
      <c r="P324" s="15" t="str">
        <f t="shared" ref="P324:P387" si="122">VLOOKUP($O324,Supp,2,0)</f>
        <v>Romana Imports</v>
      </c>
      <c r="Q324" s="15" t="str">
        <f t="shared" ref="Q324:Q387" si="123">VLOOKUP($O324,Supp,3,0)</f>
        <v>17 Lalla Ward Road</v>
      </c>
      <c r="R324" s="3">
        <f>OrdersTable!C324</f>
        <v>44585</v>
      </c>
      <c r="S324" s="15">
        <f>OrdersTable!E324</f>
        <v>6</v>
      </c>
      <c r="T324" s="15">
        <f t="shared" ref="T324:T387" si="124">VLOOKUP($J324,Itms,9,0)</f>
        <v>7.99</v>
      </c>
      <c r="U324" s="15">
        <f t="shared" ref="U324:U387" si="125">VLOOKUP($J324,Itms,10,0)</f>
        <v>11.01</v>
      </c>
      <c r="V324" s="15">
        <f t="shared" ref="V324:V387" si="126">IF(ExchRateType="IR",ROUND(T324*ExchRateIR,2),IF(ExchRateType="CA",ROUND(U324*ExchRateCA,2),"Error at finding value"))</f>
        <v>12.94</v>
      </c>
      <c r="W324" s="15">
        <f>IF(MarkupType="Store Markup",ROUND(V324+V324*StoreMarkup,2),IF(MarkupType="Supplier Markup",V324+V324*SupplierMarkup,"Error at finding value"))</f>
        <v>20.38</v>
      </c>
      <c r="X324" s="32" t="str">
        <f t="shared" si="106"/>
        <v>0.00</v>
      </c>
      <c r="Y324" s="15">
        <f t="shared" si="107"/>
        <v>77.64</v>
      </c>
      <c r="Z324" s="15">
        <f t="shared" si="108"/>
        <v>122.28</v>
      </c>
      <c r="AA324" s="15">
        <f>IF(FreightType="Lethbridge-Stewart Freight ",ROUND(2.99+IF(N324&gt;0.75,(N324-0.75)*2.25,0)*S324,2),IF(MarkupType="Supplier Markup",V324+V324*SupplierMarkup,"Error at finding value"))</f>
        <v>2.99</v>
      </c>
      <c r="AB324" s="15">
        <f t="shared" si="109"/>
        <v>0</v>
      </c>
    </row>
    <row r="325" spans="1:28" x14ac:dyDescent="0.25">
      <c r="A325" s="16">
        <f>OrdersTable!A325</f>
        <v>561</v>
      </c>
      <c r="B325" s="15" t="str">
        <f t="shared" si="111"/>
        <v>Ms</v>
      </c>
      <c r="C325" s="15" t="str">
        <f t="shared" si="110"/>
        <v>Mulcahy</v>
      </c>
      <c r="D325" s="15" t="str">
        <f t="shared" si="112"/>
        <v>Jodie Leigh</v>
      </c>
      <c r="E325" s="15" t="str">
        <f t="shared" si="113"/>
        <v>32 Scott Crescent</v>
      </c>
      <c r="F325" s="15" t="str">
        <f t="shared" si="114"/>
        <v>Bray Park</v>
      </c>
      <c r="G325" s="15" t="str">
        <f t="shared" si="115"/>
        <v>QLD</v>
      </c>
      <c r="H325" s="15">
        <f t="shared" si="116"/>
        <v>4500</v>
      </c>
      <c r="I325" s="15">
        <f t="shared" ref="I325:I388" si="127">VLOOKUP($A325,Cust,10,0)</f>
        <v>139</v>
      </c>
      <c r="J325" s="15">
        <f>OrdersTable!B325</f>
        <v>826</v>
      </c>
      <c r="K325" s="15" t="str">
        <f t="shared" si="117"/>
        <v>Statues and Busts</v>
      </c>
      <c r="L325" s="15" t="str">
        <f t="shared" si="118"/>
        <v>Doctor Who: Mini Bust: Cyberman</v>
      </c>
      <c r="M325" s="15" t="str">
        <f t="shared" si="119"/>
        <v>-</v>
      </c>
      <c r="N325" s="15">
        <f t="shared" si="120"/>
        <v>1.8</v>
      </c>
      <c r="O325" s="15" t="str">
        <f t="shared" si="121"/>
        <v>A40</v>
      </c>
      <c r="P325" s="15" t="str">
        <f t="shared" si="122"/>
        <v>Romana Imports</v>
      </c>
      <c r="Q325" s="15" t="str">
        <f t="shared" si="123"/>
        <v>17 Lalla Ward Road</v>
      </c>
      <c r="R325" s="3">
        <f>OrdersTable!C325</f>
        <v>44585</v>
      </c>
      <c r="S325" s="15">
        <f>OrdersTable!E325</f>
        <v>8</v>
      </c>
      <c r="T325" s="15">
        <f t="shared" si="124"/>
        <v>35.99</v>
      </c>
      <c r="U325" s="15">
        <f t="shared" si="125"/>
        <v>49.13</v>
      </c>
      <c r="V325" s="15">
        <f t="shared" si="126"/>
        <v>58.3</v>
      </c>
      <c r="W325" s="15">
        <f>IF(MarkupType="Store Markup",ROUND(V325+V325*StoreMarkup,2),IF(MarkupType="Supplier Markup",V325+V325*SupplierMarkup,"Error at finding value"))</f>
        <v>91.82</v>
      </c>
      <c r="X325" s="32" t="str">
        <f t="shared" ref="X325:X388" si="128">IF(AND(W325&gt;100,S325&gt;=3),ROUND(0.07125*W325,2),"0.00")</f>
        <v>0.00</v>
      </c>
      <c r="Y325" s="15">
        <f t="shared" ref="Y325:Y388" si="129">ROUND(V325*S325,2)</f>
        <v>466.4</v>
      </c>
      <c r="Z325" s="15">
        <f t="shared" ref="Z325:Z388" si="130">ROUND((W325-X325)*S325,2)</f>
        <v>734.56</v>
      </c>
      <c r="AA325" s="15">
        <f>IF(FreightType="Lethbridge-Stewart Freight ",ROUND(2.99+IF(N325&gt;0.75,(N325-0.75)*2.25,0)*S325,2),IF(MarkupType="Supplier Markup",V325+V325*SupplierMarkup,"Error at finding value"))</f>
        <v>21.89</v>
      </c>
      <c r="AB325" s="15">
        <f t="shared" ref="AB325:AB388" si="131">ROUND(X325*S325,2)</f>
        <v>0</v>
      </c>
    </row>
    <row r="326" spans="1:28" x14ac:dyDescent="0.25">
      <c r="A326" s="16">
        <f>OrdersTable!A326</f>
        <v>609</v>
      </c>
      <c r="B326" s="15" t="str">
        <f t="shared" si="111"/>
        <v>Ms</v>
      </c>
      <c r="C326" s="15" t="str">
        <f t="shared" si="110"/>
        <v>Ashley</v>
      </c>
      <c r="D326" s="15" t="str">
        <f t="shared" si="112"/>
        <v>Matthew</v>
      </c>
      <c r="E326" s="15" t="str">
        <f t="shared" si="113"/>
        <v>3 Wagener Crescent</v>
      </c>
      <c r="F326" s="15" t="str">
        <f t="shared" si="114"/>
        <v>Aberfoyle</v>
      </c>
      <c r="G326" s="15" t="str">
        <f t="shared" si="115"/>
        <v>NSW</v>
      </c>
      <c r="H326" s="15">
        <f t="shared" si="116"/>
        <v>2350</v>
      </c>
      <c r="I326" s="15">
        <f t="shared" si="127"/>
        <v>363</v>
      </c>
      <c r="J326" s="15">
        <f>OrdersTable!B326</f>
        <v>541</v>
      </c>
      <c r="K326" s="15" t="str">
        <f t="shared" si="117"/>
        <v>Giftware</v>
      </c>
      <c r="L326" s="15" t="str">
        <f t="shared" si="118"/>
        <v>Doctor Who: Salt and Pepper Shakers: TARDIS</v>
      </c>
      <c r="M326" s="15" t="str">
        <f t="shared" si="119"/>
        <v>-</v>
      </c>
      <c r="N326" s="15">
        <f t="shared" si="120"/>
        <v>0.6</v>
      </c>
      <c r="O326" s="15" t="str">
        <f t="shared" si="121"/>
        <v>A10</v>
      </c>
      <c r="P326" s="15" t="str">
        <f t="shared" si="122"/>
        <v>Gallifrey International</v>
      </c>
      <c r="Q326" s="15" t="str">
        <f t="shared" si="123"/>
        <v>181 Arcadia Street</v>
      </c>
      <c r="R326" s="3">
        <f>OrdersTable!C326</f>
        <v>44585</v>
      </c>
      <c r="S326" s="15">
        <f>OrdersTable!E326</f>
        <v>4</v>
      </c>
      <c r="T326" s="15">
        <f t="shared" si="124"/>
        <v>11.99</v>
      </c>
      <c r="U326" s="15">
        <f t="shared" si="125"/>
        <v>16.62</v>
      </c>
      <c r="V326" s="15">
        <f t="shared" si="126"/>
        <v>19.420000000000002</v>
      </c>
      <c r="W326" s="15">
        <f>IF(MarkupType="Store Markup",ROUND(V326+V326*StoreMarkup,2),IF(MarkupType="Supplier Markup",V326+V326*SupplierMarkup,"Error at finding value"))</f>
        <v>30.59</v>
      </c>
      <c r="X326" s="32" t="str">
        <f t="shared" si="128"/>
        <v>0.00</v>
      </c>
      <c r="Y326" s="15">
        <f t="shared" si="129"/>
        <v>77.680000000000007</v>
      </c>
      <c r="Z326" s="15">
        <f t="shared" si="130"/>
        <v>122.36</v>
      </c>
      <c r="AA326" s="15">
        <f>IF(FreightType="Lethbridge-Stewart Freight ",ROUND(2.99+IF(N326&gt;0.75,(N326-0.75)*2.25,0)*S326,2),IF(MarkupType="Supplier Markup",V326+V326*SupplierMarkup,"Error at finding value"))</f>
        <v>2.99</v>
      </c>
      <c r="AB326" s="15">
        <f t="shared" si="131"/>
        <v>0</v>
      </c>
    </row>
    <row r="327" spans="1:28" x14ac:dyDescent="0.25">
      <c r="A327" s="16">
        <f>OrdersTable!A327</f>
        <v>659</v>
      </c>
      <c r="B327" s="15" t="str">
        <f t="shared" si="111"/>
        <v>Mr</v>
      </c>
      <c r="C327" s="15" t="str">
        <f t="shared" si="110"/>
        <v>Douglas</v>
      </c>
      <c r="D327" s="15" t="str">
        <f t="shared" si="112"/>
        <v>Jason Richard</v>
      </c>
      <c r="E327" s="15" t="str">
        <f t="shared" si="113"/>
        <v>14 Young Crescent</v>
      </c>
      <c r="F327" s="15" t="str">
        <f t="shared" si="114"/>
        <v>Caliph</v>
      </c>
      <c r="G327" s="15" t="str">
        <f t="shared" si="115"/>
        <v>SA</v>
      </c>
      <c r="H327" s="15">
        <f t="shared" si="116"/>
        <v>5310</v>
      </c>
      <c r="I327" s="15">
        <f t="shared" si="127"/>
        <v>1720</v>
      </c>
      <c r="J327" s="15">
        <f>OrdersTable!B327</f>
        <v>239</v>
      </c>
      <c r="K327" s="15" t="str">
        <f t="shared" si="117"/>
        <v>Clothing and Apparel</v>
      </c>
      <c r="L327" s="15" t="str">
        <f t="shared" si="118"/>
        <v>Doctor Who: Men's Winter Pyjamas</v>
      </c>
      <c r="M327" s="15" t="str">
        <f t="shared" si="119"/>
        <v>L</v>
      </c>
      <c r="N327" s="15">
        <f t="shared" si="120"/>
        <v>1.5</v>
      </c>
      <c r="O327" s="15" t="str">
        <f t="shared" si="121"/>
        <v>A10</v>
      </c>
      <c r="P327" s="15" t="str">
        <f t="shared" si="122"/>
        <v>Gallifrey International</v>
      </c>
      <c r="Q327" s="15" t="str">
        <f t="shared" si="123"/>
        <v>181 Arcadia Street</v>
      </c>
      <c r="R327" s="3">
        <f>OrdersTable!C327</f>
        <v>44585</v>
      </c>
      <c r="S327" s="15">
        <f>OrdersTable!E327</f>
        <v>6</v>
      </c>
      <c r="T327" s="15">
        <f t="shared" si="124"/>
        <v>29.99</v>
      </c>
      <c r="U327" s="15">
        <f t="shared" si="125"/>
        <v>41.23</v>
      </c>
      <c r="V327" s="15">
        <f t="shared" si="126"/>
        <v>48.58</v>
      </c>
      <c r="W327" s="15">
        <f>IF(MarkupType="Store Markup",ROUND(V327+V327*StoreMarkup,2),IF(MarkupType="Supplier Markup",V327+V327*SupplierMarkup,"Error at finding value"))</f>
        <v>76.510000000000005</v>
      </c>
      <c r="X327" s="32" t="str">
        <f t="shared" si="128"/>
        <v>0.00</v>
      </c>
      <c r="Y327" s="15">
        <f t="shared" si="129"/>
        <v>291.48</v>
      </c>
      <c r="Z327" s="15">
        <f t="shared" si="130"/>
        <v>459.06</v>
      </c>
      <c r="AA327" s="15">
        <f>IF(FreightType="Lethbridge-Stewart Freight ",ROUND(2.99+IF(N327&gt;0.75,(N327-0.75)*2.25,0)*S327,2),IF(MarkupType="Supplier Markup",V327+V327*SupplierMarkup,"Error at finding value"))</f>
        <v>13.12</v>
      </c>
      <c r="AB327" s="15">
        <f t="shared" si="131"/>
        <v>0</v>
      </c>
    </row>
    <row r="328" spans="1:28" x14ac:dyDescent="0.25">
      <c r="A328" s="16">
        <f>OrdersTable!A328</f>
        <v>669</v>
      </c>
      <c r="B328" s="15" t="str">
        <f t="shared" si="111"/>
        <v>Dr</v>
      </c>
      <c r="C328" s="15" t="str">
        <f t="shared" si="110"/>
        <v>Ferjani</v>
      </c>
      <c r="D328" s="15" t="str">
        <f t="shared" si="112"/>
        <v>Rabah</v>
      </c>
      <c r="E328" s="15" t="str">
        <f t="shared" si="113"/>
        <v>2 Codrington Street</v>
      </c>
      <c r="F328" s="15" t="str">
        <f t="shared" si="114"/>
        <v>Belford</v>
      </c>
      <c r="G328" s="15" t="str">
        <f t="shared" si="115"/>
        <v>NSW</v>
      </c>
      <c r="H328" s="15">
        <f t="shared" si="116"/>
        <v>2335</v>
      </c>
      <c r="I328" s="15">
        <f t="shared" si="127"/>
        <v>716</v>
      </c>
      <c r="J328" s="15">
        <f>OrdersTable!B328</f>
        <v>436</v>
      </c>
      <c r="K328" s="15" t="str">
        <f t="shared" si="117"/>
        <v>Giftware</v>
      </c>
      <c r="L328" s="15" t="str">
        <f t="shared" si="118"/>
        <v>Doctor Who: Adult Watch: TARDIS</v>
      </c>
      <c r="M328" s="15" t="str">
        <f t="shared" si="119"/>
        <v>-</v>
      </c>
      <c r="N328" s="15">
        <f t="shared" si="120"/>
        <v>1.5</v>
      </c>
      <c r="O328" s="15" t="str">
        <f t="shared" si="121"/>
        <v>A20</v>
      </c>
      <c r="P328" s="15" t="str">
        <f t="shared" si="122"/>
        <v>Morbius Inc.</v>
      </c>
      <c r="Q328" s="15" t="str">
        <f t="shared" si="123"/>
        <v>56 Michael Spice Hwy</v>
      </c>
      <c r="R328" s="3">
        <f>OrdersTable!C328</f>
        <v>44585</v>
      </c>
      <c r="S328" s="15">
        <f>OrdersTable!E328</f>
        <v>2</v>
      </c>
      <c r="T328" s="15">
        <f t="shared" si="124"/>
        <v>29.99</v>
      </c>
      <c r="U328" s="15">
        <f t="shared" si="125"/>
        <v>40.96</v>
      </c>
      <c r="V328" s="15">
        <f t="shared" si="126"/>
        <v>48.58</v>
      </c>
      <c r="W328" s="15">
        <f>IF(MarkupType="Store Markup",ROUND(V328+V328*StoreMarkup,2),IF(MarkupType="Supplier Markup",V328+V328*SupplierMarkup,"Error at finding value"))</f>
        <v>76.510000000000005</v>
      </c>
      <c r="X328" s="32" t="str">
        <f t="shared" si="128"/>
        <v>0.00</v>
      </c>
      <c r="Y328" s="15">
        <f t="shared" si="129"/>
        <v>97.16</v>
      </c>
      <c r="Z328" s="15">
        <f t="shared" si="130"/>
        <v>153.02000000000001</v>
      </c>
      <c r="AA328" s="15">
        <f>IF(FreightType="Lethbridge-Stewart Freight ",ROUND(2.99+IF(N328&gt;0.75,(N328-0.75)*2.25,0)*S328,2),IF(MarkupType="Supplier Markup",V328+V328*SupplierMarkup,"Error at finding value"))</f>
        <v>6.37</v>
      </c>
      <c r="AB328" s="15">
        <f t="shared" si="131"/>
        <v>0</v>
      </c>
    </row>
    <row r="329" spans="1:28" x14ac:dyDescent="0.25">
      <c r="A329" s="16">
        <f>OrdersTable!A329</f>
        <v>841</v>
      </c>
      <c r="B329" s="15" t="str">
        <f t="shared" si="111"/>
        <v>Miss</v>
      </c>
      <c r="C329" s="15" t="str">
        <f t="shared" si="110"/>
        <v>Donaghy</v>
      </c>
      <c r="D329" s="15" t="str">
        <f t="shared" si="112"/>
        <v>Elizabeth Mathilde Jane</v>
      </c>
      <c r="E329" s="15" t="str">
        <f t="shared" si="113"/>
        <v>31 Johnson Boulevard</v>
      </c>
      <c r="F329" s="15" t="str">
        <f t="shared" si="114"/>
        <v>Belford</v>
      </c>
      <c r="G329" s="15" t="str">
        <f t="shared" si="115"/>
        <v>NSW</v>
      </c>
      <c r="H329" s="15">
        <f t="shared" si="116"/>
        <v>2335</v>
      </c>
      <c r="I329" s="15">
        <f t="shared" si="127"/>
        <v>716</v>
      </c>
      <c r="J329" s="15">
        <f>OrdersTable!B329</f>
        <v>464</v>
      </c>
      <c r="K329" s="15" t="str">
        <f t="shared" si="117"/>
        <v>Giftware</v>
      </c>
      <c r="L329" s="15" t="str">
        <f t="shared" si="118"/>
        <v>Doctor Who: Collectable License Plate: My Other Car Is A TARDIS</v>
      </c>
      <c r="M329" s="15" t="str">
        <f t="shared" si="119"/>
        <v>-</v>
      </c>
      <c r="N329" s="15">
        <f t="shared" si="120"/>
        <v>0.6</v>
      </c>
      <c r="O329" s="15" t="str">
        <f t="shared" si="121"/>
        <v>A50</v>
      </c>
      <c r="P329" s="15" t="str">
        <f t="shared" si="122"/>
        <v>Rassilon Ltd.</v>
      </c>
      <c r="Q329" s="15" t="str">
        <f t="shared" si="123"/>
        <v>82 Richard Mathews Road</v>
      </c>
      <c r="R329" s="3">
        <f>OrdersTable!C329</f>
        <v>44585</v>
      </c>
      <c r="S329" s="15">
        <f>OrdersTable!E329</f>
        <v>4</v>
      </c>
      <c r="T329" s="15">
        <f t="shared" si="124"/>
        <v>11.99</v>
      </c>
      <c r="U329" s="15">
        <f t="shared" si="125"/>
        <v>16.579999999999998</v>
      </c>
      <c r="V329" s="15">
        <f t="shared" si="126"/>
        <v>19.420000000000002</v>
      </c>
      <c r="W329" s="15">
        <f>IF(MarkupType="Store Markup",ROUND(V329+V329*StoreMarkup,2),IF(MarkupType="Supplier Markup",V329+V329*SupplierMarkup,"Error at finding value"))</f>
        <v>30.59</v>
      </c>
      <c r="X329" s="32" t="str">
        <f t="shared" si="128"/>
        <v>0.00</v>
      </c>
      <c r="Y329" s="15">
        <f t="shared" si="129"/>
        <v>77.680000000000007</v>
      </c>
      <c r="Z329" s="15">
        <f t="shared" si="130"/>
        <v>122.36</v>
      </c>
      <c r="AA329" s="15">
        <f>IF(FreightType="Lethbridge-Stewart Freight ",ROUND(2.99+IF(N329&gt;0.75,(N329-0.75)*2.25,0)*S329,2),IF(MarkupType="Supplier Markup",V329+V329*SupplierMarkup,"Error at finding value"))</f>
        <v>2.99</v>
      </c>
      <c r="AB329" s="15">
        <f t="shared" si="131"/>
        <v>0</v>
      </c>
    </row>
    <row r="330" spans="1:28" x14ac:dyDescent="0.25">
      <c r="A330" s="16">
        <f>OrdersTable!A330</f>
        <v>923</v>
      </c>
      <c r="B330" s="15" t="str">
        <f t="shared" si="111"/>
        <v>Ms</v>
      </c>
      <c r="C330" s="15" t="str">
        <f t="shared" si="110"/>
        <v>Savage</v>
      </c>
      <c r="D330" s="15" t="str">
        <f t="shared" si="112"/>
        <v>Eliza Margaret</v>
      </c>
      <c r="E330" s="15" t="str">
        <f t="shared" si="113"/>
        <v>28 Whisson Crescent</v>
      </c>
      <c r="F330" s="15" t="str">
        <f t="shared" si="114"/>
        <v>Belconnen</v>
      </c>
      <c r="G330" s="15" t="str">
        <f t="shared" si="115"/>
        <v>ACT</v>
      </c>
      <c r="H330" s="15">
        <f t="shared" si="116"/>
        <v>2617</v>
      </c>
      <c r="I330" s="15">
        <f t="shared" si="127"/>
        <v>1194</v>
      </c>
      <c r="J330" s="15">
        <f>OrdersTable!B330</f>
        <v>259</v>
      </c>
      <c r="K330" s="15" t="str">
        <f t="shared" si="117"/>
        <v>Clothing and Apparel</v>
      </c>
      <c r="L330" s="15" t="str">
        <f t="shared" si="118"/>
        <v>Doctor Who: Men's Winter Pyjamas</v>
      </c>
      <c r="M330" s="15" t="str">
        <f t="shared" si="119"/>
        <v>XL</v>
      </c>
      <c r="N330" s="15">
        <f t="shared" si="120"/>
        <v>1.5</v>
      </c>
      <c r="O330" s="15" t="str">
        <f t="shared" si="121"/>
        <v>A50</v>
      </c>
      <c r="P330" s="15" t="str">
        <f t="shared" si="122"/>
        <v>Rassilon Ltd.</v>
      </c>
      <c r="Q330" s="15" t="str">
        <f t="shared" si="123"/>
        <v>82 Richard Mathews Road</v>
      </c>
      <c r="R330" s="3">
        <f>OrdersTable!C330</f>
        <v>44585</v>
      </c>
      <c r="S330" s="15">
        <f>OrdersTable!E330</f>
        <v>10</v>
      </c>
      <c r="T330" s="15">
        <f t="shared" si="124"/>
        <v>29.99</v>
      </c>
      <c r="U330" s="15">
        <f t="shared" si="125"/>
        <v>41.15</v>
      </c>
      <c r="V330" s="15">
        <f t="shared" si="126"/>
        <v>48.58</v>
      </c>
      <c r="W330" s="15">
        <f>IF(MarkupType="Store Markup",ROUND(V330+V330*StoreMarkup,2),IF(MarkupType="Supplier Markup",V330+V330*SupplierMarkup,"Error at finding value"))</f>
        <v>76.510000000000005</v>
      </c>
      <c r="X330" s="32" t="str">
        <f t="shared" si="128"/>
        <v>0.00</v>
      </c>
      <c r="Y330" s="15">
        <f t="shared" si="129"/>
        <v>485.8</v>
      </c>
      <c r="Z330" s="15">
        <f t="shared" si="130"/>
        <v>765.1</v>
      </c>
      <c r="AA330" s="15">
        <f>IF(FreightType="Lethbridge-Stewart Freight ",ROUND(2.99+IF(N330&gt;0.75,(N330-0.75)*2.25,0)*S330,2),IF(MarkupType="Supplier Markup",V330+V330*SupplierMarkup,"Error at finding value"))</f>
        <v>19.87</v>
      </c>
      <c r="AB330" s="15">
        <f t="shared" si="131"/>
        <v>0</v>
      </c>
    </row>
    <row r="331" spans="1:28" x14ac:dyDescent="0.25">
      <c r="A331" s="16">
        <f>OrdersTable!A331</f>
        <v>42</v>
      </c>
      <c r="B331" s="15" t="str">
        <f t="shared" si="111"/>
        <v>Mr</v>
      </c>
      <c r="C331" s="15" t="str">
        <f t="shared" ref="C331:C394" si="132">VLOOKUP($A331,Cust,3,0)</f>
        <v>Ballantyne</v>
      </c>
      <c r="D331" s="15" t="str">
        <f t="shared" si="112"/>
        <v>Barry John</v>
      </c>
      <c r="E331" s="15" t="str">
        <f t="shared" si="113"/>
        <v>14 Bachmann Drive</v>
      </c>
      <c r="F331" s="15" t="str">
        <f t="shared" si="114"/>
        <v>Alleena</v>
      </c>
      <c r="G331" s="15" t="str">
        <f t="shared" si="115"/>
        <v>NSW</v>
      </c>
      <c r="H331" s="15">
        <f t="shared" si="116"/>
        <v>2671</v>
      </c>
      <c r="I331" s="15">
        <f t="shared" si="127"/>
        <v>988</v>
      </c>
      <c r="J331" s="15">
        <f>OrdersTable!B331</f>
        <v>186</v>
      </c>
      <c r="K331" s="15" t="str">
        <f t="shared" si="117"/>
        <v>Bobbleheads</v>
      </c>
      <c r="L331" s="15" t="str">
        <f t="shared" si="118"/>
        <v>Doctor Who: Monitor Mate: 50th Anniversary Original TARDIS</v>
      </c>
      <c r="M331" s="15" t="str">
        <f t="shared" si="119"/>
        <v>-</v>
      </c>
      <c r="N331" s="15">
        <f t="shared" si="120"/>
        <v>0.45</v>
      </c>
      <c r="O331" s="15" t="str">
        <f t="shared" si="121"/>
        <v>A20</v>
      </c>
      <c r="P331" s="15" t="str">
        <f t="shared" si="122"/>
        <v>Morbius Inc.</v>
      </c>
      <c r="Q331" s="15" t="str">
        <f t="shared" si="123"/>
        <v>56 Michael Spice Hwy</v>
      </c>
      <c r="R331" s="3">
        <f>OrdersTable!C331</f>
        <v>44586</v>
      </c>
      <c r="S331" s="15">
        <f>OrdersTable!E331</f>
        <v>3</v>
      </c>
      <c r="T331" s="15">
        <f t="shared" si="124"/>
        <v>8.99</v>
      </c>
      <c r="U331" s="15">
        <f t="shared" si="125"/>
        <v>12.46</v>
      </c>
      <c r="V331" s="15">
        <f t="shared" si="126"/>
        <v>14.56</v>
      </c>
      <c r="W331" s="15">
        <f>IF(MarkupType="Store Markup",ROUND(V331+V331*StoreMarkup,2),IF(MarkupType="Supplier Markup",V331+V331*SupplierMarkup,"Error at finding value"))</f>
        <v>22.93</v>
      </c>
      <c r="X331" s="32" t="str">
        <f t="shared" si="128"/>
        <v>0.00</v>
      </c>
      <c r="Y331" s="15">
        <f t="shared" si="129"/>
        <v>43.68</v>
      </c>
      <c r="Z331" s="15">
        <f t="shared" si="130"/>
        <v>68.790000000000006</v>
      </c>
      <c r="AA331" s="15">
        <f>IF(FreightType="Lethbridge-Stewart Freight ",ROUND(2.99+IF(N331&gt;0.75,(N331-0.75)*2.25,0)*S331,2),IF(MarkupType="Supplier Markup",V331+V331*SupplierMarkup,"Error at finding value"))</f>
        <v>2.99</v>
      </c>
      <c r="AB331" s="15">
        <f t="shared" si="131"/>
        <v>0</v>
      </c>
    </row>
    <row r="332" spans="1:28" x14ac:dyDescent="0.25">
      <c r="A332" s="16">
        <f>OrdersTable!A332</f>
        <v>42</v>
      </c>
      <c r="B332" s="15" t="str">
        <f t="shared" si="111"/>
        <v>Mr</v>
      </c>
      <c r="C332" s="15" t="str">
        <f t="shared" si="132"/>
        <v>Ballantyne</v>
      </c>
      <c r="D332" s="15" t="str">
        <f t="shared" si="112"/>
        <v>Barry John</v>
      </c>
      <c r="E332" s="15" t="str">
        <f t="shared" si="113"/>
        <v>14 Bachmann Drive</v>
      </c>
      <c r="F332" s="15" t="str">
        <f t="shared" si="114"/>
        <v>Alleena</v>
      </c>
      <c r="G332" s="15" t="str">
        <f t="shared" si="115"/>
        <v>NSW</v>
      </c>
      <c r="H332" s="15">
        <f t="shared" si="116"/>
        <v>2671</v>
      </c>
      <c r="I332" s="15">
        <f t="shared" si="127"/>
        <v>988</v>
      </c>
      <c r="J332" s="15">
        <f>OrdersTable!B332</f>
        <v>692</v>
      </c>
      <c r="K332" s="15" t="str">
        <f t="shared" si="117"/>
        <v>Posters, Prints and Standees</v>
      </c>
      <c r="L332" s="15" t="str">
        <f t="shared" si="118"/>
        <v>Doctor Who: 16'x12' Framed Print: Exploding TARDIS</v>
      </c>
      <c r="M332" s="15" t="str">
        <f t="shared" si="119"/>
        <v>-</v>
      </c>
      <c r="N332" s="15">
        <f t="shared" si="120"/>
        <v>0.75</v>
      </c>
      <c r="O332" s="15" t="str">
        <f t="shared" si="121"/>
        <v>A30</v>
      </c>
      <c r="P332" s="15" t="str">
        <f t="shared" si="122"/>
        <v>Chesterton Enterprises</v>
      </c>
      <c r="Q332" s="15" t="str">
        <f t="shared" si="123"/>
        <v>41 William Russell Road</v>
      </c>
      <c r="R332" s="3">
        <f>OrdersTable!C332</f>
        <v>44586</v>
      </c>
      <c r="S332" s="15">
        <f>OrdersTable!E332</f>
        <v>6</v>
      </c>
      <c r="T332" s="15">
        <f t="shared" si="124"/>
        <v>14.99</v>
      </c>
      <c r="U332" s="15">
        <f t="shared" si="125"/>
        <v>20.54</v>
      </c>
      <c r="V332" s="15">
        <f t="shared" si="126"/>
        <v>24.28</v>
      </c>
      <c r="W332" s="15">
        <f>IF(MarkupType="Store Markup",ROUND(V332+V332*StoreMarkup,2),IF(MarkupType="Supplier Markup",V332+V332*SupplierMarkup,"Error at finding value"))</f>
        <v>38.24</v>
      </c>
      <c r="X332" s="32" t="str">
        <f t="shared" si="128"/>
        <v>0.00</v>
      </c>
      <c r="Y332" s="15">
        <f t="shared" si="129"/>
        <v>145.68</v>
      </c>
      <c r="Z332" s="15">
        <f t="shared" si="130"/>
        <v>229.44</v>
      </c>
      <c r="AA332" s="15">
        <f>IF(FreightType="Lethbridge-Stewart Freight ",ROUND(2.99+IF(N332&gt;0.75,(N332-0.75)*2.25,0)*S332,2),IF(MarkupType="Supplier Markup",V332+V332*SupplierMarkup,"Error at finding value"))</f>
        <v>2.99</v>
      </c>
      <c r="AB332" s="15">
        <f t="shared" si="131"/>
        <v>0</v>
      </c>
    </row>
    <row r="333" spans="1:28" x14ac:dyDescent="0.25">
      <c r="A333" s="16">
        <f>OrdersTable!A333</f>
        <v>46</v>
      </c>
      <c r="B333" s="15" t="str">
        <f t="shared" si="111"/>
        <v>Mrs</v>
      </c>
      <c r="C333" s="15" t="str">
        <f t="shared" si="132"/>
        <v>Dovey</v>
      </c>
      <c r="D333" s="15" t="str">
        <f t="shared" si="112"/>
        <v>Aisha Jade</v>
      </c>
      <c r="E333" s="15" t="str">
        <f t="shared" si="113"/>
        <v>43 Wilkes Circuit</v>
      </c>
      <c r="F333" s="15" t="str">
        <f t="shared" si="114"/>
        <v>Alfredtown</v>
      </c>
      <c r="G333" s="15" t="str">
        <f t="shared" si="115"/>
        <v>NSW</v>
      </c>
      <c r="H333" s="15">
        <f t="shared" si="116"/>
        <v>2650</v>
      </c>
      <c r="I333" s="15">
        <f t="shared" si="127"/>
        <v>1124</v>
      </c>
      <c r="J333" s="15">
        <f>OrdersTable!B333</f>
        <v>813</v>
      </c>
      <c r="K333" s="15" t="str">
        <f t="shared" si="117"/>
        <v>Statues and Busts</v>
      </c>
      <c r="L333" s="15" t="str">
        <f t="shared" si="118"/>
        <v>Doctor Who: Masterpiece Collection Maxi Bust: Leela</v>
      </c>
      <c r="M333" s="15" t="str">
        <f t="shared" si="119"/>
        <v>-</v>
      </c>
      <c r="N333" s="15">
        <f t="shared" si="120"/>
        <v>2.5</v>
      </c>
      <c r="O333" s="15" t="str">
        <f t="shared" si="121"/>
        <v>A30</v>
      </c>
      <c r="P333" s="15" t="str">
        <f t="shared" si="122"/>
        <v>Chesterton Enterprises</v>
      </c>
      <c r="Q333" s="15" t="str">
        <f t="shared" si="123"/>
        <v>41 William Russell Road</v>
      </c>
      <c r="R333" s="3">
        <f>OrdersTable!C333</f>
        <v>44586</v>
      </c>
      <c r="S333" s="15">
        <f>OrdersTable!E333</f>
        <v>6</v>
      </c>
      <c r="T333" s="15">
        <f t="shared" si="124"/>
        <v>49.99</v>
      </c>
      <c r="U333" s="15">
        <f t="shared" si="125"/>
        <v>68.319999999999993</v>
      </c>
      <c r="V333" s="15">
        <f t="shared" si="126"/>
        <v>80.98</v>
      </c>
      <c r="W333" s="15">
        <f>IF(MarkupType="Store Markup",ROUND(V333+V333*StoreMarkup,2),IF(MarkupType="Supplier Markup",V333+V333*SupplierMarkup,"Error at finding value"))</f>
        <v>127.54</v>
      </c>
      <c r="X333" s="32">
        <f t="shared" si="128"/>
        <v>9.09</v>
      </c>
      <c r="Y333" s="15">
        <f t="shared" si="129"/>
        <v>485.88</v>
      </c>
      <c r="Z333" s="15">
        <f t="shared" si="130"/>
        <v>710.7</v>
      </c>
      <c r="AA333" s="15">
        <f>IF(FreightType="Lethbridge-Stewart Freight ",ROUND(2.99+IF(N333&gt;0.75,(N333-0.75)*2.25,0)*S333,2),IF(MarkupType="Supplier Markup",V333+V333*SupplierMarkup,"Error at finding value"))</f>
        <v>26.62</v>
      </c>
      <c r="AB333" s="15">
        <f t="shared" si="131"/>
        <v>54.54</v>
      </c>
    </row>
    <row r="334" spans="1:28" x14ac:dyDescent="0.25">
      <c r="A334" s="16">
        <f>OrdersTable!A334</f>
        <v>142</v>
      </c>
      <c r="B334" s="15" t="str">
        <f t="shared" si="111"/>
        <v>Miss</v>
      </c>
      <c r="C334" s="15" t="str">
        <f t="shared" si="132"/>
        <v>Western</v>
      </c>
      <c r="D334" s="15" t="str">
        <f t="shared" si="112"/>
        <v>Lee Reuben</v>
      </c>
      <c r="E334" s="15" t="str">
        <f t="shared" si="113"/>
        <v>14 Fields Road</v>
      </c>
      <c r="F334" s="15" t="str">
        <f t="shared" si="114"/>
        <v>Airly</v>
      </c>
      <c r="G334" s="15" t="str">
        <f t="shared" si="115"/>
        <v>VIC</v>
      </c>
      <c r="H334" s="15">
        <f t="shared" si="116"/>
        <v>3851</v>
      </c>
      <c r="I334" s="15">
        <f t="shared" si="127"/>
        <v>1583</v>
      </c>
      <c r="J334" s="15">
        <f>OrdersTable!B334</f>
        <v>679</v>
      </c>
      <c r="K334" s="15" t="str">
        <f t="shared" si="117"/>
        <v>Mugs</v>
      </c>
      <c r="L334" s="15" t="str">
        <f t="shared" si="118"/>
        <v>Doctor Who: Mug: The Fifth Doctor</v>
      </c>
      <c r="M334" s="15" t="str">
        <f t="shared" si="119"/>
        <v>-</v>
      </c>
      <c r="N334" s="15">
        <f t="shared" si="120"/>
        <v>0.45</v>
      </c>
      <c r="O334" s="15" t="str">
        <f t="shared" si="121"/>
        <v>A40</v>
      </c>
      <c r="P334" s="15" t="str">
        <f t="shared" si="122"/>
        <v>Romana Imports</v>
      </c>
      <c r="Q334" s="15" t="str">
        <f t="shared" si="123"/>
        <v>17 Lalla Ward Road</v>
      </c>
      <c r="R334" s="3">
        <f>OrdersTable!C334</f>
        <v>44586</v>
      </c>
      <c r="S334" s="15">
        <f>OrdersTable!E334</f>
        <v>4</v>
      </c>
      <c r="T334" s="15">
        <f t="shared" si="124"/>
        <v>8.99</v>
      </c>
      <c r="U334" s="15">
        <f t="shared" si="125"/>
        <v>12.28</v>
      </c>
      <c r="V334" s="15">
        <f t="shared" si="126"/>
        <v>14.56</v>
      </c>
      <c r="W334" s="15">
        <f>IF(MarkupType="Store Markup",ROUND(V334+V334*StoreMarkup,2),IF(MarkupType="Supplier Markup",V334+V334*SupplierMarkup,"Error at finding value"))</f>
        <v>22.93</v>
      </c>
      <c r="X334" s="32" t="str">
        <f t="shared" si="128"/>
        <v>0.00</v>
      </c>
      <c r="Y334" s="15">
        <f t="shared" si="129"/>
        <v>58.24</v>
      </c>
      <c r="Z334" s="15">
        <f t="shared" si="130"/>
        <v>91.72</v>
      </c>
      <c r="AA334" s="15">
        <f>IF(FreightType="Lethbridge-Stewart Freight ",ROUND(2.99+IF(N334&gt;0.75,(N334-0.75)*2.25,0)*S334,2),IF(MarkupType="Supplier Markup",V334+V334*SupplierMarkup,"Error at finding value"))</f>
        <v>2.99</v>
      </c>
      <c r="AB334" s="15">
        <f t="shared" si="131"/>
        <v>0</v>
      </c>
    </row>
    <row r="335" spans="1:28" x14ac:dyDescent="0.25">
      <c r="A335" s="16">
        <f>OrdersTable!A335</f>
        <v>146</v>
      </c>
      <c r="B335" s="15" t="str">
        <f t="shared" si="111"/>
        <v>Miss</v>
      </c>
      <c r="C335" s="15" t="str">
        <f t="shared" si="132"/>
        <v>Brown</v>
      </c>
      <c r="D335" s="15" t="str">
        <f t="shared" si="112"/>
        <v>Sarah Danielle</v>
      </c>
      <c r="E335" s="15" t="str">
        <f t="shared" si="113"/>
        <v>50 Brieschke Court</v>
      </c>
      <c r="F335" s="15" t="str">
        <f t="shared" si="114"/>
        <v>Bray Park</v>
      </c>
      <c r="G335" s="15" t="str">
        <f t="shared" si="115"/>
        <v>QLD</v>
      </c>
      <c r="H335" s="15">
        <f t="shared" si="116"/>
        <v>4500</v>
      </c>
      <c r="I335" s="15">
        <f t="shared" si="127"/>
        <v>139</v>
      </c>
      <c r="J335" s="15">
        <f>OrdersTable!B335</f>
        <v>830</v>
      </c>
      <c r="K335" s="15" t="str">
        <f t="shared" si="117"/>
        <v>Statues and Busts</v>
      </c>
      <c r="L335" s="15" t="str">
        <f t="shared" si="118"/>
        <v>Doctor Who: Mini Bust: Weeping Angel</v>
      </c>
      <c r="M335" s="15" t="str">
        <f t="shared" si="119"/>
        <v>-</v>
      </c>
      <c r="N335" s="15">
        <f t="shared" si="120"/>
        <v>1.8</v>
      </c>
      <c r="O335" s="15" t="str">
        <f t="shared" si="121"/>
        <v>A50</v>
      </c>
      <c r="P335" s="15" t="str">
        <f t="shared" si="122"/>
        <v>Rassilon Ltd.</v>
      </c>
      <c r="Q335" s="15" t="str">
        <f t="shared" si="123"/>
        <v>82 Richard Mathews Road</v>
      </c>
      <c r="R335" s="3">
        <f>OrdersTable!C335</f>
        <v>44586</v>
      </c>
      <c r="S335" s="15">
        <f>OrdersTable!E335</f>
        <v>7</v>
      </c>
      <c r="T335" s="15">
        <f t="shared" si="124"/>
        <v>35.99</v>
      </c>
      <c r="U335" s="15">
        <f t="shared" si="125"/>
        <v>49.35</v>
      </c>
      <c r="V335" s="15">
        <f t="shared" si="126"/>
        <v>58.3</v>
      </c>
      <c r="W335" s="15">
        <f>IF(MarkupType="Store Markup",ROUND(V335+V335*StoreMarkup,2),IF(MarkupType="Supplier Markup",V335+V335*SupplierMarkup,"Error at finding value"))</f>
        <v>91.82</v>
      </c>
      <c r="X335" s="32" t="str">
        <f t="shared" si="128"/>
        <v>0.00</v>
      </c>
      <c r="Y335" s="15">
        <f t="shared" si="129"/>
        <v>408.1</v>
      </c>
      <c r="Z335" s="15">
        <f t="shared" si="130"/>
        <v>642.74</v>
      </c>
      <c r="AA335" s="15">
        <f>IF(FreightType="Lethbridge-Stewart Freight ",ROUND(2.99+IF(N335&gt;0.75,(N335-0.75)*2.25,0)*S335,2),IF(MarkupType="Supplier Markup",V335+V335*SupplierMarkup,"Error at finding value"))</f>
        <v>19.53</v>
      </c>
      <c r="AB335" s="15">
        <f t="shared" si="131"/>
        <v>0</v>
      </c>
    </row>
    <row r="336" spans="1:28" x14ac:dyDescent="0.25">
      <c r="A336" s="16">
        <f>OrdersTable!A336</f>
        <v>158</v>
      </c>
      <c r="B336" s="15" t="str">
        <f t="shared" si="111"/>
        <v>Mr</v>
      </c>
      <c r="C336" s="15" t="str">
        <f t="shared" si="132"/>
        <v>Fowler</v>
      </c>
      <c r="D336" s="15" t="str">
        <f t="shared" si="112"/>
        <v>James</v>
      </c>
      <c r="E336" s="15" t="str">
        <f t="shared" si="113"/>
        <v>30 Virk Court</v>
      </c>
      <c r="F336" s="15" t="str">
        <f t="shared" si="114"/>
        <v>Black Hills</v>
      </c>
      <c r="G336" s="15" t="str">
        <f t="shared" si="115"/>
        <v>TAS</v>
      </c>
      <c r="H336" s="15">
        <f t="shared" si="116"/>
        <v>7140</v>
      </c>
      <c r="I336" s="15">
        <f t="shared" si="127"/>
        <v>2191</v>
      </c>
      <c r="J336" s="15">
        <f>OrdersTable!B336</f>
        <v>580</v>
      </c>
      <c r="K336" s="15" t="str">
        <f t="shared" si="117"/>
        <v>Giftware</v>
      </c>
      <c r="L336" s="15" t="str">
        <f t="shared" si="118"/>
        <v>Doctor Who: Wallpaper: Classic TARDIS Columns</v>
      </c>
      <c r="M336" s="15" t="str">
        <f t="shared" si="119"/>
        <v>-</v>
      </c>
      <c r="N336" s="15">
        <f t="shared" si="120"/>
        <v>0.65500000000000003</v>
      </c>
      <c r="O336" s="15" t="str">
        <f t="shared" si="121"/>
        <v>A50</v>
      </c>
      <c r="P336" s="15" t="str">
        <f t="shared" si="122"/>
        <v>Rassilon Ltd.</v>
      </c>
      <c r="Q336" s="15" t="str">
        <f t="shared" si="123"/>
        <v>82 Richard Mathews Road</v>
      </c>
      <c r="R336" s="3">
        <f>OrdersTable!C336</f>
        <v>44586</v>
      </c>
      <c r="S336" s="15">
        <f>OrdersTable!E336</f>
        <v>5</v>
      </c>
      <c r="T336" s="15">
        <f t="shared" si="124"/>
        <v>13.11</v>
      </c>
      <c r="U336" s="15">
        <f t="shared" si="125"/>
        <v>18.18</v>
      </c>
      <c r="V336" s="15">
        <f t="shared" si="126"/>
        <v>21.24</v>
      </c>
      <c r="W336" s="15">
        <f>IF(MarkupType="Store Markup",ROUND(V336+V336*StoreMarkup,2),IF(MarkupType="Supplier Markup",V336+V336*SupplierMarkup,"Error at finding value"))</f>
        <v>33.450000000000003</v>
      </c>
      <c r="X336" s="32" t="str">
        <f t="shared" si="128"/>
        <v>0.00</v>
      </c>
      <c r="Y336" s="15">
        <f t="shared" si="129"/>
        <v>106.2</v>
      </c>
      <c r="Z336" s="15">
        <f t="shared" si="130"/>
        <v>167.25</v>
      </c>
      <c r="AA336" s="15">
        <f>IF(FreightType="Lethbridge-Stewart Freight ",ROUND(2.99+IF(N336&gt;0.75,(N336-0.75)*2.25,0)*S336,2),IF(MarkupType="Supplier Markup",V336+V336*SupplierMarkup,"Error at finding value"))</f>
        <v>2.99</v>
      </c>
      <c r="AB336" s="15">
        <f t="shared" si="131"/>
        <v>0</v>
      </c>
    </row>
    <row r="337" spans="1:28" x14ac:dyDescent="0.25">
      <c r="A337" s="16">
        <f>OrdersTable!A337</f>
        <v>200</v>
      </c>
      <c r="B337" s="15" t="str">
        <f t="shared" si="111"/>
        <v>Ms</v>
      </c>
      <c r="C337" s="15" t="str">
        <f t="shared" si="132"/>
        <v>Barton</v>
      </c>
      <c r="D337" s="15" t="str">
        <f t="shared" si="112"/>
        <v>Kimberley</v>
      </c>
      <c r="E337" s="15" t="str">
        <f t="shared" si="113"/>
        <v>9 Decuyper Road</v>
      </c>
      <c r="F337" s="15" t="str">
        <f t="shared" si="114"/>
        <v>Ashford</v>
      </c>
      <c r="G337" s="15" t="str">
        <f t="shared" si="115"/>
        <v>SA</v>
      </c>
      <c r="H337" s="15">
        <f t="shared" si="116"/>
        <v>5035</v>
      </c>
      <c r="I337" s="15">
        <f t="shared" si="127"/>
        <v>1877</v>
      </c>
      <c r="J337" s="15">
        <f>OrdersTable!B337</f>
        <v>377</v>
      </c>
      <c r="K337" s="15" t="str">
        <f t="shared" si="117"/>
        <v>Clothing and Apparel</v>
      </c>
      <c r="L337" s="15" t="str">
        <f t="shared" si="118"/>
        <v xml:space="preserve">Doctor Who: T-Shirts: 7th Doctor Costume </v>
      </c>
      <c r="M337" s="15" t="str">
        <f t="shared" si="119"/>
        <v>M</v>
      </c>
      <c r="N337" s="15">
        <f t="shared" si="120"/>
        <v>0.8</v>
      </c>
      <c r="O337" s="15" t="str">
        <f t="shared" si="121"/>
        <v>A40</v>
      </c>
      <c r="P337" s="15" t="str">
        <f t="shared" si="122"/>
        <v>Romana Imports</v>
      </c>
      <c r="Q337" s="15" t="str">
        <f t="shared" si="123"/>
        <v>17 Lalla Ward Road</v>
      </c>
      <c r="R337" s="3">
        <f>OrdersTable!C337</f>
        <v>44586</v>
      </c>
      <c r="S337" s="15">
        <f>OrdersTable!E337</f>
        <v>2</v>
      </c>
      <c r="T337" s="15">
        <f t="shared" si="124"/>
        <v>15.99</v>
      </c>
      <c r="U337" s="15">
        <f t="shared" si="125"/>
        <v>21.95</v>
      </c>
      <c r="V337" s="15">
        <f t="shared" si="126"/>
        <v>25.9</v>
      </c>
      <c r="W337" s="15">
        <f>IF(MarkupType="Store Markup",ROUND(V337+V337*StoreMarkup,2),IF(MarkupType="Supplier Markup",V337+V337*SupplierMarkup,"Error at finding value"))</f>
        <v>40.79</v>
      </c>
      <c r="X337" s="32" t="str">
        <f t="shared" si="128"/>
        <v>0.00</v>
      </c>
      <c r="Y337" s="15">
        <f t="shared" si="129"/>
        <v>51.8</v>
      </c>
      <c r="Z337" s="15">
        <f t="shared" si="130"/>
        <v>81.58</v>
      </c>
      <c r="AA337" s="15">
        <f>IF(FreightType="Lethbridge-Stewart Freight ",ROUND(2.99+IF(N337&gt;0.75,(N337-0.75)*2.25,0)*S337,2),IF(MarkupType="Supplier Markup",V337+V337*SupplierMarkup,"Error at finding value"))</f>
        <v>3.22</v>
      </c>
      <c r="AB337" s="15">
        <f t="shared" si="131"/>
        <v>0</v>
      </c>
    </row>
    <row r="338" spans="1:28" x14ac:dyDescent="0.25">
      <c r="A338" s="16">
        <f>OrdersTable!A338</f>
        <v>232</v>
      </c>
      <c r="B338" s="15" t="str">
        <f t="shared" si="111"/>
        <v>Mrs</v>
      </c>
      <c r="C338" s="15" t="str">
        <f t="shared" si="132"/>
        <v>Bishop</v>
      </c>
      <c r="D338" s="15" t="str">
        <f t="shared" si="112"/>
        <v>Katherine Marie</v>
      </c>
      <c r="E338" s="15" t="str">
        <f t="shared" si="113"/>
        <v>19 Whitehorn Circuit</v>
      </c>
      <c r="F338" s="15" t="str">
        <f t="shared" si="114"/>
        <v>Black Hills</v>
      </c>
      <c r="G338" s="15" t="str">
        <f t="shared" si="115"/>
        <v>TAS</v>
      </c>
      <c r="H338" s="15">
        <f t="shared" si="116"/>
        <v>7140</v>
      </c>
      <c r="I338" s="15">
        <f t="shared" si="127"/>
        <v>2191</v>
      </c>
      <c r="J338" s="15">
        <f>OrdersTable!B338</f>
        <v>692</v>
      </c>
      <c r="K338" s="15" t="str">
        <f t="shared" si="117"/>
        <v>Posters, Prints and Standees</v>
      </c>
      <c r="L338" s="15" t="str">
        <f t="shared" si="118"/>
        <v>Doctor Who: 16'x12' Framed Print: Exploding TARDIS</v>
      </c>
      <c r="M338" s="15" t="str">
        <f t="shared" si="119"/>
        <v>-</v>
      </c>
      <c r="N338" s="15">
        <f t="shared" si="120"/>
        <v>0.75</v>
      </c>
      <c r="O338" s="15" t="str">
        <f t="shared" si="121"/>
        <v>A30</v>
      </c>
      <c r="P338" s="15" t="str">
        <f t="shared" si="122"/>
        <v>Chesterton Enterprises</v>
      </c>
      <c r="Q338" s="15" t="str">
        <f t="shared" si="123"/>
        <v>41 William Russell Road</v>
      </c>
      <c r="R338" s="3">
        <f>OrdersTable!C338</f>
        <v>44586</v>
      </c>
      <c r="S338" s="15">
        <f>OrdersTable!E338</f>
        <v>7</v>
      </c>
      <c r="T338" s="15">
        <f t="shared" si="124"/>
        <v>14.99</v>
      </c>
      <c r="U338" s="15">
        <f t="shared" si="125"/>
        <v>20.54</v>
      </c>
      <c r="V338" s="15">
        <f t="shared" si="126"/>
        <v>24.28</v>
      </c>
      <c r="W338" s="15">
        <f>IF(MarkupType="Store Markup",ROUND(V338+V338*StoreMarkup,2),IF(MarkupType="Supplier Markup",V338+V338*SupplierMarkup,"Error at finding value"))</f>
        <v>38.24</v>
      </c>
      <c r="X338" s="32" t="str">
        <f t="shared" si="128"/>
        <v>0.00</v>
      </c>
      <c r="Y338" s="15">
        <f t="shared" si="129"/>
        <v>169.96</v>
      </c>
      <c r="Z338" s="15">
        <f t="shared" si="130"/>
        <v>267.68</v>
      </c>
      <c r="AA338" s="15">
        <f>IF(FreightType="Lethbridge-Stewart Freight ",ROUND(2.99+IF(N338&gt;0.75,(N338-0.75)*2.25,0)*S338,2),IF(MarkupType="Supplier Markup",V338+V338*SupplierMarkup,"Error at finding value"))</f>
        <v>2.99</v>
      </c>
      <c r="AB338" s="15">
        <f t="shared" si="131"/>
        <v>0</v>
      </c>
    </row>
    <row r="339" spans="1:28" x14ac:dyDescent="0.25">
      <c r="A339" s="16">
        <f>OrdersTable!A339</f>
        <v>302</v>
      </c>
      <c r="B339" s="15" t="str">
        <f t="shared" si="111"/>
        <v>Ms</v>
      </c>
      <c r="C339" s="15" t="str">
        <f t="shared" si="132"/>
        <v>Lamshed</v>
      </c>
      <c r="D339" s="15" t="str">
        <f t="shared" si="112"/>
        <v>Laura Clare</v>
      </c>
      <c r="E339" s="15" t="str">
        <f t="shared" si="113"/>
        <v>22 Edser Drive</v>
      </c>
      <c r="F339" s="15" t="str">
        <f t="shared" si="114"/>
        <v>Caliph</v>
      </c>
      <c r="G339" s="15" t="str">
        <f t="shared" si="115"/>
        <v>SA</v>
      </c>
      <c r="H339" s="15">
        <f t="shared" si="116"/>
        <v>5310</v>
      </c>
      <c r="I339" s="15">
        <f t="shared" si="127"/>
        <v>1720</v>
      </c>
      <c r="J339" s="15">
        <f>OrdersTable!B339</f>
        <v>709</v>
      </c>
      <c r="K339" s="15" t="str">
        <f t="shared" si="117"/>
        <v>Posters, Prints and Standees</v>
      </c>
      <c r="L339" s="15" t="str">
        <f t="shared" si="118"/>
        <v>Doctor Who: Poster: Metallic TARDIS</v>
      </c>
      <c r="M339" s="15" t="str">
        <f t="shared" si="119"/>
        <v>-</v>
      </c>
      <c r="N339" s="15">
        <f t="shared" si="120"/>
        <v>0.2</v>
      </c>
      <c r="O339" s="15" t="str">
        <f t="shared" si="121"/>
        <v>A10</v>
      </c>
      <c r="P339" s="15" t="str">
        <f t="shared" si="122"/>
        <v>Gallifrey International</v>
      </c>
      <c r="Q339" s="15" t="str">
        <f t="shared" si="123"/>
        <v>181 Arcadia Street</v>
      </c>
      <c r="R339" s="3">
        <f>OrdersTable!C339</f>
        <v>44586</v>
      </c>
      <c r="S339" s="15">
        <f>OrdersTable!E339</f>
        <v>9</v>
      </c>
      <c r="T339" s="15">
        <f t="shared" si="124"/>
        <v>3.99</v>
      </c>
      <c r="U339" s="15">
        <f t="shared" si="125"/>
        <v>5.71</v>
      </c>
      <c r="V339" s="15">
        <f t="shared" si="126"/>
        <v>6.46</v>
      </c>
      <c r="W339" s="15">
        <f>IF(MarkupType="Store Markup",ROUND(V339+V339*StoreMarkup,2),IF(MarkupType="Supplier Markup",V339+V339*SupplierMarkup,"Error at finding value"))</f>
        <v>10.17</v>
      </c>
      <c r="X339" s="32" t="str">
        <f t="shared" si="128"/>
        <v>0.00</v>
      </c>
      <c r="Y339" s="15">
        <f t="shared" si="129"/>
        <v>58.14</v>
      </c>
      <c r="Z339" s="15">
        <f t="shared" si="130"/>
        <v>91.53</v>
      </c>
      <c r="AA339" s="15">
        <f>IF(FreightType="Lethbridge-Stewart Freight ",ROUND(2.99+IF(N339&gt;0.75,(N339-0.75)*2.25,0)*S339,2),IF(MarkupType="Supplier Markup",V339+V339*SupplierMarkup,"Error at finding value"))</f>
        <v>2.99</v>
      </c>
      <c r="AB339" s="15">
        <f t="shared" si="131"/>
        <v>0</v>
      </c>
    </row>
    <row r="340" spans="1:28" x14ac:dyDescent="0.25">
      <c r="A340" s="16">
        <f>OrdersTable!A340</f>
        <v>323</v>
      </c>
      <c r="B340" s="15" t="str">
        <f t="shared" si="111"/>
        <v>Dr</v>
      </c>
      <c r="C340" s="15" t="str">
        <f t="shared" si="132"/>
        <v>King</v>
      </c>
      <c r="D340" s="15" t="str">
        <f t="shared" si="112"/>
        <v>Leith</v>
      </c>
      <c r="E340" s="15" t="str">
        <f t="shared" si="113"/>
        <v>25 Carbone Court</v>
      </c>
      <c r="F340" s="15" t="str">
        <f t="shared" si="114"/>
        <v>Nayook</v>
      </c>
      <c r="G340" s="15" t="str">
        <f t="shared" si="115"/>
        <v>VIC</v>
      </c>
      <c r="H340" s="15">
        <f t="shared" si="116"/>
        <v>3832</v>
      </c>
      <c r="I340" s="15">
        <f t="shared" si="127"/>
        <v>1552</v>
      </c>
      <c r="J340" s="15">
        <f>OrdersTable!B340</f>
        <v>762</v>
      </c>
      <c r="K340" s="15" t="str">
        <f t="shared" si="117"/>
        <v>Statues and Busts</v>
      </c>
      <c r="L340" s="15" t="str">
        <f t="shared" si="118"/>
        <v>Doctor Who: Legends Forever Bust: Patrick Troughton</v>
      </c>
      <c r="M340" s="15" t="str">
        <f t="shared" si="119"/>
        <v>-</v>
      </c>
      <c r="N340" s="15">
        <f t="shared" si="120"/>
        <v>1.375</v>
      </c>
      <c r="O340" s="15" t="str">
        <f t="shared" si="121"/>
        <v>A40</v>
      </c>
      <c r="P340" s="15" t="str">
        <f t="shared" si="122"/>
        <v>Romana Imports</v>
      </c>
      <c r="Q340" s="15" t="str">
        <f t="shared" si="123"/>
        <v>17 Lalla Ward Road</v>
      </c>
      <c r="R340" s="3">
        <f>OrdersTable!C340</f>
        <v>44586</v>
      </c>
      <c r="S340" s="15">
        <f>OrdersTable!E340</f>
        <v>1</v>
      </c>
      <c r="T340" s="15">
        <f t="shared" si="124"/>
        <v>27.5</v>
      </c>
      <c r="U340" s="15">
        <f t="shared" si="125"/>
        <v>37.799999999999997</v>
      </c>
      <c r="V340" s="15">
        <f t="shared" si="126"/>
        <v>44.55</v>
      </c>
      <c r="W340" s="15">
        <f>IF(MarkupType="Store Markup",ROUND(V340+V340*StoreMarkup,2),IF(MarkupType="Supplier Markup",V340+V340*SupplierMarkup,"Error at finding value"))</f>
        <v>70.17</v>
      </c>
      <c r="X340" s="32" t="str">
        <f t="shared" si="128"/>
        <v>0.00</v>
      </c>
      <c r="Y340" s="15">
        <f t="shared" si="129"/>
        <v>44.55</v>
      </c>
      <c r="Z340" s="15">
        <f t="shared" si="130"/>
        <v>70.17</v>
      </c>
      <c r="AA340" s="15">
        <f>IF(FreightType="Lethbridge-Stewart Freight ",ROUND(2.99+IF(N340&gt;0.75,(N340-0.75)*2.25,0)*S340,2),IF(MarkupType="Supplier Markup",V340+V340*SupplierMarkup,"Error at finding value"))</f>
        <v>4.4000000000000004</v>
      </c>
      <c r="AB340" s="15">
        <f t="shared" si="131"/>
        <v>0</v>
      </c>
    </row>
    <row r="341" spans="1:28" x14ac:dyDescent="0.25">
      <c r="A341" s="16">
        <f>OrdersTable!A341</f>
        <v>567</v>
      </c>
      <c r="B341" s="15" t="str">
        <f t="shared" si="111"/>
        <v>Ms</v>
      </c>
      <c r="C341" s="15" t="str">
        <f t="shared" si="132"/>
        <v>Perkins</v>
      </c>
      <c r="D341" s="15" t="str">
        <f t="shared" si="112"/>
        <v>Sarah</v>
      </c>
      <c r="E341" s="15" t="str">
        <f t="shared" si="113"/>
        <v>7 Tengdahl Road</v>
      </c>
      <c r="F341" s="15" t="str">
        <f t="shared" si="114"/>
        <v>Areegra</v>
      </c>
      <c r="G341" s="15" t="str">
        <f t="shared" si="115"/>
        <v>VIC</v>
      </c>
      <c r="H341" s="15">
        <f t="shared" si="116"/>
        <v>3480</v>
      </c>
      <c r="I341" s="15">
        <f t="shared" si="127"/>
        <v>1559</v>
      </c>
      <c r="J341" s="15">
        <f>OrdersTable!B341</f>
        <v>436</v>
      </c>
      <c r="K341" s="15" t="str">
        <f t="shared" si="117"/>
        <v>Giftware</v>
      </c>
      <c r="L341" s="15" t="str">
        <f t="shared" si="118"/>
        <v>Doctor Who: Adult Watch: TARDIS</v>
      </c>
      <c r="M341" s="15" t="str">
        <f t="shared" si="119"/>
        <v>-</v>
      </c>
      <c r="N341" s="15">
        <f t="shared" si="120"/>
        <v>1.5</v>
      </c>
      <c r="O341" s="15" t="str">
        <f t="shared" si="121"/>
        <v>A20</v>
      </c>
      <c r="P341" s="15" t="str">
        <f t="shared" si="122"/>
        <v>Morbius Inc.</v>
      </c>
      <c r="Q341" s="15" t="str">
        <f t="shared" si="123"/>
        <v>56 Michael Spice Hwy</v>
      </c>
      <c r="R341" s="3">
        <f>OrdersTable!C341</f>
        <v>44586</v>
      </c>
      <c r="S341" s="15">
        <f>OrdersTable!E341</f>
        <v>2</v>
      </c>
      <c r="T341" s="15">
        <f t="shared" si="124"/>
        <v>29.99</v>
      </c>
      <c r="U341" s="15">
        <f t="shared" si="125"/>
        <v>40.96</v>
      </c>
      <c r="V341" s="15">
        <f t="shared" si="126"/>
        <v>48.58</v>
      </c>
      <c r="W341" s="15">
        <f>IF(MarkupType="Store Markup",ROUND(V341+V341*StoreMarkup,2),IF(MarkupType="Supplier Markup",V341+V341*SupplierMarkup,"Error at finding value"))</f>
        <v>76.510000000000005</v>
      </c>
      <c r="X341" s="32" t="str">
        <f t="shared" si="128"/>
        <v>0.00</v>
      </c>
      <c r="Y341" s="15">
        <f t="shared" si="129"/>
        <v>97.16</v>
      </c>
      <c r="Z341" s="15">
        <f t="shared" si="130"/>
        <v>153.02000000000001</v>
      </c>
      <c r="AA341" s="15">
        <f>IF(FreightType="Lethbridge-Stewart Freight ",ROUND(2.99+IF(N341&gt;0.75,(N341-0.75)*2.25,0)*S341,2),IF(MarkupType="Supplier Markup",V341+V341*SupplierMarkup,"Error at finding value"))</f>
        <v>6.37</v>
      </c>
      <c r="AB341" s="15">
        <f t="shared" si="131"/>
        <v>0</v>
      </c>
    </row>
    <row r="342" spans="1:28" x14ac:dyDescent="0.25">
      <c r="A342" s="16">
        <f>OrdersTable!A342</f>
        <v>802</v>
      </c>
      <c r="B342" s="15" t="str">
        <f t="shared" si="111"/>
        <v>Mr</v>
      </c>
      <c r="C342" s="15" t="str">
        <f t="shared" si="132"/>
        <v>Carlton</v>
      </c>
      <c r="D342" s="15" t="str">
        <f t="shared" si="112"/>
        <v>Lawrence</v>
      </c>
      <c r="E342" s="15" t="str">
        <f t="shared" si="113"/>
        <v>39 Walsh Way</v>
      </c>
      <c r="F342" s="15" t="str">
        <f t="shared" si="114"/>
        <v>Breakwater</v>
      </c>
      <c r="G342" s="15" t="str">
        <f t="shared" si="115"/>
        <v>VIC</v>
      </c>
      <c r="H342" s="15">
        <f t="shared" si="116"/>
        <v>3219</v>
      </c>
      <c r="I342" s="15">
        <f t="shared" si="127"/>
        <v>1596</v>
      </c>
      <c r="J342" s="15">
        <f>OrdersTable!B342</f>
        <v>709</v>
      </c>
      <c r="K342" s="15" t="str">
        <f t="shared" si="117"/>
        <v>Posters, Prints and Standees</v>
      </c>
      <c r="L342" s="15" t="str">
        <f t="shared" si="118"/>
        <v>Doctor Who: Poster: Metallic TARDIS</v>
      </c>
      <c r="M342" s="15" t="str">
        <f t="shared" si="119"/>
        <v>-</v>
      </c>
      <c r="N342" s="15">
        <f t="shared" si="120"/>
        <v>0.2</v>
      </c>
      <c r="O342" s="15" t="str">
        <f t="shared" si="121"/>
        <v>A10</v>
      </c>
      <c r="P342" s="15" t="str">
        <f t="shared" si="122"/>
        <v>Gallifrey International</v>
      </c>
      <c r="Q342" s="15" t="str">
        <f t="shared" si="123"/>
        <v>181 Arcadia Street</v>
      </c>
      <c r="R342" s="3">
        <f>OrdersTable!C342</f>
        <v>44586</v>
      </c>
      <c r="S342" s="15">
        <f>OrdersTable!E342</f>
        <v>5</v>
      </c>
      <c r="T342" s="15">
        <f t="shared" si="124"/>
        <v>3.99</v>
      </c>
      <c r="U342" s="15">
        <f t="shared" si="125"/>
        <v>5.71</v>
      </c>
      <c r="V342" s="15">
        <f t="shared" si="126"/>
        <v>6.46</v>
      </c>
      <c r="W342" s="15">
        <f>IF(MarkupType="Store Markup",ROUND(V342+V342*StoreMarkup,2),IF(MarkupType="Supplier Markup",V342+V342*SupplierMarkup,"Error at finding value"))</f>
        <v>10.17</v>
      </c>
      <c r="X342" s="32" t="str">
        <f t="shared" si="128"/>
        <v>0.00</v>
      </c>
      <c r="Y342" s="15">
        <f t="shared" si="129"/>
        <v>32.299999999999997</v>
      </c>
      <c r="Z342" s="15">
        <f t="shared" si="130"/>
        <v>50.85</v>
      </c>
      <c r="AA342" s="15">
        <f>IF(FreightType="Lethbridge-Stewart Freight ",ROUND(2.99+IF(N342&gt;0.75,(N342-0.75)*2.25,0)*S342,2),IF(MarkupType="Supplier Markup",V342+V342*SupplierMarkup,"Error at finding value"))</f>
        <v>2.99</v>
      </c>
      <c r="AB342" s="15">
        <f t="shared" si="131"/>
        <v>0</v>
      </c>
    </row>
    <row r="343" spans="1:28" x14ac:dyDescent="0.25">
      <c r="A343" s="16">
        <f>OrdersTable!A343</f>
        <v>843</v>
      </c>
      <c r="B343" s="15" t="str">
        <f t="shared" si="111"/>
        <v>Mr</v>
      </c>
      <c r="C343" s="15" t="str">
        <f t="shared" si="132"/>
        <v>Goodwin</v>
      </c>
      <c r="D343" s="15" t="str">
        <f t="shared" si="112"/>
        <v>Damon Joel</v>
      </c>
      <c r="E343" s="15" t="str">
        <f t="shared" si="113"/>
        <v>40 Powell Boulevard</v>
      </c>
      <c r="F343" s="15" t="str">
        <f t="shared" si="114"/>
        <v>Abington</v>
      </c>
      <c r="G343" s="15" t="str">
        <f t="shared" si="115"/>
        <v>QLD</v>
      </c>
      <c r="H343" s="15">
        <f t="shared" si="116"/>
        <v>4660</v>
      </c>
      <c r="I343" s="15">
        <f t="shared" si="127"/>
        <v>336</v>
      </c>
      <c r="J343" s="15">
        <f>OrdersTable!B343</f>
        <v>316</v>
      </c>
      <c r="K343" s="15" t="str">
        <f t="shared" si="117"/>
        <v>Clothing and Apparel</v>
      </c>
      <c r="L343" s="15" t="str">
        <f t="shared" si="118"/>
        <v xml:space="preserve">Doctor Who: T-Shirts: 4th Doctor Costume </v>
      </c>
      <c r="M343" s="15" t="str">
        <f t="shared" si="119"/>
        <v>S</v>
      </c>
      <c r="N343" s="15">
        <f t="shared" si="120"/>
        <v>0.8</v>
      </c>
      <c r="O343" s="15" t="str">
        <f t="shared" si="121"/>
        <v>A30</v>
      </c>
      <c r="P343" s="15" t="str">
        <f t="shared" si="122"/>
        <v>Chesterton Enterprises</v>
      </c>
      <c r="Q343" s="15" t="str">
        <f t="shared" si="123"/>
        <v>41 William Russell Road</v>
      </c>
      <c r="R343" s="3">
        <f>OrdersTable!C343</f>
        <v>44586</v>
      </c>
      <c r="S343" s="15">
        <f>OrdersTable!E343</f>
        <v>9</v>
      </c>
      <c r="T343" s="15">
        <f t="shared" si="124"/>
        <v>15.99</v>
      </c>
      <c r="U343" s="15">
        <f t="shared" si="125"/>
        <v>21.94</v>
      </c>
      <c r="V343" s="15">
        <f t="shared" si="126"/>
        <v>25.9</v>
      </c>
      <c r="W343" s="15">
        <f>IF(MarkupType="Store Markup",ROUND(V343+V343*StoreMarkup,2),IF(MarkupType="Supplier Markup",V343+V343*SupplierMarkup,"Error at finding value"))</f>
        <v>40.79</v>
      </c>
      <c r="X343" s="32" t="str">
        <f t="shared" si="128"/>
        <v>0.00</v>
      </c>
      <c r="Y343" s="15">
        <f t="shared" si="129"/>
        <v>233.1</v>
      </c>
      <c r="Z343" s="15">
        <f t="shared" si="130"/>
        <v>367.11</v>
      </c>
      <c r="AA343" s="15">
        <f>IF(FreightType="Lethbridge-Stewart Freight ",ROUND(2.99+IF(N343&gt;0.75,(N343-0.75)*2.25,0)*S343,2),IF(MarkupType="Supplier Markup",V343+V343*SupplierMarkup,"Error at finding value"))</f>
        <v>4</v>
      </c>
      <c r="AB343" s="15">
        <f t="shared" si="131"/>
        <v>0</v>
      </c>
    </row>
    <row r="344" spans="1:28" x14ac:dyDescent="0.25">
      <c r="A344" s="16">
        <f>OrdersTable!A344</f>
        <v>983</v>
      </c>
      <c r="B344" s="15" t="str">
        <f t="shared" si="111"/>
        <v>Mrs</v>
      </c>
      <c r="C344" s="15" t="str">
        <f t="shared" si="132"/>
        <v>Bennett</v>
      </c>
      <c r="D344" s="15" t="str">
        <f t="shared" si="112"/>
        <v>Mikayla Elizabeth</v>
      </c>
      <c r="E344" s="15" t="str">
        <f t="shared" si="113"/>
        <v>35 Khanal Crescent</v>
      </c>
      <c r="F344" s="15" t="str">
        <f t="shared" si="114"/>
        <v>Bamboo</v>
      </c>
      <c r="G344" s="15" t="str">
        <f t="shared" si="115"/>
        <v>QLD</v>
      </c>
      <c r="H344" s="15">
        <f t="shared" si="116"/>
        <v>4873</v>
      </c>
      <c r="I344" s="15">
        <f t="shared" si="127"/>
        <v>1741</v>
      </c>
      <c r="J344" s="15">
        <f>OrdersTable!B344</f>
        <v>701</v>
      </c>
      <c r="K344" s="15" t="str">
        <f t="shared" si="117"/>
        <v>Posters, Prints and Standees</v>
      </c>
      <c r="L344" s="15" t="str">
        <f t="shared" si="118"/>
        <v>Doctor Who: Half Sized Standee: The TARDIS</v>
      </c>
      <c r="M344" s="15" t="str">
        <f t="shared" si="119"/>
        <v>-</v>
      </c>
      <c r="N344" s="15">
        <f t="shared" si="120"/>
        <v>0.5</v>
      </c>
      <c r="O344" s="15" t="str">
        <f t="shared" si="121"/>
        <v>A40</v>
      </c>
      <c r="P344" s="15" t="str">
        <f t="shared" si="122"/>
        <v>Romana Imports</v>
      </c>
      <c r="Q344" s="15" t="str">
        <f t="shared" si="123"/>
        <v>17 Lalla Ward Road</v>
      </c>
      <c r="R344" s="3">
        <f>OrdersTable!C344</f>
        <v>44586</v>
      </c>
      <c r="S344" s="15">
        <f>OrdersTable!E344</f>
        <v>4</v>
      </c>
      <c r="T344" s="15">
        <f t="shared" si="124"/>
        <v>9.99</v>
      </c>
      <c r="U344" s="15">
        <f t="shared" si="125"/>
        <v>13.83</v>
      </c>
      <c r="V344" s="15">
        <f t="shared" si="126"/>
        <v>16.18</v>
      </c>
      <c r="W344" s="15">
        <f>IF(MarkupType="Store Markup",ROUND(V344+V344*StoreMarkup,2),IF(MarkupType="Supplier Markup",V344+V344*SupplierMarkup,"Error at finding value"))</f>
        <v>25.48</v>
      </c>
      <c r="X344" s="32" t="str">
        <f t="shared" si="128"/>
        <v>0.00</v>
      </c>
      <c r="Y344" s="15">
        <f t="shared" si="129"/>
        <v>64.72</v>
      </c>
      <c r="Z344" s="15">
        <f t="shared" si="130"/>
        <v>101.92</v>
      </c>
      <c r="AA344" s="15">
        <f>IF(FreightType="Lethbridge-Stewart Freight ",ROUND(2.99+IF(N344&gt;0.75,(N344-0.75)*2.25,0)*S344,2),IF(MarkupType="Supplier Markup",V344+V344*SupplierMarkup,"Error at finding value"))</f>
        <v>2.99</v>
      </c>
      <c r="AB344" s="15">
        <f t="shared" si="131"/>
        <v>0</v>
      </c>
    </row>
    <row r="345" spans="1:28" x14ac:dyDescent="0.25">
      <c r="A345" s="16">
        <f>OrdersTable!A345</f>
        <v>232</v>
      </c>
      <c r="B345" s="15" t="str">
        <f t="shared" si="111"/>
        <v>Mrs</v>
      </c>
      <c r="C345" s="15" t="str">
        <f t="shared" si="132"/>
        <v>Bishop</v>
      </c>
      <c r="D345" s="15" t="str">
        <f t="shared" si="112"/>
        <v>Katherine Marie</v>
      </c>
      <c r="E345" s="15" t="str">
        <f t="shared" si="113"/>
        <v>19 Whitehorn Circuit</v>
      </c>
      <c r="F345" s="15" t="str">
        <f t="shared" si="114"/>
        <v>Black Hills</v>
      </c>
      <c r="G345" s="15" t="str">
        <f t="shared" si="115"/>
        <v>TAS</v>
      </c>
      <c r="H345" s="15">
        <f t="shared" si="116"/>
        <v>7140</v>
      </c>
      <c r="I345" s="15">
        <f t="shared" si="127"/>
        <v>2191</v>
      </c>
      <c r="J345" s="15">
        <f>OrdersTable!B345</f>
        <v>801</v>
      </c>
      <c r="K345" s="15" t="str">
        <f t="shared" si="117"/>
        <v>Statues and Busts</v>
      </c>
      <c r="L345" s="15" t="str">
        <f t="shared" si="118"/>
        <v>Doctor Who: Masterpiece Collection Maxi Bust: 4th Doctor</v>
      </c>
      <c r="M345" s="15" t="str">
        <f t="shared" si="119"/>
        <v>-</v>
      </c>
      <c r="N345" s="15">
        <f t="shared" si="120"/>
        <v>2.5</v>
      </c>
      <c r="O345" s="15" t="str">
        <f t="shared" si="121"/>
        <v>A30</v>
      </c>
      <c r="P345" s="15" t="str">
        <f t="shared" si="122"/>
        <v>Chesterton Enterprises</v>
      </c>
      <c r="Q345" s="15" t="str">
        <f t="shared" si="123"/>
        <v>41 William Russell Road</v>
      </c>
      <c r="R345" s="3">
        <f>OrdersTable!C345</f>
        <v>44587</v>
      </c>
      <c r="S345" s="15">
        <f>OrdersTable!E345</f>
        <v>8</v>
      </c>
      <c r="T345" s="15">
        <f t="shared" si="124"/>
        <v>49.99</v>
      </c>
      <c r="U345" s="15">
        <f t="shared" si="125"/>
        <v>68.180000000000007</v>
      </c>
      <c r="V345" s="15">
        <f t="shared" si="126"/>
        <v>80.98</v>
      </c>
      <c r="W345" s="15">
        <f>IF(MarkupType="Store Markup",ROUND(V345+V345*StoreMarkup,2),IF(MarkupType="Supplier Markup",V345+V345*SupplierMarkup,"Error at finding value"))</f>
        <v>127.54</v>
      </c>
      <c r="X345" s="32">
        <f t="shared" si="128"/>
        <v>9.09</v>
      </c>
      <c r="Y345" s="15">
        <f t="shared" si="129"/>
        <v>647.84</v>
      </c>
      <c r="Z345" s="15">
        <f t="shared" si="130"/>
        <v>947.6</v>
      </c>
      <c r="AA345" s="15">
        <f>IF(FreightType="Lethbridge-Stewart Freight ",ROUND(2.99+IF(N345&gt;0.75,(N345-0.75)*2.25,0)*S345,2),IF(MarkupType="Supplier Markup",V345+V345*SupplierMarkup,"Error at finding value"))</f>
        <v>34.49</v>
      </c>
      <c r="AB345" s="15">
        <f t="shared" si="131"/>
        <v>72.72</v>
      </c>
    </row>
    <row r="346" spans="1:28" x14ac:dyDescent="0.25">
      <c r="A346" s="16">
        <f>OrdersTable!A346</f>
        <v>302</v>
      </c>
      <c r="B346" s="15" t="str">
        <f t="shared" si="111"/>
        <v>Ms</v>
      </c>
      <c r="C346" s="15" t="str">
        <f t="shared" si="132"/>
        <v>Lamshed</v>
      </c>
      <c r="D346" s="15" t="str">
        <f t="shared" si="112"/>
        <v>Laura Clare</v>
      </c>
      <c r="E346" s="15" t="str">
        <f t="shared" si="113"/>
        <v>22 Edser Drive</v>
      </c>
      <c r="F346" s="15" t="str">
        <f t="shared" si="114"/>
        <v>Caliph</v>
      </c>
      <c r="G346" s="15" t="str">
        <f t="shared" si="115"/>
        <v>SA</v>
      </c>
      <c r="H346" s="15">
        <f t="shared" si="116"/>
        <v>5310</v>
      </c>
      <c r="I346" s="15">
        <f t="shared" si="127"/>
        <v>1720</v>
      </c>
      <c r="J346" s="15">
        <f>OrdersTable!B346</f>
        <v>757</v>
      </c>
      <c r="K346" s="15" t="str">
        <f t="shared" si="117"/>
        <v>Statues and Busts</v>
      </c>
      <c r="L346" s="15" t="str">
        <f t="shared" si="118"/>
        <v>Doctor Who: Helmet: Ice Warrior</v>
      </c>
      <c r="M346" s="15" t="str">
        <f t="shared" si="119"/>
        <v>-</v>
      </c>
      <c r="N346" s="15">
        <f t="shared" si="120"/>
        <v>1.75</v>
      </c>
      <c r="O346" s="15" t="str">
        <f t="shared" si="121"/>
        <v>A20</v>
      </c>
      <c r="P346" s="15" t="str">
        <f t="shared" si="122"/>
        <v>Morbius Inc.</v>
      </c>
      <c r="Q346" s="15" t="str">
        <f t="shared" si="123"/>
        <v>56 Michael Spice Hwy</v>
      </c>
      <c r="R346" s="3">
        <f>OrdersTable!C346</f>
        <v>44587</v>
      </c>
      <c r="S346" s="15">
        <f>OrdersTable!E346</f>
        <v>5</v>
      </c>
      <c r="T346" s="15">
        <f t="shared" si="124"/>
        <v>34.99</v>
      </c>
      <c r="U346" s="15">
        <f t="shared" si="125"/>
        <v>47.88</v>
      </c>
      <c r="V346" s="15">
        <f t="shared" si="126"/>
        <v>56.68</v>
      </c>
      <c r="W346" s="15">
        <f>IF(MarkupType="Store Markup",ROUND(V346+V346*StoreMarkup,2),IF(MarkupType="Supplier Markup",V346+V346*SupplierMarkup,"Error at finding value"))</f>
        <v>89.27</v>
      </c>
      <c r="X346" s="32" t="str">
        <f t="shared" si="128"/>
        <v>0.00</v>
      </c>
      <c r="Y346" s="15">
        <f t="shared" si="129"/>
        <v>283.39999999999998</v>
      </c>
      <c r="Z346" s="15">
        <f t="shared" si="130"/>
        <v>446.35</v>
      </c>
      <c r="AA346" s="15">
        <f>IF(FreightType="Lethbridge-Stewart Freight ",ROUND(2.99+IF(N346&gt;0.75,(N346-0.75)*2.25,0)*S346,2),IF(MarkupType="Supplier Markup",V346+V346*SupplierMarkup,"Error at finding value"))</f>
        <v>14.24</v>
      </c>
      <c r="AB346" s="15">
        <f t="shared" si="131"/>
        <v>0</v>
      </c>
    </row>
    <row r="347" spans="1:28" x14ac:dyDescent="0.25">
      <c r="A347" s="16">
        <f>OrdersTable!A347</f>
        <v>331</v>
      </c>
      <c r="B347" s="15" t="str">
        <f t="shared" si="111"/>
        <v>Mrs</v>
      </c>
      <c r="C347" s="15" t="str">
        <f t="shared" si="132"/>
        <v>McKenzie</v>
      </c>
      <c r="D347" s="15" t="str">
        <f t="shared" si="112"/>
        <v>Melinda Kate</v>
      </c>
      <c r="E347" s="15" t="str">
        <f t="shared" si="113"/>
        <v>49 McKay Way</v>
      </c>
      <c r="F347" s="15" t="str">
        <f t="shared" si="114"/>
        <v>Black Hills</v>
      </c>
      <c r="G347" s="15" t="str">
        <f t="shared" si="115"/>
        <v>TAS</v>
      </c>
      <c r="H347" s="15">
        <f t="shared" si="116"/>
        <v>7140</v>
      </c>
      <c r="I347" s="15">
        <f t="shared" si="127"/>
        <v>2191</v>
      </c>
      <c r="J347" s="15">
        <f>OrdersTable!B347</f>
        <v>436</v>
      </c>
      <c r="K347" s="15" t="str">
        <f t="shared" si="117"/>
        <v>Giftware</v>
      </c>
      <c r="L347" s="15" t="str">
        <f t="shared" si="118"/>
        <v>Doctor Who: Adult Watch: TARDIS</v>
      </c>
      <c r="M347" s="15" t="str">
        <f t="shared" si="119"/>
        <v>-</v>
      </c>
      <c r="N347" s="15">
        <f t="shared" si="120"/>
        <v>1.5</v>
      </c>
      <c r="O347" s="15" t="str">
        <f t="shared" si="121"/>
        <v>A20</v>
      </c>
      <c r="P347" s="15" t="str">
        <f t="shared" si="122"/>
        <v>Morbius Inc.</v>
      </c>
      <c r="Q347" s="15" t="str">
        <f t="shared" si="123"/>
        <v>56 Michael Spice Hwy</v>
      </c>
      <c r="R347" s="3">
        <f>OrdersTable!C347</f>
        <v>44587</v>
      </c>
      <c r="S347" s="15">
        <f>OrdersTable!E347</f>
        <v>2</v>
      </c>
      <c r="T347" s="15">
        <f t="shared" si="124"/>
        <v>29.99</v>
      </c>
      <c r="U347" s="15">
        <f t="shared" si="125"/>
        <v>40.96</v>
      </c>
      <c r="V347" s="15">
        <f t="shared" si="126"/>
        <v>48.58</v>
      </c>
      <c r="W347" s="15">
        <f>IF(MarkupType="Store Markup",ROUND(V347+V347*StoreMarkup,2),IF(MarkupType="Supplier Markup",V347+V347*SupplierMarkup,"Error at finding value"))</f>
        <v>76.510000000000005</v>
      </c>
      <c r="X347" s="32" t="str">
        <f t="shared" si="128"/>
        <v>0.00</v>
      </c>
      <c r="Y347" s="15">
        <f t="shared" si="129"/>
        <v>97.16</v>
      </c>
      <c r="Z347" s="15">
        <f t="shared" si="130"/>
        <v>153.02000000000001</v>
      </c>
      <c r="AA347" s="15">
        <f>IF(FreightType="Lethbridge-Stewart Freight ",ROUND(2.99+IF(N347&gt;0.75,(N347-0.75)*2.25,0)*S347,2),IF(MarkupType="Supplier Markup",V347+V347*SupplierMarkup,"Error at finding value"))</f>
        <v>6.37</v>
      </c>
      <c r="AB347" s="15">
        <f t="shared" si="131"/>
        <v>0</v>
      </c>
    </row>
    <row r="348" spans="1:28" x14ac:dyDescent="0.25">
      <c r="A348" s="16">
        <f>OrdersTable!A348</f>
        <v>333</v>
      </c>
      <c r="B348" s="15" t="str">
        <f t="shared" si="111"/>
        <v>Mr</v>
      </c>
      <c r="C348" s="15" t="str">
        <f t="shared" si="132"/>
        <v>Martin</v>
      </c>
      <c r="D348" s="15" t="str">
        <f t="shared" si="112"/>
        <v>Damien Roger</v>
      </c>
      <c r="E348" s="15" t="str">
        <f t="shared" si="113"/>
        <v>23 Quennell Way</v>
      </c>
      <c r="F348" s="15" t="str">
        <f t="shared" si="114"/>
        <v>Aberfoyle</v>
      </c>
      <c r="G348" s="15" t="str">
        <f t="shared" si="115"/>
        <v>NSW</v>
      </c>
      <c r="H348" s="15">
        <f t="shared" si="116"/>
        <v>2350</v>
      </c>
      <c r="I348" s="15">
        <f t="shared" si="127"/>
        <v>363</v>
      </c>
      <c r="J348" s="15">
        <f>OrdersTable!B348</f>
        <v>436</v>
      </c>
      <c r="K348" s="15" t="str">
        <f t="shared" si="117"/>
        <v>Giftware</v>
      </c>
      <c r="L348" s="15" t="str">
        <f t="shared" si="118"/>
        <v>Doctor Who: Adult Watch: TARDIS</v>
      </c>
      <c r="M348" s="15" t="str">
        <f t="shared" si="119"/>
        <v>-</v>
      </c>
      <c r="N348" s="15">
        <f t="shared" si="120"/>
        <v>1.5</v>
      </c>
      <c r="O348" s="15" t="str">
        <f t="shared" si="121"/>
        <v>A20</v>
      </c>
      <c r="P348" s="15" t="str">
        <f t="shared" si="122"/>
        <v>Morbius Inc.</v>
      </c>
      <c r="Q348" s="15" t="str">
        <f t="shared" si="123"/>
        <v>56 Michael Spice Hwy</v>
      </c>
      <c r="R348" s="3">
        <f>OrdersTable!C348</f>
        <v>44587</v>
      </c>
      <c r="S348" s="15">
        <f>OrdersTable!E348</f>
        <v>3</v>
      </c>
      <c r="T348" s="15">
        <f t="shared" si="124"/>
        <v>29.99</v>
      </c>
      <c r="U348" s="15">
        <f t="shared" si="125"/>
        <v>40.96</v>
      </c>
      <c r="V348" s="15">
        <f t="shared" si="126"/>
        <v>48.58</v>
      </c>
      <c r="W348" s="15">
        <f>IF(MarkupType="Store Markup",ROUND(V348+V348*StoreMarkup,2),IF(MarkupType="Supplier Markup",V348+V348*SupplierMarkup,"Error at finding value"))</f>
        <v>76.510000000000005</v>
      </c>
      <c r="X348" s="32" t="str">
        <f t="shared" si="128"/>
        <v>0.00</v>
      </c>
      <c r="Y348" s="15">
        <f t="shared" si="129"/>
        <v>145.74</v>
      </c>
      <c r="Z348" s="15">
        <f t="shared" si="130"/>
        <v>229.53</v>
      </c>
      <c r="AA348" s="15">
        <f>IF(FreightType="Lethbridge-Stewart Freight ",ROUND(2.99+IF(N348&gt;0.75,(N348-0.75)*2.25,0)*S348,2),IF(MarkupType="Supplier Markup",V348+V348*SupplierMarkup,"Error at finding value"))</f>
        <v>8.0500000000000007</v>
      </c>
      <c r="AB348" s="15">
        <f t="shared" si="131"/>
        <v>0</v>
      </c>
    </row>
    <row r="349" spans="1:28" x14ac:dyDescent="0.25">
      <c r="A349" s="16">
        <f>OrdersTable!A349</f>
        <v>416</v>
      </c>
      <c r="B349" s="15" t="str">
        <f t="shared" si="111"/>
        <v>Mr</v>
      </c>
      <c r="C349" s="15" t="str">
        <f t="shared" si="132"/>
        <v>Mohammed</v>
      </c>
      <c r="D349" s="15" t="str">
        <f t="shared" si="112"/>
        <v>Ahmed</v>
      </c>
      <c r="E349" s="15" t="str">
        <f t="shared" si="113"/>
        <v>35 Ridley Avenue</v>
      </c>
      <c r="F349" s="15" t="str">
        <f t="shared" si="114"/>
        <v>Iluka</v>
      </c>
      <c r="G349" s="15" t="str">
        <f t="shared" si="115"/>
        <v>NSW</v>
      </c>
      <c r="H349" s="15">
        <f t="shared" si="116"/>
        <v>2466</v>
      </c>
      <c r="I349" s="15">
        <f t="shared" si="127"/>
        <v>347</v>
      </c>
      <c r="J349" s="15">
        <f>OrdersTable!B349</f>
        <v>805</v>
      </c>
      <c r="K349" s="15" t="str">
        <f t="shared" si="117"/>
        <v>Statues and Busts</v>
      </c>
      <c r="L349" s="15" t="str">
        <f t="shared" si="118"/>
        <v>Doctor Who: Masterpiece Collection Maxi Bust: 5th Doctor</v>
      </c>
      <c r="M349" s="15" t="str">
        <f t="shared" si="119"/>
        <v>-</v>
      </c>
      <c r="N349" s="15">
        <f t="shared" si="120"/>
        <v>2.5</v>
      </c>
      <c r="O349" s="15" t="str">
        <f t="shared" si="121"/>
        <v>A20</v>
      </c>
      <c r="P349" s="15" t="str">
        <f t="shared" si="122"/>
        <v>Morbius Inc.</v>
      </c>
      <c r="Q349" s="15" t="str">
        <f t="shared" si="123"/>
        <v>56 Michael Spice Hwy</v>
      </c>
      <c r="R349" s="3">
        <f>OrdersTable!C349</f>
        <v>44587</v>
      </c>
      <c r="S349" s="15">
        <f>OrdersTable!E349</f>
        <v>1</v>
      </c>
      <c r="T349" s="15">
        <f t="shared" si="124"/>
        <v>49.99</v>
      </c>
      <c r="U349" s="15">
        <f t="shared" si="125"/>
        <v>68.42</v>
      </c>
      <c r="V349" s="15">
        <f t="shared" si="126"/>
        <v>80.98</v>
      </c>
      <c r="W349" s="15">
        <f>IF(MarkupType="Store Markup",ROUND(V349+V349*StoreMarkup,2),IF(MarkupType="Supplier Markup",V349+V349*SupplierMarkup,"Error at finding value"))</f>
        <v>127.54</v>
      </c>
      <c r="X349" s="32" t="str">
        <f t="shared" si="128"/>
        <v>0.00</v>
      </c>
      <c r="Y349" s="15">
        <f t="shared" si="129"/>
        <v>80.98</v>
      </c>
      <c r="Z349" s="15">
        <f t="shared" si="130"/>
        <v>127.54</v>
      </c>
      <c r="AA349" s="15">
        <f>IF(FreightType="Lethbridge-Stewart Freight ",ROUND(2.99+IF(N349&gt;0.75,(N349-0.75)*2.25,0)*S349,2),IF(MarkupType="Supplier Markup",V349+V349*SupplierMarkup,"Error at finding value"))</f>
        <v>6.93</v>
      </c>
      <c r="AB349" s="15">
        <f t="shared" si="131"/>
        <v>0</v>
      </c>
    </row>
    <row r="350" spans="1:28" x14ac:dyDescent="0.25">
      <c r="A350" s="16">
        <f>OrdersTable!A350</f>
        <v>500</v>
      </c>
      <c r="B350" s="15" t="str">
        <f t="shared" si="111"/>
        <v>Ms</v>
      </c>
      <c r="C350" s="15" t="str">
        <f t="shared" si="132"/>
        <v>Helmers</v>
      </c>
      <c r="D350" s="15" t="str">
        <f t="shared" si="112"/>
        <v>Kristy-Lee</v>
      </c>
      <c r="E350" s="15" t="str">
        <f t="shared" si="113"/>
        <v>43 Welthagen Court</v>
      </c>
      <c r="F350" s="15" t="str">
        <f t="shared" si="114"/>
        <v>Areegra</v>
      </c>
      <c r="G350" s="15" t="str">
        <f t="shared" si="115"/>
        <v>VIC</v>
      </c>
      <c r="H350" s="15">
        <f t="shared" si="116"/>
        <v>3480</v>
      </c>
      <c r="I350" s="15">
        <f t="shared" si="127"/>
        <v>1559</v>
      </c>
      <c r="J350" s="15">
        <f>OrdersTable!B350</f>
        <v>667</v>
      </c>
      <c r="K350" s="15" t="str">
        <f t="shared" si="117"/>
        <v>Mugs</v>
      </c>
      <c r="L350" s="15" t="str">
        <f t="shared" si="118"/>
        <v>Doctor Who: Mug: Keep Calm And Don't Blink</v>
      </c>
      <c r="M350" s="15" t="str">
        <f t="shared" si="119"/>
        <v>-</v>
      </c>
      <c r="N350" s="15">
        <f t="shared" si="120"/>
        <v>0.35</v>
      </c>
      <c r="O350" s="15" t="str">
        <f t="shared" si="121"/>
        <v>A10</v>
      </c>
      <c r="P350" s="15" t="str">
        <f t="shared" si="122"/>
        <v>Gallifrey International</v>
      </c>
      <c r="Q350" s="15" t="str">
        <f t="shared" si="123"/>
        <v>181 Arcadia Street</v>
      </c>
      <c r="R350" s="3">
        <f>OrdersTable!C350</f>
        <v>44587</v>
      </c>
      <c r="S350" s="15">
        <f>OrdersTable!E350</f>
        <v>2</v>
      </c>
      <c r="T350" s="15">
        <f t="shared" si="124"/>
        <v>6.99</v>
      </c>
      <c r="U350" s="15">
        <f t="shared" si="125"/>
        <v>9.84</v>
      </c>
      <c r="V350" s="15">
        <f t="shared" si="126"/>
        <v>11.32</v>
      </c>
      <c r="W350" s="15">
        <f>IF(MarkupType="Store Markup",ROUND(V350+V350*StoreMarkup,2),IF(MarkupType="Supplier Markup",V350+V350*SupplierMarkup,"Error at finding value"))</f>
        <v>17.829999999999998</v>
      </c>
      <c r="X350" s="32" t="str">
        <f t="shared" si="128"/>
        <v>0.00</v>
      </c>
      <c r="Y350" s="15">
        <f t="shared" si="129"/>
        <v>22.64</v>
      </c>
      <c r="Z350" s="15">
        <f t="shared" si="130"/>
        <v>35.659999999999997</v>
      </c>
      <c r="AA350" s="15">
        <f>IF(FreightType="Lethbridge-Stewart Freight ",ROUND(2.99+IF(N350&gt;0.75,(N350-0.75)*2.25,0)*S350,2),IF(MarkupType="Supplier Markup",V350+V350*SupplierMarkup,"Error at finding value"))</f>
        <v>2.99</v>
      </c>
      <c r="AB350" s="15">
        <f t="shared" si="131"/>
        <v>0</v>
      </c>
    </row>
    <row r="351" spans="1:28" x14ac:dyDescent="0.25">
      <c r="A351" s="16">
        <f>OrdersTable!A351</f>
        <v>501</v>
      </c>
      <c r="B351" s="15" t="str">
        <f t="shared" si="111"/>
        <v>Miss</v>
      </c>
      <c r="C351" s="15" t="str">
        <f t="shared" si="132"/>
        <v>Tharenou</v>
      </c>
      <c r="D351" s="15" t="str">
        <f t="shared" si="112"/>
        <v>Kimberley Jacinta</v>
      </c>
      <c r="E351" s="15" t="str">
        <f t="shared" si="113"/>
        <v>49 Moncada Circuit</v>
      </c>
      <c r="F351" s="15" t="str">
        <f t="shared" si="114"/>
        <v>Belford</v>
      </c>
      <c r="G351" s="15" t="str">
        <f t="shared" si="115"/>
        <v>NSW</v>
      </c>
      <c r="H351" s="15">
        <f t="shared" si="116"/>
        <v>2335</v>
      </c>
      <c r="I351" s="15">
        <f t="shared" si="127"/>
        <v>716</v>
      </c>
      <c r="J351" s="15">
        <f>OrdersTable!B351</f>
        <v>239</v>
      </c>
      <c r="K351" s="15" t="str">
        <f t="shared" si="117"/>
        <v>Clothing and Apparel</v>
      </c>
      <c r="L351" s="15" t="str">
        <f t="shared" si="118"/>
        <v>Doctor Who: Men's Winter Pyjamas</v>
      </c>
      <c r="M351" s="15" t="str">
        <f t="shared" si="119"/>
        <v>L</v>
      </c>
      <c r="N351" s="15">
        <f t="shared" si="120"/>
        <v>1.5</v>
      </c>
      <c r="O351" s="15" t="str">
        <f t="shared" si="121"/>
        <v>A10</v>
      </c>
      <c r="P351" s="15" t="str">
        <f t="shared" si="122"/>
        <v>Gallifrey International</v>
      </c>
      <c r="Q351" s="15" t="str">
        <f t="shared" si="123"/>
        <v>181 Arcadia Street</v>
      </c>
      <c r="R351" s="3">
        <f>OrdersTable!C351</f>
        <v>44587</v>
      </c>
      <c r="S351" s="15">
        <f>OrdersTable!E351</f>
        <v>9</v>
      </c>
      <c r="T351" s="15">
        <f t="shared" si="124"/>
        <v>29.99</v>
      </c>
      <c r="U351" s="15">
        <f t="shared" si="125"/>
        <v>41.23</v>
      </c>
      <c r="V351" s="15">
        <f t="shared" si="126"/>
        <v>48.58</v>
      </c>
      <c r="W351" s="15">
        <f>IF(MarkupType="Store Markup",ROUND(V351+V351*StoreMarkup,2),IF(MarkupType="Supplier Markup",V351+V351*SupplierMarkup,"Error at finding value"))</f>
        <v>76.510000000000005</v>
      </c>
      <c r="X351" s="32" t="str">
        <f t="shared" si="128"/>
        <v>0.00</v>
      </c>
      <c r="Y351" s="15">
        <f t="shared" si="129"/>
        <v>437.22</v>
      </c>
      <c r="Z351" s="15">
        <f t="shared" si="130"/>
        <v>688.59</v>
      </c>
      <c r="AA351" s="15">
        <f>IF(FreightType="Lethbridge-Stewart Freight ",ROUND(2.99+IF(N351&gt;0.75,(N351-0.75)*2.25,0)*S351,2),IF(MarkupType="Supplier Markup",V351+V351*SupplierMarkup,"Error at finding value"))</f>
        <v>18.18</v>
      </c>
      <c r="AB351" s="15">
        <f t="shared" si="131"/>
        <v>0</v>
      </c>
    </row>
    <row r="352" spans="1:28" x14ac:dyDescent="0.25">
      <c r="A352" s="16">
        <f>OrdersTable!A352</f>
        <v>538</v>
      </c>
      <c r="B352" s="15" t="str">
        <f t="shared" si="111"/>
        <v>Dr</v>
      </c>
      <c r="C352" s="15" t="str">
        <f t="shared" si="132"/>
        <v>Radovic</v>
      </c>
      <c r="D352" s="15" t="str">
        <f t="shared" si="112"/>
        <v>Harley Benjamin</v>
      </c>
      <c r="E352" s="15" t="str">
        <f t="shared" si="113"/>
        <v>50 Hocking Way</v>
      </c>
      <c r="F352" s="15" t="str">
        <f t="shared" si="114"/>
        <v>Bray Park</v>
      </c>
      <c r="G352" s="15" t="str">
        <f t="shared" si="115"/>
        <v>QLD</v>
      </c>
      <c r="H352" s="15">
        <f t="shared" si="116"/>
        <v>4500</v>
      </c>
      <c r="I352" s="15">
        <f t="shared" si="127"/>
        <v>139</v>
      </c>
      <c r="J352" s="15">
        <f>OrdersTable!B352</f>
        <v>436</v>
      </c>
      <c r="K352" s="15" t="str">
        <f t="shared" si="117"/>
        <v>Giftware</v>
      </c>
      <c r="L352" s="15" t="str">
        <f t="shared" si="118"/>
        <v>Doctor Who: Adult Watch: TARDIS</v>
      </c>
      <c r="M352" s="15" t="str">
        <f t="shared" si="119"/>
        <v>-</v>
      </c>
      <c r="N352" s="15">
        <f t="shared" si="120"/>
        <v>1.5</v>
      </c>
      <c r="O352" s="15" t="str">
        <f t="shared" si="121"/>
        <v>A20</v>
      </c>
      <c r="P352" s="15" t="str">
        <f t="shared" si="122"/>
        <v>Morbius Inc.</v>
      </c>
      <c r="Q352" s="15" t="str">
        <f t="shared" si="123"/>
        <v>56 Michael Spice Hwy</v>
      </c>
      <c r="R352" s="3">
        <f>OrdersTable!C352</f>
        <v>44587</v>
      </c>
      <c r="S352" s="15">
        <f>OrdersTable!E352</f>
        <v>8</v>
      </c>
      <c r="T352" s="15">
        <f t="shared" si="124"/>
        <v>29.99</v>
      </c>
      <c r="U352" s="15">
        <f t="shared" si="125"/>
        <v>40.96</v>
      </c>
      <c r="V352" s="15">
        <f t="shared" si="126"/>
        <v>48.58</v>
      </c>
      <c r="W352" s="15">
        <f>IF(MarkupType="Store Markup",ROUND(V352+V352*StoreMarkup,2),IF(MarkupType="Supplier Markup",V352+V352*SupplierMarkup,"Error at finding value"))</f>
        <v>76.510000000000005</v>
      </c>
      <c r="X352" s="32" t="str">
        <f t="shared" si="128"/>
        <v>0.00</v>
      </c>
      <c r="Y352" s="15">
        <f t="shared" si="129"/>
        <v>388.64</v>
      </c>
      <c r="Z352" s="15">
        <f t="shared" si="130"/>
        <v>612.08000000000004</v>
      </c>
      <c r="AA352" s="15">
        <f>IF(FreightType="Lethbridge-Stewart Freight ",ROUND(2.99+IF(N352&gt;0.75,(N352-0.75)*2.25,0)*S352,2),IF(MarkupType="Supplier Markup",V352+V352*SupplierMarkup,"Error at finding value"))</f>
        <v>16.489999999999998</v>
      </c>
      <c r="AB352" s="15">
        <f t="shared" si="131"/>
        <v>0</v>
      </c>
    </row>
    <row r="353" spans="1:28" x14ac:dyDescent="0.25">
      <c r="A353" s="16">
        <f>OrdersTable!A353</f>
        <v>546</v>
      </c>
      <c r="B353" s="15" t="str">
        <f t="shared" si="111"/>
        <v>Ms</v>
      </c>
      <c r="C353" s="15" t="str">
        <f t="shared" si="132"/>
        <v>Shortt</v>
      </c>
      <c r="D353" s="15" t="str">
        <f t="shared" si="112"/>
        <v>Rickylee Sidonia</v>
      </c>
      <c r="E353" s="15" t="str">
        <f t="shared" si="113"/>
        <v>4 Hughes Road</v>
      </c>
      <c r="F353" s="15" t="str">
        <f t="shared" si="114"/>
        <v>Glenfern</v>
      </c>
      <c r="G353" s="15" t="str">
        <f t="shared" si="115"/>
        <v>QLD</v>
      </c>
      <c r="H353" s="15">
        <f t="shared" si="116"/>
        <v>4515</v>
      </c>
      <c r="I353" s="15">
        <f t="shared" si="127"/>
        <v>128</v>
      </c>
      <c r="J353" s="15">
        <f>OrdersTable!B353</f>
        <v>759</v>
      </c>
      <c r="K353" s="15" t="str">
        <f t="shared" si="117"/>
        <v>Statues and Busts</v>
      </c>
      <c r="L353" s="15" t="str">
        <f t="shared" si="118"/>
        <v>Doctor Who: Legends Forever Bust: Jon Pertwee</v>
      </c>
      <c r="M353" s="15" t="str">
        <f t="shared" si="119"/>
        <v>-</v>
      </c>
      <c r="N353" s="15">
        <f t="shared" si="120"/>
        <v>1.375</v>
      </c>
      <c r="O353" s="15" t="str">
        <f t="shared" si="121"/>
        <v>A30</v>
      </c>
      <c r="P353" s="15" t="str">
        <f t="shared" si="122"/>
        <v>Chesterton Enterprises</v>
      </c>
      <c r="Q353" s="15" t="str">
        <f t="shared" si="123"/>
        <v>41 William Russell Road</v>
      </c>
      <c r="R353" s="3">
        <f>OrdersTable!C353</f>
        <v>44587</v>
      </c>
      <c r="S353" s="15">
        <f>OrdersTable!E353</f>
        <v>10</v>
      </c>
      <c r="T353" s="15">
        <f t="shared" si="124"/>
        <v>27.5</v>
      </c>
      <c r="U353" s="15">
        <f t="shared" si="125"/>
        <v>37.630000000000003</v>
      </c>
      <c r="V353" s="15">
        <f t="shared" si="126"/>
        <v>44.55</v>
      </c>
      <c r="W353" s="15">
        <f>IF(MarkupType="Store Markup",ROUND(V353+V353*StoreMarkup,2),IF(MarkupType="Supplier Markup",V353+V353*SupplierMarkup,"Error at finding value"))</f>
        <v>70.17</v>
      </c>
      <c r="X353" s="32" t="str">
        <f t="shared" si="128"/>
        <v>0.00</v>
      </c>
      <c r="Y353" s="15">
        <f t="shared" si="129"/>
        <v>445.5</v>
      </c>
      <c r="Z353" s="15">
        <f t="shared" si="130"/>
        <v>701.7</v>
      </c>
      <c r="AA353" s="15">
        <f>IF(FreightType="Lethbridge-Stewart Freight ",ROUND(2.99+IF(N353&gt;0.75,(N353-0.75)*2.25,0)*S353,2),IF(MarkupType="Supplier Markup",V353+V353*SupplierMarkup,"Error at finding value"))</f>
        <v>17.05</v>
      </c>
      <c r="AB353" s="15">
        <f t="shared" si="131"/>
        <v>0</v>
      </c>
    </row>
    <row r="354" spans="1:28" x14ac:dyDescent="0.25">
      <c r="A354" s="16">
        <f>OrdersTable!A354</f>
        <v>602</v>
      </c>
      <c r="B354" s="15" t="str">
        <f t="shared" si="111"/>
        <v>Mr</v>
      </c>
      <c r="C354" s="15" t="str">
        <f t="shared" si="132"/>
        <v>Spinelli</v>
      </c>
      <c r="D354" s="15" t="str">
        <f t="shared" si="112"/>
        <v>Paul Walter</v>
      </c>
      <c r="E354" s="15" t="str">
        <f t="shared" si="113"/>
        <v>35 Azar Drive</v>
      </c>
      <c r="F354" s="15" t="str">
        <f t="shared" si="114"/>
        <v>Bray Park</v>
      </c>
      <c r="G354" s="15" t="str">
        <f t="shared" si="115"/>
        <v>QLD</v>
      </c>
      <c r="H354" s="15">
        <f t="shared" si="116"/>
        <v>4500</v>
      </c>
      <c r="I354" s="15">
        <f t="shared" si="127"/>
        <v>139</v>
      </c>
      <c r="J354" s="15">
        <f>OrdersTable!B354</f>
        <v>377</v>
      </c>
      <c r="K354" s="15" t="str">
        <f t="shared" si="117"/>
        <v>Clothing and Apparel</v>
      </c>
      <c r="L354" s="15" t="str">
        <f t="shared" si="118"/>
        <v xml:space="preserve">Doctor Who: T-Shirts: 7th Doctor Costume </v>
      </c>
      <c r="M354" s="15" t="str">
        <f t="shared" si="119"/>
        <v>M</v>
      </c>
      <c r="N354" s="15">
        <f t="shared" si="120"/>
        <v>0.8</v>
      </c>
      <c r="O354" s="15" t="str">
        <f t="shared" si="121"/>
        <v>A40</v>
      </c>
      <c r="P354" s="15" t="str">
        <f t="shared" si="122"/>
        <v>Romana Imports</v>
      </c>
      <c r="Q354" s="15" t="str">
        <f t="shared" si="123"/>
        <v>17 Lalla Ward Road</v>
      </c>
      <c r="R354" s="3">
        <f>OrdersTable!C354</f>
        <v>44587</v>
      </c>
      <c r="S354" s="15">
        <f>OrdersTable!E354</f>
        <v>5</v>
      </c>
      <c r="T354" s="15">
        <f t="shared" si="124"/>
        <v>15.99</v>
      </c>
      <c r="U354" s="15">
        <f t="shared" si="125"/>
        <v>21.95</v>
      </c>
      <c r="V354" s="15">
        <f t="shared" si="126"/>
        <v>25.9</v>
      </c>
      <c r="W354" s="15">
        <f>IF(MarkupType="Store Markup",ROUND(V354+V354*StoreMarkup,2),IF(MarkupType="Supplier Markup",V354+V354*SupplierMarkup,"Error at finding value"))</f>
        <v>40.79</v>
      </c>
      <c r="X354" s="32" t="str">
        <f t="shared" si="128"/>
        <v>0.00</v>
      </c>
      <c r="Y354" s="15">
        <f t="shared" si="129"/>
        <v>129.5</v>
      </c>
      <c r="Z354" s="15">
        <f t="shared" si="130"/>
        <v>203.95</v>
      </c>
      <c r="AA354" s="15">
        <f>IF(FreightType="Lethbridge-Stewart Freight ",ROUND(2.99+IF(N354&gt;0.75,(N354-0.75)*2.25,0)*S354,2),IF(MarkupType="Supplier Markup",V354+V354*SupplierMarkup,"Error at finding value"))</f>
        <v>3.55</v>
      </c>
      <c r="AB354" s="15">
        <f t="shared" si="131"/>
        <v>0</v>
      </c>
    </row>
    <row r="355" spans="1:28" x14ac:dyDescent="0.25">
      <c r="A355" s="16">
        <f>OrdersTable!A355</f>
        <v>651</v>
      </c>
      <c r="B355" s="15" t="str">
        <f t="shared" si="111"/>
        <v>Mr</v>
      </c>
      <c r="C355" s="15" t="str">
        <f t="shared" si="132"/>
        <v>Wilkes</v>
      </c>
      <c r="D355" s="15" t="str">
        <f t="shared" si="112"/>
        <v>Harley</v>
      </c>
      <c r="E355" s="15" t="str">
        <f t="shared" si="113"/>
        <v>12 Locke Circuit</v>
      </c>
      <c r="F355" s="15" t="str">
        <f t="shared" si="114"/>
        <v>Bray Park</v>
      </c>
      <c r="G355" s="15" t="str">
        <f t="shared" si="115"/>
        <v>QLD</v>
      </c>
      <c r="H355" s="15">
        <f t="shared" si="116"/>
        <v>4500</v>
      </c>
      <c r="I355" s="15">
        <f t="shared" si="127"/>
        <v>139</v>
      </c>
      <c r="J355" s="15">
        <f>OrdersTable!B355</f>
        <v>745</v>
      </c>
      <c r="K355" s="15" t="str">
        <f t="shared" si="117"/>
        <v>Props and Replicas</v>
      </c>
      <c r="L355" s="15" t="str">
        <f t="shared" si="118"/>
        <v>Doctor Who: TARDIS Type 40 Plaque</v>
      </c>
      <c r="M355" s="15" t="str">
        <f t="shared" si="119"/>
        <v>-</v>
      </c>
      <c r="N355" s="15">
        <f t="shared" si="120"/>
        <v>1.75</v>
      </c>
      <c r="O355" s="15" t="str">
        <f t="shared" si="121"/>
        <v>A30</v>
      </c>
      <c r="P355" s="15" t="str">
        <f t="shared" si="122"/>
        <v>Chesterton Enterprises</v>
      </c>
      <c r="Q355" s="15" t="str">
        <f t="shared" si="123"/>
        <v>41 William Russell Road</v>
      </c>
      <c r="R355" s="3">
        <f>OrdersTable!C355</f>
        <v>44587</v>
      </c>
      <c r="S355" s="15">
        <f>OrdersTable!E355</f>
        <v>3</v>
      </c>
      <c r="T355" s="15">
        <f t="shared" si="124"/>
        <v>34.99</v>
      </c>
      <c r="U355" s="15">
        <f t="shared" si="125"/>
        <v>47.86</v>
      </c>
      <c r="V355" s="15">
        <f t="shared" si="126"/>
        <v>56.68</v>
      </c>
      <c r="W355" s="15">
        <f>IF(MarkupType="Store Markup",ROUND(V355+V355*StoreMarkup,2),IF(MarkupType="Supplier Markup",V355+V355*SupplierMarkup,"Error at finding value"))</f>
        <v>89.27</v>
      </c>
      <c r="X355" s="32" t="str">
        <f t="shared" si="128"/>
        <v>0.00</v>
      </c>
      <c r="Y355" s="15">
        <f t="shared" si="129"/>
        <v>170.04</v>
      </c>
      <c r="Z355" s="15">
        <f t="shared" si="130"/>
        <v>267.81</v>
      </c>
      <c r="AA355" s="15">
        <f>IF(FreightType="Lethbridge-Stewart Freight ",ROUND(2.99+IF(N355&gt;0.75,(N355-0.75)*2.25,0)*S355,2),IF(MarkupType="Supplier Markup",V355+V355*SupplierMarkup,"Error at finding value"))</f>
        <v>9.74</v>
      </c>
      <c r="AB355" s="15">
        <f t="shared" si="131"/>
        <v>0</v>
      </c>
    </row>
    <row r="356" spans="1:28" x14ac:dyDescent="0.25">
      <c r="A356" s="16">
        <f>OrdersTable!A356</f>
        <v>758</v>
      </c>
      <c r="B356" s="15" t="str">
        <f t="shared" si="111"/>
        <v>Mr</v>
      </c>
      <c r="C356" s="15" t="str">
        <f t="shared" si="132"/>
        <v>Whitehorn</v>
      </c>
      <c r="D356" s="15" t="str">
        <f t="shared" si="112"/>
        <v>James</v>
      </c>
      <c r="E356" s="15" t="str">
        <f t="shared" si="113"/>
        <v>32 Raubenheimer Circuit</v>
      </c>
      <c r="F356" s="15" t="str">
        <f t="shared" si="114"/>
        <v>Belconnen</v>
      </c>
      <c r="G356" s="15" t="str">
        <f t="shared" si="115"/>
        <v>ACT</v>
      </c>
      <c r="H356" s="15">
        <f t="shared" si="116"/>
        <v>2617</v>
      </c>
      <c r="I356" s="15">
        <f t="shared" si="127"/>
        <v>1194</v>
      </c>
      <c r="J356" s="15">
        <f>OrdersTable!B356</f>
        <v>840</v>
      </c>
      <c r="K356" s="15" t="str">
        <f t="shared" si="117"/>
        <v>Statues and Busts</v>
      </c>
      <c r="L356" s="15" t="str">
        <f t="shared" si="118"/>
        <v>Doctor Who: Signature Edition Statue: Gallifrey Edition: Patrick Troughton</v>
      </c>
      <c r="M356" s="15" t="str">
        <f t="shared" si="119"/>
        <v>-</v>
      </c>
      <c r="N356" s="15">
        <f t="shared" si="120"/>
        <v>2.5</v>
      </c>
      <c r="O356" s="15" t="str">
        <f t="shared" si="121"/>
        <v>A40</v>
      </c>
      <c r="P356" s="15" t="str">
        <f t="shared" si="122"/>
        <v>Romana Imports</v>
      </c>
      <c r="Q356" s="15" t="str">
        <f t="shared" si="123"/>
        <v>17 Lalla Ward Road</v>
      </c>
      <c r="R356" s="3">
        <f>OrdersTable!C356</f>
        <v>44587</v>
      </c>
      <c r="S356" s="15">
        <f>OrdersTable!E356</f>
        <v>5</v>
      </c>
      <c r="T356" s="15">
        <f t="shared" si="124"/>
        <v>49.99</v>
      </c>
      <c r="U356" s="15">
        <f t="shared" si="125"/>
        <v>68.510000000000005</v>
      </c>
      <c r="V356" s="15">
        <f t="shared" si="126"/>
        <v>80.98</v>
      </c>
      <c r="W356" s="15">
        <f>IF(MarkupType="Store Markup",ROUND(V356+V356*StoreMarkup,2),IF(MarkupType="Supplier Markup",V356+V356*SupplierMarkup,"Error at finding value"))</f>
        <v>127.54</v>
      </c>
      <c r="X356" s="32">
        <f t="shared" si="128"/>
        <v>9.09</v>
      </c>
      <c r="Y356" s="15">
        <f t="shared" si="129"/>
        <v>404.9</v>
      </c>
      <c r="Z356" s="15">
        <f t="shared" si="130"/>
        <v>592.25</v>
      </c>
      <c r="AA356" s="15">
        <f>IF(FreightType="Lethbridge-Stewart Freight ",ROUND(2.99+IF(N356&gt;0.75,(N356-0.75)*2.25,0)*S356,2),IF(MarkupType="Supplier Markup",V356+V356*SupplierMarkup,"Error at finding value"))</f>
        <v>22.68</v>
      </c>
      <c r="AB356" s="15">
        <f t="shared" si="131"/>
        <v>45.45</v>
      </c>
    </row>
    <row r="357" spans="1:28" x14ac:dyDescent="0.25">
      <c r="A357" s="16">
        <f>OrdersTable!A357</f>
        <v>46</v>
      </c>
      <c r="B357" s="15" t="str">
        <f t="shared" si="111"/>
        <v>Mrs</v>
      </c>
      <c r="C357" s="15" t="str">
        <f t="shared" si="132"/>
        <v>Dovey</v>
      </c>
      <c r="D357" s="15" t="str">
        <f t="shared" si="112"/>
        <v>Aisha Jade</v>
      </c>
      <c r="E357" s="15" t="str">
        <f t="shared" si="113"/>
        <v>43 Wilkes Circuit</v>
      </c>
      <c r="F357" s="15" t="str">
        <f t="shared" si="114"/>
        <v>Alfredtown</v>
      </c>
      <c r="G357" s="15" t="str">
        <f t="shared" si="115"/>
        <v>NSW</v>
      </c>
      <c r="H357" s="15">
        <f t="shared" si="116"/>
        <v>2650</v>
      </c>
      <c r="I357" s="15">
        <f t="shared" si="127"/>
        <v>1124</v>
      </c>
      <c r="J357" s="15">
        <f>OrdersTable!B357</f>
        <v>685</v>
      </c>
      <c r="K357" s="15" t="str">
        <f t="shared" si="117"/>
        <v>Mugs</v>
      </c>
      <c r="L357" s="15" t="str">
        <f t="shared" si="118"/>
        <v>Doctor Who: Teapot: Sliver TARDIS</v>
      </c>
      <c r="M357" s="15" t="str">
        <f t="shared" si="119"/>
        <v>-</v>
      </c>
      <c r="N357" s="15">
        <f t="shared" si="120"/>
        <v>1.35</v>
      </c>
      <c r="O357" s="15" t="str">
        <f t="shared" si="121"/>
        <v>A30</v>
      </c>
      <c r="P357" s="15" t="str">
        <f t="shared" si="122"/>
        <v>Chesterton Enterprises</v>
      </c>
      <c r="Q357" s="15" t="str">
        <f t="shared" si="123"/>
        <v>41 William Russell Road</v>
      </c>
      <c r="R357" s="3">
        <f>OrdersTable!C357</f>
        <v>44588</v>
      </c>
      <c r="S357" s="15">
        <f>OrdersTable!E357</f>
        <v>4</v>
      </c>
      <c r="T357" s="15">
        <f t="shared" si="124"/>
        <v>26.99</v>
      </c>
      <c r="U357" s="15">
        <f t="shared" si="125"/>
        <v>36.869999999999997</v>
      </c>
      <c r="V357" s="15">
        <f t="shared" si="126"/>
        <v>43.72</v>
      </c>
      <c r="W357" s="15">
        <f>IF(MarkupType="Store Markup",ROUND(V357+V357*StoreMarkup,2),IF(MarkupType="Supplier Markup",V357+V357*SupplierMarkup,"Error at finding value"))</f>
        <v>68.86</v>
      </c>
      <c r="X357" s="32" t="str">
        <f t="shared" si="128"/>
        <v>0.00</v>
      </c>
      <c r="Y357" s="15">
        <f t="shared" si="129"/>
        <v>174.88</v>
      </c>
      <c r="Z357" s="15">
        <f t="shared" si="130"/>
        <v>275.44</v>
      </c>
      <c r="AA357" s="15">
        <f>IF(FreightType="Lethbridge-Stewart Freight ",ROUND(2.99+IF(N357&gt;0.75,(N357-0.75)*2.25,0)*S357,2),IF(MarkupType="Supplier Markup",V357+V357*SupplierMarkup,"Error at finding value"))</f>
        <v>8.39</v>
      </c>
      <c r="AB357" s="15">
        <f t="shared" si="131"/>
        <v>0</v>
      </c>
    </row>
    <row r="358" spans="1:28" x14ac:dyDescent="0.25">
      <c r="A358" s="16">
        <f>OrdersTable!A358</f>
        <v>112</v>
      </c>
      <c r="B358" s="15" t="str">
        <f t="shared" si="111"/>
        <v>Mr</v>
      </c>
      <c r="C358" s="15" t="str">
        <f t="shared" si="132"/>
        <v>Dahal</v>
      </c>
      <c r="D358" s="15" t="str">
        <f t="shared" si="112"/>
        <v>Subash</v>
      </c>
      <c r="E358" s="15" t="str">
        <f t="shared" si="113"/>
        <v>121-127 Railway Pde, Granville, NSW 2142</v>
      </c>
      <c r="F358" s="15" t="str">
        <f t="shared" si="114"/>
        <v>Granville</v>
      </c>
      <c r="G358" s="15" t="str">
        <f t="shared" si="115"/>
        <v>NSW</v>
      </c>
      <c r="H358" s="15">
        <f t="shared" si="116"/>
        <v>2142</v>
      </c>
      <c r="I358" s="15">
        <f t="shared" si="127"/>
        <v>907</v>
      </c>
      <c r="J358" s="15">
        <f>OrdersTable!B358</f>
        <v>652</v>
      </c>
      <c r="K358" s="15" t="str">
        <f t="shared" si="117"/>
        <v>Mugs</v>
      </c>
      <c r="L358" s="15" t="str">
        <f t="shared" si="118"/>
        <v>Doctor Who: Mug: Dalek 2D</v>
      </c>
      <c r="M358" s="15" t="str">
        <f t="shared" si="119"/>
        <v>-</v>
      </c>
      <c r="N358" s="15">
        <f t="shared" si="120"/>
        <v>0.35</v>
      </c>
      <c r="O358" s="15" t="str">
        <f t="shared" si="121"/>
        <v>A10</v>
      </c>
      <c r="P358" s="15" t="str">
        <f t="shared" si="122"/>
        <v>Gallifrey International</v>
      </c>
      <c r="Q358" s="15" t="str">
        <f t="shared" si="123"/>
        <v>181 Arcadia Street</v>
      </c>
      <c r="R358" s="3">
        <f>OrdersTable!C358</f>
        <v>44588</v>
      </c>
      <c r="S358" s="15">
        <f>OrdersTable!E358</f>
        <v>5</v>
      </c>
      <c r="T358" s="15">
        <f t="shared" si="124"/>
        <v>6.99</v>
      </c>
      <c r="U358" s="15">
        <f t="shared" si="125"/>
        <v>9.8800000000000008</v>
      </c>
      <c r="V358" s="15">
        <f t="shared" si="126"/>
        <v>11.32</v>
      </c>
      <c r="W358" s="15">
        <f>IF(MarkupType="Store Markup",ROUND(V358+V358*StoreMarkup,2),IF(MarkupType="Supplier Markup",V358+V358*SupplierMarkup,"Error at finding value"))</f>
        <v>17.829999999999998</v>
      </c>
      <c r="X358" s="32" t="str">
        <f t="shared" si="128"/>
        <v>0.00</v>
      </c>
      <c r="Y358" s="15">
        <f t="shared" si="129"/>
        <v>56.6</v>
      </c>
      <c r="Z358" s="15">
        <f t="shared" si="130"/>
        <v>89.15</v>
      </c>
      <c r="AA358" s="15">
        <f>IF(FreightType="Lethbridge-Stewart Freight ",ROUND(2.99+IF(N358&gt;0.75,(N358-0.75)*2.25,0)*S358,2),IF(MarkupType="Supplier Markup",V358+V358*SupplierMarkup,"Error at finding value"))</f>
        <v>2.99</v>
      </c>
      <c r="AB358" s="15">
        <f t="shared" si="131"/>
        <v>0</v>
      </c>
    </row>
    <row r="359" spans="1:28" x14ac:dyDescent="0.25">
      <c r="A359" s="16">
        <f>OrdersTable!A359</f>
        <v>200</v>
      </c>
      <c r="B359" s="15" t="str">
        <f t="shared" si="111"/>
        <v>Ms</v>
      </c>
      <c r="C359" s="15" t="str">
        <f t="shared" si="132"/>
        <v>Barton</v>
      </c>
      <c r="D359" s="15" t="str">
        <f t="shared" si="112"/>
        <v>Kimberley</v>
      </c>
      <c r="E359" s="15" t="str">
        <f t="shared" si="113"/>
        <v>9 Decuyper Road</v>
      </c>
      <c r="F359" s="15" t="str">
        <f t="shared" si="114"/>
        <v>Ashford</v>
      </c>
      <c r="G359" s="15" t="str">
        <f t="shared" si="115"/>
        <v>SA</v>
      </c>
      <c r="H359" s="15">
        <f t="shared" si="116"/>
        <v>5035</v>
      </c>
      <c r="I359" s="15">
        <f t="shared" si="127"/>
        <v>1877</v>
      </c>
      <c r="J359" s="15">
        <f>OrdersTable!B359</f>
        <v>707</v>
      </c>
      <c r="K359" s="15" t="str">
        <f t="shared" si="117"/>
        <v>Posters, Prints and Standees</v>
      </c>
      <c r="L359" s="15" t="str">
        <f t="shared" si="118"/>
        <v>Doctor Who: Poster: Ironside Dalek Blueprint</v>
      </c>
      <c r="M359" s="15" t="str">
        <f t="shared" si="119"/>
        <v>-</v>
      </c>
      <c r="N359" s="15">
        <f t="shared" si="120"/>
        <v>0.2</v>
      </c>
      <c r="O359" s="15" t="str">
        <f t="shared" si="121"/>
        <v>A20</v>
      </c>
      <c r="P359" s="15" t="str">
        <f t="shared" si="122"/>
        <v>Morbius Inc.</v>
      </c>
      <c r="Q359" s="15" t="str">
        <f t="shared" si="123"/>
        <v>56 Michael Spice Hwy</v>
      </c>
      <c r="R359" s="3">
        <f>OrdersTable!C359</f>
        <v>44588</v>
      </c>
      <c r="S359" s="15">
        <f>OrdersTable!E359</f>
        <v>2</v>
      </c>
      <c r="T359" s="15">
        <f t="shared" si="124"/>
        <v>3.99</v>
      </c>
      <c r="U359" s="15">
        <f t="shared" si="125"/>
        <v>5.48</v>
      </c>
      <c r="V359" s="15">
        <f t="shared" si="126"/>
        <v>6.46</v>
      </c>
      <c r="W359" s="15">
        <f>IF(MarkupType="Store Markup",ROUND(V359+V359*StoreMarkup,2),IF(MarkupType="Supplier Markup",V359+V359*SupplierMarkup,"Error at finding value"))</f>
        <v>10.17</v>
      </c>
      <c r="X359" s="32" t="str">
        <f t="shared" si="128"/>
        <v>0.00</v>
      </c>
      <c r="Y359" s="15">
        <f t="shared" si="129"/>
        <v>12.92</v>
      </c>
      <c r="Z359" s="15">
        <f t="shared" si="130"/>
        <v>20.34</v>
      </c>
      <c r="AA359" s="15">
        <f>IF(FreightType="Lethbridge-Stewart Freight ",ROUND(2.99+IF(N359&gt;0.75,(N359-0.75)*2.25,0)*S359,2),IF(MarkupType="Supplier Markup",V359+V359*SupplierMarkup,"Error at finding value"))</f>
        <v>2.99</v>
      </c>
      <c r="AB359" s="15">
        <f t="shared" si="131"/>
        <v>0</v>
      </c>
    </row>
    <row r="360" spans="1:28" x14ac:dyDescent="0.25">
      <c r="A360" s="16">
        <f>OrdersTable!A360</f>
        <v>249</v>
      </c>
      <c r="B360" s="15" t="str">
        <f t="shared" si="111"/>
        <v>Mr</v>
      </c>
      <c r="C360" s="15" t="str">
        <f t="shared" si="132"/>
        <v>Sinclair</v>
      </c>
      <c r="D360" s="15" t="str">
        <f t="shared" si="112"/>
        <v>Travis James Foord</v>
      </c>
      <c r="E360" s="15" t="str">
        <f t="shared" si="113"/>
        <v>25 Leunen Avenue</v>
      </c>
      <c r="F360" s="15" t="str">
        <f t="shared" si="114"/>
        <v>Batlow</v>
      </c>
      <c r="G360" s="15" t="str">
        <f t="shared" si="115"/>
        <v>NSW</v>
      </c>
      <c r="H360" s="15">
        <f t="shared" si="116"/>
        <v>2730</v>
      </c>
      <c r="I360" s="15">
        <f t="shared" si="127"/>
        <v>1138</v>
      </c>
      <c r="J360" s="15">
        <f>OrdersTable!B360</f>
        <v>725</v>
      </c>
      <c r="K360" s="15" t="str">
        <f t="shared" si="117"/>
        <v>Props and Replicas</v>
      </c>
      <c r="L360" s="15" t="str">
        <f t="shared" si="118"/>
        <v>Doctor Who: Captain Jack Sonic Blaster</v>
      </c>
      <c r="M360" s="15" t="str">
        <f t="shared" si="119"/>
        <v>-</v>
      </c>
      <c r="N360" s="15">
        <f t="shared" si="120"/>
        <v>14.8</v>
      </c>
      <c r="O360" s="15" t="str">
        <f t="shared" si="121"/>
        <v>A30</v>
      </c>
      <c r="P360" s="15" t="str">
        <f t="shared" si="122"/>
        <v>Chesterton Enterprises</v>
      </c>
      <c r="Q360" s="15" t="str">
        <f t="shared" si="123"/>
        <v>41 William Russell Road</v>
      </c>
      <c r="R360" s="3">
        <f>OrdersTable!C360</f>
        <v>44588</v>
      </c>
      <c r="S360" s="15">
        <f>OrdersTable!E360</f>
        <v>8</v>
      </c>
      <c r="T360" s="15">
        <f t="shared" si="124"/>
        <v>295.99</v>
      </c>
      <c r="U360" s="15">
        <f t="shared" si="125"/>
        <v>403.88</v>
      </c>
      <c r="V360" s="15">
        <f t="shared" si="126"/>
        <v>479.5</v>
      </c>
      <c r="W360" s="15">
        <f>IF(MarkupType="Store Markup",ROUND(V360+V360*StoreMarkup,2),IF(MarkupType="Supplier Markup",V360+V360*SupplierMarkup,"Error at finding value"))</f>
        <v>755.21</v>
      </c>
      <c r="X360" s="32">
        <f t="shared" si="128"/>
        <v>53.81</v>
      </c>
      <c r="Y360" s="15">
        <f t="shared" si="129"/>
        <v>3836</v>
      </c>
      <c r="Z360" s="15">
        <f t="shared" si="130"/>
        <v>5611.2</v>
      </c>
      <c r="AA360" s="15">
        <f>IF(FreightType="Lethbridge-Stewart Freight ",ROUND(2.99+IF(N360&gt;0.75,(N360-0.75)*2.25,0)*S360,2),IF(MarkupType="Supplier Markup",V360+V360*SupplierMarkup,"Error at finding value"))</f>
        <v>255.89</v>
      </c>
      <c r="AB360" s="15">
        <f t="shared" si="131"/>
        <v>430.48</v>
      </c>
    </row>
    <row r="361" spans="1:28" x14ac:dyDescent="0.25">
      <c r="A361" s="16">
        <f>OrdersTable!A361</f>
        <v>331</v>
      </c>
      <c r="B361" s="15" t="str">
        <f t="shared" si="111"/>
        <v>Mrs</v>
      </c>
      <c r="C361" s="15" t="str">
        <f t="shared" si="132"/>
        <v>McKenzie</v>
      </c>
      <c r="D361" s="15" t="str">
        <f t="shared" si="112"/>
        <v>Melinda Kate</v>
      </c>
      <c r="E361" s="15" t="str">
        <f t="shared" si="113"/>
        <v>49 McKay Way</v>
      </c>
      <c r="F361" s="15" t="str">
        <f t="shared" si="114"/>
        <v>Black Hills</v>
      </c>
      <c r="G361" s="15" t="str">
        <f t="shared" si="115"/>
        <v>TAS</v>
      </c>
      <c r="H361" s="15">
        <f t="shared" si="116"/>
        <v>7140</v>
      </c>
      <c r="I361" s="15">
        <f t="shared" si="127"/>
        <v>2191</v>
      </c>
      <c r="J361" s="15">
        <f>OrdersTable!B361</f>
        <v>213</v>
      </c>
      <c r="K361" s="15" t="str">
        <f t="shared" si="117"/>
        <v>Clothing and Apparel</v>
      </c>
      <c r="L361" s="15" t="str">
        <f t="shared" si="118"/>
        <v>Doctor Who: Fez and Bow Tie</v>
      </c>
      <c r="M361" s="15" t="str">
        <f t="shared" si="119"/>
        <v>-</v>
      </c>
      <c r="N361" s="15">
        <f t="shared" si="120"/>
        <v>0.97499999999999998</v>
      </c>
      <c r="O361" s="15" t="str">
        <f t="shared" si="121"/>
        <v>A50</v>
      </c>
      <c r="P361" s="15" t="str">
        <f t="shared" si="122"/>
        <v>Rassilon Ltd.</v>
      </c>
      <c r="Q361" s="15" t="str">
        <f t="shared" si="123"/>
        <v>82 Richard Mathews Road</v>
      </c>
      <c r="R361" s="3">
        <f>OrdersTable!C361</f>
        <v>44588</v>
      </c>
      <c r="S361" s="15">
        <f>OrdersTable!E361</f>
        <v>7</v>
      </c>
      <c r="T361" s="15">
        <f t="shared" si="124"/>
        <v>19.5</v>
      </c>
      <c r="U361" s="15">
        <f t="shared" si="125"/>
        <v>26.88</v>
      </c>
      <c r="V361" s="15">
        <f t="shared" si="126"/>
        <v>31.59</v>
      </c>
      <c r="W361" s="15">
        <f>IF(MarkupType="Store Markup",ROUND(V361+V361*StoreMarkup,2),IF(MarkupType="Supplier Markup",V361+V361*SupplierMarkup,"Error at finding value"))</f>
        <v>49.75</v>
      </c>
      <c r="X361" s="32" t="str">
        <f t="shared" si="128"/>
        <v>0.00</v>
      </c>
      <c r="Y361" s="15">
        <f t="shared" si="129"/>
        <v>221.13</v>
      </c>
      <c r="Z361" s="15">
        <f t="shared" si="130"/>
        <v>348.25</v>
      </c>
      <c r="AA361" s="15">
        <f>IF(FreightType="Lethbridge-Stewart Freight ",ROUND(2.99+IF(N361&gt;0.75,(N361-0.75)*2.25,0)*S361,2),IF(MarkupType="Supplier Markup",V361+V361*SupplierMarkup,"Error at finding value"))</f>
        <v>6.53</v>
      </c>
      <c r="AB361" s="15">
        <f t="shared" si="131"/>
        <v>0</v>
      </c>
    </row>
    <row r="362" spans="1:28" x14ac:dyDescent="0.25">
      <c r="A362" s="16">
        <f>OrdersTable!A362</f>
        <v>364</v>
      </c>
      <c r="B362" s="15" t="str">
        <f t="shared" si="111"/>
        <v>Dr</v>
      </c>
      <c r="C362" s="15" t="str">
        <f t="shared" si="132"/>
        <v>Reibelt</v>
      </c>
      <c r="D362" s="15" t="str">
        <f t="shared" si="112"/>
        <v>Corey James</v>
      </c>
      <c r="E362" s="15" t="str">
        <f t="shared" si="113"/>
        <v>23 Burns Drive</v>
      </c>
      <c r="F362" s="15" t="str">
        <f t="shared" si="114"/>
        <v>Caliph</v>
      </c>
      <c r="G362" s="15" t="str">
        <f t="shared" si="115"/>
        <v>SA</v>
      </c>
      <c r="H362" s="15">
        <f t="shared" si="116"/>
        <v>5310</v>
      </c>
      <c r="I362" s="15">
        <f t="shared" si="127"/>
        <v>1720</v>
      </c>
      <c r="J362" s="15">
        <f>OrdersTable!B362</f>
        <v>710</v>
      </c>
      <c r="K362" s="15" t="str">
        <f t="shared" si="117"/>
        <v>Posters, Prints and Standees</v>
      </c>
      <c r="L362" s="15" t="str">
        <f t="shared" si="118"/>
        <v>Doctor Who: Poster: Regenerate</v>
      </c>
      <c r="M362" s="15" t="str">
        <f t="shared" si="119"/>
        <v>-</v>
      </c>
      <c r="N362" s="15">
        <f t="shared" si="120"/>
        <v>0.2</v>
      </c>
      <c r="O362" s="15" t="str">
        <f t="shared" si="121"/>
        <v>A40</v>
      </c>
      <c r="P362" s="15" t="str">
        <f t="shared" si="122"/>
        <v>Romana Imports</v>
      </c>
      <c r="Q362" s="15" t="str">
        <f t="shared" si="123"/>
        <v>17 Lalla Ward Road</v>
      </c>
      <c r="R362" s="3">
        <f>OrdersTable!C362</f>
        <v>44588</v>
      </c>
      <c r="S362" s="15">
        <f>OrdersTable!E362</f>
        <v>3</v>
      </c>
      <c r="T362" s="15">
        <f t="shared" si="124"/>
        <v>3.99</v>
      </c>
      <c r="U362" s="15">
        <f t="shared" si="125"/>
        <v>5.5</v>
      </c>
      <c r="V362" s="15">
        <f t="shared" si="126"/>
        <v>6.46</v>
      </c>
      <c r="W362" s="15">
        <f>IF(MarkupType="Store Markup",ROUND(V362+V362*StoreMarkup,2),IF(MarkupType="Supplier Markup",V362+V362*SupplierMarkup,"Error at finding value"))</f>
        <v>10.17</v>
      </c>
      <c r="X362" s="32" t="str">
        <f t="shared" si="128"/>
        <v>0.00</v>
      </c>
      <c r="Y362" s="15">
        <f t="shared" si="129"/>
        <v>19.38</v>
      </c>
      <c r="Z362" s="15">
        <f t="shared" si="130"/>
        <v>30.51</v>
      </c>
      <c r="AA362" s="15">
        <f>IF(FreightType="Lethbridge-Stewart Freight ",ROUND(2.99+IF(N362&gt;0.75,(N362-0.75)*2.25,0)*S362,2),IF(MarkupType="Supplier Markup",V362+V362*SupplierMarkup,"Error at finding value"))</f>
        <v>2.99</v>
      </c>
      <c r="AB362" s="15">
        <f t="shared" si="131"/>
        <v>0</v>
      </c>
    </row>
    <row r="363" spans="1:28" x14ac:dyDescent="0.25">
      <c r="A363" s="16">
        <f>OrdersTable!A363</f>
        <v>448</v>
      </c>
      <c r="B363" s="15" t="str">
        <f t="shared" si="111"/>
        <v>Mr</v>
      </c>
      <c r="C363" s="15" t="str">
        <f t="shared" si="132"/>
        <v>Earl</v>
      </c>
      <c r="D363" s="15" t="str">
        <f t="shared" si="112"/>
        <v>Benn Robert</v>
      </c>
      <c r="E363" s="15" t="str">
        <f t="shared" si="113"/>
        <v>31 Kae Drive</v>
      </c>
      <c r="F363" s="15" t="str">
        <f t="shared" si="114"/>
        <v>Belford</v>
      </c>
      <c r="G363" s="15" t="str">
        <f t="shared" si="115"/>
        <v>NSW</v>
      </c>
      <c r="H363" s="15">
        <f t="shared" si="116"/>
        <v>2335</v>
      </c>
      <c r="I363" s="15">
        <f t="shared" si="127"/>
        <v>716</v>
      </c>
      <c r="J363" s="15">
        <f>OrdersTable!B363</f>
        <v>395</v>
      </c>
      <c r="K363" s="15" t="str">
        <f t="shared" si="117"/>
        <v>Clothing and Apparel</v>
      </c>
      <c r="L363" s="15" t="str">
        <f t="shared" si="118"/>
        <v xml:space="preserve">Doctor Who: T-Shirts: 7th Doctor Costume </v>
      </c>
      <c r="M363" s="15" t="str">
        <f t="shared" si="119"/>
        <v>L</v>
      </c>
      <c r="N363" s="15">
        <f t="shared" si="120"/>
        <v>0.8</v>
      </c>
      <c r="O363" s="15" t="str">
        <f t="shared" si="121"/>
        <v>A10</v>
      </c>
      <c r="P363" s="15" t="str">
        <f t="shared" si="122"/>
        <v>Gallifrey International</v>
      </c>
      <c r="Q363" s="15" t="str">
        <f t="shared" si="123"/>
        <v>181 Arcadia Street</v>
      </c>
      <c r="R363" s="3">
        <f>OrdersTable!C363</f>
        <v>44588</v>
      </c>
      <c r="S363" s="15">
        <f>OrdersTable!E363</f>
        <v>7</v>
      </c>
      <c r="T363" s="15">
        <f t="shared" si="124"/>
        <v>15.99</v>
      </c>
      <c r="U363" s="15">
        <f t="shared" si="125"/>
        <v>22.07</v>
      </c>
      <c r="V363" s="15">
        <f t="shared" si="126"/>
        <v>25.9</v>
      </c>
      <c r="W363" s="15">
        <f>IF(MarkupType="Store Markup",ROUND(V363+V363*StoreMarkup,2),IF(MarkupType="Supplier Markup",V363+V363*SupplierMarkup,"Error at finding value"))</f>
        <v>40.79</v>
      </c>
      <c r="X363" s="32" t="str">
        <f t="shared" si="128"/>
        <v>0.00</v>
      </c>
      <c r="Y363" s="15">
        <f t="shared" si="129"/>
        <v>181.3</v>
      </c>
      <c r="Z363" s="15">
        <f t="shared" si="130"/>
        <v>285.52999999999997</v>
      </c>
      <c r="AA363" s="15">
        <f>IF(FreightType="Lethbridge-Stewart Freight ",ROUND(2.99+IF(N363&gt;0.75,(N363-0.75)*2.25,0)*S363,2),IF(MarkupType="Supplier Markup",V363+V363*SupplierMarkup,"Error at finding value"))</f>
        <v>3.78</v>
      </c>
      <c r="AB363" s="15">
        <f t="shared" si="131"/>
        <v>0</v>
      </c>
    </row>
    <row r="364" spans="1:28" x14ac:dyDescent="0.25">
      <c r="A364" s="16">
        <f>OrdersTable!A364</f>
        <v>527</v>
      </c>
      <c r="B364" s="15" t="str">
        <f t="shared" si="111"/>
        <v>Mr</v>
      </c>
      <c r="C364" s="15" t="str">
        <f t="shared" si="132"/>
        <v>McTaggart</v>
      </c>
      <c r="D364" s="15" t="str">
        <f t="shared" si="112"/>
        <v>Daniel</v>
      </c>
      <c r="E364" s="15" t="str">
        <f t="shared" si="113"/>
        <v>24 Mulholland Avenue</v>
      </c>
      <c r="F364" s="15" t="str">
        <f t="shared" si="114"/>
        <v>Belconnen</v>
      </c>
      <c r="G364" s="15" t="str">
        <f t="shared" si="115"/>
        <v>ACT</v>
      </c>
      <c r="H364" s="15">
        <f t="shared" si="116"/>
        <v>2617</v>
      </c>
      <c r="I364" s="15">
        <f t="shared" si="127"/>
        <v>1194</v>
      </c>
      <c r="J364" s="15">
        <f>OrdersTable!B364</f>
        <v>725</v>
      </c>
      <c r="K364" s="15" t="str">
        <f t="shared" si="117"/>
        <v>Props and Replicas</v>
      </c>
      <c r="L364" s="15" t="str">
        <f t="shared" si="118"/>
        <v>Doctor Who: Captain Jack Sonic Blaster</v>
      </c>
      <c r="M364" s="15" t="str">
        <f t="shared" si="119"/>
        <v>-</v>
      </c>
      <c r="N364" s="15">
        <f t="shared" si="120"/>
        <v>14.8</v>
      </c>
      <c r="O364" s="15" t="str">
        <f t="shared" si="121"/>
        <v>A30</v>
      </c>
      <c r="P364" s="15" t="str">
        <f t="shared" si="122"/>
        <v>Chesterton Enterprises</v>
      </c>
      <c r="Q364" s="15" t="str">
        <f t="shared" si="123"/>
        <v>41 William Russell Road</v>
      </c>
      <c r="R364" s="3">
        <f>OrdersTable!C364</f>
        <v>44588</v>
      </c>
      <c r="S364" s="15">
        <f>OrdersTable!E364</f>
        <v>3</v>
      </c>
      <c r="T364" s="15">
        <f t="shared" si="124"/>
        <v>295.99</v>
      </c>
      <c r="U364" s="15">
        <f t="shared" si="125"/>
        <v>403.88</v>
      </c>
      <c r="V364" s="15">
        <f t="shared" si="126"/>
        <v>479.5</v>
      </c>
      <c r="W364" s="15">
        <f>IF(MarkupType="Store Markup",ROUND(V364+V364*StoreMarkup,2),IF(MarkupType="Supplier Markup",V364+V364*SupplierMarkup,"Error at finding value"))</f>
        <v>755.21</v>
      </c>
      <c r="X364" s="32">
        <f t="shared" si="128"/>
        <v>53.81</v>
      </c>
      <c r="Y364" s="15">
        <f t="shared" si="129"/>
        <v>1438.5</v>
      </c>
      <c r="Z364" s="15">
        <f t="shared" si="130"/>
        <v>2104.1999999999998</v>
      </c>
      <c r="AA364" s="15">
        <f>IF(FreightType="Lethbridge-Stewart Freight ",ROUND(2.99+IF(N364&gt;0.75,(N364-0.75)*2.25,0)*S364,2),IF(MarkupType="Supplier Markup",V364+V364*SupplierMarkup,"Error at finding value"))</f>
        <v>97.83</v>
      </c>
      <c r="AB364" s="15">
        <f t="shared" si="131"/>
        <v>161.43</v>
      </c>
    </row>
    <row r="365" spans="1:28" x14ac:dyDescent="0.25">
      <c r="A365" s="16">
        <f>OrdersTable!A365</f>
        <v>540</v>
      </c>
      <c r="B365" s="15" t="str">
        <f t="shared" si="111"/>
        <v>Dr</v>
      </c>
      <c r="C365" s="15" t="str">
        <f t="shared" si="132"/>
        <v>Hackett</v>
      </c>
      <c r="D365" s="15" t="str">
        <f t="shared" si="112"/>
        <v>Patrick</v>
      </c>
      <c r="E365" s="15" t="str">
        <f t="shared" si="113"/>
        <v>25 Sweet Drive</v>
      </c>
      <c r="F365" s="15" t="str">
        <f t="shared" si="114"/>
        <v>Bridgewater</v>
      </c>
      <c r="G365" s="15" t="str">
        <f t="shared" si="115"/>
        <v>VIC</v>
      </c>
      <c r="H365" s="15">
        <f t="shared" si="116"/>
        <v>3516</v>
      </c>
      <c r="I365" s="15">
        <f t="shared" si="127"/>
        <v>1486</v>
      </c>
      <c r="J365" s="15">
        <f>OrdersTable!B365</f>
        <v>177</v>
      </c>
      <c r="K365" s="15" t="str">
        <f t="shared" si="117"/>
        <v>Bobbleheads</v>
      </c>
      <c r="L365" s="15" t="str">
        <f t="shared" si="118"/>
        <v>Doctor Who: Bobblehead: TARDIS (With Sound)</v>
      </c>
      <c r="M365" s="15" t="str">
        <f t="shared" si="119"/>
        <v>-</v>
      </c>
      <c r="N365" s="15">
        <f t="shared" si="120"/>
        <v>1</v>
      </c>
      <c r="O365" s="15" t="str">
        <f t="shared" si="121"/>
        <v>A30</v>
      </c>
      <c r="P365" s="15" t="str">
        <f t="shared" si="122"/>
        <v>Chesterton Enterprises</v>
      </c>
      <c r="Q365" s="15" t="str">
        <f t="shared" si="123"/>
        <v>41 William Russell Road</v>
      </c>
      <c r="R365" s="3">
        <f>OrdersTable!C365</f>
        <v>44588</v>
      </c>
      <c r="S365" s="15">
        <f>OrdersTable!E365</f>
        <v>7</v>
      </c>
      <c r="T365" s="15">
        <f t="shared" si="124"/>
        <v>19.989999999999998</v>
      </c>
      <c r="U365" s="15">
        <f t="shared" si="125"/>
        <v>27.6</v>
      </c>
      <c r="V365" s="15">
        <f t="shared" si="126"/>
        <v>32.380000000000003</v>
      </c>
      <c r="W365" s="15">
        <f>IF(MarkupType="Store Markup",ROUND(V365+V365*StoreMarkup,2),IF(MarkupType="Supplier Markup",V365+V365*SupplierMarkup,"Error at finding value"))</f>
        <v>51</v>
      </c>
      <c r="X365" s="32" t="str">
        <f t="shared" si="128"/>
        <v>0.00</v>
      </c>
      <c r="Y365" s="15">
        <f t="shared" si="129"/>
        <v>226.66</v>
      </c>
      <c r="Z365" s="15">
        <f t="shared" si="130"/>
        <v>357</v>
      </c>
      <c r="AA365" s="15">
        <f>IF(FreightType="Lethbridge-Stewart Freight ",ROUND(2.99+IF(N365&gt;0.75,(N365-0.75)*2.25,0)*S365,2),IF(MarkupType="Supplier Markup",V365+V365*SupplierMarkup,"Error at finding value"))</f>
        <v>6.93</v>
      </c>
      <c r="AB365" s="15">
        <f t="shared" si="131"/>
        <v>0</v>
      </c>
    </row>
    <row r="366" spans="1:28" x14ac:dyDescent="0.25">
      <c r="A366" s="16">
        <f>OrdersTable!A366</f>
        <v>561</v>
      </c>
      <c r="B366" s="15" t="str">
        <f t="shared" si="111"/>
        <v>Ms</v>
      </c>
      <c r="C366" s="15" t="str">
        <f t="shared" si="132"/>
        <v>Mulcahy</v>
      </c>
      <c r="D366" s="15" t="str">
        <f t="shared" si="112"/>
        <v>Jodie Leigh</v>
      </c>
      <c r="E366" s="15" t="str">
        <f t="shared" si="113"/>
        <v>32 Scott Crescent</v>
      </c>
      <c r="F366" s="15" t="str">
        <f t="shared" si="114"/>
        <v>Bray Park</v>
      </c>
      <c r="G366" s="15" t="str">
        <f t="shared" si="115"/>
        <v>QLD</v>
      </c>
      <c r="H366" s="15">
        <f t="shared" si="116"/>
        <v>4500</v>
      </c>
      <c r="I366" s="15">
        <f t="shared" si="127"/>
        <v>139</v>
      </c>
      <c r="J366" s="15">
        <f>OrdersTable!B366</f>
        <v>813</v>
      </c>
      <c r="K366" s="15" t="str">
        <f t="shared" si="117"/>
        <v>Statues and Busts</v>
      </c>
      <c r="L366" s="15" t="str">
        <f t="shared" si="118"/>
        <v>Doctor Who: Masterpiece Collection Maxi Bust: Leela</v>
      </c>
      <c r="M366" s="15" t="str">
        <f t="shared" si="119"/>
        <v>-</v>
      </c>
      <c r="N366" s="15">
        <f t="shared" si="120"/>
        <v>2.5</v>
      </c>
      <c r="O366" s="15" t="str">
        <f t="shared" si="121"/>
        <v>A30</v>
      </c>
      <c r="P366" s="15" t="str">
        <f t="shared" si="122"/>
        <v>Chesterton Enterprises</v>
      </c>
      <c r="Q366" s="15" t="str">
        <f t="shared" si="123"/>
        <v>41 William Russell Road</v>
      </c>
      <c r="R366" s="3">
        <f>OrdersTable!C366</f>
        <v>44588</v>
      </c>
      <c r="S366" s="15">
        <f>OrdersTable!E366</f>
        <v>4</v>
      </c>
      <c r="T366" s="15">
        <f t="shared" si="124"/>
        <v>49.99</v>
      </c>
      <c r="U366" s="15">
        <f t="shared" si="125"/>
        <v>68.319999999999993</v>
      </c>
      <c r="V366" s="15">
        <f t="shared" si="126"/>
        <v>80.98</v>
      </c>
      <c r="W366" s="15">
        <f>IF(MarkupType="Store Markup",ROUND(V366+V366*StoreMarkup,2),IF(MarkupType="Supplier Markup",V366+V366*SupplierMarkup,"Error at finding value"))</f>
        <v>127.54</v>
      </c>
      <c r="X366" s="32">
        <f t="shared" si="128"/>
        <v>9.09</v>
      </c>
      <c r="Y366" s="15">
        <f t="shared" si="129"/>
        <v>323.92</v>
      </c>
      <c r="Z366" s="15">
        <f t="shared" si="130"/>
        <v>473.8</v>
      </c>
      <c r="AA366" s="15">
        <f>IF(FreightType="Lethbridge-Stewart Freight ",ROUND(2.99+IF(N366&gt;0.75,(N366-0.75)*2.25,0)*S366,2),IF(MarkupType="Supplier Markup",V366+V366*SupplierMarkup,"Error at finding value"))</f>
        <v>18.739999999999998</v>
      </c>
      <c r="AB366" s="15">
        <f t="shared" si="131"/>
        <v>36.36</v>
      </c>
    </row>
    <row r="367" spans="1:28" x14ac:dyDescent="0.25">
      <c r="A367" s="16">
        <f>OrdersTable!A367</f>
        <v>570</v>
      </c>
      <c r="B367" s="15" t="str">
        <f t="shared" si="111"/>
        <v>Mr</v>
      </c>
      <c r="C367" s="15" t="str">
        <f t="shared" si="132"/>
        <v>Adams</v>
      </c>
      <c r="D367" s="15" t="str">
        <f t="shared" si="112"/>
        <v>Matthew</v>
      </c>
      <c r="E367" s="15" t="str">
        <f t="shared" si="113"/>
        <v>36 Fenech Avenue</v>
      </c>
      <c r="F367" s="15" t="str">
        <f t="shared" si="114"/>
        <v>Bray Park</v>
      </c>
      <c r="G367" s="15" t="str">
        <f t="shared" si="115"/>
        <v>QLD</v>
      </c>
      <c r="H367" s="15">
        <f t="shared" si="116"/>
        <v>4500</v>
      </c>
      <c r="I367" s="15">
        <f t="shared" si="127"/>
        <v>139</v>
      </c>
      <c r="J367" s="15">
        <f>OrdersTable!B367</f>
        <v>702</v>
      </c>
      <c r="K367" s="15" t="str">
        <f t="shared" si="117"/>
        <v>Posters, Prints and Standees</v>
      </c>
      <c r="L367" s="15" t="str">
        <f t="shared" si="118"/>
        <v>Doctor Who: Poster: Daleks</v>
      </c>
      <c r="M367" s="15" t="str">
        <f t="shared" si="119"/>
        <v>-</v>
      </c>
      <c r="N367" s="15">
        <f t="shared" si="120"/>
        <v>0.2</v>
      </c>
      <c r="O367" s="15" t="str">
        <f t="shared" si="121"/>
        <v>A50</v>
      </c>
      <c r="P367" s="15" t="str">
        <f t="shared" si="122"/>
        <v>Rassilon Ltd.</v>
      </c>
      <c r="Q367" s="15" t="str">
        <f t="shared" si="123"/>
        <v>82 Richard Mathews Road</v>
      </c>
      <c r="R367" s="3">
        <f>OrdersTable!C367</f>
        <v>44588</v>
      </c>
      <c r="S367" s="15">
        <f>OrdersTable!E367</f>
        <v>3</v>
      </c>
      <c r="T367" s="15">
        <f t="shared" si="124"/>
        <v>3.99</v>
      </c>
      <c r="U367" s="15">
        <f t="shared" si="125"/>
        <v>5.46</v>
      </c>
      <c r="V367" s="15">
        <f t="shared" si="126"/>
        <v>6.46</v>
      </c>
      <c r="W367" s="15">
        <f>IF(MarkupType="Store Markup",ROUND(V367+V367*StoreMarkup,2),IF(MarkupType="Supplier Markup",V367+V367*SupplierMarkup,"Error at finding value"))</f>
        <v>10.17</v>
      </c>
      <c r="X367" s="32" t="str">
        <f t="shared" si="128"/>
        <v>0.00</v>
      </c>
      <c r="Y367" s="15">
        <f t="shared" si="129"/>
        <v>19.38</v>
      </c>
      <c r="Z367" s="15">
        <f t="shared" si="130"/>
        <v>30.51</v>
      </c>
      <c r="AA367" s="15">
        <f>IF(FreightType="Lethbridge-Stewart Freight ",ROUND(2.99+IF(N367&gt;0.75,(N367-0.75)*2.25,0)*S367,2),IF(MarkupType="Supplier Markup",V367+V367*SupplierMarkup,"Error at finding value"))</f>
        <v>2.99</v>
      </c>
      <c r="AB367" s="15">
        <f t="shared" si="131"/>
        <v>0</v>
      </c>
    </row>
    <row r="368" spans="1:28" x14ac:dyDescent="0.25">
      <c r="A368" s="16">
        <f>OrdersTable!A368</f>
        <v>841</v>
      </c>
      <c r="B368" s="15" t="str">
        <f t="shared" si="111"/>
        <v>Miss</v>
      </c>
      <c r="C368" s="15" t="str">
        <f t="shared" si="132"/>
        <v>Donaghy</v>
      </c>
      <c r="D368" s="15" t="str">
        <f t="shared" si="112"/>
        <v>Elizabeth Mathilde Jane</v>
      </c>
      <c r="E368" s="15" t="str">
        <f t="shared" si="113"/>
        <v>31 Johnson Boulevard</v>
      </c>
      <c r="F368" s="15" t="str">
        <f t="shared" si="114"/>
        <v>Belford</v>
      </c>
      <c r="G368" s="15" t="str">
        <f t="shared" si="115"/>
        <v>NSW</v>
      </c>
      <c r="H368" s="15">
        <f t="shared" si="116"/>
        <v>2335</v>
      </c>
      <c r="I368" s="15">
        <f t="shared" si="127"/>
        <v>716</v>
      </c>
      <c r="J368" s="15">
        <f>OrdersTable!B368</f>
        <v>620</v>
      </c>
      <c r="K368" s="15" t="str">
        <f t="shared" si="117"/>
        <v>iPhone Skins</v>
      </c>
      <c r="L368" s="15" t="str">
        <f t="shared" si="118"/>
        <v>Doctor Who: iPhone Skin: TARDIS Water Colour</v>
      </c>
      <c r="M368" s="15" t="str">
        <f t="shared" si="119"/>
        <v>-</v>
      </c>
      <c r="N368" s="15">
        <f t="shared" si="120"/>
        <v>0.5</v>
      </c>
      <c r="O368" s="15" t="str">
        <f t="shared" si="121"/>
        <v>A30</v>
      </c>
      <c r="P368" s="15" t="str">
        <f t="shared" si="122"/>
        <v>Chesterton Enterprises</v>
      </c>
      <c r="Q368" s="15" t="str">
        <f t="shared" si="123"/>
        <v>41 William Russell Road</v>
      </c>
      <c r="R368" s="3">
        <f>OrdersTable!C368</f>
        <v>44588</v>
      </c>
      <c r="S368" s="15">
        <f>OrdersTable!E368</f>
        <v>2</v>
      </c>
      <c r="T368" s="15">
        <f t="shared" si="124"/>
        <v>9.99</v>
      </c>
      <c r="U368" s="15">
        <f t="shared" si="125"/>
        <v>13.81</v>
      </c>
      <c r="V368" s="15">
        <f t="shared" si="126"/>
        <v>16.18</v>
      </c>
      <c r="W368" s="15">
        <f>IF(MarkupType="Store Markup",ROUND(V368+V368*StoreMarkup,2),IF(MarkupType="Supplier Markup",V368+V368*SupplierMarkup,"Error at finding value"))</f>
        <v>25.48</v>
      </c>
      <c r="X368" s="32" t="str">
        <f t="shared" si="128"/>
        <v>0.00</v>
      </c>
      <c r="Y368" s="15">
        <f t="shared" si="129"/>
        <v>32.36</v>
      </c>
      <c r="Z368" s="15">
        <f t="shared" si="130"/>
        <v>50.96</v>
      </c>
      <c r="AA368" s="15">
        <f>IF(FreightType="Lethbridge-Stewart Freight ",ROUND(2.99+IF(N368&gt;0.75,(N368-0.75)*2.25,0)*S368,2),IF(MarkupType="Supplier Markup",V368+V368*SupplierMarkup,"Error at finding value"))</f>
        <v>2.99</v>
      </c>
      <c r="AB368" s="15">
        <f t="shared" si="131"/>
        <v>0</v>
      </c>
    </row>
    <row r="369" spans="1:28" x14ac:dyDescent="0.25">
      <c r="A369" s="16">
        <f>OrdersTable!A369</f>
        <v>46</v>
      </c>
      <c r="B369" s="15" t="str">
        <f t="shared" si="111"/>
        <v>Mrs</v>
      </c>
      <c r="C369" s="15" t="str">
        <f t="shared" si="132"/>
        <v>Dovey</v>
      </c>
      <c r="D369" s="15" t="str">
        <f t="shared" si="112"/>
        <v>Aisha Jade</v>
      </c>
      <c r="E369" s="15" t="str">
        <f t="shared" si="113"/>
        <v>43 Wilkes Circuit</v>
      </c>
      <c r="F369" s="15" t="str">
        <f t="shared" si="114"/>
        <v>Alfredtown</v>
      </c>
      <c r="G369" s="15" t="str">
        <f t="shared" si="115"/>
        <v>NSW</v>
      </c>
      <c r="H369" s="15">
        <f t="shared" si="116"/>
        <v>2650</v>
      </c>
      <c r="I369" s="15">
        <f t="shared" si="127"/>
        <v>1124</v>
      </c>
      <c r="J369" s="15">
        <f>OrdersTable!B369</f>
        <v>607</v>
      </c>
      <c r="K369" s="15" t="str">
        <f t="shared" si="117"/>
        <v>iPhone Skins</v>
      </c>
      <c r="L369" s="15" t="str">
        <f t="shared" si="118"/>
        <v>Doctor Who: iPhone Skin: Keep Calm I'm The Doctor</v>
      </c>
      <c r="M369" s="15" t="str">
        <f t="shared" si="119"/>
        <v>-</v>
      </c>
      <c r="N369" s="15">
        <f t="shared" si="120"/>
        <v>0.5</v>
      </c>
      <c r="O369" s="15" t="str">
        <f t="shared" si="121"/>
        <v>A40</v>
      </c>
      <c r="P369" s="15" t="str">
        <f t="shared" si="122"/>
        <v>Romana Imports</v>
      </c>
      <c r="Q369" s="15" t="str">
        <f t="shared" si="123"/>
        <v>17 Lalla Ward Road</v>
      </c>
      <c r="R369" s="3">
        <f>OrdersTable!C369</f>
        <v>44589</v>
      </c>
      <c r="S369" s="15">
        <f>OrdersTable!E369</f>
        <v>8</v>
      </c>
      <c r="T369" s="15">
        <f t="shared" si="124"/>
        <v>9.99</v>
      </c>
      <c r="U369" s="15">
        <f t="shared" si="125"/>
        <v>13.81</v>
      </c>
      <c r="V369" s="15">
        <f t="shared" si="126"/>
        <v>16.18</v>
      </c>
      <c r="W369" s="15">
        <f>IF(MarkupType="Store Markup",ROUND(V369+V369*StoreMarkup,2),IF(MarkupType="Supplier Markup",V369+V369*SupplierMarkup,"Error at finding value"))</f>
        <v>25.48</v>
      </c>
      <c r="X369" s="32" t="str">
        <f t="shared" si="128"/>
        <v>0.00</v>
      </c>
      <c r="Y369" s="15">
        <f t="shared" si="129"/>
        <v>129.44</v>
      </c>
      <c r="Z369" s="15">
        <f t="shared" si="130"/>
        <v>203.84</v>
      </c>
      <c r="AA369" s="15">
        <f>IF(FreightType="Lethbridge-Stewart Freight ",ROUND(2.99+IF(N369&gt;0.75,(N369-0.75)*2.25,0)*S369,2),IF(MarkupType="Supplier Markup",V369+V369*SupplierMarkup,"Error at finding value"))</f>
        <v>2.99</v>
      </c>
      <c r="AB369" s="15">
        <f t="shared" si="131"/>
        <v>0</v>
      </c>
    </row>
    <row r="370" spans="1:28" x14ac:dyDescent="0.25">
      <c r="A370" s="16">
        <f>OrdersTable!A370</f>
        <v>150</v>
      </c>
      <c r="B370" s="15" t="str">
        <f t="shared" si="111"/>
        <v>Dr</v>
      </c>
      <c r="C370" s="15" t="str">
        <f t="shared" si="132"/>
        <v>Taumalolo</v>
      </c>
      <c r="D370" s="15" t="str">
        <f t="shared" si="112"/>
        <v>Latai Fono-Ki-Moana</v>
      </c>
      <c r="E370" s="15" t="str">
        <f t="shared" si="113"/>
        <v>13 Taylor Way</v>
      </c>
      <c r="F370" s="15" t="str">
        <f t="shared" si="114"/>
        <v>Bamboo</v>
      </c>
      <c r="G370" s="15" t="str">
        <f t="shared" si="115"/>
        <v>QLD</v>
      </c>
      <c r="H370" s="15">
        <f t="shared" si="116"/>
        <v>4873</v>
      </c>
      <c r="I370" s="15">
        <f t="shared" si="127"/>
        <v>1741</v>
      </c>
      <c r="J370" s="15">
        <f>OrdersTable!B370</f>
        <v>620</v>
      </c>
      <c r="K370" s="15" t="str">
        <f t="shared" si="117"/>
        <v>iPhone Skins</v>
      </c>
      <c r="L370" s="15" t="str">
        <f t="shared" si="118"/>
        <v>Doctor Who: iPhone Skin: TARDIS Water Colour</v>
      </c>
      <c r="M370" s="15" t="str">
        <f t="shared" si="119"/>
        <v>-</v>
      </c>
      <c r="N370" s="15">
        <f t="shared" si="120"/>
        <v>0.5</v>
      </c>
      <c r="O370" s="15" t="str">
        <f t="shared" si="121"/>
        <v>A30</v>
      </c>
      <c r="P370" s="15" t="str">
        <f t="shared" si="122"/>
        <v>Chesterton Enterprises</v>
      </c>
      <c r="Q370" s="15" t="str">
        <f t="shared" si="123"/>
        <v>41 William Russell Road</v>
      </c>
      <c r="R370" s="3">
        <f>OrdersTable!C370</f>
        <v>44589</v>
      </c>
      <c r="S370" s="15">
        <f>OrdersTable!E370</f>
        <v>8</v>
      </c>
      <c r="T370" s="15">
        <f t="shared" si="124"/>
        <v>9.99</v>
      </c>
      <c r="U370" s="15">
        <f t="shared" si="125"/>
        <v>13.81</v>
      </c>
      <c r="V370" s="15">
        <f t="shared" si="126"/>
        <v>16.18</v>
      </c>
      <c r="W370" s="15">
        <f>IF(MarkupType="Store Markup",ROUND(V370+V370*StoreMarkup,2),IF(MarkupType="Supplier Markup",V370+V370*SupplierMarkup,"Error at finding value"))</f>
        <v>25.48</v>
      </c>
      <c r="X370" s="32" t="str">
        <f t="shared" si="128"/>
        <v>0.00</v>
      </c>
      <c r="Y370" s="15">
        <f t="shared" si="129"/>
        <v>129.44</v>
      </c>
      <c r="Z370" s="15">
        <f t="shared" si="130"/>
        <v>203.84</v>
      </c>
      <c r="AA370" s="15">
        <f>IF(FreightType="Lethbridge-Stewart Freight ",ROUND(2.99+IF(N370&gt;0.75,(N370-0.75)*2.25,0)*S370,2),IF(MarkupType="Supplier Markup",V370+V370*SupplierMarkup,"Error at finding value"))</f>
        <v>2.99</v>
      </c>
      <c r="AB370" s="15">
        <f t="shared" si="131"/>
        <v>0</v>
      </c>
    </row>
    <row r="371" spans="1:28" x14ac:dyDescent="0.25">
      <c r="A371" s="16">
        <f>OrdersTable!A371</f>
        <v>308</v>
      </c>
      <c r="B371" s="15" t="str">
        <f t="shared" si="111"/>
        <v>Dr</v>
      </c>
      <c r="C371" s="15" t="str">
        <f t="shared" si="132"/>
        <v>Azar</v>
      </c>
      <c r="D371" s="15" t="str">
        <f t="shared" si="112"/>
        <v>Mariam</v>
      </c>
      <c r="E371" s="15" t="str">
        <f t="shared" si="113"/>
        <v>26 Osmond Road</v>
      </c>
      <c r="F371" s="15" t="str">
        <f t="shared" si="114"/>
        <v>Boston</v>
      </c>
      <c r="G371" s="15" t="str">
        <f t="shared" si="115"/>
        <v>SA</v>
      </c>
      <c r="H371" s="15">
        <f t="shared" si="116"/>
        <v>5607</v>
      </c>
      <c r="I371" s="15">
        <f t="shared" si="127"/>
        <v>2076</v>
      </c>
      <c r="J371" s="15">
        <f>OrdersTable!B371</f>
        <v>681</v>
      </c>
      <c r="K371" s="15" t="str">
        <f t="shared" si="117"/>
        <v>Mugs</v>
      </c>
      <c r="L371" s="15" t="str">
        <f t="shared" si="118"/>
        <v>Doctor Who: Mug: The First Doctor</v>
      </c>
      <c r="M371" s="15" t="str">
        <f t="shared" si="119"/>
        <v>-</v>
      </c>
      <c r="N371" s="15">
        <f t="shared" si="120"/>
        <v>0.45</v>
      </c>
      <c r="O371" s="15" t="str">
        <f t="shared" si="121"/>
        <v>A20</v>
      </c>
      <c r="P371" s="15" t="str">
        <f t="shared" si="122"/>
        <v>Morbius Inc.</v>
      </c>
      <c r="Q371" s="15" t="str">
        <f t="shared" si="123"/>
        <v>56 Michael Spice Hwy</v>
      </c>
      <c r="R371" s="3">
        <f>OrdersTable!C371</f>
        <v>44589</v>
      </c>
      <c r="S371" s="15">
        <f>OrdersTable!E371</f>
        <v>4</v>
      </c>
      <c r="T371" s="15">
        <f t="shared" si="124"/>
        <v>8.99</v>
      </c>
      <c r="U371" s="15">
        <f t="shared" si="125"/>
        <v>12.51</v>
      </c>
      <c r="V371" s="15">
        <f t="shared" si="126"/>
        <v>14.56</v>
      </c>
      <c r="W371" s="15">
        <f>IF(MarkupType="Store Markup",ROUND(V371+V371*StoreMarkup,2),IF(MarkupType="Supplier Markup",V371+V371*SupplierMarkup,"Error at finding value"))</f>
        <v>22.93</v>
      </c>
      <c r="X371" s="32" t="str">
        <f t="shared" si="128"/>
        <v>0.00</v>
      </c>
      <c r="Y371" s="15">
        <f t="shared" si="129"/>
        <v>58.24</v>
      </c>
      <c r="Z371" s="15">
        <f t="shared" si="130"/>
        <v>91.72</v>
      </c>
      <c r="AA371" s="15">
        <f>IF(FreightType="Lethbridge-Stewart Freight ",ROUND(2.99+IF(N371&gt;0.75,(N371-0.75)*2.25,0)*S371,2),IF(MarkupType="Supplier Markup",V371+V371*SupplierMarkup,"Error at finding value"))</f>
        <v>2.99</v>
      </c>
      <c r="AB371" s="15">
        <f t="shared" si="131"/>
        <v>0</v>
      </c>
    </row>
    <row r="372" spans="1:28" x14ac:dyDescent="0.25">
      <c r="A372" s="16">
        <f>OrdersTable!A372</f>
        <v>360</v>
      </c>
      <c r="B372" s="15" t="str">
        <f t="shared" si="111"/>
        <v>Ms</v>
      </c>
      <c r="C372" s="15" t="str">
        <f t="shared" si="132"/>
        <v>Bobonica</v>
      </c>
      <c r="D372" s="15" t="str">
        <f t="shared" si="112"/>
        <v>Claudia</v>
      </c>
      <c r="E372" s="15" t="str">
        <f t="shared" si="113"/>
        <v>47 Klein Way</v>
      </c>
      <c r="F372" s="15" t="str">
        <f t="shared" si="114"/>
        <v>Avon Plains</v>
      </c>
      <c r="G372" s="15" t="str">
        <f t="shared" si="115"/>
        <v>VIC</v>
      </c>
      <c r="H372" s="15">
        <f t="shared" si="116"/>
        <v>3477</v>
      </c>
      <c r="I372" s="15">
        <f t="shared" si="127"/>
        <v>1565</v>
      </c>
      <c r="J372" s="15">
        <f>OrdersTable!B372</f>
        <v>862</v>
      </c>
      <c r="K372" s="15" t="str">
        <f t="shared" si="117"/>
        <v>Statues and Busts</v>
      </c>
      <c r="L372" s="15" t="str">
        <f t="shared" si="118"/>
        <v>Doctor Who: TITANS: The 10th Doctor</v>
      </c>
      <c r="M372" s="15" t="str">
        <f t="shared" si="119"/>
        <v>-</v>
      </c>
      <c r="N372" s="15">
        <f t="shared" si="120"/>
        <v>0.4</v>
      </c>
      <c r="O372" s="15" t="str">
        <f t="shared" si="121"/>
        <v>A40</v>
      </c>
      <c r="P372" s="15" t="str">
        <f t="shared" si="122"/>
        <v>Romana Imports</v>
      </c>
      <c r="Q372" s="15" t="str">
        <f t="shared" si="123"/>
        <v>17 Lalla Ward Road</v>
      </c>
      <c r="R372" s="3">
        <f>OrdersTable!C372</f>
        <v>44589</v>
      </c>
      <c r="S372" s="15">
        <f>OrdersTable!E372</f>
        <v>1</v>
      </c>
      <c r="T372" s="15">
        <f t="shared" si="124"/>
        <v>7.99</v>
      </c>
      <c r="U372" s="15">
        <f t="shared" si="125"/>
        <v>11.01</v>
      </c>
      <c r="V372" s="15">
        <f t="shared" si="126"/>
        <v>12.94</v>
      </c>
      <c r="W372" s="15">
        <f>IF(MarkupType="Store Markup",ROUND(V372+V372*StoreMarkup,2),IF(MarkupType="Supplier Markup",V372+V372*SupplierMarkup,"Error at finding value"))</f>
        <v>20.38</v>
      </c>
      <c r="X372" s="32" t="str">
        <f t="shared" si="128"/>
        <v>0.00</v>
      </c>
      <c r="Y372" s="15">
        <f t="shared" si="129"/>
        <v>12.94</v>
      </c>
      <c r="Z372" s="15">
        <f t="shared" si="130"/>
        <v>20.38</v>
      </c>
      <c r="AA372" s="15">
        <f>IF(FreightType="Lethbridge-Stewart Freight ",ROUND(2.99+IF(N372&gt;0.75,(N372-0.75)*2.25,0)*S372,2),IF(MarkupType="Supplier Markup",V372+V372*SupplierMarkup,"Error at finding value"))</f>
        <v>2.99</v>
      </c>
      <c r="AB372" s="15">
        <f t="shared" si="131"/>
        <v>0</v>
      </c>
    </row>
    <row r="373" spans="1:28" x14ac:dyDescent="0.25">
      <c r="A373" s="16">
        <f>OrdersTable!A373</f>
        <v>515</v>
      </c>
      <c r="B373" s="15" t="str">
        <f t="shared" si="111"/>
        <v>Mr</v>
      </c>
      <c r="C373" s="15" t="str">
        <f t="shared" si="132"/>
        <v>Noffke</v>
      </c>
      <c r="D373" s="15" t="str">
        <f t="shared" si="112"/>
        <v>William Thomas</v>
      </c>
      <c r="E373" s="15" t="str">
        <f t="shared" si="113"/>
        <v>20 Tyler Drive</v>
      </c>
      <c r="F373" s="15" t="str">
        <f t="shared" si="114"/>
        <v>Areegra</v>
      </c>
      <c r="G373" s="15" t="str">
        <f t="shared" si="115"/>
        <v>VIC</v>
      </c>
      <c r="H373" s="15">
        <f t="shared" si="116"/>
        <v>3480</v>
      </c>
      <c r="I373" s="15">
        <f t="shared" si="127"/>
        <v>1559</v>
      </c>
      <c r="J373" s="15">
        <f>OrdersTable!B373</f>
        <v>709</v>
      </c>
      <c r="K373" s="15" t="str">
        <f t="shared" si="117"/>
        <v>Posters, Prints and Standees</v>
      </c>
      <c r="L373" s="15" t="str">
        <f t="shared" si="118"/>
        <v>Doctor Who: Poster: Metallic TARDIS</v>
      </c>
      <c r="M373" s="15" t="str">
        <f t="shared" si="119"/>
        <v>-</v>
      </c>
      <c r="N373" s="15">
        <f t="shared" si="120"/>
        <v>0.2</v>
      </c>
      <c r="O373" s="15" t="str">
        <f t="shared" si="121"/>
        <v>A10</v>
      </c>
      <c r="P373" s="15" t="str">
        <f t="shared" si="122"/>
        <v>Gallifrey International</v>
      </c>
      <c r="Q373" s="15" t="str">
        <f t="shared" si="123"/>
        <v>181 Arcadia Street</v>
      </c>
      <c r="R373" s="3">
        <f>OrdersTable!C373</f>
        <v>44589</v>
      </c>
      <c r="S373" s="15">
        <f>OrdersTable!E373</f>
        <v>9</v>
      </c>
      <c r="T373" s="15">
        <f t="shared" si="124"/>
        <v>3.99</v>
      </c>
      <c r="U373" s="15">
        <f t="shared" si="125"/>
        <v>5.71</v>
      </c>
      <c r="V373" s="15">
        <f t="shared" si="126"/>
        <v>6.46</v>
      </c>
      <c r="W373" s="15">
        <f>IF(MarkupType="Store Markup",ROUND(V373+V373*StoreMarkup,2),IF(MarkupType="Supplier Markup",V373+V373*SupplierMarkup,"Error at finding value"))</f>
        <v>10.17</v>
      </c>
      <c r="X373" s="32" t="str">
        <f t="shared" si="128"/>
        <v>0.00</v>
      </c>
      <c r="Y373" s="15">
        <f t="shared" si="129"/>
        <v>58.14</v>
      </c>
      <c r="Z373" s="15">
        <f t="shared" si="130"/>
        <v>91.53</v>
      </c>
      <c r="AA373" s="15">
        <f>IF(FreightType="Lethbridge-Stewart Freight ",ROUND(2.99+IF(N373&gt;0.75,(N373-0.75)*2.25,0)*S373,2),IF(MarkupType="Supplier Markup",V373+V373*SupplierMarkup,"Error at finding value"))</f>
        <v>2.99</v>
      </c>
      <c r="AB373" s="15">
        <f t="shared" si="131"/>
        <v>0</v>
      </c>
    </row>
    <row r="374" spans="1:28" x14ac:dyDescent="0.25">
      <c r="A374" s="16">
        <f>OrdersTable!A374</f>
        <v>568</v>
      </c>
      <c r="B374" s="15" t="str">
        <f t="shared" si="111"/>
        <v>Mr</v>
      </c>
      <c r="C374" s="15" t="str">
        <f t="shared" si="132"/>
        <v>Byrne</v>
      </c>
      <c r="D374" s="15" t="str">
        <f t="shared" si="112"/>
        <v>Gregory James</v>
      </c>
      <c r="E374" s="15" t="str">
        <f t="shared" si="113"/>
        <v>18 Doroshenko Crescent</v>
      </c>
      <c r="F374" s="15" t="str">
        <f t="shared" si="114"/>
        <v>Abington</v>
      </c>
      <c r="G374" s="15" t="str">
        <f t="shared" si="115"/>
        <v>QLD</v>
      </c>
      <c r="H374" s="15">
        <f t="shared" si="116"/>
        <v>4660</v>
      </c>
      <c r="I374" s="15">
        <f t="shared" si="127"/>
        <v>336</v>
      </c>
      <c r="J374" s="15">
        <f>OrdersTable!B374</f>
        <v>667</v>
      </c>
      <c r="K374" s="15" t="str">
        <f t="shared" si="117"/>
        <v>Mugs</v>
      </c>
      <c r="L374" s="15" t="str">
        <f t="shared" si="118"/>
        <v>Doctor Who: Mug: Keep Calm And Don't Blink</v>
      </c>
      <c r="M374" s="15" t="str">
        <f t="shared" si="119"/>
        <v>-</v>
      </c>
      <c r="N374" s="15">
        <f t="shared" si="120"/>
        <v>0.35</v>
      </c>
      <c r="O374" s="15" t="str">
        <f t="shared" si="121"/>
        <v>A10</v>
      </c>
      <c r="P374" s="15" t="str">
        <f t="shared" si="122"/>
        <v>Gallifrey International</v>
      </c>
      <c r="Q374" s="15" t="str">
        <f t="shared" si="123"/>
        <v>181 Arcadia Street</v>
      </c>
      <c r="R374" s="3">
        <f>OrdersTable!C374</f>
        <v>44589</v>
      </c>
      <c r="S374" s="15">
        <f>OrdersTable!E374</f>
        <v>7</v>
      </c>
      <c r="T374" s="15">
        <f t="shared" si="124"/>
        <v>6.99</v>
      </c>
      <c r="U374" s="15">
        <f t="shared" si="125"/>
        <v>9.84</v>
      </c>
      <c r="V374" s="15">
        <f t="shared" si="126"/>
        <v>11.32</v>
      </c>
      <c r="W374" s="15">
        <f>IF(MarkupType="Store Markup",ROUND(V374+V374*StoreMarkup,2),IF(MarkupType="Supplier Markup",V374+V374*SupplierMarkup,"Error at finding value"))</f>
        <v>17.829999999999998</v>
      </c>
      <c r="X374" s="32" t="str">
        <f t="shared" si="128"/>
        <v>0.00</v>
      </c>
      <c r="Y374" s="15">
        <f t="shared" si="129"/>
        <v>79.239999999999995</v>
      </c>
      <c r="Z374" s="15">
        <f t="shared" si="130"/>
        <v>124.81</v>
      </c>
      <c r="AA374" s="15">
        <f>IF(FreightType="Lethbridge-Stewart Freight ",ROUND(2.99+IF(N374&gt;0.75,(N374-0.75)*2.25,0)*S374,2),IF(MarkupType="Supplier Markup",V374+V374*SupplierMarkup,"Error at finding value"))</f>
        <v>2.99</v>
      </c>
      <c r="AB374" s="15">
        <f t="shared" si="131"/>
        <v>0</v>
      </c>
    </row>
    <row r="375" spans="1:28" x14ac:dyDescent="0.25">
      <c r="A375" s="16">
        <f>OrdersTable!A375</f>
        <v>594</v>
      </c>
      <c r="B375" s="15" t="str">
        <f t="shared" si="111"/>
        <v>Mrs</v>
      </c>
      <c r="C375" s="15" t="str">
        <f t="shared" si="132"/>
        <v>Entriken</v>
      </c>
      <c r="D375" s="15" t="str">
        <f t="shared" si="112"/>
        <v>Gwenda Dawn</v>
      </c>
      <c r="E375" s="15" t="str">
        <f t="shared" si="113"/>
        <v>8 Miljkovic Drive</v>
      </c>
      <c r="F375" s="15" t="str">
        <f t="shared" si="114"/>
        <v>Nayook</v>
      </c>
      <c r="G375" s="15" t="str">
        <f t="shared" si="115"/>
        <v>VIC</v>
      </c>
      <c r="H375" s="15">
        <f t="shared" si="116"/>
        <v>3832</v>
      </c>
      <c r="I375" s="15">
        <f t="shared" si="127"/>
        <v>1552</v>
      </c>
      <c r="J375" s="15">
        <f>OrdersTable!B375</f>
        <v>726</v>
      </c>
      <c r="K375" s="15" t="str">
        <f t="shared" si="117"/>
        <v>Props and Replicas</v>
      </c>
      <c r="L375" s="15" t="str">
        <f t="shared" si="118"/>
        <v>Doctor Who: Dalek Death Ray</v>
      </c>
      <c r="M375" s="15" t="str">
        <f t="shared" si="119"/>
        <v>-</v>
      </c>
      <c r="N375" s="15">
        <f t="shared" si="120"/>
        <v>18</v>
      </c>
      <c r="O375" s="15" t="str">
        <f t="shared" si="121"/>
        <v>A30</v>
      </c>
      <c r="P375" s="15" t="str">
        <f t="shared" si="122"/>
        <v>Chesterton Enterprises</v>
      </c>
      <c r="Q375" s="15" t="str">
        <f t="shared" si="123"/>
        <v>41 William Russell Road</v>
      </c>
      <c r="R375" s="3">
        <f>OrdersTable!C375</f>
        <v>44589</v>
      </c>
      <c r="S375" s="15">
        <f>OrdersTable!E375</f>
        <v>5</v>
      </c>
      <c r="T375" s="15">
        <f t="shared" si="124"/>
        <v>359.99</v>
      </c>
      <c r="U375" s="15">
        <f t="shared" si="125"/>
        <v>491.12</v>
      </c>
      <c r="V375" s="15">
        <f t="shared" si="126"/>
        <v>583.17999999999995</v>
      </c>
      <c r="W375" s="15">
        <f>IF(MarkupType="Store Markup",ROUND(V375+V375*StoreMarkup,2),IF(MarkupType="Supplier Markup",V375+V375*SupplierMarkup,"Error at finding value"))</f>
        <v>918.51</v>
      </c>
      <c r="X375" s="32">
        <f t="shared" si="128"/>
        <v>65.44</v>
      </c>
      <c r="Y375" s="15">
        <f t="shared" si="129"/>
        <v>2915.9</v>
      </c>
      <c r="Z375" s="15">
        <f t="shared" si="130"/>
        <v>4265.3500000000004</v>
      </c>
      <c r="AA375" s="15">
        <f>IF(FreightType="Lethbridge-Stewart Freight ",ROUND(2.99+IF(N375&gt;0.75,(N375-0.75)*2.25,0)*S375,2),IF(MarkupType="Supplier Markup",V375+V375*SupplierMarkup,"Error at finding value"))</f>
        <v>197.05</v>
      </c>
      <c r="AB375" s="15">
        <f t="shared" si="131"/>
        <v>327.2</v>
      </c>
    </row>
    <row r="376" spans="1:28" x14ac:dyDescent="0.25">
      <c r="A376" s="16">
        <f>OrdersTable!A376</f>
        <v>600</v>
      </c>
      <c r="B376" s="15" t="str">
        <f t="shared" si="111"/>
        <v>Dr</v>
      </c>
      <c r="C376" s="15" t="str">
        <f t="shared" si="132"/>
        <v>McConnell</v>
      </c>
      <c r="D376" s="15" t="str">
        <f t="shared" si="112"/>
        <v>Hannah Clair</v>
      </c>
      <c r="E376" s="15" t="str">
        <f t="shared" si="113"/>
        <v>27 Mccarthy Circuit</v>
      </c>
      <c r="F376" s="15" t="str">
        <f t="shared" si="114"/>
        <v>Ashford</v>
      </c>
      <c r="G376" s="15" t="str">
        <f t="shared" si="115"/>
        <v>SA</v>
      </c>
      <c r="H376" s="15">
        <f t="shared" si="116"/>
        <v>5035</v>
      </c>
      <c r="I376" s="15">
        <f t="shared" si="127"/>
        <v>1877</v>
      </c>
      <c r="J376" s="15">
        <f>OrdersTable!B376</f>
        <v>826</v>
      </c>
      <c r="K376" s="15" t="str">
        <f t="shared" si="117"/>
        <v>Statues and Busts</v>
      </c>
      <c r="L376" s="15" t="str">
        <f t="shared" si="118"/>
        <v>Doctor Who: Mini Bust: Cyberman</v>
      </c>
      <c r="M376" s="15" t="str">
        <f t="shared" si="119"/>
        <v>-</v>
      </c>
      <c r="N376" s="15">
        <f t="shared" si="120"/>
        <v>1.8</v>
      </c>
      <c r="O376" s="15" t="str">
        <f t="shared" si="121"/>
        <v>A40</v>
      </c>
      <c r="P376" s="15" t="str">
        <f t="shared" si="122"/>
        <v>Romana Imports</v>
      </c>
      <c r="Q376" s="15" t="str">
        <f t="shared" si="123"/>
        <v>17 Lalla Ward Road</v>
      </c>
      <c r="R376" s="3">
        <f>OrdersTable!C376</f>
        <v>44589</v>
      </c>
      <c r="S376" s="15">
        <f>OrdersTable!E376</f>
        <v>3</v>
      </c>
      <c r="T376" s="15">
        <f t="shared" si="124"/>
        <v>35.99</v>
      </c>
      <c r="U376" s="15">
        <f t="shared" si="125"/>
        <v>49.13</v>
      </c>
      <c r="V376" s="15">
        <f t="shared" si="126"/>
        <v>58.3</v>
      </c>
      <c r="W376" s="15">
        <f>IF(MarkupType="Store Markup",ROUND(V376+V376*StoreMarkup,2),IF(MarkupType="Supplier Markup",V376+V376*SupplierMarkup,"Error at finding value"))</f>
        <v>91.82</v>
      </c>
      <c r="X376" s="32" t="str">
        <f t="shared" si="128"/>
        <v>0.00</v>
      </c>
      <c r="Y376" s="15">
        <f t="shared" si="129"/>
        <v>174.9</v>
      </c>
      <c r="Z376" s="15">
        <f t="shared" si="130"/>
        <v>275.45999999999998</v>
      </c>
      <c r="AA376" s="15">
        <f>IF(FreightType="Lethbridge-Stewart Freight ",ROUND(2.99+IF(N376&gt;0.75,(N376-0.75)*2.25,0)*S376,2),IF(MarkupType="Supplier Markup",V376+V376*SupplierMarkup,"Error at finding value"))</f>
        <v>10.08</v>
      </c>
      <c r="AB376" s="15">
        <f t="shared" si="131"/>
        <v>0</v>
      </c>
    </row>
    <row r="377" spans="1:28" x14ac:dyDescent="0.25">
      <c r="A377" s="16">
        <f>OrdersTable!A377</f>
        <v>634</v>
      </c>
      <c r="B377" s="15" t="str">
        <f t="shared" si="111"/>
        <v>Miss</v>
      </c>
      <c r="C377" s="15" t="str">
        <f t="shared" si="132"/>
        <v>Betts</v>
      </c>
      <c r="D377" s="15" t="str">
        <f t="shared" si="112"/>
        <v>Melissa Leigh</v>
      </c>
      <c r="E377" s="15" t="str">
        <f t="shared" si="113"/>
        <v>4 Aitcheson Drive</v>
      </c>
      <c r="F377" s="15" t="str">
        <f t="shared" si="114"/>
        <v>Bray Park</v>
      </c>
      <c r="G377" s="15" t="str">
        <f t="shared" si="115"/>
        <v>QLD</v>
      </c>
      <c r="H377" s="15">
        <f t="shared" si="116"/>
        <v>4500</v>
      </c>
      <c r="I377" s="15">
        <f t="shared" si="127"/>
        <v>139</v>
      </c>
      <c r="J377" s="15">
        <f>OrdersTable!B377</f>
        <v>219</v>
      </c>
      <c r="K377" s="15" t="str">
        <f t="shared" si="117"/>
        <v>Clothing and Apparel</v>
      </c>
      <c r="L377" s="15" t="str">
        <f t="shared" si="118"/>
        <v>Doctor Who: Men's Winter Pyjamas</v>
      </c>
      <c r="M377" s="15" t="str">
        <f t="shared" si="119"/>
        <v>M</v>
      </c>
      <c r="N377" s="15">
        <f t="shared" si="120"/>
        <v>1.5</v>
      </c>
      <c r="O377" s="15" t="str">
        <f t="shared" si="121"/>
        <v>A40</v>
      </c>
      <c r="P377" s="15" t="str">
        <f t="shared" si="122"/>
        <v>Romana Imports</v>
      </c>
      <c r="Q377" s="15" t="str">
        <f t="shared" si="123"/>
        <v>17 Lalla Ward Road</v>
      </c>
      <c r="R377" s="3">
        <f>OrdersTable!C377</f>
        <v>44589</v>
      </c>
      <c r="S377" s="15">
        <f>OrdersTable!E377</f>
        <v>10</v>
      </c>
      <c r="T377" s="15">
        <f t="shared" si="124"/>
        <v>29.99</v>
      </c>
      <c r="U377" s="15">
        <f t="shared" si="125"/>
        <v>41.24</v>
      </c>
      <c r="V377" s="15">
        <f t="shared" si="126"/>
        <v>48.58</v>
      </c>
      <c r="W377" s="15">
        <f>IF(MarkupType="Store Markup",ROUND(V377+V377*StoreMarkup,2),IF(MarkupType="Supplier Markup",V377+V377*SupplierMarkup,"Error at finding value"))</f>
        <v>76.510000000000005</v>
      </c>
      <c r="X377" s="32" t="str">
        <f t="shared" si="128"/>
        <v>0.00</v>
      </c>
      <c r="Y377" s="15">
        <f t="shared" si="129"/>
        <v>485.8</v>
      </c>
      <c r="Z377" s="15">
        <f t="shared" si="130"/>
        <v>765.1</v>
      </c>
      <c r="AA377" s="15">
        <f>IF(FreightType="Lethbridge-Stewart Freight ",ROUND(2.99+IF(N377&gt;0.75,(N377-0.75)*2.25,0)*S377,2),IF(MarkupType="Supplier Markup",V377+V377*SupplierMarkup,"Error at finding value"))</f>
        <v>19.87</v>
      </c>
      <c r="AB377" s="15">
        <f t="shared" si="131"/>
        <v>0</v>
      </c>
    </row>
    <row r="378" spans="1:28" x14ac:dyDescent="0.25">
      <c r="A378" s="16">
        <f>OrdersTable!A378</f>
        <v>730</v>
      </c>
      <c r="B378" s="15" t="str">
        <f t="shared" si="111"/>
        <v>Mr</v>
      </c>
      <c r="C378" s="15" t="str">
        <f t="shared" si="132"/>
        <v>Romer</v>
      </c>
      <c r="D378" s="15" t="str">
        <f t="shared" si="112"/>
        <v>Leo Alexander</v>
      </c>
      <c r="E378" s="15" t="str">
        <f t="shared" si="113"/>
        <v>47 Bennett Circuit</v>
      </c>
      <c r="F378" s="15" t="str">
        <f t="shared" si="114"/>
        <v>Caliph</v>
      </c>
      <c r="G378" s="15" t="str">
        <f t="shared" si="115"/>
        <v>SA</v>
      </c>
      <c r="H378" s="15">
        <f t="shared" si="116"/>
        <v>5310</v>
      </c>
      <c r="I378" s="15">
        <f t="shared" si="127"/>
        <v>1720</v>
      </c>
      <c r="J378" s="15">
        <f>OrdersTable!B378</f>
        <v>724</v>
      </c>
      <c r="K378" s="15" t="str">
        <f t="shared" si="117"/>
        <v>Posters, Prints and Standees</v>
      </c>
      <c r="L378" s="15" t="str">
        <f t="shared" si="118"/>
        <v>Doctor Who: Standee: The 10th Doctor</v>
      </c>
      <c r="M378" s="15" t="str">
        <f t="shared" si="119"/>
        <v>-</v>
      </c>
      <c r="N378" s="15">
        <f t="shared" si="120"/>
        <v>1.125</v>
      </c>
      <c r="O378" s="15" t="str">
        <f t="shared" si="121"/>
        <v>A50</v>
      </c>
      <c r="P378" s="15" t="str">
        <f t="shared" si="122"/>
        <v>Rassilon Ltd.</v>
      </c>
      <c r="Q378" s="15" t="str">
        <f t="shared" si="123"/>
        <v>82 Richard Mathews Road</v>
      </c>
      <c r="R378" s="3">
        <f>OrdersTable!C378</f>
        <v>44589</v>
      </c>
      <c r="S378" s="15">
        <f>OrdersTable!E378</f>
        <v>6</v>
      </c>
      <c r="T378" s="15">
        <f t="shared" si="124"/>
        <v>22.49</v>
      </c>
      <c r="U378" s="15">
        <f t="shared" si="125"/>
        <v>30.77</v>
      </c>
      <c r="V378" s="15">
        <f t="shared" si="126"/>
        <v>36.43</v>
      </c>
      <c r="W378" s="15">
        <f>IF(MarkupType="Store Markup",ROUND(V378+V378*StoreMarkup,2),IF(MarkupType="Supplier Markup",V378+V378*SupplierMarkup,"Error at finding value"))</f>
        <v>57.38</v>
      </c>
      <c r="X378" s="32" t="str">
        <f t="shared" si="128"/>
        <v>0.00</v>
      </c>
      <c r="Y378" s="15">
        <f t="shared" si="129"/>
        <v>218.58</v>
      </c>
      <c r="Z378" s="15">
        <f t="shared" si="130"/>
        <v>344.28</v>
      </c>
      <c r="AA378" s="15">
        <f>IF(FreightType="Lethbridge-Stewart Freight ",ROUND(2.99+IF(N378&gt;0.75,(N378-0.75)*2.25,0)*S378,2),IF(MarkupType="Supplier Markup",V378+V378*SupplierMarkup,"Error at finding value"))</f>
        <v>8.0500000000000007</v>
      </c>
      <c r="AB378" s="15">
        <f t="shared" si="131"/>
        <v>0</v>
      </c>
    </row>
    <row r="379" spans="1:28" x14ac:dyDescent="0.25">
      <c r="A379" s="16">
        <f>OrdersTable!A379</f>
        <v>758</v>
      </c>
      <c r="B379" s="15" t="str">
        <f t="shared" si="111"/>
        <v>Mr</v>
      </c>
      <c r="C379" s="15" t="str">
        <f t="shared" si="132"/>
        <v>Whitehorn</v>
      </c>
      <c r="D379" s="15" t="str">
        <f t="shared" si="112"/>
        <v>James</v>
      </c>
      <c r="E379" s="15" t="str">
        <f t="shared" si="113"/>
        <v>32 Raubenheimer Circuit</v>
      </c>
      <c r="F379" s="15" t="str">
        <f t="shared" si="114"/>
        <v>Belconnen</v>
      </c>
      <c r="G379" s="15" t="str">
        <f t="shared" si="115"/>
        <v>ACT</v>
      </c>
      <c r="H379" s="15">
        <f t="shared" si="116"/>
        <v>2617</v>
      </c>
      <c r="I379" s="15">
        <f t="shared" si="127"/>
        <v>1194</v>
      </c>
      <c r="J379" s="15">
        <f>OrdersTable!B379</f>
        <v>453</v>
      </c>
      <c r="K379" s="15" t="str">
        <f t="shared" si="117"/>
        <v>Giftware</v>
      </c>
      <c r="L379" s="15" t="str">
        <f t="shared" si="118"/>
        <v>Doctor Who: Ceramic Cookie Jar: TARDIS</v>
      </c>
      <c r="M379" s="15" t="str">
        <f t="shared" si="119"/>
        <v>-</v>
      </c>
      <c r="N379" s="15">
        <f t="shared" si="120"/>
        <v>1.35</v>
      </c>
      <c r="O379" s="15" t="str">
        <f t="shared" si="121"/>
        <v>A40</v>
      </c>
      <c r="P379" s="15" t="str">
        <f t="shared" si="122"/>
        <v>Romana Imports</v>
      </c>
      <c r="Q379" s="15" t="str">
        <f t="shared" si="123"/>
        <v>17 Lalla Ward Road</v>
      </c>
      <c r="R379" s="3">
        <f>OrdersTable!C379</f>
        <v>44589</v>
      </c>
      <c r="S379" s="15">
        <f>OrdersTable!E379</f>
        <v>7</v>
      </c>
      <c r="T379" s="15">
        <f t="shared" si="124"/>
        <v>26.99</v>
      </c>
      <c r="U379" s="15">
        <f t="shared" si="125"/>
        <v>37.119999999999997</v>
      </c>
      <c r="V379" s="15">
        <f t="shared" si="126"/>
        <v>43.72</v>
      </c>
      <c r="W379" s="15">
        <f>IF(MarkupType="Store Markup",ROUND(V379+V379*StoreMarkup,2),IF(MarkupType="Supplier Markup",V379+V379*SupplierMarkup,"Error at finding value"))</f>
        <v>68.86</v>
      </c>
      <c r="X379" s="32" t="str">
        <f t="shared" si="128"/>
        <v>0.00</v>
      </c>
      <c r="Y379" s="15">
        <f t="shared" si="129"/>
        <v>306.04000000000002</v>
      </c>
      <c r="Z379" s="15">
        <f t="shared" si="130"/>
        <v>482.02</v>
      </c>
      <c r="AA379" s="15">
        <f>IF(FreightType="Lethbridge-Stewart Freight ",ROUND(2.99+IF(N379&gt;0.75,(N379-0.75)*2.25,0)*S379,2),IF(MarkupType="Supplier Markup",V379+V379*SupplierMarkup,"Error at finding value"))</f>
        <v>12.44</v>
      </c>
      <c r="AB379" s="15">
        <f t="shared" si="131"/>
        <v>0</v>
      </c>
    </row>
    <row r="380" spans="1:28" x14ac:dyDescent="0.25">
      <c r="A380" s="16">
        <f>OrdersTable!A380</f>
        <v>761</v>
      </c>
      <c r="B380" s="15" t="str">
        <f t="shared" si="111"/>
        <v>Miss</v>
      </c>
      <c r="C380" s="15" t="str">
        <f t="shared" si="132"/>
        <v>Randall</v>
      </c>
      <c r="D380" s="15" t="str">
        <f t="shared" si="112"/>
        <v>Kylee</v>
      </c>
      <c r="E380" s="15" t="str">
        <f t="shared" si="113"/>
        <v>45 Cremasco Avenue</v>
      </c>
      <c r="F380" s="15" t="str">
        <f t="shared" si="114"/>
        <v>Breakwater</v>
      </c>
      <c r="G380" s="15" t="str">
        <f t="shared" si="115"/>
        <v>VIC</v>
      </c>
      <c r="H380" s="15">
        <f t="shared" si="116"/>
        <v>3219</v>
      </c>
      <c r="I380" s="15">
        <f t="shared" si="127"/>
        <v>1596</v>
      </c>
      <c r="J380" s="15">
        <f>OrdersTable!B380</f>
        <v>128</v>
      </c>
      <c r="K380" s="15" t="str">
        <f t="shared" si="117"/>
        <v>Bobbleheads</v>
      </c>
      <c r="L380" s="15" t="str">
        <f t="shared" si="118"/>
        <v>Doctor Who: Bobblehead: Davros</v>
      </c>
      <c r="M380" s="15" t="str">
        <f t="shared" si="119"/>
        <v>-</v>
      </c>
      <c r="N380" s="15">
        <f t="shared" si="120"/>
        <v>0.85</v>
      </c>
      <c r="O380" s="15" t="str">
        <f t="shared" si="121"/>
        <v>A50</v>
      </c>
      <c r="P380" s="15" t="str">
        <f t="shared" si="122"/>
        <v>Rassilon Ltd.</v>
      </c>
      <c r="Q380" s="15" t="str">
        <f t="shared" si="123"/>
        <v>82 Richard Mathews Road</v>
      </c>
      <c r="R380" s="3">
        <f>OrdersTable!C380</f>
        <v>44589</v>
      </c>
      <c r="S380" s="15">
        <f>OrdersTable!E380</f>
        <v>8</v>
      </c>
      <c r="T380" s="15">
        <f t="shared" si="124"/>
        <v>16.989999999999998</v>
      </c>
      <c r="U380" s="15">
        <f t="shared" si="125"/>
        <v>23.27</v>
      </c>
      <c r="V380" s="15">
        <f t="shared" si="126"/>
        <v>27.52</v>
      </c>
      <c r="W380" s="15">
        <f>IF(MarkupType="Store Markup",ROUND(V380+V380*StoreMarkup,2),IF(MarkupType="Supplier Markup",V380+V380*SupplierMarkup,"Error at finding value"))</f>
        <v>43.34</v>
      </c>
      <c r="X380" s="32" t="str">
        <f t="shared" si="128"/>
        <v>0.00</v>
      </c>
      <c r="Y380" s="15">
        <f t="shared" si="129"/>
        <v>220.16</v>
      </c>
      <c r="Z380" s="15">
        <f t="shared" si="130"/>
        <v>346.72</v>
      </c>
      <c r="AA380" s="15">
        <f>IF(FreightType="Lethbridge-Stewart Freight ",ROUND(2.99+IF(N380&gt;0.75,(N380-0.75)*2.25,0)*S380,2),IF(MarkupType="Supplier Markup",V380+V380*SupplierMarkup,"Error at finding value"))</f>
        <v>4.79</v>
      </c>
      <c r="AB380" s="15">
        <f t="shared" si="131"/>
        <v>0</v>
      </c>
    </row>
    <row r="381" spans="1:28" x14ac:dyDescent="0.25">
      <c r="A381" s="16">
        <f>OrdersTable!A381</f>
        <v>784</v>
      </c>
      <c r="B381" s="15" t="str">
        <f t="shared" si="111"/>
        <v>Ms</v>
      </c>
      <c r="C381" s="15" t="str">
        <f t="shared" si="132"/>
        <v>Hansen</v>
      </c>
      <c r="D381" s="15" t="str">
        <f t="shared" si="112"/>
        <v>Courtney Michelle</v>
      </c>
      <c r="E381" s="15" t="str">
        <f t="shared" si="113"/>
        <v>22 Elliot Crescent</v>
      </c>
      <c r="F381" s="15" t="str">
        <f t="shared" si="114"/>
        <v>Alfredtown</v>
      </c>
      <c r="G381" s="15" t="str">
        <f t="shared" si="115"/>
        <v>NSW</v>
      </c>
      <c r="H381" s="15">
        <f t="shared" si="116"/>
        <v>2650</v>
      </c>
      <c r="I381" s="15">
        <f t="shared" si="127"/>
        <v>1124</v>
      </c>
      <c r="J381" s="15">
        <f>OrdersTable!B381</f>
        <v>418</v>
      </c>
      <c r="K381" s="15" t="str">
        <f t="shared" si="117"/>
        <v>Clothing and Apparel</v>
      </c>
      <c r="L381" s="15" t="str">
        <f t="shared" si="118"/>
        <v>Doctor Who: Women's Winter Pyjamas</v>
      </c>
      <c r="M381" s="15" t="str">
        <f t="shared" si="119"/>
        <v>M</v>
      </c>
      <c r="N381" s="15">
        <f t="shared" si="120"/>
        <v>1.5</v>
      </c>
      <c r="O381" s="15" t="str">
        <f t="shared" si="121"/>
        <v>A30</v>
      </c>
      <c r="P381" s="15" t="str">
        <f t="shared" si="122"/>
        <v>Chesterton Enterprises</v>
      </c>
      <c r="Q381" s="15" t="str">
        <f t="shared" si="123"/>
        <v>41 William Russell Road</v>
      </c>
      <c r="R381" s="3">
        <f>OrdersTable!C381</f>
        <v>44589</v>
      </c>
      <c r="S381" s="15">
        <f>OrdersTable!E381</f>
        <v>5</v>
      </c>
      <c r="T381" s="15">
        <f t="shared" si="124"/>
        <v>29.99</v>
      </c>
      <c r="U381" s="15">
        <f t="shared" si="125"/>
        <v>40.96</v>
      </c>
      <c r="V381" s="15">
        <f t="shared" si="126"/>
        <v>48.58</v>
      </c>
      <c r="W381" s="15">
        <f>IF(MarkupType="Store Markup",ROUND(V381+V381*StoreMarkup,2),IF(MarkupType="Supplier Markup",V381+V381*SupplierMarkup,"Error at finding value"))</f>
        <v>76.510000000000005</v>
      </c>
      <c r="X381" s="32" t="str">
        <f t="shared" si="128"/>
        <v>0.00</v>
      </c>
      <c r="Y381" s="15">
        <f t="shared" si="129"/>
        <v>242.9</v>
      </c>
      <c r="Z381" s="15">
        <f t="shared" si="130"/>
        <v>382.55</v>
      </c>
      <c r="AA381" s="15">
        <f>IF(FreightType="Lethbridge-Stewart Freight ",ROUND(2.99+IF(N381&gt;0.75,(N381-0.75)*2.25,0)*S381,2),IF(MarkupType="Supplier Markup",V381+V381*SupplierMarkup,"Error at finding value"))</f>
        <v>11.43</v>
      </c>
      <c r="AB381" s="15">
        <f t="shared" si="131"/>
        <v>0</v>
      </c>
    </row>
    <row r="382" spans="1:28" x14ac:dyDescent="0.25">
      <c r="A382" s="16">
        <f>OrdersTable!A382</f>
        <v>784</v>
      </c>
      <c r="B382" s="15" t="str">
        <f t="shared" si="111"/>
        <v>Ms</v>
      </c>
      <c r="C382" s="15" t="str">
        <f t="shared" si="132"/>
        <v>Hansen</v>
      </c>
      <c r="D382" s="15" t="str">
        <f t="shared" si="112"/>
        <v>Courtney Michelle</v>
      </c>
      <c r="E382" s="15" t="str">
        <f t="shared" si="113"/>
        <v>22 Elliot Crescent</v>
      </c>
      <c r="F382" s="15" t="str">
        <f t="shared" si="114"/>
        <v>Alfredtown</v>
      </c>
      <c r="G382" s="15" t="str">
        <f t="shared" si="115"/>
        <v>NSW</v>
      </c>
      <c r="H382" s="15">
        <f t="shared" si="116"/>
        <v>2650</v>
      </c>
      <c r="I382" s="15">
        <f t="shared" si="127"/>
        <v>1124</v>
      </c>
      <c r="J382" s="15">
        <f>OrdersTable!B382</f>
        <v>652</v>
      </c>
      <c r="K382" s="15" t="str">
        <f t="shared" si="117"/>
        <v>Mugs</v>
      </c>
      <c r="L382" s="15" t="str">
        <f t="shared" si="118"/>
        <v>Doctor Who: Mug: Dalek 2D</v>
      </c>
      <c r="M382" s="15" t="str">
        <f t="shared" si="119"/>
        <v>-</v>
      </c>
      <c r="N382" s="15">
        <f t="shared" si="120"/>
        <v>0.35</v>
      </c>
      <c r="O382" s="15" t="str">
        <f t="shared" si="121"/>
        <v>A10</v>
      </c>
      <c r="P382" s="15" t="str">
        <f t="shared" si="122"/>
        <v>Gallifrey International</v>
      </c>
      <c r="Q382" s="15" t="str">
        <f t="shared" si="123"/>
        <v>181 Arcadia Street</v>
      </c>
      <c r="R382" s="3">
        <f>OrdersTable!C382</f>
        <v>44589</v>
      </c>
      <c r="S382" s="15">
        <f>OrdersTable!E382</f>
        <v>9</v>
      </c>
      <c r="T382" s="15">
        <f t="shared" si="124"/>
        <v>6.99</v>
      </c>
      <c r="U382" s="15">
        <f t="shared" si="125"/>
        <v>9.8800000000000008</v>
      </c>
      <c r="V382" s="15">
        <f t="shared" si="126"/>
        <v>11.32</v>
      </c>
      <c r="W382" s="15">
        <f>IF(MarkupType="Store Markup",ROUND(V382+V382*StoreMarkup,2),IF(MarkupType="Supplier Markup",V382+V382*SupplierMarkup,"Error at finding value"))</f>
        <v>17.829999999999998</v>
      </c>
      <c r="X382" s="32" t="str">
        <f t="shared" si="128"/>
        <v>0.00</v>
      </c>
      <c r="Y382" s="15">
        <f t="shared" si="129"/>
        <v>101.88</v>
      </c>
      <c r="Z382" s="15">
        <f t="shared" si="130"/>
        <v>160.47</v>
      </c>
      <c r="AA382" s="15">
        <f>IF(FreightType="Lethbridge-Stewart Freight ",ROUND(2.99+IF(N382&gt;0.75,(N382-0.75)*2.25,0)*S382,2),IF(MarkupType="Supplier Markup",V382+V382*SupplierMarkup,"Error at finding value"))</f>
        <v>2.99</v>
      </c>
      <c r="AB382" s="15">
        <f t="shared" si="131"/>
        <v>0</v>
      </c>
    </row>
    <row r="383" spans="1:28" x14ac:dyDescent="0.25">
      <c r="A383" s="16">
        <f>OrdersTable!A383</f>
        <v>841</v>
      </c>
      <c r="B383" s="15" t="str">
        <f t="shared" si="111"/>
        <v>Miss</v>
      </c>
      <c r="C383" s="15" t="str">
        <f t="shared" si="132"/>
        <v>Donaghy</v>
      </c>
      <c r="D383" s="15" t="str">
        <f t="shared" si="112"/>
        <v>Elizabeth Mathilde Jane</v>
      </c>
      <c r="E383" s="15" t="str">
        <f t="shared" si="113"/>
        <v>31 Johnson Boulevard</v>
      </c>
      <c r="F383" s="15" t="str">
        <f t="shared" si="114"/>
        <v>Belford</v>
      </c>
      <c r="G383" s="15" t="str">
        <f t="shared" si="115"/>
        <v>NSW</v>
      </c>
      <c r="H383" s="15">
        <f t="shared" si="116"/>
        <v>2335</v>
      </c>
      <c r="I383" s="15">
        <f t="shared" si="127"/>
        <v>716</v>
      </c>
      <c r="J383" s="15">
        <f>OrdersTable!B383</f>
        <v>826</v>
      </c>
      <c r="K383" s="15" t="str">
        <f t="shared" si="117"/>
        <v>Statues and Busts</v>
      </c>
      <c r="L383" s="15" t="str">
        <f t="shared" si="118"/>
        <v>Doctor Who: Mini Bust: Cyberman</v>
      </c>
      <c r="M383" s="15" t="str">
        <f t="shared" si="119"/>
        <v>-</v>
      </c>
      <c r="N383" s="15">
        <f t="shared" si="120"/>
        <v>1.8</v>
      </c>
      <c r="O383" s="15" t="str">
        <f t="shared" si="121"/>
        <v>A40</v>
      </c>
      <c r="P383" s="15" t="str">
        <f t="shared" si="122"/>
        <v>Romana Imports</v>
      </c>
      <c r="Q383" s="15" t="str">
        <f t="shared" si="123"/>
        <v>17 Lalla Ward Road</v>
      </c>
      <c r="R383" s="3">
        <f>OrdersTable!C383</f>
        <v>44589</v>
      </c>
      <c r="S383" s="15">
        <f>OrdersTable!E383</f>
        <v>2</v>
      </c>
      <c r="T383" s="15">
        <f t="shared" si="124"/>
        <v>35.99</v>
      </c>
      <c r="U383" s="15">
        <f t="shared" si="125"/>
        <v>49.13</v>
      </c>
      <c r="V383" s="15">
        <f t="shared" si="126"/>
        <v>58.3</v>
      </c>
      <c r="W383" s="15">
        <f>IF(MarkupType="Store Markup",ROUND(V383+V383*StoreMarkup,2),IF(MarkupType="Supplier Markup",V383+V383*SupplierMarkup,"Error at finding value"))</f>
        <v>91.82</v>
      </c>
      <c r="X383" s="32" t="str">
        <f t="shared" si="128"/>
        <v>0.00</v>
      </c>
      <c r="Y383" s="15">
        <f t="shared" si="129"/>
        <v>116.6</v>
      </c>
      <c r="Z383" s="15">
        <f t="shared" si="130"/>
        <v>183.64</v>
      </c>
      <c r="AA383" s="15">
        <f>IF(FreightType="Lethbridge-Stewart Freight ",ROUND(2.99+IF(N383&gt;0.75,(N383-0.75)*2.25,0)*S383,2),IF(MarkupType="Supplier Markup",V383+V383*SupplierMarkup,"Error at finding value"))</f>
        <v>7.72</v>
      </c>
      <c r="AB383" s="15">
        <f t="shared" si="131"/>
        <v>0</v>
      </c>
    </row>
    <row r="384" spans="1:28" x14ac:dyDescent="0.25">
      <c r="A384" s="16">
        <f>OrdersTable!A384</f>
        <v>81</v>
      </c>
      <c r="B384" s="15" t="str">
        <f t="shared" si="111"/>
        <v>Ms</v>
      </c>
      <c r="C384" s="15" t="str">
        <f t="shared" si="132"/>
        <v>Madsen</v>
      </c>
      <c r="D384" s="15" t="str">
        <f t="shared" si="112"/>
        <v>Kim Marie</v>
      </c>
      <c r="E384" s="15" t="str">
        <f t="shared" si="113"/>
        <v>42 Singh Drive</v>
      </c>
      <c r="F384" s="15" t="str">
        <f t="shared" si="114"/>
        <v>Caliph</v>
      </c>
      <c r="G384" s="15" t="str">
        <f t="shared" si="115"/>
        <v>SA</v>
      </c>
      <c r="H384" s="15">
        <f t="shared" si="116"/>
        <v>5310</v>
      </c>
      <c r="I384" s="15">
        <f t="shared" si="127"/>
        <v>1720</v>
      </c>
      <c r="J384" s="15">
        <f>OrdersTable!B384</f>
        <v>201</v>
      </c>
      <c r="K384" s="15" t="str">
        <f t="shared" si="117"/>
        <v>Clothing and Apparel</v>
      </c>
      <c r="L384" s="15" t="str">
        <f t="shared" si="118"/>
        <v>Doctor Who: Dalek Beanie</v>
      </c>
      <c r="M384" s="15" t="str">
        <f t="shared" si="119"/>
        <v>-</v>
      </c>
      <c r="N384" s="15">
        <f t="shared" si="120"/>
        <v>1.1399999999999999</v>
      </c>
      <c r="O384" s="15" t="str">
        <f t="shared" si="121"/>
        <v>A50</v>
      </c>
      <c r="P384" s="15" t="str">
        <f t="shared" si="122"/>
        <v>Rassilon Ltd.</v>
      </c>
      <c r="Q384" s="15" t="str">
        <f t="shared" si="123"/>
        <v>82 Richard Mathews Road</v>
      </c>
      <c r="R384" s="3">
        <f>OrdersTable!C384</f>
        <v>44590</v>
      </c>
      <c r="S384" s="15">
        <f>OrdersTable!E384</f>
        <v>9</v>
      </c>
      <c r="T384" s="15">
        <f t="shared" si="124"/>
        <v>22.75</v>
      </c>
      <c r="U384" s="15">
        <f t="shared" si="125"/>
        <v>31.26</v>
      </c>
      <c r="V384" s="15">
        <f t="shared" si="126"/>
        <v>36.86</v>
      </c>
      <c r="W384" s="15">
        <f>IF(MarkupType="Store Markup",ROUND(V384+V384*StoreMarkup,2),IF(MarkupType="Supplier Markup",V384+V384*SupplierMarkup,"Error at finding value"))</f>
        <v>58.05</v>
      </c>
      <c r="X384" s="32" t="str">
        <f t="shared" si="128"/>
        <v>0.00</v>
      </c>
      <c r="Y384" s="15">
        <f t="shared" si="129"/>
        <v>331.74</v>
      </c>
      <c r="Z384" s="15">
        <f t="shared" si="130"/>
        <v>522.45000000000005</v>
      </c>
      <c r="AA384" s="15">
        <f>IF(FreightType="Lethbridge-Stewart Freight ",ROUND(2.99+IF(N384&gt;0.75,(N384-0.75)*2.25,0)*S384,2),IF(MarkupType="Supplier Markup",V384+V384*SupplierMarkup,"Error at finding value"))</f>
        <v>10.89</v>
      </c>
      <c r="AB384" s="15">
        <f t="shared" si="131"/>
        <v>0</v>
      </c>
    </row>
    <row r="385" spans="1:28" x14ac:dyDescent="0.25">
      <c r="A385" s="16">
        <f>OrdersTable!A385</f>
        <v>112</v>
      </c>
      <c r="B385" s="15" t="str">
        <f t="shared" si="111"/>
        <v>Mr</v>
      </c>
      <c r="C385" s="15" t="str">
        <f t="shared" si="132"/>
        <v>Dahal</v>
      </c>
      <c r="D385" s="15" t="str">
        <f t="shared" si="112"/>
        <v>Subash</v>
      </c>
      <c r="E385" s="15" t="str">
        <f t="shared" si="113"/>
        <v>121-127 Railway Pde, Granville, NSW 2142</v>
      </c>
      <c r="F385" s="15" t="str">
        <f t="shared" si="114"/>
        <v>Granville</v>
      </c>
      <c r="G385" s="15" t="str">
        <f t="shared" si="115"/>
        <v>NSW</v>
      </c>
      <c r="H385" s="15">
        <f t="shared" si="116"/>
        <v>2142</v>
      </c>
      <c r="I385" s="15">
        <f t="shared" si="127"/>
        <v>907</v>
      </c>
      <c r="J385" s="15">
        <f>OrdersTable!B385</f>
        <v>812</v>
      </c>
      <c r="K385" s="15" t="str">
        <f t="shared" si="117"/>
        <v>Statues and Busts</v>
      </c>
      <c r="L385" s="15" t="str">
        <f t="shared" si="118"/>
        <v>Doctor Who: Masterpiece Collection Maxi Bust: Dalek: Day Of The Daleks</v>
      </c>
      <c r="M385" s="15" t="str">
        <f t="shared" si="119"/>
        <v>-</v>
      </c>
      <c r="N385" s="15">
        <f t="shared" si="120"/>
        <v>2.5</v>
      </c>
      <c r="O385" s="15" t="str">
        <f t="shared" si="121"/>
        <v>A20</v>
      </c>
      <c r="P385" s="15" t="str">
        <f t="shared" si="122"/>
        <v>Morbius Inc.</v>
      </c>
      <c r="Q385" s="15" t="str">
        <f t="shared" si="123"/>
        <v>56 Michael Spice Hwy</v>
      </c>
      <c r="R385" s="3">
        <f>OrdersTable!C385</f>
        <v>44590</v>
      </c>
      <c r="S385" s="15">
        <f>OrdersTable!E385</f>
        <v>9</v>
      </c>
      <c r="T385" s="15">
        <f t="shared" si="124"/>
        <v>49.99</v>
      </c>
      <c r="U385" s="15">
        <f t="shared" si="125"/>
        <v>68.47</v>
      </c>
      <c r="V385" s="15">
        <f t="shared" si="126"/>
        <v>80.98</v>
      </c>
      <c r="W385" s="15">
        <f>IF(MarkupType="Store Markup",ROUND(V385+V385*StoreMarkup,2),IF(MarkupType="Supplier Markup",V385+V385*SupplierMarkup,"Error at finding value"))</f>
        <v>127.54</v>
      </c>
      <c r="X385" s="32">
        <f t="shared" si="128"/>
        <v>9.09</v>
      </c>
      <c r="Y385" s="15">
        <f t="shared" si="129"/>
        <v>728.82</v>
      </c>
      <c r="Z385" s="15">
        <f t="shared" si="130"/>
        <v>1066.05</v>
      </c>
      <c r="AA385" s="15">
        <f>IF(FreightType="Lethbridge-Stewart Freight ",ROUND(2.99+IF(N385&gt;0.75,(N385-0.75)*2.25,0)*S385,2),IF(MarkupType="Supplier Markup",V385+V385*SupplierMarkup,"Error at finding value"))</f>
        <v>38.43</v>
      </c>
      <c r="AB385" s="15">
        <f t="shared" si="131"/>
        <v>81.81</v>
      </c>
    </row>
    <row r="386" spans="1:28" x14ac:dyDescent="0.25">
      <c r="A386" s="16">
        <f>OrdersTable!A386</f>
        <v>180</v>
      </c>
      <c r="B386" s="15" t="str">
        <f t="shared" si="111"/>
        <v>Mrs</v>
      </c>
      <c r="C386" s="15" t="str">
        <f t="shared" si="132"/>
        <v>Feeney</v>
      </c>
      <c r="D386" s="15" t="str">
        <f t="shared" si="112"/>
        <v>Jennifer Ruth</v>
      </c>
      <c r="E386" s="15" t="str">
        <f t="shared" si="113"/>
        <v>18 Cook Avenue</v>
      </c>
      <c r="F386" s="15" t="str">
        <f t="shared" si="114"/>
        <v>Nayook</v>
      </c>
      <c r="G386" s="15" t="str">
        <f t="shared" si="115"/>
        <v>VIC</v>
      </c>
      <c r="H386" s="15">
        <f t="shared" si="116"/>
        <v>3832</v>
      </c>
      <c r="I386" s="15">
        <f t="shared" si="127"/>
        <v>1552</v>
      </c>
      <c r="J386" s="15">
        <f>OrdersTable!B386</f>
        <v>701</v>
      </c>
      <c r="K386" s="15" t="str">
        <f t="shared" si="117"/>
        <v>Posters, Prints and Standees</v>
      </c>
      <c r="L386" s="15" t="str">
        <f t="shared" si="118"/>
        <v>Doctor Who: Half Sized Standee: The TARDIS</v>
      </c>
      <c r="M386" s="15" t="str">
        <f t="shared" si="119"/>
        <v>-</v>
      </c>
      <c r="N386" s="15">
        <f t="shared" si="120"/>
        <v>0.5</v>
      </c>
      <c r="O386" s="15" t="str">
        <f t="shared" si="121"/>
        <v>A40</v>
      </c>
      <c r="P386" s="15" t="str">
        <f t="shared" si="122"/>
        <v>Romana Imports</v>
      </c>
      <c r="Q386" s="15" t="str">
        <f t="shared" si="123"/>
        <v>17 Lalla Ward Road</v>
      </c>
      <c r="R386" s="3">
        <f>OrdersTable!C386</f>
        <v>44590</v>
      </c>
      <c r="S386" s="15">
        <f>OrdersTable!E386</f>
        <v>2</v>
      </c>
      <c r="T386" s="15">
        <f t="shared" si="124"/>
        <v>9.99</v>
      </c>
      <c r="U386" s="15">
        <f t="shared" si="125"/>
        <v>13.83</v>
      </c>
      <c r="V386" s="15">
        <f t="shared" si="126"/>
        <v>16.18</v>
      </c>
      <c r="W386" s="15">
        <f>IF(MarkupType="Store Markup",ROUND(V386+V386*StoreMarkup,2),IF(MarkupType="Supplier Markup",V386+V386*SupplierMarkup,"Error at finding value"))</f>
        <v>25.48</v>
      </c>
      <c r="X386" s="32" t="str">
        <f t="shared" si="128"/>
        <v>0.00</v>
      </c>
      <c r="Y386" s="15">
        <f t="shared" si="129"/>
        <v>32.36</v>
      </c>
      <c r="Z386" s="15">
        <f t="shared" si="130"/>
        <v>50.96</v>
      </c>
      <c r="AA386" s="15">
        <f>IF(FreightType="Lethbridge-Stewart Freight ",ROUND(2.99+IF(N386&gt;0.75,(N386-0.75)*2.25,0)*S386,2),IF(MarkupType="Supplier Markup",V386+V386*SupplierMarkup,"Error at finding value"))</f>
        <v>2.99</v>
      </c>
      <c r="AB386" s="15">
        <f t="shared" si="131"/>
        <v>0</v>
      </c>
    </row>
    <row r="387" spans="1:28" x14ac:dyDescent="0.25">
      <c r="A387" s="16">
        <f>OrdersTable!A387</f>
        <v>224</v>
      </c>
      <c r="B387" s="15" t="str">
        <f t="shared" si="111"/>
        <v>Miss</v>
      </c>
      <c r="C387" s="15" t="str">
        <f t="shared" si="132"/>
        <v>Baruwal</v>
      </c>
      <c r="D387" s="15" t="str">
        <f t="shared" si="112"/>
        <v>Pratikshya</v>
      </c>
      <c r="E387" s="15" t="str">
        <f t="shared" si="113"/>
        <v>43 Gilloway Street</v>
      </c>
      <c r="F387" s="15" t="str">
        <f t="shared" si="114"/>
        <v>Iluka</v>
      </c>
      <c r="G387" s="15" t="str">
        <f t="shared" si="115"/>
        <v>NSW</v>
      </c>
      <c r="H387" s="15">
        <f t="shared" si="116"/>
        <v>2466</v>
      </c>
      <c r="I387" s="15">
        <f t="shared" si="127"/>
        <v>347</v>
      </c>
      <c r="J387" s="15">
        <f>OrdersTable!B387</f>
        <v>681</v>
      </c>
      <c r="K387" s="15" t="str">
        <f t="shared" si="117"/>
        <v>Mugs</v>
      </c>
      <c r="L387" s="15" t="str">
        <f t="shared" si="118"/>
        <v>Doctor Who: Mug: The First Doctor</v>
      </c>
      <c r="M387" s="15" t="str">
        <f t="shared" si="119"/>
        <v>-</v>
      </c>
      <c r="N387" s="15">
        <f t="shared" si="120"/>
        <v>0.45</v>
      </c>
      <c r="O387" s="15" t="str">
        <f t="shared" si="121"/>
        <v>A20</v>
      </c>
      <c r="P387" s="15" t="str">
        <f t="shared" si="122"/>
        <v>Morbius Inc.</v>
      </c>
      <c r="Q387" s="15" t="str">
        <f t="shared" si="123"/>
        <v>56 Michael Spice Hwy</v>
      </c>
      <c r="R387" s="3">
        <f>OrdersTable!C387</f>
        <v>44590</v>
      </c>
      <c r="S387" s="15">
        <f>OrdersTable!E387</f>
        <v>8</v>
      </c>
      <c r="T387" s="15">
        <f t="shared" si="124"/>
        <v>8.99</v>
      </c>
      <c r="U387" s="15">
        <f t="shared" si="125"/>
        <v>12.51</v>
      </c>
      <c r="V387" s="15">
        <f t="shared" si="126"/>
        <v>14.56</v>
      </c>
      <c r="W387" s="15">
        <f>IF(MarkupType="Store Markup",ROUND(V387+V387*StoreMarkup,2),IF(MarkupType="Supplier Markup",V387+V387*SupplierMarkup,"Error at finding value"))</f>
        <v>22.93</v>
      </c>
      <c r="X387" s="32" t="str">
        <f t="shared" si="128"/>
        <v>0.00</v>
      </c>
      <c r="Y387" s="15">
        <f t="shared" si="129"/>
        <v>116.48</v>
      </c>
      <c r="Z387" s="15">
        <f t="shared" si="130"/>
        <v>183.44</v>
      </c>
      <c r="AA387" s="15">
        <f>IF(FreightType="Lethbridge-Stewart Freight ",ROUND(2.99+IF(N387&gt;0.75,(N387-0.75)*2.25,0)*S387,2),IF(MarkupType="Supplier Markup",V387+V387*SupplierMarkup,"Error at finding value"))</f>
        <v>2.99</v>
      </c>
      <c r="AB387" s="15">
        <f t="shared" si="131"/>
        <v>0</v>
      </c>
    </row>
    <row r="388" spans="1:28" x14ac:dyDescent="0.25">
      <c r="A388" s="16">
        <f>OrdersTable!A388</f>
        <v>226</v>
      </c>
      <c r="B388" s="15" t="str">
        <f t="shared" ref="B388:B451" si="133">VLOOKUP($A388,Cust,2,0)</f>
        <v>Ms</v>
      </c>
      <c r="C388" s="15" t="str">
        <f t="shared" si="132"/>
        <v>Stewart</v>
      </c>
      <c r="D388" s="15" t="str">
        <f t="shared" ref="D388:D451" si="134">VLOOKUP($A388,Cust,4,0)</f>
        <v>Jodi Louise</v>
      </c>
      <c r="E388" s="15" t="str">
        <f t="shared" ref="E388:E451" si="135">VLOOKUP($A388,Cust,6,0)</f>
        <v>33 Abington Court</v>
      </c>
      <c r="F388" s="15" t="str">
        <f t="shared" ref="F388:F451" si="136">VLOOKUP($A388,Cust,7,0)</f>
        <v>Iluka</v>
      </c>
      <c r="G388" s="15" t="str">
        <f t="shared" ref="G388:G451" si="137">VLOOKUP($A388,Cust,8,0)</f>
        <v>NSW</v>
      </c>
      <c r="H388" s="15">
        <f t="shared" ref="H388:H451" si="138">VLOOKUP($A388,Cust,9,0)</f>
        <v>2466</v>
      </c>
      <c r="I388" s="15">
        <f t="shared" si="127"/>
        <v>347</v>
      </c>
      <c r="J388" s="15">
        <f>OrdersTable!B388</f>
        <v>758</v>
      </c>
      <c r="K388" s="15" t="str">
        <f t="shared" ref="K388:K451" si="139">VLOOKUP($J388,Itms,2,0)</f>
        <v>Statues and Busts</v>
      </c>
      <c r="L388" s="15" t="str">
        <f t="shared" ref="L388:L451" si="140">VLOOKUP($J388,Itms,3,0)</f>
        <v>Doctor Who: Helmet: Sontaran Officer Linx</v>
      </c>
      <c r="M388" s="15" t="str">
        <f t="shared" ref="M388:M451" si="141">VLOOKUP($J388,Itms,4,0)</f>
        <v>-</v>
      </c>
      <c r="N388" s="15">
        <f t="shared" ref="N388:N451" si="142">VLOOKUP($J388,Itms,5,0)</f>
        <v>1.75</v>
      </c>
      <c r="O388" s="15" t="str">
        <f t="shared" ref="O388:O451" si="143">VLOOKUP($J388,Itms,6,0)</f>
        <v>A50</v>
      </c>
      <c r="P388" s="15" t="str">
        <f t="shared" ref="P388:P451" si="144">VLOOKUP($O388,Supp,2,0)</f>
        <v>Rassilon Ltd.</v>
      </c>
      <c r="Q388" s="15" t="str">
        <f t="shared" ref="Q388:Q451" si="145">VLOOKUP($O388,Supp,3,0)</f>
        <v>82 Richard Mathews Road</v>
      </c>
      <c r="R388" s="3">
        <f>OrdersTable!C388</f>
        <v>44590</v>
      </c>
      <c r="S388" s="15">
        <f>OrdersTable!E388</f>
        <v>5</v>
      </c>
      <c r="T388" s="15">
        <f t="shared" ref="T388:T451" si="146">VLOOKUP($J388,Itms,9,0)</f>
        <v>34.99</v>
      </c>
      <c r="U388" s="15">
        <f t="shared" ref="U388:U451" si="147">VLOOKUP($J388,Itms,10,0)</f>
        <v>47.79</v>
      </c>
      <c r="V388" s="15">
        <f t="shared" ref="V388:V451" si="148">IF(ExchRateType="IR",ROUND(T388*ExchRateIR,2),IF(ExchRateType="CA",ROUND(U388*ExchRateCA,2),"Error at finding value"))</f>
        <v>56.68</v>
      </c>
      <c r="W388" s="15">
        <f>IF(MarkupType="Store Markup",ROUND(V388+V388*StoreMarkup,2),IF(MarkupType="Supplier Markup",V388+V388*SupplierMarkup,"Error at finding value"))</f>
        <v>89.27</v>
      </c>
      <c r="X388" s="32" t="str">
        <f t="shared" si="128"/>
        <v>0.00</v>
      </c>
      <c r="Y388" s="15">
        <f t="shared" si="129"/>
        <v>283.39999999999998</v>
      </c>
      <c r="Z388" s="15">
        <f t="shared" si="130"/>
        <v>446.35</v>
      </c>
      <c r="AA388" s="15">
        <f>IF(FreightType="Lethbridge-Stewart Freight ",ROUND(2.99+IF(N388&gt;0.75,(N388-0.75)*2.25,0)*S388,2),IF(MarkupType="Supplier Markup",V388+V388*SupplierMarkup,"Error at finding value"))</f>
        <v>14.24</v>
      </c>
      <c r="AB388" s="15">
        <f t="shared" si="131"/>
        <v>0</v>
      </c>
    </row>
    <row r="389" spans="1:28" x14ac:dyDescent="0.25">
      <c r="A389" s="16">
        <f>OrdersTable!A389</f>
        <v>226</v>
      </c>
      <c r="B389" s="15" t="str">
        <f t="shared" si="133"/>
        <v>Ms</v>
      </c>
      <c r="C389" s="15" t="str">
        <f t="shared" si="132"/>
        <v>Stewart</v>
      </c>
      <c r="D389" s="15" t="str">
        <f t="shared" si="134"/>
        <v>Jodi Louise</v>
      </c>
      <c r="E389" s="15" t="str">
        <f t="shared" si="135"/>
        <v>33 Abington Court</v>
      </c>
      <c r="F389" s="15" t="str">
        <f t="shared" si="136"/>
        <v>Iluka</v>
      </c>
      <c r="G389" s="15" t="str">
        <f t="shared" si="137"/>
        <v>NSW</v>
      </c>
      <c r="H389" s="15">
        <f t="shared" si="138"/>
        <v>2466</v>
      </c>
      <c r="I389" s="15">
        <f t="shared" ref="I389:I452" si="149">VLOOKUP($A389,Cust,10,0)</f>
        <v>347</v>
      </c>
      <c r="J389" s="15">
        <f>OrdersTable!B389</f>
        <v>813</v>
      </c>
      <c r="K389" s="15" t="str">
        <f t="shared" si="139"/>
        <v>Statues and Busts</v>
      </c>
      <c r="L389" s="15" t="str">
        <f t="shared" si="140"/>
        <v>Doctor Who: Masterpiece Collection Maxi Bust: Leela</v>
      </c>
      <c r="M389" s="15" t="str">
        <f t="shared" si="141"/>
        <v>-</v>
      </c>
      <c r="N389" s="15">
        <f t="shared" si="142"/>
        <v>2.5</v>
      </c>
      <c r="O389" s="15" t="str">
        <f t="shared" si="143"/>
        <v>A30</v>
      </c>
      <c r="P389" s="15" t="str">
        <f t="shared" si="144"/>
        <v>Chesterton Enterprises</v>
      </c>
      <c r="Q389" s="15" t="str">
        <f t="shared" si="145"/>
        <v>41 William Russell Road</v>
      </c>
      <c r="R389" s="3">
        <f>OrdersTable!C389</f>
        <v>44590</v>
      </c>
      <c r="S389" s="15">
        <f>OrdersTable!E389</f>
        <v>7</v>
      </c>
      <c r="T389" s="15">
        <f t="shared" si="146"/>
        <v>49.99</v>
      </c>
      <c r="U389" s="15">
        <f t="shared" si="147"/>
        <v>68.319999999999993</v>
      </c>
      <c r="V389" s="15">
        <f t="shared" si="148"/>
        <v>80.98</v>
      </c>
      <c r="W389" s="15">
        <f>IF(MarkupType="Store Markup",ROUND(V389+V389*StoreMarkup,2),IF(MarkupType="Supplier Markup",V389+V389*SupplierMarkup,"Error at finding value"))</f>
        <v>127.54</v>
      </c>
      <c r="X389" s="32">
        <f t="shared" ref="X389:X452" si="150">IF(AND(W389&gt;100,S389&gt;=3),ROUND(0.07125*W389,2),"0.00")</f>
        <v>9.09</v>
      </c>
      <c r="Y389" s="15">
        <f t="shared" ref="Y389:Y452" si="151">ROUND(V389*S389,2)</f>
        <v>566.86</v>
      </c>
      <c r="Z389" s="15">
        <f t="shared" ref="Z389:Z452" si="152">ROUND((W389-X389)*S389,2)</f>
        <v>829.15</v>
      </c>
      <c r="AA389" s="15">
        <f>IF(FreightType="Lethbridge-Stewart Freight ",ROUND(2.99+IF(N389&gt;0.75,(N389-0.75)*2.25,0)*S389,2),IF(MarkupType="Supplier Markup",V389+V389*SupplierMarkup,"Error at finding value"))</f>
        <v>30.55</v>
      </c>
      <c r="AB389" s="15">
        <f t="shared" ref="AB389:AB452" si="153">ROUND(X389*S389,2)</f>
        <v>63.63</v>
      </c>
    </row>
    <row r="390" spans="1:28" x14ac:dyDescent="0.25">
      <c r="A390" s="16">
        <f>OrdersTable!A390</f>
        <v>302</v>
      </c>
      <c r="B390" s="15" t="str">
        <f t="shared" si="133"/>
        <v>Ms</v>
      </c>
      <c r="C390" s="15" t="str">
        <f t="shared" si="132"/>
        <v>Lamshed</v>
      </c>
      <c r="D390" s="15" t="str">
        <f t="shared" si="134"/>
        <v>Laura Clare</v>
      </c>
      <c r="E390" s="15" t="str">
        <f t="shared" si="135"/>
        <v>22 Edser Drive</v>
      </c>
      <c r="F390" s="15" t="str">
        <f t="shared" si="136"/>
        <v>Caliph</v>
      </c>
      <c r="G390" s="15" t="str">
        <f t="shared" si="137"/>
        <v>SA</v>
      </c>
      <c r="H390" s="15">
        <f t="shared" si="138"/>
        <v>5310</v>
      </c>
      <c r="I390" s="15">
        <f t="shared" si="149"/>
        <v>1720</v>
      </c>
      <c r="J390" s="15">
        <f>OrdersTable!B390</f>
        <v>703</v>
      </c>
      <c r="K390" s="15" t="str">
        <f t="shared" si="139"/>
        <v>Posters, Prints and Standees</v>
      </c>
      <c r="L390" s="15" t="str">
        <f t="shared" si="140"/>
        <v>Doctor Who: Poster: Doctor With Sonic Screwdriver</v>
      </c>
      <c r="M390" s="15" t="str">
        <f t="shared" si="141"/>
        <v>-</v>
      </c>
      <c r="N390" s="15">
        <f t="shared" si="142"/>
        <v>0.2</v>
      </c>
      <c r="O390" s="15" t="str">
        <f t="shared" si="143"/>
        <v>A50</v>
      </c>
      <c r="P390" s="15" t="str">
        <f t="shared" si="144"/>
        <v>Rassilon Ltd.</v>
      </c>
      <c r="Q390" s="15" t="str">
        <f t="shared" si="145"/>
        <v>82 Richard Mathews Road</v>
      </c>
      <c r="R390" s="3">
        <f>OrdersTable!C390</f>
        <v>44590</v>
      </c>
      <c r="S390" s="15">
        <f>OrdersTable!E390</f>
        <v>4</v>
      </c>
      <c r="T390" s="15">
        <f t="shared" si="146"/>
        <v>3.99</v>
      </c>
      <c r="U390" s="15">
        <f t="shared" si="147"/>
        <v>5.51</v>
      </c>
      <c r="V390" s="15">
        <f t="shared" si="148"/>
        <v>6.46</v>
      </c>
      <c r="W390" s="15">
        <f>IF(MarkupType="Store Markup",ROUND(V390+V390*StoreMarkup,2),IF(MarkupType="Supplier Markup",V390+V390*SupplierMarkup,"Error at finding value"))</f>
        <v>10.17</v>
      </c>
      <c r="X390" s="32" t="str">
        <f t="shared" si="150"/>
        <v>0.00</v>
      </c>
      <c r="Y390" s="15">
        <f t="shared" si="151"/>
        <v>25.84</v>
      </c>
      <c r="Z390" s="15">
        <f t="shared" si="152"/>
        <v>40.68</v>
      </c>
      <c r="AA390" s="15">
        <f>IF(FreightType="Lethbridge-Stewart Freight ",ROUND(2.99+IF(N390&gt;0.75,(N390-0.75)*2.25,0)*S390,2),IF(MarkupType="Supplier Markup",V390+V390*SupplierMarkup,"Error at finding value"))</f>
        <v>2.99</v>
      </c>
      <c r="AB390" s="15">
        <f t="shared" si="153"/>
        <v>0</v>
      </c>
    </row>
    <row r="391" spans="1:28" x14ac:dyDescent="0.25">
      <c r="A391" s="16">
        <f>OrdersTable!A391</f>
        <v>333</v>
      </c>
      <c r="B391" s="15" t="str">
        <f t="shared" si="133"/>
        <v>Mr</v>
      </c>
      <c r="C391" s="15" t="str">
        <f t="shared" si="132"/>
        <v>Martin</v>
      </c>
      <c r="D391" s="15" t="str">
        <f t="shared" si="134"/>
        <v>Damien Roger</v>
      </c>
      <c r="E391" s="15" t="str">
        <f t="shared" si="135"/>
        <v>23 Quennell Way</v>
      </c>
      <c r="F391" s="15" t="str">
        <f t="shared" si="136"/>
        <v>Aberfoyle</v>
      </c>
      <c r="G391" s="15" t="str">
        <f t="shared" si="137"/>
        <v>NSW</v>
      </c>
      <c r="H391" s="15">
        <f t="shared" si="138"/>
        <v>2350</v>
      </c>
      <c r="I391" s="15">
        <f t="shared" si="149"/>
        <v>363</v>
      </c>
      <c r="J391" s="15">
        <f>OrdersTable!B391</f>
        <v>732</v>
      </c>
      <c r="K391" s="15" t="str">
        <f t="shared" si="139"/>
        <v>Props and Replicas</v>
      </c>
      <c r="L391" s="15" t="str">
        <f t="shared" si="140"/>
        <v>Doctor Who: Eleventh Doctor's Sonic Screwdriver</v>
      </c>
      <c r="M391" s="15" t="str">
        <f t="shared" si="141"/>
        <v>-</v>
      </c>
      <c r="N391" s="15">
        <f t="shared" si="142"/>
        <v>3</v>
      </c>
      <c r="O391" s="15" t="str">
        <f t="shared" si="143"/>
        <v>A40</v>
      </c>
      <c r="P391" s="15" t="str">
        <f t="shared" si="144"/>
        <v>Romana Imports</v>
      </c>
      <c r="Q391" s="15" t="str">
        <f t="shared" si="145"/>
        <v>17 Lalla Ward Road</v>
      </c>
      <c r="R391" s="3">
        <f>OrdersTable!C391</f>
        <v>44590</v>
      </c>
      <c r="S391" s="15">
        <f>OrdersTable!E391</f>
        <v>2</v>
      </c>
      <c r="T391" s="15">
        <f t="shared" si="146"/>
        <v>59.99</v>
      </c>
      <c r="U391" s="15">
        <f t="shared" si="147"/>
        <v>81.83</v>
      </c>
      <c r="V391" s="15">
        <f t="shared" si="148"/>
        <v>97.18</v>
      </c>
      <c r="W391" s="15">
        <f>IF(MarkupType="Store Markup",ROUND(V391+V391*StoreMarkup,2),IF(MarkupType="Supplier Markup",V391+V391*SupplierMarkup,"Error at finding value"))</f>
        <v>153.06</v>
      </c>
      <c r="X391" s="32" t="str">
        <f t="shared" si="150"/>
        <v>0.00</v>
      </c>
      <c r="Y391" s="15">
        <f t="shared" si="151"/>
        <v>194.36</v>
      </c>
      <c r="Z391" s="15">
        <f t="shared" si="152"/>
        <v>306.12</v>
      </c>
      <c r="AA391" s="15">
        <f>IF(FreightType="Lethbridge-Stewart Freight ",ROUND(2.99+IF(N391&gt;0.75,(N391-0.75)*2.25,0)*S391,2),IF(MarkupType="Supplier Markup",V391+V391*SupplierMarkup,"Error at finding value"))</f>
        <v>13.12</v>
      </c>
      <c r="AB391" s="15">
        <f t="shared" si="153"/>
        <v>0</v>
      </c>
    </row>
    <row r="392" spans="1:28" x14ac:dyDescent="0.25">
      <c r="A392" s="16">
        <f>OrdersTable!A392</f>
        <v>360</v>
      </c>
      <c r="B392" s="15" t="str">
        <f t="shared" si="133"/>
        <v>Ms</v>
      </c>
      <c r="C392" s="15" t="str">
        <f t="shared" si="132"/>
        <v>Bobonica</v>
      </c>
      <c r="D392" s="15" t="str">
        <f t="shared" si="134"/>
        <v>Claudia</v>
      </c>
      <c r="E392" s="15" t="str">
        <f t="shared" si="135"/>
        <v>47 Klein Way</v>
      </c>
      <c r="F392" s="15" t="str">
        <f t="shared" si="136"/>
        <v>Avon Plains</v>
      </c>
      <c r="G392" s="15" t="str">
        <f t="shared" si="137"/>
        <v>VIC</v>
      </c>
      <c r="H392" s="15">
        <f t="shared" si="138"/>
        <v>3477</v>
      </c>
      <c r="I392" s="15">
        <f t="shared" si="149"/>
        <v>1565</v>
      </c>
      <c r="J392" s="15">
        <f>OrdersTable!B392</f>
        <v>702</v>
      </c>
      <c r="K392" s="15" t="str">
        <f t="shared" si="139"/>
        <v>Posters, Prints and Standees</v>
      </c>
      <c r="L392" s="15" t="str">
        <f t="shared" si="140"/>
        <v>Doctor Who: Poster: Daleks</v>
      </c>
      <c r="M392" s="15" t="str">
        <f t="shared" si="141"/>
        <v>-</v>
      </c>
      <c r="N392" s="15">
        <f t="shared" si="142"/>
        <v>0.2</v>
      </c>
      <c r="O392" s="15" t="str">
        <f t="shared" si="143"/>
        <v>A50</v>
      </c>
      <c r="P392" s="15" t="str">
        <f t="shared" si="144"/>
        <v>Rassilon Ltd.</v>
      </c>
      <c r="Q392" s="15" t="str">
        <f t="shared" si="145"/>
        <v>82 Richard Mathews Road</v>
      </c>
      <c r="R392" s="3">
        <f>OrdersTable!C392</f>
        <v>44590</v>
      </c>
      <c r="S392" s="15">
        <f>OrdersTable!E392</f>
        <v>2</v>
      </c>
      <c r="T392" s="15">
        <f t="shared" si="146"/>
        <v>3.99</v>
      </c>
      <c r="U392" s="15">
        <f t="shared" si="147"/>
        <v>5.46</v>
      </c>
      <c r="V392" s="15">
        <f t="shared" si="148"/>
        <v>6.46</v>
      </c>
      <c r="W392" s="15">
        <f>IF(MarkupType="Store Markup",ROUND(V392+V392*StoreMarkup,2),IF(MarkupType="Supplier Markup",V392+V392*SupplierMarkup,"Error at finding value"))</f>
        <v>10.17</v>
      </c>
      <c r="X392" s="32" t="str">
        <f t="shared" si="150"/>
        <v>0.00</v>
      </c>
      <c r="Y392" s="15">
        <f t="shared" si="151"/>
        <v>12.92</v>
      </c>
      <c r="Z392" s="15">
        <f t="shared" si="152"/>
        <v>20.34</v>
      </c>
      <c r="AA392" s="15">
        <f>IF(FreightType="Lethbridge-Stewart Freight ",ROUND(2.99+IF(N392&gt;0.75,(N392-0.75)*2.25,0)*S392,2),IF(MarkupType="Supplier Markup",V392+V392*SupplierMarkup,"Error at finding value"))</f>
        <v>2.99</v>
      </c>
      <c r="AB392" s="15">
        <f t="shared" si="153"/>
        <v>0</v>
      </c>
    </row>
    <row r="393" spans="1:28" x14ac:dyDescent="0.25">
      <c r="A393" s="16">
        <f>OrdersTable!A393</f>
        <v>360</v>
      </c>
      <c r="B393" s="15" t="str">
        <f t="shared" si="133"/>
        <v>Ms</v>
      </c>
      <c r="C393" s="15" t="str">
        <f t="shared" si="132"/>
        <v>Bobonica</v>
      </c>
      <c r="D393" s="15" t="str">
        <f t="shared" si="134"/>
        <v>Claudia</v>
      </c>
      <c r="E393" s="15" t="str">
        <f t="shared" si="135"/>
        <v>47 Klein Way</v>
      </c>
      <c r="F393" s="15" t="str">
        <f t="shared" si="136"/>
        <v>Avon Plains</v>
      </c>
      <c r="G393" s="15" t="str">
        <f t="shared" si="137"/>
        <v>VIC</v>
      </c>
      <c r="H393" s="15">
        <f t="shared" si="138"/>
        <v>3477</v>
      </c>
      <c r="I393" s="15">
        <f t="shared" si="149"/>
        <v>1565</v>
      </c>
      <c r="J393" s="15">
        <f>OrdersTable!B393</f>
        <v>812</v>
      </c>
      <c r="K393" s="15" t="str">
        <f t="shared" si="139"/>
        <v>Statues and Busts</v>
      </c>
      <c r="L393" s="15" t="str">
        <f t="shared" si="140"/>
        <v>Doctor Who: Masterpiece Collection Maxi Bust: Dalek: Day Of The Daleks</v>
      </c>
      <c r="M393" s="15" t="str">
        <f t="shared" si="141"/>
        <v>-</v>
      </c>
      <c r="N393" s="15">
        <f t="shared" si="142"/>
        <v>2.5</v>
      </c>
      <c r="O393" s="15" t="str">
        <f t="shared" si="143"/>
        <v>A20</v>
      </c>
      <c r="P393" s="15" t="str">
        <f t="shared" si="144"/>
        <v>Morbius Inc.</v>
      </c>
      <c r="Q393" s="15" t="str">
        <f t="shared" si="145"/>
        <v>56 Michael Spice Hwy</v>
      </c>
      <c r="R393" s="3">
        <f>OrdersTable!C393</f>
        <v>44590</v>
      </c>
      <c r="S393" s="15">
        <f>OrdersTable!E393</f>
        <v>1</v>
      </c>
      <c r="T393" s="15">
        <f t="shared" si="146"/>
        <v>49.99</v>
      </c>
      <c r="U393" s="15">
        <f t="shared" si="147"/>
        <v>68.47</v>
      </c>
      <c r="V393" s="15">
        <f t="shared" si="148"/>
        <v>80.98</v>
      </c>
      <c r="W393" s="15">
        <f>IF(MarkupType="Store Markup",ROUND(V393+V393*StoreMarkup,2),IF(MarkupType="Supplier Markup",V393+V393*SupplierMarkup,"Error at finding value"))</f>
        <v>127.54</v>
      </c>
      <c r="X393" s="32" t="str">
        <f t="shared" si="150"/>
        <v>0.00</v>
      </c>
      <c r="Y393" s="15">
        <f t="shared" si="151"/>
        <v>80.98</v>
      </c>
      <c r="Z393" s="15">
        <f t="shared" si="152"/>
        <v>127.54</v>
      </c>
      <c r="AA393" s="15">
        <f>IF(FreightType="Lethbridge-Stewart Freight ",ROUND(2.99+IF(N393&gt;0.75,(N393-0.75)*2.25,0)*S393,2),IF(MarkupType="Supplier Markup",V393+V393*SupplierMarkup,"Error at finding value"))</f>
        <v>6.93</v>
      </c>
      <c r="AB393" s="15">
        <f t="shared" si="153"/>
        <v>0</v>
      </c>
    </row>
    <row r="394" spans="1:28" x14ac:dyDescent="0.25">
      <c r="A394" s="16">
        <f>OrdersTable!A394</f>
        <v>468</v>
      </c>
      <c r="B394" s="15" t="str">
        <f t="shared" si="133"/>
        <v>Mrs</v>
      </c>
      <c r="C394" s="15" t="str">
        <f t="shared" si="132"/>
        <v>Van Essen</v>
      </c>
      <c r="D394" s="15" t="str">
        <f t="shared" si="134"/>
        <v>Bianca Jane</v>
      </c>
      <c r="E394" s="15" t="str">
        <f t="shared" si="135"/>
        <v>47 Ward Circuit</v>
      </c>
      <c r="F394" s="15" t="str">
        <f t="shared" si="136"/>
        <v>Batlow</v>
      </c>
      <c r="G394" s="15" t="str">
        <f t="shared" si="137"/>
        <v>NSW</v>
      </c>
      <c r="H394" s="15">
        <f t="shared" si="138"/>
        <v>2730</v>
      </c>
      <c r="I394" s="15">
        <f t="shared" si="149"/>
        <v>1138</v>
      </c>
      <c r="J394" s="15">
        <f>OrdersTable!B394</f>
        <v>834</v>
      </c>
      <c r="K394" s="15" t="str">
        <f t="shared" si="139"/>
        <v>Statues and Busts</v>
      </c>
      <c r="L394" s="15" t="str">
        <f t="shared" si="140"/>
        <v>Doctor Who: Signature Edition Statue: Gallifrey Edition: Matt Smith</v>
      </c>
      <c r="M394" s="15" t="str">
        <f t="shared" si="141"/>
        <v>-</v>
      </c>
      <c r="N394" s="15">
        <f t="shared" si="142"/>
        <v>2.5</v>
      </c>
      <c r="O394" s="15" t="str">
        <f t="shared" si="143"/>
        <v>A30</v>
      </c>
      <c r="P394" s="15" t="str">
        <f t="shared" si="144"/>
        <v>Chesterton Enterprises</v>
      </c>
      <c r="Q394" s="15" t="str">
        <f t="shared" si="145"/>
        <v>41 William Russell Road</v>
      </c>
      <c r="R394" s="3">
        <f>OrdersTable!C394</f>
        <v>44590</v>
      </c>
      <c r="S394" s="15">
        <f>OrdersTable!E394</f>
        <v>8</v>
      </c>
      <c r="T394" s="15">
        <f t="shared" si="146"/>
        <v>49.99</v>
      </c>
      <c r="U394" s="15">
        <f t="shared" si="147"/>
        <v>68.52</v>
      </c>
      <c r="V394" s="15">
        <f t="shared" si="148"/>
        <v>80.98</v>
      </c>
      <c r="W394" s="15">
        <f>IF(MarkupType="Store Markup",ROUND(V394+V394*StoreMarkup,2),IF(MarkupType="Supplier Markup",V394+V394*SupplierMarkup,"Error at finding value"))</f>
        <v>127.54</v>
      </c>
      <c r="X394" s="32">
        <f t="shared" si="150"/>
        <v>9.09</v>
      </c>
      <c r="Y394" s="15">
        <f t="shared" si="151"/>
        <v>647.84</v>
      </c>
      <c r="Z394" s="15">
        <f t="shared" si="152"/>
        <v>947.6</v>
      </c>
      <c r="AA394" s="15">
        <f>IF(FreightType="Lethbridge-Stewart Freight ",ROUND(2.99+IF(N394&gt;0.75,(N394-0.75)*2.25,0)*S394,2),IF(MarkupType="Supplier Markup",V394+V394*SupplierMarkup,"Error at finding value"))</f>
        <v>34.49</v>
      </c>
      <c r="AB394" s="15">
        <f t="shared" si="153"/>
        <v>72.72</v>
      </c>
    </row>
    <row r="395" spans="1:28" x14ac:dyDescent="0.25">
      <c r="A395" s="16">
        <f>OrdersTable!A395</f>
        <v>491</v>
      </c>
      <c r="B395" s="15" t="str">
        <f t="shared" si="133"/>
        <v>Miss</v>
      </c>
      <c r="C395" s="15" t="str">
        <f t="shared" ref="C395:C458" si="154">VLOOKUP($A395,Cust,3,0)</f>
        <v>Winks</v>
      </c>
      <c r="D395" s="15" t="str">
        <f t="shared" si="134"/>
        <v>Lori-Ann</v>
      </c>
      <c r="E395" s="15" t="str">
        <f t="shared" si="135"/>
        <v>40 Lyne Street</v>
      </c>
      <c r="F395" s="15" t="str">
        <f t="shared" si="136"/>
        <v>Bray Park</v>
      </c>
      <c r="G395" s="15" t="str">
        <f t="shared" si="137"/>
        <v>QLD</v>
      </c>
      <c r="H395" s="15">
        <f t="shared" si="138"/>
        <v>4500</v>
      </c>
      <c r="I395" s="15">
        <f t="shared" si="149"/>
        <v>139</v>
      </c>
      <c r="J395" s="15">
        <f>OrdersTable!B395</f>
        <v>530</v>
      </c>
      <c r="K395" s="15" t="str">
        <f t="shared" si="139"/>
        <v>Giftware</v>
      </c>
      <c r="L395" s="15" t="str">
        <f t="shared" si="140"/>
        <v>Doctor Who: Keyring TARDIS</v>
      </c>
      <c r="M395" s="15" t="str">
        <f t="shared" si="141"/>
        <v>-</v>
      </c>
      <c r="N395" s="15">
        <f t="shared" si="142"/>
        <v>0.25</v>
      </c>
      <c r="O395" s="15" t="str">
        <f t="shared" si="143"/>
        <v>A20</v>
      </c>
      <c r="P395" s="15" t="str">
        <f t="shared" si="144"/>
        <v>Morbius Inc.</v>
      </c>
      <c r="Q395" s="15" t="str">
        <f t="shared" si="145"/>
        <v>56 Michael Spice Hwy</v>
      </c>
      <c r="R395" s="3">
        <f>OrdersTable!C395</f>
        <v>44590</v>
      </c>
      <c r="S395" s="15">
        <f>OrdersTable!E395</f>
        <v>10</v>
      </c>
      <c r="T395" s="15">
        <f t="shared" si="146"/>
        <v>4.99</v>
      </c>
      <c r="U395" s="15">
        <f t="shared" si="147"/>
        <v>7.1</v>
      </c>
      <c r="V395" s="15">
        <f t="shared" si="148"/>
        <v>8.08</v>
      </c>
      <c r="W395" s="15">
        <f>IF(MarkupType="Store Markup",ROUND(V395+V395*StoreMarkup,2),IF(MarkupType="Supplier Markup",V395+V395*SupplierMarkup,"Error at finding value"))</f>
        <v>12.73</v>
      </c>
      <c r="X395" s="32" t="str">
        <f t="shared" si="150"/>
        <v>0.00</v>
      </c>
      <c r="Y395" s="15">
        <f t="shared" si="151"/>
        <v>80.8</v>
      </c>
      <c r="Z395" s="15">
        <f t="shared" si="152"/>
        <v>127.3</v>
      </c>
      <c r="AA395" s="15">
        <f>IF(FreightType="Lethbridge-Stewart Freight ",ROUND(2.99+IF(N395&gt;0.75,(N395-0.75)*2.25,0)*S395,2),IF(MarkupType="Supplier Markup",V395+V395*SupplierMarkup,"Error at finding value"))</f>
        <v>2.99</v>
      </c>
      <c r="AB395" s="15">
        <f t="shared" si="153"/>
        <v>0</v>
      </c>
    </row>
    <row r="396" spans="1:28" x14ac:dyDescent="0.25">
      <c r="A396" s="16">
        <f>OrdersTable!A396</f>
        <v>500</v>
      </c>
      <c r="B396" s="15" t="str">
        <f t="shared" si="133"/>
        <v>Ms</v>
      </c>
      <c r="C396" s="15" t="str">
        <f t="shared" si="154"/>
        <v>Helmers</v>
      </c>
      <c r="D396" s="15" t="str">
        <f t="shared" si="134"/>
        <v>Kristy-Lee</v>
      </c>
      <c r="E396" s="15" t="str">
        <f t="shared" si="135"/>
        <v>43 Welthagen Court</v>
      </c>
      <c r="F396" s="15" t="str">
        <f t="shared" si="136"/>
        <v>Areegra</v>
      </c>
      <c r="G396" s="15" t="str">
        <f t="shared" si="137"/>
        <v>VIC</v>
      </c>
      <c r="H396" s="15">
        <f t="shared" si="138"/>
        <v>3480</v>
      </c>
      <c r="I396" s="15">
        <f t="shared" si="149"/>
        <v>1559</v>
      </c>
      <c r="J396" s="15">
        <f>OrdersTable!B396</f>
        <v>671</v>
      </c>
      <c r="K396" s="15" t="str">
        <f t="shared" si="139"/>
        <v>Mugs</v>
      </c>
      <c r="L396" s="15" t="str">
        <f t="shared" si="140"/>
        <v>Doctor Who: Mug: TARDIS Inside</v>
      </c>
      <c r="M396" s="15" t="str">
        <f t="shared" si="141"/>
        <v>-</v>
      </c>
      <c r="N396" s="15">
        <f t="shared" si="142"/>
        <v>0.6</v>
      </c>
      <c r="O396" s="15" t="str">
        <f t="shared" si="143"/>
        <v>A30</v>
      </c>
      <c r="P396" s="15" t="str">
        <f t="shared" si="144"/>
        <v>Chesterton Enterprises</v>
      </c>
      <c r="Q396" s="15" t="str">
        <f t="shared" si="145"/>
        <v>41 William Russell Road</v>
      </c>
      <c r="R396" s="3">
        <f>OrdersTable!C396</f>
        <v>44590</v>
      </c>
      <c r="S396" s="15">
        <f>OrdersTable!E396</f>
        <v>1</v>
      </c>
      <c r="T396" s="15">
        <f t="shared" si="146"/>
        <v>11.99</v>
      </c>
      <c r="U396" s="15">
        <f t="shared" si="147"/>
        <v>16.690000000000001</v>
      </c>
      <c r="V396" s="15">
        <f t="shared" si="148"/>
        <v>19.420000000000002</v>
      </c>
      <c r="W396" s="15">
        <f>IF(MarkupType="Store Markup",ROUND(V396+V396*StoreMarkup,2),IF(MarkupType="Supplier Markup",V396+V396*SupplierMarkup,"Error at finding value"))</f>
        <v>30.59</v>
      </c>
      <c r="X396" s="32" t="str">
        <f t="shared" si="150"/>
        <v>0.00</v>
      </c>
      <c r="Y396" s="15">
        <f t="shared" si="151"/>
        <v>19.420000000000002</v>
      </c>
      <c r="Z396" s="15">
        <f t="shared" si="152"/>
        <v>30.59</v>
      </c>
      <c r="AA396" s="15">
        <f>IF(FreightType="Lethbridge-Stewart Freight ",ROUND(2.99+IF(N396&gt;0.75,(N396-0.75)*2.25,0)*S396,2),IF(MarkupType="Supplier Markup",V396+V396*SupplierMarkup,"Error at finding value"))</f>
        <v>2.99</v>
      </c>
      <c r="AB396" s="15">
        <f t="shared" si="153"/>
        <v>0</v>
      </c>
    </row>
    <row r="397" spans="1:28" x14ac:dyDescent="0.25">
      <c r="A397" s="16">
        <f>OrdersTable!A397</f>
        <v>573</v>
      </c>
      <c r="B397" s="15" t="str">
        <f t="shared" si="133"/>
        <v>Mrs</v>
      </c>
      <c r="C397" s="15" t="str">
        <f t="shared" si="154"/>
        <v>Hollonds</v>
      </c>
      <c r="D397" s="15" t="str">
        <f t="shared" si="134"/>
        <v>Suzan</v>
      </c>
      <c r="E397" s="15" t="str">
        <f t="shared" si="135"/>
        <v>49 Patel Way</v>
      </c>
      <c r="F397" s="15" t="str">
        <f t="shared" si="136"/>
        <v>Belconnen</v>
      </c>
      <c r="G397" s="15" t="str">
        <f t="shared" si="137"/>
        <v>ACT</v>
      </c>
      <c r="H397" s="15">
        <f t="shared" si="138"/>
        <v>2617</v>
      </c>
      <c r="I397" s="15">
        <f t="shared" si="149"/>
        <v>1194</v>
      </c>
      <c r="J397" s="15">
        <f>OrdersTable!B397</f>
        <v>782</v>
      </c>
      <c r="K397" s="15" t="str">
        <f t="shared" si="139"/>
        <v>Statues and Busts</v>
      </c>
      <c r="L397" s="15" t="str">
        <f t="shared" si="140"/>
        <v>Doctor Who: Masterpiece Collection Maxi Bust: 10th Doctor</v>
      </c>
      <c r="M397" s="15" t="str">
        <f t="shared" si="141"/>
        <v>-</v>
      </c>
      <c r="N397" s="15">
        <f t="shared" si="142"/>
        <v>2.5</v>
      </c>
      <c r="O397" s="15" t="str">
        <f t="shared" si="143"/>
        <v>A30</v>
      </c>
      <c r="P397" s="15" t="str">
        <f t="shared" si="144"/>
        <v>Chesterton Enterprises</v>
      </c>
      <c r="Q397" s="15" t="str">
        <f t="shared" si="145"/>
        <v>41 William Russell Road</v>
      </c>
      <c r="R397" s="3">
        <f>OrdersTable!C397</f>
        <v>44590</v>
      </c>
      <c r="S397" s="15">
        <f>OrdersTable!E397</f>
        <v>5</v>
      </c>
      <c r="T397" s="15">
        <f t="shared" si="146"/>
        <v>49.99</v>
      </c>
      <c r="U397" s="15">
        <f t="shared" si="147"/>
        <v>68.5</v>
      </c>
      <c r="V397" s="15">
        <f t="shared" si="148"/>
        <v>80.98</v>
      </c>
      <c r="W397" s="15">
        <f>IF(MarkupType="Store Markup",ROUND(V397+V397*StoreMarkup,2),IF(MarkupType="Supplier Markup",V397+V397*SupplierMarkup,"Error at finding value"))</f>
        <v>127.54</v>
      </c>
      <c r="X397" s="32">
        <f t="shared" si="150"/>
        <v>9.09</v>
      </c>
      <c r="Y397" s="15">
        <f t="shared" si="151"/>
        <v>404.9</v>
      </c>
      <c r="Z397" s="15">
        <f t="shared" si="152"/>
        <v>592.25</v>
      </c>
      <c r="AA397" s="15">
        <f>IF(FreightType="Lethbridge-Stewart Freight ",ROUND(2.99+IF(N397&gt;0.75,(N397-0.75)*2.25,0)*S397,2),IF(MarkupType="Supplier Markup",V397+V397*SupplierMarkup,"Error at finding value"))</f>
        <v>22.68</v>
      </c>
      <c r="AB397" s="15">
        <f t="shared" si="153"/>
        <v>45.45</v>
      </c>
    </row>
    <row r="398" spans="1:28" x14ac:dyDescent="0.25">
      <c r="A398" s="16">
        <f>OrdersTable!A398</f>
        <v>602</v>
      </c>
      <c r="B398" s="15" t="str">
        <f t="shared" si="133"/>
        <v>Mr</v>
      </c>
      <c r="C398" s="15" t="str">
        <f t="shared" si="154"/>
        <v>Spinelli</v>
      </c>
      <c r="D398" s="15" t="str">
        <f t="shared" si="134"/>
        <v>Paul Walter</v>
      </c>
      <c r="E398" s="15" t="str">
        <f t="shared" si="135"/>
        <v>35 Azar Drive</v>
      </c>
      <c r="F398" s="15" t="str">
        <f t="shared" si="136"/>
        <v>Bray Park</v>
      </c>
      <c r="G398" s="15" t="str">
        <f t="shared" si="137"/>
        <v>QLD</v>
      </c>
      <c r="H398" s="15">
        <f t="shared" si="138"/>
        <v>4500</v>
      </c>
      <c r="I398" s="15">
        <f t="shared" si="149"/>
        <v>139</v>
      </c>
      <c r="J398" s="15">
        <f>OrdersTable!B398</f>
        <v>813</v>
      </c>
      <c r="K398" s="15" t="str">
        <f t="shared" si="139"/>
        <v>Statues and Busts</v>
      </c>
      <c r="L398" s="15" t="str">
        <f t="shared" si="140"/>
        <v>Doctor Who: Masterpiece Collection Maxi Bust: Leela</v>
      </c>
      <c r="M398" s="15" t="str">
        <f t="shared" si="141"/>
        <v>-</v>
      </c>
      <c r="N398" s="15">
        <f t="shared" si="142"/>
        <v>2.5</v>
      </c>
      <c r="O398" s="15" t="str">
        <f t="shared" si="143"/>
        <v>A30</v>
      </c>
      <c r="P398" s="15" t="str">
        <f t="shared" si="144"/>
        <v>Chesterton Enterprises</v>
      </c>
      <c r="Q398" s="15" t="str">
        <f t="shared" si="145"/>
        <v>41 William Russell Road</v>
      </c>
      <c r="R398" s="3">
        <f>OrdersTable!C398</f>
        <v>44590</v>
      </c>
      <c r="S398" s="15">
        <f>OrdersTable!E398</f>
        <v>9</v>
      </c>
      <c r="T398" s="15">
        <f t="shared" si="146"/>
        <v>49.99</v>
      </c>
      <c r="U398" s="15">
        <f t="shared" si="147"/>
        <v>68.319999999999993</v>
      </c>
      <c r="V398" s="15">
        <f t="shared" si="148"/>
        <v>80.98</v>
      </c>
      <c r="W398" s="15">
        <f>IF(MarkupType="Store Markup",ROUND(V398+V398*StoreMarkup,2),IF(MarkupType="Supplier Markup",V398+V398*SupplierMarkup,"Error at finding value"))</f>
        <v>127.54</v>
      </c>
      <c r="X398" s="32">
        <f t="shared" si="150"/>
        <v>9.09</v>
      </c>
      <c r="Y398" s="15">
        <f t="shared" si="151"/>
        <v>728.82</v>
      </c>
      <c r="Z398" s="15">
        <f t="shared" si="152"/>
        <v>1066.05</v>
      </c>
      <c r="AA398" s="15">
        <f>IF(FreightType="Lethbridge-Stewart Freight ",ROUND(2.99+IF(N398&gt;0.75,(N398-0.75)*2.25,0)*S398,2),IF(MarkupType="Supplier Markup",V398+V398*SupplierMarkup,"Error at finding value"))</f>
        <v>38.43</v>
      </c>
      <c r="AB398" s="15">
        <f t="shared" si="153"/>
        <v>81.81</v>
      </c>
    </row>
    <row r="399" spans="1:28" x14ac:dyDescent="0.25">
      <c r="A399" s="16">
        <f>OrdersTable!A399</f>
        <v>884</v>
      </c>
      <c r="B399" s="15" t="str">
        <f t="shared" si="133"/>
        <v>Mr</v>
      </c>
      <c r="C399" s="15" t="str">
        <f t="shared" si="154"/>
        <v>Smy</v>
      </c>
      <c r="D399" s="15" t="str">
        <f t="shared" si="134"/>
        <v>Corey Alexander</v>
      </c>
      <c r="E399" s="15" t="str">
        <f t="shared" si="135"/>
        <v>47 Lindsay Circuit</v>
      </c>
      <c r="F399" s="15" t="str">
        <f t="shared" si="136"/>
        <v>Boston</v>
      </c>
      <c r="G399" s="15" t="str">
        <f t="shared" si="137"/>
        <v>SA</v>
      </c>
      <c r="H399" s="15">
        <f t="shared" si="138"/>
        <v>5607</v>
      </c>
      <c r="I399" s="15">
        <f t="shared" si="149"/>
        <v>2076</v>
      </c>
      <c r="J399" s="15">
        <f>OrdersTable!B399</f>
        <v>679</v>
      </c>
      <c r="K399" s="15" t="str">
        <f t="shared" si="139"/>
        <v>Mugs</v>
      </c>
      <c r="L399" s="15" t="str">
        <f t="shared" si="140"/>
        <v>Doctor Who: Mug: The Fifth Doctor</v>
      </c>
      <c r="M399" s="15" t="str">
        <f t="shared" si="141"/>
        <v>-</v>
      </c>
      <c r="N399" s="15">
        <f t="shared" si="142"/>
        <v>0.45</v>
      </c>
      <c r="O399" s="15" t="str">
        <f t="shared" si="143"/>
        <v>A40</v>
      </c>
      <c r="P399" s="15" t="str">
        <f t="shared" si="144"/>
        <v>Romana Imports</v>
      </c>
      <c r="Q399" s="15" t="str">
        <f t="shared" si="145"/>
        <v>17 Lalla Ward Road</v>
      </c>
      <c r="R399" s="3">
        <f>OrdersTable!C399</f>
        <v>44590</v>
      </c>
      <c r="S399" s="15">
        <f>OrdersTable!E399</f>
        <v>4</v>
      </c>
      <c r="T399" s="15">
        <f t="shared" si="146"/>
        <v>8.99</v>
      </c>
      <c r="U399" s="15">
        <f t="shared" si="147"/>
        <v>12.28</v>
      </c>
      <c r="V399" s="15">
        <f t="shared" si="148"/>
        <v>14.56</v>
      </c>
      <c r="W399" s="15">
        <f>IF(MarkupType="Store Markup",ROUND(V399+V399*StoreMarkup,2),IF(MarkupType="Supplier Markup",V399+V399*SupplierMarkup,"Error at finding value"))</f>
        <v>22.93</v>
      </c>
      <c r="X399" s="32" t="str">
        <f t="shared" si="150"/>
        <v>0.00</v>
      </c>
      <c r="Y399" s="15">
        <f t="shared" si="151"/>
        <v>58.24</v>
      </c>
      <c r="Z399" s="15">
        <f t="shared" si="152"/>
        <v>91.72</v>
      </c>
      <c r="AA399" s="15">
        <f>IF(FreightType="Lethbridge-Stewart Freight ",ROUND(2.99+IF(N399&gt;0.75,(N399-0.75)*2.25,0)*S399,2),IF(MarkupType="Supplier Markup",V399+V399*SupplierMarkup,"Error at finding value"))</f>
        <v>2.99</v>
      </c>
      <c r="AB399" s="15">
        <f t="shared" si="153"/>
        <v>0</v>
      </c>
    </row>
    <row r="400" spans="1:28" x14ac:dyDescent="0.25">
      <c r="A400" s="16">
        <f>OrdersTable!A400</f>
        <v>972</v>
      </c>
      <c r="B400" s="15" t="str">
        <f t="shared" si="133"/>
        <v>Miss</v>
      </c>
      <c r="C400" s="15" t="str">
        <f t="shared" si="154"/>
        <v>Walsh</v>
      </c>
      <c r="D400" s="15" t="str">
        <f t="shared" si="134"/>
        <v>Alana Jane</v>
      </c>
      <c r="E400" s="15" t="str">
        <f t="shared" si="135"/>
        <v>40 Betts Crescent</v>
      </c>
      <c r="F400" s="15" t="str">
        <f t="shared" si="136"/>
        <v>Alleena</v>
      </c>
      <c r="G400" s="15" t="str">
        <f t="shared" si="137"/>
        <v>NSW</v>
      </c>
      <c r="H400" s="15">
        <f t="shared" si="138"/>
        <v>2671</v>
      </c>
      <c r="I400" s="15">
        <f t="shared" si="149"/>
        <v>988</v>
      </c>
      <c r="J400" s="15">
        <f>OrdersTable!B400</f>
        <v>745</v>
      </c>
      <c r="K400" s="15" t="str">
        <f t="shared" si="139"/>
        <v>Props and Replicas</v>
      </c>
      <c r="L400" s="15" t="str">
        <f t="shared" si="140"/>
        <v>Doctor Who: TARDIS Type 40 Plaque</v>
      </c>
      <c r="M400" s="15" t="str">
        <f t="shared" si="141"/>
        <v>-</v>
      </c>
      <c r="N400" s="15">
        <f t="shared" si="142"/>
        <v>1.75</v>
      </c>
      <c r="O400" s="15" t="str">
        <f t="shared" si="143"/>
        <v>A30</v>
      </c>
      <c r="P400" s="15" t="str">
        <f t="shared" si="144"/>
        <v>Chesterton Enterprises</v>
      </c>
      <c r="Q400" s="15" t="str">
        <f t="shared" si="145"/>
        <v>41 William Russell Road</v>
      </c>
      <c r="R400" s="3">
        <f>OrdersTable!C400</f>
        <v>44590</v>
      </c>
      <c r="S400" s="15">
        <f>OrdersTable!E400</f>
        <v>9</v>
      </c>
      <c r="T400" s="15">
        <f t="shared" si="146"/>
        <v>34.99</v>
      </c>
      <c r="U400" s="15">
        <f t="shared" si="147"/>
        <v>47.86</v>
      </c>
      <c r="V400" s="15">
        <f t="shared" si="148"/>
        <v>56.68</v>
      </c>
      <c r="W400" s="15">
        <f>IF(MarkupType="Store Markup",ROUND(V400+V400*StoreMarkup,2),IF(MarkupType="Supplier Markup",V400+V400*SupplierMarkup,"Error at finding value"))</f>
        <v>89.27</v>
      </c>
      <c r="X400" s="32" t="str">
        <f t="shared" si="150"/>
        <v>0.00</v>
      </c>
      <c r="Y400" s="15">
        <f t="shared" si="151"/>
        <v>510.12</v>
      </c>
      <c r="Z400" s="15">
        <f t="shared" si="152"/>
        <v>803.43</v>
      </c>
      <c r="AA400" s="15">
        <f>IF(FreightType="Lethbridge-Stewart Freight ",ROUND(2.99+IF(N400&gt;0.75,(N400-0.75)*2.25,0)*S400,2),IF(MarkupType="Supplier Markup",V400+V400*SupplierMarkup,"Error at finding value"))</f>
        <v>23.24</v>
      </c>
      <c r="AB400" s="15">
        <f t="shared" si="153"/>
        <v>0</v>
      </c>
    </row>
    <row r="401" spans="1:28" x14ac:dyDescent="0.25">
      <c r="A401" s="16">
        <f>OrdersTable!A401</f>
        <v>983</v>
      </c>
      <c r="B401" s="15" t="str">
        <f t="shared" si="133"/>
        <v>Mrs</v>
      </c>
      <c r="C401" s="15" t="str">
        <f t="shared" si="154"/>
        <v>Bennett</v>
      </c>
      <c r="D401" s="15" t="str">
        <f t="shared" si="134"/>
        <v>Mikayla Elizabeth</v>
      </c>
      <c r="E401" s="15" t="str">
        <f t="shared" si="135"/>
        <v>35 Khanal Crescent</v>
      </c>
      <c r="F401" s="15" t="str">
        <f t="shared" si="136"/>
        <v>Bamboo</v>
      </c>
      <c r="G401" s="15" t="str">
        <f t="shared" si="137"/>
        <v>QLD</v>
      </c>
      <c r="H401" s="15">
        <f t="shared" si="138"/>
        <v>4873</v>
      </c>
      <c r="I401" s="15">
        <f t="shared" si="149"/>
        <v>1741</v>
      </c>
      <c r="J401" s="15">
        <f>OrdersTable!B401</f>
        <v>710</v>
      </c>
      <c r="K401" s="15" t="str">
        <f t="shared" si="139"/>
        <v>Posters, Prints and Standees</v>
      </c>
      <c r="L401" s="15" t="str">
        <f t="shared" si="140"/>
        <v>Doctor Who: Poster: Regenerate</v>
      </c>
      <c r="M401" s="15" t="str">
        <f t="shared" si="141"/>
        <v>-</v>
      </c>
      <c r="N401" s="15">
        <f t="shared" si="142"/>
        <v>0.2</v>
      </c>
      <c r="O401" s="15" t="str">
        <f t="shared" si="143"/>
        <v>A40</v>
      </c>
      <c r="P401" s="15" t="str">
        <f t="shared" si="144"/>
        <v>Romana Imports</v>
      </c>
      <c r="Q401" s="15" t="str">
        <f t="shared" si="145"/>
        <v>17 Lalla Ward Road</v>
      </c>
      <c r="R401" s="3">
        <f>OrdersTable!C401</f>
        <v>44590</v>
      </c>
      <c r="S401" s="15">
        <f>OrdersTable!E401</f>
        <v>7</v>
      </c>
      <c r="T401" s="15">
        <f t="shared" si="146"/>
        <v>3.99</v>
      </c>
      <c r="U401" s="15">
        <f t="shared" si="147"/>
        <v>5.5</v>
      </c>
      <c r="V401" s="15">
        <f t="shared" si="148"/>
        <v>6.46</v>
      </c>
      <c r="W401" s="15">
        <f>IF(MarkupType="Store Markup",ROUND(V401+V401*StoreMarkup,2),IF(MarkupType="Supplier Markup",V401+V401*SupplierMarkup,"Error at finding value"))</f>
        <v>10.17</v>
      </c>
      <c r="X401" s="32" t="str">
        <f t="shared" si="150"/>
        <v>0.00</v>
      </c>
      <c r="Y401" s="15">
        <f t="shared" si="151"/>
        <v>45.22</v>
      </c>
      <c r="Z401" s="15">
        <f t="shared" si="152"/>
        <v>71.19</v>
      </c>
      <c r="AA401" s="15">
        <f>IF(FreightType="Lethbridge-Stewart Freight ",ROUND(2.99+IF(N401&gt;0.75,(N401-0.75)*2.25,0)*S401,2),IF(MarkupType="Supplier Markup",V401+V401*SupplierMarkup,"Error at finding value"))</f>
        <v>2.99</v>
      </c>
      <c r="AB401" s="15">
        <f t="shared" si="153"/>
        <v>0</v>
      </c>
    </row>
    <row r="402" spans="1:28" x14ac:dyDescent="0.25">
      <c r="A402" s="16">
        <f>OrdersTable!A402</f>
        <v>180</v>
      </c>
      <c r="B402" s="15" t="str">
        <f t="shared" si="133"/>
        <v>Mrs</v>
      </c>
      <c r="C402" s="15" t="str">
        <f t="shared" si="154"/>
        <v>Feeney</v>
      </c>
      <c r="D402" s="15" t="str">
        <f t="shared" si="134"/>
        <v>Jennifer Ruth</v>
      </c>
      <c r="E402" s="15" t="str">
        <f t="shared" si="135"/>
        <v>18 Cook Avenue</v>
      </c>
      <c r="F402" s="15" t="str">
        <f t="shared" si="136"/>
        <v>Nayook</v>
      </c>
      <c r="G402" s="15" t="str">
        <f t="shared" si="137"/>
        <v>VIC</v>
      </c>
      <c r="H402" s="15">
        <f t="shared" si="138"/>
        <v>3832</v>
      </c>
      <c r="I402" s="15">
        <f t="shared" si="149"/>
        <v>1552</v>
      </c>
      <c r="J402" s="15">
        <f>OrdersTable!B402</f>
        <v>701</v>
      </c>
      <c r="K402" s="15" t="str">
        <f t="shared" si="139"/>
        <v>Posters, Prints and Standees</v>
      </c>
      <c r="L402" s="15" t="str">
        <f t="shared" si="140"/>
        <v>Doctor Who: Half Sized Standee: The TARDIS</v>
      </c>
      <c r="M402" s="15" t="str">
        <f t="shared" si="141"/>
        <v>-</v>
      </c>
      <c r="N402" s="15">
        <f t="shared" si="142"/>
        <v>0.5</v>
      </c>
      <c r="O402" s="15" t="str">
        <f t="shared" si="143"/>
        <v>A40</v>
      </c>
      <c r="P402" s="15" t="str">
        <f t="shared" si="144"/>
        <v>Romana Imports</v>
      </c>
      <c r="Q402" s="15" t="str">
        <f t="shared" si="145"/>
        <v>17 Lalla Ward Road</v>
      </c>
      <c r="R402" s="3">
        <f>OrdersTable!C402</f>
        <v>44591</v>
      </c>
      <c r="S402" s="15">
        <f>OrdersTable!E402</f>
        <v>7</v>
      </c>
      <c r="T402" s="15">
        <f t="shared" si="146"/>
        <v>9.99</v>
      </c>
      <c r="U402" s="15">
        <f t="shared" si="147"/>
        <v>13.83</v>
      </c>
      <c r="V402" s="15">
        <f t="shared" si="148"/>
        <v>16.18</v>
      </c>
      <c r="W402" s="15">
        <f>IF(MarkupType="Store Markup",ROUND(V402+V402*StoreMarkup,2),IF(MarkupType="Supplier Markup",V402+V402*SupplierMarkup,"Error at finding value"))</f>
        <v>25.48</v>
      </c>
      <c r="X402" s="32" t="str">
        <f t="shared" si="150"/>
        <v>0.00</v>
      </c>
      <c r="Y402" s="15">
        <f t="shared" si="151"/>
        <v>113.26</v>
      </c>
      <c r="Z402" s="15">
        <f t="shared" si="152"/>
        <v>178.36</v>
      </c>
      <c r="AA402" s="15">
        <f>IF(FreightType="Lethbridge-Stewart Freight ",ROUND(2.99+IF(N402&gt;0.75,(N402-0.75)*2.25,0)*S402,2),IF(MarkupType="Supplier Markup",V402+V402*SupplierMarkup,"Error at finding value"))</f>
        <v>2.99</v>
      </c>
      <c r="AB402" s="15">
        <f t="shared" si="153"/>
        <v>0</v>
      </c>
    </row>
    <row r="403" spans="1:28" x14ac:dyDescent="0.25">
      <c r="A403" s="16">
        <f>OrdersTable!A403</f>
        <v>232</v>
      </c>
      <c r="B403" s="15" t="str">
        <f t="shared" si="133"/>
        <v>Mrs</v>
      </c>
      <c r="C403" s="15" t="str">
        <f t="shared" si="154"/>
        <v>Bishop</v>
      </c>
      <c r="D403" s="15" t="str">
        <f t="shared" si="134"/>
        <v>Katherine Marie</v>
      </c>
      <c r="E403" s="15" t="str">
        <f t="shared" si="135"/>
        <v>19 Whitehorn Circuit</v>
      </c>
      <c r="F403" s="15" t="str">
        <f t="shared" si="136"/>
        <v>Black Hills</v>
      </c>
      <c r="G403" s="15" t="str">
        <f t="shared" si="137"/>
        <v>TAS</v>
      </c>
      <c r="H403" s="15">
        <f t="shared" si="138"/>
        <v>7140</v>
      </c>
      <c r="I403" s="15">
        <f t="shared" si="149"/>
        <v>2191</v>
      </c>
      <c r="J403" s="15">
        <f>OrdersTable!B403</f>
        <v>128</v>
      </c>
      <c r="K403" s="15" t="str">
        <f t="shared" si="139"/>
        <v>Bobbleheads</v>
      </c>
      <c r="L403" s="15" t="str">
        <f t="shared" si="140"/>
        <v>Doctor Who: Bobblehead: Davros</v>
      </c>
      <c r="M403" s="15" t="str">
        <f t="shared" si="141"/>
        <v>-</v>
      </c>
      <c r="N403" s="15">
        <f t="shared" si="142"/>
        <v>0.85</v>
      </c>
      <c r="O403" s="15" t="str">
        <f t="shared" si="143"/>
        <v>A50</v>
      </c>
      <c r="P403" s="15" t="str">
        <f t="shared" si="144"/>
        <v>Rassilon Ltd.</v>
      </c>
      <c r="Q403" s="15" t="str">
        <f t="shared" si="145"/>
        <v>82 Richard Mathews Road</v>
      </c>
      <c r="R403" s="3">
        <f>OrdersTable!C403</f>
        <v>44591</v>
      </c>
      <c r="S403" s="15">
        <f>OrdersTable!E403</f>
        <v>1</v>
      </c>
      <c r="T403" s="15">
        <f t="shared" si="146"/>
        <v>16.989999999999998</v>
      </c>
      <c r="U403" s="15">
        <f t="shared" si="147"/>
        <v>23.27</v>
      </c>
      <c r="V403" s="15">
        <f t="shared" si="148"/>
        <v>27.52</v>
      </c>
      <c r="W403" s="15">
        <f>IF(MarkupType="Store Markup",ROUND(V403+V403*StoreMarkup,2),IF(MarkupType="Supplier Markup",V403+V403*SupplierMarkup,"Error at finding value"))</f>
        <v>43.34</v>
      </c>
      <c r="X403" s="32" t="str">
        <f t="shared" si="150"/>
        <v>0.00</v>
      </c>
      <c r="Y403" s="15">
        <f t="shared" si="151"/>
        <v>27.52</v>
      </c>
      <c r="Z403" s="15">
        <f t="shared" si="152"/>
        <v>43.34</v>
      </c>
      <c r="AA403" s="15">
        <f>IF(FreightType="Lethbridge-Stewart Freight ",ROUND(2.99+IF(N403&gt;0.75,(N403-0.75)*2.25,0)*S403,2),IF(MarkupType="Supplier Markup",V403+V403*SupplierMarkup,"Error at finding value"))</f>
        <v>3.22</v>
      </c>
      <c r="AB403" s="15">
        <f t="shared" si="153"/>
        <v>0</v>
      </c>
    </row>
    <row r="404" spans="1:28" x14ac:dyDescent="0.25">
      <c r="A404" s="16">
        <f>OrdersTable!A404</f>
        <v>232</v>
      </c>
      <c r="B404" s="15" t="str">
        <f t="shared" si="133"/>
        <v>Mrs</v>
      </c>
      <c r="C404" s="15" t="str">
        <f t="shared" si="154"/>
        <v>Bishop</v>
      </c>
      <c r="D404" s="15" t="str">
        <f t="shared" si="134"/>
        <v>Katherine Marie</v>
      </c>
      <c r="E404" s="15" t="str">
        <f t="shared" si="135"/>
        <v>19 Whitehorn Circuit</v>
      </c>
      <c r="F404" s="15" t="str">
        <f t="shared" si="136"/>
        <v>Black Hills</v>
      </c>
      <c r="G404" s="15" t="str">
        <f t="shared" si="137"/>
        <v>TAS</v>
      </c>
      <c r="H404" s="15">
        <f t="shared" si="138"/>
        <v>7140</v>
      </c>
      <c r="I404" s="15">
        <f t="shared" si="149"/>
        <v>2191</v>
      </c>
      <c r="J404" s="15">
        <f>OrdersTable!B404</f>
        <v>398</v>
      </c>
      <c r="K404" s="15" t="str">
        <f t="shared" si="139"/>
        <v>Clothing and Apparel</v>
      </c>
      <c r="L404" s="15" t="str">
        <f t="shared" si="140"/>
        <v>Doctor Who: Women's Winter Pyjamas</v>
      </c>
      <c r="M404" s="15" t="str">
        <f t="shared" si="141"/>
        <v>S</v>
      </c>
      <c r="N404" s="15">
        <f t="shared" si="142"/>
        <v>1.5</v>
      </c>
      <c r="O404" s="15" t="str">
        <f t="shared" si="143"/>
        <v>A40</v>
      </c>
      <c r="P404" s="15" t="str">
        <f t="shared" si="144"/>
        <v>Romana Imports</v>
      </c>
      <c r="Q404" s="15" t="str">
        <f t="shared" si="145"/>
        <v>17 Lalla Ward Road</v>
      </c>
      <c r="R404" s="3">
        <f>OrdersTable!C404</f>
        <v>44591</v>
      </c>
      <c r="S404" s="15">
        <f>OrdersTable!E404</f>
        <v>3</v>
      </c>
      <c r="T404" s="15">
        <f t="shared" si="146"/>
        <v>29.99</v>
      </c>
      <c r="U404" s="15">
        <f t="shared" si="147"/>
        <v>41.07</v>
      </c>
      <c r="V404" s="15">
        <f t="shared" si="148"/>
        <v>48.58</v>
      </c>
      <c r="W404" s="15">
        <f>IF(MarkupType="Store Markup",ROUND(V404+V404*StoreMarkup,2),IF(MarkupType="Supplier Markup",V404+V404*SupplierMarkup,"Error at finding value"))</f>
        <v>76.510000000000005</v>
      </c>
      <c r="X404" s="32" t="str">
        <f t="shared" si="150"/>
        <v>0.00</v>
      </c>
      <c r="Y404" s="15">
        <f t="shared" si="151"/>
        <v>145.74</v>
      </c>
      <c r="Z404" s="15">
        <f t="shared" si="152"/>
        <v>229.53</v>
      </c>
      <c r="AA404" s="15">
        <f>IF(FreightType="Lethbridge-Stewart Freight ",ROUND(2.99+IF(N404&gt;0.75,(N404-0.75)*2.25,0)*S404,2),IF(MarkupType="Supplier Markup",V404+V404*SupplierMarkup,"Error at finding value"))</f>
        <v>8.0500000000000007</v>
      </c>
      <c r="AB404" s="15">
        <f t="shared" si="153"/>
        <v>0</v>
      </c>
    </row>
    <row r="405" spans="1:28" x14ac:dyDescent="0.25">
      <c r="A405" s="16">
        <f>OrdersTable!A405</f>
        <v>285</v>
      </c>
      <c r="B405" s="15" t="str">
        <f t="shared" si="133"/>
        <v>Mr</v>
      </c>
      <c r="C405" s="15" t="str">
        <f t="shared" si="154"/>
        <v>Temple Morgan</v>
      </c>
      <c r="D405" s="15" t="str">
        <f t="shared" si="134"/>
        <v>Mathew Peter</v>
      </c>
      <c r="E405" s="15" t="str">
        <f t="shared" si="135"/>
        <v>19 Tansky Court</v>
      </c>
      <c r="F405" s="15" t="str">
        <f t="shared" si="136"/>
        <v>Belford</v>
      </c>
      <c r="G405" s="15" t="str">
        <f t="shared" si="137"/>
        <v>NSW</v>
      </c>
      <c r="H405" s="15">
        <f t="shared" si="138"/>
        <v>2335</v>
      </c>
      <c r="I405" s="15">
        <f t="shared" si="149"/>
        <v>716</v>
      </c>
      <c r="J405" s="15">
        <f>OrdersTable!B405</f>
        <v>747</v>
      </c>
      <c r="K405" s="15" t="str">
        <f t="shared" si="139"/>
        <v>Props and Replicas</v>
      </c>
      <c r="L405" s="15" t="str">
        <f t="shared" si="140"/>
        <v>Doctor Who: The Master's Fob Watch</v>
      </c>
      <c r="M405" s="15" t="str">
        <f t="shared" si="141"/>
        <v>-</v>
      </c>
      <c r="N405" s="15">
        <f t="shared" si="142"/>
        <v>2.25</v>
      </c>
      <c r="O405" s="15" t="str">
        <f t="shared" si="143"/>
        <v>A10</v>
      </c>
      <c r="P405" s="15" t="str">
        <f t="shared" si="144"/>
        <v>Gallifrey International</v>
      </c>
      <c r="Q405" s="15" t="str">
        <f t="shared" si="145"/>
        <v>181 Arcadia Street</v>
      </c>
      <c r="R405" s="3">
        <f>OrdersTable!C405</f>
        <v>44591</v>
      </c>
      <c r="S405" s="15">
        <f>OrdersTable!E405</f>
        <v>2</v>
      </c>
      <c r="T405" s="15">
        <f t="shared" si="146"/>
        <v>44.99</v>
      </c>
      <c r="U405" s="15">
        <f t="shared" si="147"/>
        <v>61.7</v>
      </c>
      <c r="V405" s="15">
        <f t="shared" si="148"/>
        <v>72.88</v>
      </c>
      <c r="W405" s="15">
        <f>IF(MarkupType="Store Markup",ROUND(V405+V405*StoreMarkup,2),IF(MarkupType="Supplier Markup",V405+V405*SupplierMarkup,"Error at finding value"))</f>
        <v>114.79</v>
      </c>
      <c r="X405" s="32" t="str">
        <f t="shared" si="150"/>
        <v>0.00</v>
      </c>
      <c r="Y405" s="15">
        <f t="shared" si="151"/>
        <v>145.76</v>
      </c>
      <c r="Z405" s="15">
        <f t="shared" si="152"/>
        <v>229.58</v>
      </c>
      <c r="AA405" s="15">
        <f>IF(FreightType="Lethbridge-Stewart Freight ",ROUND(2.99+IF(N405&gt;0.75,(N405-0.75)*2.25,0)*S405,2),IF(MarkupType="Supplier Markup",V405+V405*SupplierMarkup,"Error at finding value"))</f>
        <v>9.74</v>
      </c>
      <c r="AB405" s="15">
        <f t="shared" si="153"/>
        <v>0</v>
      </c>
    </row>
    <row r="406" spans="1:28" x14ac:dyDescent="0.25">
      <c r="A406" s="16">
        <f>OrdersTable!A406</f>
        <v>296</v>
      </c>
      <c r="B406" s="15" t="str">
        <f t="shared" si="133"/>
        <v>Miss</v>
      </c>
      <c r="C406" s="15" t="str">
        <f t="shared" si="154"/>
        <v>Kussrow</v>
      </c>
      <c r="D406" s="15" t="str">
        <f t="shared" si="134"/>
        <v>Katherine Anne</v>
      </c>
      <c r="E406" s="15" t="str">
        <f t="shared" si="135"/>
        <v>10 Downes Street</v>
      </c>
      <c r="F406" s="15" t="str">
        <f t="shared" si="136"/>
        <v>Breakwater</v>
      </c>
      <c r="G406" s="15" t="str">
        <f t="shared" si="137"/>
        <v>VIC</v>
      </c>
      <c r="H406" s="15">
        <f t="shared" si="138"/>
        <v>3219</v>
      </c>
      <c r="I406" s="15">
        <f t="shared" si="149"/>
        <v>1596</v>
      </c>
      <c r="J406" s="15">
        <f>OrdersTable!B406</f>
        <v>590</v>
      </c>
      <c r="K406" s="15" t="str">
        <f t="shared" si="139"/>
        <v>iPhone Skins</v>
      </c>
      <c r="L406" s="15" t="str">
        <f t="shared" si="140"/>
        <v>Doctor Who: iPhone Skin: Exploding TARDIS</v>
      </c>
      <c r="M406" s="15" t="str">
        <f t="shared" si="141"/>
        <v>-</v>
      </c>
      <c r="N406" s="15">
        <f t="shared" si="142"/>
        <v>0.5</v>
      </c>
      <c r="O406" s="15" t="str">
        <f t="shared" si="143"/>
        <v>A20</v>
      </c>
      <c r="P406" s="15" t="str">
        <f t="shared" si="144"/>
        <v>Morbius Inc.</v>
      </c>
      <c r="Q406" s="15" t="str">
        <f t="shared" si="145"/>
        <v>56 Michael Spice Hwy</v>
      </c>
      <c r="R406" s="3">
        <f>OrdersTable!C406</f>
        <v>44591</v>
      </c>
      <c r="S406" s="15">
        <f>OrdersTable!E406</f>
        <v>3</v>
      </c>
      <c r="T406" s="15">
        <f t="shared" si="146"/>
        <v>9.99</v>
      </c>
      <c r="U406" s="15">
        <f t="shared" si="147"/>
        <v>13.86</v>
      </c>
      <c r="V406" s="15">
        <f t="shared" si="148"/>
        <v>16.18</v>
      </c>
      <c r="W406" s="15">
        <f>IF(MarkupType="Store Markup",ROUND(V406+V406*StoreMarkup,2),IF(MarkupType="Supplier Markup",V406+V406*SupplierMarkup,"Error at finding value"))</f>
        <v>25.48</v>
      </c>
      <c r="X406" s="32" t="str">
        <f t="shared" si="150"/>
        <v>0.00</v>
      </c>
      <c r="Y406" s="15">
        <f t="shared" si="151"/>
        <v>48.54</v>
      </c>
      <c r="Z406" s="15">
        <f t="shared" si="152"/>
        <v>76.44</v>
      </c>
      <c r="AA406" s="15">
        <f>IF(FreightType="Lethbridge-Stewart Freight ",ROUND(2.99+IF(N406&gt;0.75,(N406-0.75)*2.25,0)*S406,2),IF(MarkupType="Supplier Markup",V406+V406*SupplierMarkup,"Error at finding value"))</f>
        <v>2.99</v>
      </c>
      <c r="AB406" s="15">
        <f t="shared" si="153"/>
        <v>0</v>
      </c>
    </row>
    <row r="407" spans="1:28" x14ac:dyDescent="0.25">
      <c r="A407" s="16">
        <f>OrdersTable!A407</f>
        <v>296</v>
      </c>
      <c r="B407" s="15" t="str">
        <f t="shared" si="133"/>
        <v>Miss</v>
      </c>
      <c r="C407" s="15" t="str">
        <f t="shared" si="154"/>
        <v>Kussrow</v>
      </c>
      <c r="D407" s="15" t="str">
        <f t="shared" si="134"/>
        <v>Katherine Anne</v>
      </c>
      <c r="E407" s="15" t="str">
        <f t="shared" si="135"/>
        <v>10 Downes Street</v>
      </c>
      <c r="F407" s="15" t="str">
        <f t="shared" si="136"/>
        <v>Breakwater</v>
      </c>
      <c r="G407" s="15" t="str">
        <f t="shared" si="137"/>
        <v>VIC</v>
      </c>
      <c r="H407" s="15">
        <f t="shared" si="138"/>
        <v>3219</v>
      </c>
      <c r="I407" s="15">
        <f t="shared" si="149"/>
        <v>1596</v>
      </c>
      <c r="J407" s="15">
        <f>OrdersTable!B407</f>
        <v>726</v>
      </c>
      <c r="K407" s="15" t="str">
        <f t="shared" si="139"/>
        <v>Props and Replicas</v>
      </c>
      <c r="L407" s="15" t="str">
        <f t="shared" si="140"/>
        <v>Doctor Who: Dalek Death Ray</v>
      </c>
      <c r="M407" s="15" t="str">
        <f t="shared" si="141"/>
        <v>-</v>
      </c>
      <c r="N407" s="15">
        <f t="shared" si="142"/>
        <v>18</v>
      </c>
      <c r="O407" s="15" t="str">
        <f t="shared" si="143"/>
        <v>A30</v>
      </c>
      <c r="P407" s="15" t="str">
        <f t="shared" si="144"/>
        <v>Chesterton Enterprises</v>
      </c>
      <c r="Q407" s="15" t="str">
        <f t="shared" si="145"/>
        <v>41 William Russell Road</v>
      </c>
      <c r="R407" s="3">
        <f>OrdersTable!C407</f>
        <v>44591</v>
      </c>
      <c r="S407" s="15">
        <f>OrdersTable!E407</f>
        <v>1</v>
      </c>
      <c r="T407" s="15">
        <f t="shared" si="146"/>
        <v>359.99</v>
      </c>
      <c r="U407" s="15">
        <f t="shared" si="147"/>
        <v>491.12</v>
      </c>
      <c r="V407" s="15">
        <f t="shared" si="148"/>
        <v>583.17999999999995</v>
      </c>
      <c r="W407" s="15">
        <f>IF(MarkupType="Store Markup",ROUND(V407+V407*StoreMarkup,2),IF(MarkupType="Supplier Markup",V407+V407*SupplierMarkup,"Error at finding value"))</f>
        <v>918.51</v>
      </c>
      <c r="X407" s="32" t="str">
        <f t="shared" si="150"/>
        <v>0.00</v>
      </c>
      <c r="Y407" s="15">
        <f t="shared" si="151"/>
        <v>583.17999999999995</v>
      </c>
      <c r="Z407" s="15">
        <f t="shared" si="152"/>
        <v>918.51</v>
      </c>
      <c r="AA407" s="15">
        <f>IF(FreightType="Lethbridge-Stewart Freight ",ROUND(2.99+IF(N407&gt;0.75,(N407-0.75)*2.25,0)*S407,2),IF(MarkupType="Supplier Markup",V407+V407*SupplierMarkup,"Error at finding value"))</f>
        <v>41.8</v>
      </c>
      <c r="AB407" s="15">
        <f t="shared" si="153"/>
        <v>0</v>
      </c>
    </row>
    <row r="408" spans="1:28" x14ac:dyDescent="0.25">
      <c r="A408" s="16">
        <f>OrdersTable!A408</f>
        <v>308</v>
      </c>
      <c r="B408" s="15" t="str">
        <f t="shared" si="133"/>
        <v>Dr</v>
      </c>
      <c r="C408" s="15" t="str">
        <f t="shared" si="154"/>
        <v>Azar</v>
      </c>
      <c r="D408" s="15" t="str">
        <f t="shared" si="134"/>
        <v>Mariam</v>
      </c>
      <c r="E408" s="15" t="str">
        <f t="shared" si="135"/>
        <v>26 Osmond Road</v>
      </c>
      <c r="F408" s="15" t="str">
        <f t="shared" si="136"/>
        <v>Boston</v>
      </c>
      <c r="G408" s="15" t="str">
        <f t="shared" si="137"/>
        <v>SA</v>
      </c>
      <c r="H408" s="15">
        <f t="shared" si="138"/>
        <v>5607</v>
      </c>
      <c r="I408" s="15">
        <f t="shared" si="149"/>
        <v>2076</v>
      </c>
      <c r="J408" s="15">
        <f>OrdersTable!B408</f>
        <v>341</v>
      </c>
      <c r="K408" s="15" t="str">
        <f t="shared" si="139"/>
        <v>Clothing and Apparel</v>
      </c>
      <c r="L408" s="15" t="str">
        <f t="shared" si="140"/>
        <v xml:space="preserve">Doctor Who: T-Shirts: 4th Doctor Costume </v>
      </c>
      <c r="M408" s="15" t="str">
        <f t="shared" si="141"/>
        <v>XL</v>
      </c>
      <c r="N408" s="15">
        <f t="shared" si="142"/>
        <v>0.8</v>
      </c>
      <c r="O408" s="15" t="str">
        <f t="shared" si="143"/>
        <v>A20</v>
      </c>
      <c r="P408" s="15" t="str">
        <f t="shared" si="144"/>
        <v>Morbius Inc.</v>
      </c>
      <c r="Q408" s="15" t="str">
        <f t="shared" si="145"/>
        <v>56 Michael Spice Hwy</v>
      </c>
      <c r="R408" s="3">
        <f>OrdersTable!C408</f>
        <v>44591</v>
      </c>
      <c r="S408" s="15">
        <f>OrdersTable!E408</f>
        <v>3</v>
      </c>
      <c r="T408" s="15">
        <f t="shared" si="146"/>
        <v>15.99</v>
      </c>
      <c r="U408" s="15">
        <f t="shared" si="147"/>
        <v>22.05</v>
      </c>
      <c r="V408" s="15">
        <f t="shared" si="148"/>
        <v>25.9</v>
      </c>
      <c r="W408" s="15">
        <f>IF(MarkupType="Store Markup",ROUND(V408+V408*StoreMarkup,2),IF(MarkupType="Supplier Markup",V408+V408*SupplierMarkup,"Error at finding value"))</f>
        <v>40.79</v>
      </c>
      <c r="X408" s="32" t="str">
        <f t="shared" si="150"/>
        <v>0.00</v>
      </c>
      <c r="Y408" s="15">
        <f t="shared" si="151"/>
        <v>77.7</v>
      </c>
      <c r="Z408" s="15">
        <f t="shared" si="152"/>
        <v>122.37</v>
      </c>
      <c r="AA408" s="15">
        <f>IF(FreightType="Lethbridge-Stewart Freight ",ROUND(2.99+IF(N408&gt;0.75,(N408-0.75)*2.25,0)*S408,2),IF(MarkupType="Supplier Markup",V408+V408*SupplierMarkup,"Error at finding value"))</f>
        <v>3.33</v>
      </c>
      <c r="AB408" s="15">
        <f t="shared" si="153"/>
        <v>0</v>
      </c>
    </row>
    <row r="409" spans="1:28" x14ac:dyDescent="0.25">
      <c r="A409" s="16">
        <f>OrdersTable!A409</f>
        <v>331</v>
      </c>
      <c r="B409" s="15" t="str">
        <f t="shared" si="133"/>
        <v>Mrs</v>
      </c>
      <c r="C409" s="15" t="str">
        <f t="shared" si="154"/>
        <v>McKenzie</v>
      </c>
      <c r="D409" s="15" t="str">
        <f t="shared" si="134"/>
        <v>Melinda Kate</v>
      </c>
      <c r="E409" s="15" t="str">
        <f t="shared" si="135"/>
        <v>49 McKay Way</v>
      </c>
      <c r="F409" s="15" t="str">
        <f t="shared" si="136"/>
        <v>Black Hills</v>
      </c>
      <c r="G409" s="15" t="str">
        <f t="shared" si="137"/>
        <v>TAS</v>
      </c>
      <c r="H409" s="15">
        <f t="shared" si="138"/>
        <v>7140</v>
      </c>
      <c r="I409" s="15">
        <f t="shared" si="149"/>
        <v>2191</v>
      </c>
      <c r="J409" s="15">
        <f>OrdersTable!B409</f>
        <v>479</v>
      </c>
      <c r="K409" s="15" t="str">
        <f t="shared" si="139"/>
        <v>Giftware</v>
      </c>
      <c r="L409" s="15" t="str">
        <f t="shared" si="140"/>
        <v>Doctor Who: Keyring Dalek</v>
      </c>
      <c r="M409" s="15" t="str">
        <f t="shared" si="141"/>
        <v>-</v>
      </c>
      <c r="N409" s="15">
        <f t="shared" si="142"/>
        <v>0.25</v>
      </c>
      <c r="O409" s="15" t="str">
        <f t="shared" si="143"/>
        <v>A10</v>
      </c>
      <c r="P409" s="15" t="str">
        <f t="shared" si="144"/>
        <v>Gallifrey International</v>
      </c>
      <c r="Q409" s="15" t="str">
        <f t="shared" si="145"/>
        <v>181 Arcadia Street</v>
      </c>
      <c r="R409" s="3">
        <f>OrdersTable!C409</f>
        <v>44591</v>
      </c>
      <c r="S409" s="15">
        <f>OrdersTable!E409</f>
        <v>10</v>
      </c>
      <c r="T409" s="15">
        <f t="shared" si="146"/>
        <v>4.99</v>
      </c>
      <c r="U409" s="15">
        <f t="shared" si="147"/>
        <v>6.86</v>
      </c>
      <c r="V409" s="15">
        <f t="shared" si="148"/>
        <v>8.08</v>
      </c>
      <c r="W409" s="15">
        <f>IF(MarkupType="Store Markup",ROUND(V409+V409*StoreMarkup,2),IF(MarkupType="Supplier Markup",V409+V409*SupplierMarkup,"Error at finding value"))</f>
        <v>12.73</v>
      </c>
      <c r="X409" s="32" t="str">
        <f t="shared" si="150"/>
        <v>0.00</v>
      </c>
      <c r="Y409" s="15">
        <f t="shared" si="151"/>
        <v>80.8</v>
      </c>
      <c r="Z409" s="15">
        <f t="shared" si="152"/>
        <v>127.3</v>
      </c>
      <c r="AA409" s="15">
        <f>IF(FreightType="Lethbridge-Stewart Freight ",ROUND(2.99+IF(N409&gt;0.75,(N409-0.75)*2.25,0)*S409,2),IF(MarkupType="Supplier Markup",V409+V409*SupplierMarkup,"Error at finding value"))</f>
        <v>2.99</v>
      </c>
      <c r="AB409" s="15">
        <f t="shared" si="153"/>
        <v>0</v>
      </c>
    </row>
    <row r="410" spans="1:28" x14ac:dyDescent="0.25">
      <c r="A410" s="16">
        <f>OrdersTable!A410</f>
        <v>501</v>
      </c>
      <c r="B410" s="15" t="str">
        <f t="shared" si="133"/>
        <v>Miss</v>
      </c>
      <c r="C410" s="15" t="str">
        <f t="shared" si="154"/>
        <v>Tharenou</v>
      </c>
      <c r="D410" s="15" t="str">
        <f t="shared" si="134"/>
        <v>Kimberley Jacinta</v>
      </c>
      <c r="E410" s="15" t="str">
        <f t="shared" si="135"/>
        <v>49 Moncada Circuit</v>
      </c>
      <c r="F410" s="15" t="str">
        <f t="shared" si="136"/>
        <v>Belford</v>
      </c>
      <c r="G410" s="15" t="str">
        <f t="shared" si="137"/>
        <v>NSW</v>
      </c>
      <c r="H410" s="15">
        <f t="shared" si="138"/>
        <v>2335</v>
      </c>
      <c r="I410" s="15">
        <f t="shared" si="149"/>
        <v>716</v>
      </c>
      <c r="J410" s="15">
        <f>OrdersTable!B410</f>
        <v>812</v>
      </c>
      <c r="K410" s="15" t="str">
        <f t="shared" si="139"/>
        <v>Statues and Busts</v>
      </c>
      <c r="L410" s="15" t="str">
        <f t="shared" si="140"/>
        <v>Doctor Who: Masterpiece Collection Maxi Bust: Dalek: Day Of The Daleks</v>
      </c>
      <c r="M410" s="15" t="str">
        <f t="shared" si="141"/>
        <v>-</v>
      </c>
      <c r="N410" s="15">
        <f t="shared" si="142"/>
        <v>2.5</v>
      </c>
      <c r="O410" s="15" t="str">
        <f t="shared" si="143"/>
        <v>A20</v>
      </c>
      <c r="P410" s="15" t="str">
        <f t="shared" si="144"/>
        <v>Morbius Inc.</v>
      </c>
      <c r="Q410" s="15" t="str">
        <f t="shared" si="145"/>
        <v>56 Michael Spice Hwy</v>
      </c>
      <c r="R410" s="3">
        <f>OrdersTable!C410</f>
        <v>44591</v>
      </c>
      <c r="S410" s="15">
        <f>OrdersTable!E410</f>
        <v>10</v>
      </c>
      <c r="T410" s="15">
        <f t="shared" si="146"/>
        <v>49.99</v>
      </c>
      <c r="U410" s="15">
        <f t="shared" si="147"/>
        <v>68.47</v>
      </c>
      <c r="V410" s="15">
        <f t="shared" si="148"/>
        <v>80.98</v>
      </c>
      <c r="W410" s="15">
        <f>IF(MarkupType="Store Markup",ROUND(V410+V410*StoreMarkup,2),IF(MarkupType="Supplier Markup",V410+V410*SupplierMarkup,"Error at finding value"))</f>
        <v>127.54</v>
      </c>
      <c r="X410" s="32">
        <f t="shared" si="150"/>
        <v>9.09</v>
      </c>
      <c r="Y410" s="15">
        <f t="shared" si="151"/>
        <v>809.8</v>
      </c>
      <c r="Z410" s="15">
        <f t="shared" si="152"/>
        <v>1184.5</v>
      </c>
      <c r="AA410" s="15">
        <f>IF(FreightType="Lethbridge-Stewart Freight ",ROUND(2.99+IF(N410&gt;0.75,(N410-0.75)*2.25,0)*S410,2),IF(MarkupType="Supplier Markup",V410+V410*SupplierMarkup,"Error at finding value"))</f>
        <v>42.37</v>
      </c>
      <c r="AB410" s="15">
        <f t="shared" si="153"/>
        <v>90.9</v>
      </c>
    </row>
    <row r="411" spans="1:28" x14ac:dyDescent="0.25">
      <c r="A411" s="16">
        <f>OrdersTable!A411</f>
        <v>515</v>
      </c>
      <c r="B411" s="15" t="str">
        <f t="shared" si="133"/>
        <v>Mr</v>
      </c>
      <c r="C411" s="15" t="str">
        <f t="shared" si="154"/>
        <v>Noffke</v>
      </c>
      <c r="D411" s="15" t="str">
        <f t="shared" si="134"/>
        <v>William Thomas</v>
      </c>
      <c r="E411" s="15" t="str">
        <f t="shared" si="135"/>
        <v>20 Tyler Drive</v>
      </c>
      <c r="F411" s="15" t="str">
        <f t="shared" si="136"/>
        <v>Areegra</v>
      </c>
      <c r="G411" s="15" t="str">
        <f t="shared" si="137"/>
        <v>VIC</v>
      </c>
      <c r="H411" s="15">
        <f t="shared" si="138"/>
        <v>3480</v>
      </c>
      <c r="I411" s="15">
        <f t="shared" si="149"/>
        <v>1559</v>
      </c>
      <c r="J411" s="15">
        <f>OrdersTable!B411</f>
        <v>683</v>
      </c>
      <c r="K411" s="15" t="str">
        <f t="shared" si="139"/>
        <v>Mugs</v>
      </c>
      <c r="L411" s="15" t="str">
        <f t="shared" si="140"/>
        <v>Doctor Who: Mug: The Tenth Doctor</v>
      </c>
      <c r="M411" s="15" t="str">
        <f t="shared" si="141"/>
        <v>-</v>
      </c>
      <c r="N411" s="15">
        <f t="shared" si="142"/>
        <v>0.45</v>
      </c>
      <c r="O411" s="15" t="str">
        <f t="shared" si="143"/>
        <v>A20</v>
      </c>
      <c r="P411" s="15" t="str">
        <f t="shared" si="144"/>
        <v>Morbius Inc.</v>
      </c>
      <c r="Q411" s="15" t="str">
        <f t="shared" si="145"/>
        <v>56 Michael Spice Hwy</v>
      </c>
      <c r="R411" s="3">
        <f>OrdersTable!C411</f>
        <v>44591</v>
      </c>
      <c r="S411" s="15">
        <f>OrdersTable!E411</f>
        <v>5</v>
      </c>
      <c r="T411" s="15">
        <f t="shared" si="146"/>
        <v>8.99</v>
      </c>
      <c r="U411" s="15">
        <f t="shared" si="147"/>
        <v>12.54</v>
      </c>
      <c r="V411" s="15">
        <f t="shared" si="148"/>
        <v>14.56</v>
      </c>
      <c r="W411" s="15">
        <f>IF(MarkupType="Store Markup",ROUND(V411+V411*StoreMarkup,2),IF(MarkupType="Supplier Markup",V411+V411*SupplierMarkup,"Error at finding value"))</f>
        <v>22.93</v>
      </c>
      <c r="X411" s="32" t="str">
        <f t="shared" si="150"/>
        <v>0.00</v>
      </c>
      <c r="Y411" s="15">
        <f t="shared" si="151"/>
        <v>72.8</v>
      </c>
      <c r="Z411" s="15">
        <f t="shared" si="152"/>
        <v>114.65</v>
      </c>
      <c r="AA411" s="15">
        <f>IF(FreightType="Lethbridge-Stewart Freight ",ROUND(2.99+IF(N411&gt;0.75,(N411-0.75)*2.25,0)*S411,2),IF(MarkupType="Supplier Markup",V411+V411*SupplierMarkup,"Error at finding value"))</f>
        <v>2.99</v>
      </c>
      <c r="AB411" s="15">
        <f t="shared" si="153"/>
        <v>0</v>
      </c>
    </row>
    <row r="412" spans="1:28" x14ac:dyDescent="0.25">
      <c r="A412" s="16">
        <f>OrdersTable!A412</f>
        <v>544</v>
      </c>
      <c r="B412" s="15" t="str">
        <f t="shared" si="133"/>
        <v>Mr</v>
      </c>
      <c r="C412" s="15" t="str">
        <f t="shared" si="154"/>
        <v>Sullivan</v>
      </c>
      <c r="D412" s="15" t="str">
        <f t="shared" si="134"/>
        <v>Lawrence Bernard</v>
      </c>
      <c r="E412" s="15" t="str">
        <f t="shared" si="135"/>
        <v>11 Haydon Boulevard</v>
      </c>
      <c r="F412" s="15" t="str">
        <f t="shared" si="136"/>
        <v>Breakwater</v>
      </c>
      <c r="G412" s="15" t="str">
        <f t="shared" si="137"/>
        <v>VIC</v>
      </c>
      <c r="H412" s="15">
        <f t="shared" si="138"/>
        <v>3219</v>
      </c>
      <c r="I412" s="15">
        <f t="shared" si="149"/>
        <v>1596</v>
      </c>
      <c r="J412" s="15">
        <f>OrdersTable!B412</f>
        <v>330</v>
      </c>
      <c r="K412" s="15" t="str">
        <f t="shared" si="139"/>
        <v>Clothing and Apparel</v>
      </c>
      <c r="L412" s="15" t="str">
        <f t="shared" si="140"/>
        <v xml:space="preserve">Doctor Who: T-Shirts: 4th Doctor Costume </v>
      </c>
      <c r="M412" s="15" t="str">
        <f t="shared" si="141"/>
        <v>M</v>
      </c>
      <c r="N412" s="15">
        <f t="shared" si="142"/>
        <v>0.8</v>
      </c>
      <c r="O412" s="15" t="str">
        <f t="shared" si="143"/>
        <v>A20</v>
      </c>
      <c r="P412" s="15" t="str">
        <f t="shared" si="144"/>
        <v>Morbius Inc.</v>
      </c>
      <c r="Q412" s="15" t="str">
        <f t="shared" si="145"/>
        <v>56 Michael Spice Hwy</v>
      </c>
      <c r="R412" s="3">
        <f>OrdersTable!C412</f>
        <v>44591</v>
      </c>
      <c r="S412" s="15">
        <f>OrdersTable!E412</f>
        <v>7</v>
      </c>
      <c r="T412" s="15">
        <f t="shared" si="146"/>
        <v>15.99</v>
      </c>
      <c r="U412" s="15">
        <f t="shared" si="147"/>
        <v>22.03</v>
      </c>
      <c r="V412" s="15">
        <f t="shared" si="148"/>
        <v>25.9</v>
      </c>
      <c r="W412" s="15">
        <f>IF(MarkupType="Store Markup",ROUND(V412+V412*StoreMarkup,2),IF(MarkupType="Supplier Markup",V412+V412*SupplierMarkup,"Error at finding value"))</f>
        <v>40.79</v>
      </c>
      <c r="X412" s="32" t="str">
        <f t="shared" si="150"/>
        <v>0.00</v>
      </c>
      <c r="Y412" s="15">
        <f t="shared" si="151"/>
        <v>181.3</v>
      </c>
      <c r="Z412" s="15">
        <f t="shared" si="152"/>
        <v>285.52999999999997</v>
      </c>
      <c r="AA412" s="15">
        <f>IF(FreightType="Lethbridge-Stewart Freight ",ROUND(2.99+IF(N412&gt;0.75,(N412-0.75)*2.25,0)*S412,2),IF(MarkupType="Supplier Markup",V412+V412*SupplierMarkup,"Error at finding value"))</f>
        <v>3.78</v>
      </c>
      <c r="AB412" s="15">
        <f t="shared" si="153"/>
        <v>0</v>
      </c>
    </row>
    <row r="413" spans="1:28" x14ac:dyDescent="0.25">
      <c r="A413" s="16">
        <f>OrdersTable!A413</f>
        <v>594</v>
      </c>
      <c r="B413" s="15" t="str">
        <f t="shared" si="133"/>
        <v>Mrs</v>
      </c>
      <c r="C413" s="15" t="str">
        <f t="shared" si="154"/>
        <v>Entriken</v>
      </c>
      <c r="D413" s="15" t="str">
        <f t="shared" si="134"/>
        <v>Gwenda Dawn</v>
      </c>
      <c r="E413" s="15" t="str">
        <f t="shared" si="135"/>
        <v>8 Miljkovic Drive</v>
      </c>
      <c r="F413" s="15" t="str">
        <f t="shared" si="136"/>
        <v>Nayook</v>
      </c>
      <c r="G413" s="15" t="str">
        <f t="shared" si="137"/>
        <v>VIC</v>
      </c>
      <c r="H413" s="15">
        <f t="shared" si="138"/>
        <v>3832</v>
      </c>
      <c r="I413" s="15">
        <f t="shared" si="149"/>
        <v>1552</v>
      </c>
      <c r="J413" s="15">
        <f>OrdersTable!B413</f>
        <v>778</v>
      </c>
      <c r="K413" s="15" t="str">
        <f t="shared" si="139"/>
        <v>Statues and Busts</v>
      </c>
      <c r="L413" s="15" t="str">
        <f t="shared" si="140"/>
        <v>Doctor Who: Legends Forever Bust: William Hartnell</v>
      </c>
      <c r="M413" s="15" t="str">
        <f t="shared" si="141"/>
        <v>-</v>
      </c>
      <c r="N413" s="15">
        <f t="shared" si="142"/>
        <v>1.375</v>
      </c>
      <c r="O413" s="15" t="str">
        <f t="shared" si="143"/>
        <v>A40</v>
      </c>
      <c r="P413" s="15" t="str">
        <f t="shared" si="144"/>
        <v>Romana Imports</v>
      </c>
      <c r="Q413" s="15" t="str">
        <f t="shared" si="145"/>
        <v>17 Lalla Ward Road</v>
      </c>
      <c r="R413" s="3">
        <f>OrdersTable!C413</f>
        <v>44591</v>
      </c>
      <c r="S413" s="15">
        <f>OrdersTable!E413</f>
        <v>10</v>
      </c>
      <c r="T413" s="15">
        <f t="shared" si="146"/>
        <v>27.5</v>
      </c>
      <c r="U413" s="15">
        <f t="shared" si="147"/>
        <v>37.520000000000003</v>
      </c>
      <c r="V413" s="15">
        <f t="shared" si="148"/>
        <v>44.55</v>
      </c>
      <c r="W413" s="15">
        <f>IF(MarkupType="Store Markup",ROUND(V413+V413*StoreMarkup,2),IF(MarkupType="Supplier Markup",V413+V413*SupplierMarkup,"Error at finding value"))</f>
        <v>70.17</v>
      </c>
      <c r="X413" s="32" t="str">
        <f t="shared" si="150"/>
        <v>0.00</v>
      </c>
      <c r="Y413" s="15">
        <f t="shared" si="151"/>
        <v>445.5</v>
      </c>
      <c r="Z413" s="15">
        <f t="shared" si="152"/>
        <v>701.7</v>
      </c>
      <c r="AA413" s="15">
        <f>IF(FreightType="Lethbridge-Stewart Freight ",ROUND(2.99+IF(N413&gt;0.75,(N413-0.75)*2.25,0)*S413,2),IF(MarkupType="Supplier Markup",V413+V413*SupplierMarkup,"Error at finding value"))</f>
        <v>17.05</v>
      </c>
      <c r="AB413" s="15">
        <f t="shared" si="153"/>
        <v>0</v>
      </c>
    </row>
    <row r="414" spans="1:28" x14ac:dyDescent="0.25">
      <c r="A414" s="16">
        <f>OrdersTable!A414</f>
        <v>849</v>
      </c>
      <c r="B414" s="15" t="str">
        <f t="shared" si="133"/>
        <v>Dr</v>
      </c>
      <c r="C414" s="15" t="str">
        <f t="shared" si="154"/>
        <v>Blair</v>
      </c>
      <c r="D414" s="15" t="str">
        <f t="shared" si="134"/>
        <v>Taylor Ashleigh</v>
      </c>
      <c r="E414" s="15" t="str">
        <f t="shared" si="135"/>
        <v>42 Ward Avenue</v>
      </c>
      <c r="F414" s="15" t="str">
        <f t="shared" si="136"/>
        <v>Airly</v>
      </c>
      <c r="G414" s="15" t="str">
        <f t="shared" si="137"/>
        <v>VIC</v>
      </c>
      <c r="H414" s="15">
        <f t="shared" si="138"/>
        <v>3851</v>
      </c>
      <c r="I414" s="15">
        <f t="shared" si="149"/>
        <v>1583</v>
      </c>
      <c r="J414" s="15">
        <f>OrdersTable!B414</f>
        <v>515</v>
      </c>
      <c r="K414" s="15" t="str">
        <f t="shared" si="139"/>
        <v>Giftware</v>
      </c>
      <c r="L414" s="15" t="str">
        <f t="shared" si="140"/>
        <v>Doctor Who: Keyring K9</v>
      </c>
      <c r="M414" s="15" t="str">
        <f t="shared" si="141"/>
        <v>-</v>
      </c>
      <c r="N414" s="15">
        <f t="shared" si="142"/>
        <v>0.25</v>
      </c>
      <c r="O414" s="15" t="str">
        <f t="shared" si="143"/>
        <v>A50</v>
      </c>
      <c r="P414" s="15" t="str">
        <f t="shared" si="144"/>
        <v>Rassilon Ltd.</v>
      </c>
      <c r="Q414" s="15" t="str">
        <f t="shared" si="145"/>
        <v>82 Richard Mathews Road</v>
      </c>
      <c r="R414" s="3">
        <f>OrdersTable!C414</f>
        <v>44591</v>
      </c>
      <c r="S414" s="15">
        <f>OrdersTable!E414</f>
        <v>6</v>
      </c>
      <c r="T414" s="15">
        <f t="shared" si="146"/>
        <v>4.99</v>
      </c>
      <c r="U414" s="15">
        <f t="shared" si="147"/>
        <v>6.91</v>
      </c>
      <c r="V414" s="15">
        <f t="shared" si="148"/>
        <v>8.08</v>
      </c>
      <c r="W414" s="15">
        <f>IF(MarkupType="Store Markup",ROUND(V414+V414*StoreMarkup,2),IF(MarkupType="Supplier Markup",V414+V414*SupplierMarkup,"Error at finding value"))</f>
        <v>12.73</v>
      </c>
      <c r="X414" s="32" t="str">
        <f t="shared" si="150"/>
        <v>0.00</v>
      </c>
      <c r="Y414" s="15">
        <f t="shared" si="151"/>
        <v>48.48</v>
      </c>
      <c r="Z414" s="15">
        <f t="shared" si="152"/>
        <v>76.38</v>
      </c>
      <c r="AA414" s="15">
        <f>IF(FreightType="Lethbridge-Stewart Freight ",ROUND(2.99+IF(N414&gt;0.75,(N414-0.75)*2.25,0)*S414,2),IF(MarkupType="Supplier Markup",V414+V414*SupplierMarkup,"Error at finding value"))</f>
        <v>2.99</v>
      </c>
      <c r="AB414" s="15">
        <f t="shared" si="153"/>
        <v>0</v>
      </c>
    </row>
    <row r="415" spans="1:28" x14ac:dyDescent="0.25">
      <c r="A415" s="16">
        <f>OrdersTable!A415</f>
        <v>150</v>
      </c>
      <c r="B415" s="15" t="str">
        <f t="shared" si="133"/>
        <v>Dr</v>
      </c>
      <c r="C415" s="15" t="str">
        <f t="shared" si="154"/>
        <v>Taumalolo</v>
      </c>
      <c r="D415" s="15" t="str">
        <f t="shared" si="134"/>
        <v>Latai Fono-Ki-Moana</v>
      </c>
      <c r="E415" s="15" t="str">
        <f t="shared" si="135"/>
        <v>13 Taylor Way</v>
      </c>
      <c r="F415" s="15" t="str">
        <f t="shared" si="136"/>
        <v>Bamboo</v>
      </c>
      <c r="G415" s="15" t="str">
        <f t="shared" si="137"/>
        <v>QLD</v>
      </c>
      <c r="H415" s="15">
        <f t="shared" si="138"/>
        <v>4873</v>
      </c>
      <c r="I415" s="15">
        <f t="shared" si="149"/>
        <v>1741</v>
      </c>
      <c r="J415" s="15">
        <f>OrdersTable!B415</f>
        <v>780</v>
      </c>
      <c r="K415" s="15" t="str">
        <f t="shared" si="139"/>
        <v>Statues and Busts</v>
      </c>
      <c r="L415" s="15" t="str">
        <f t="shared" si="140"/>
        <v>Doctor Who: Masterpiece Collection Dalek: Genesis Of The Daleks</v>
      </c>
      <c r="M415" s="15" t="str">
        <f t="shared" si="141"/>
        <v>-</v>
      </c>
      <c r="N415" s="15">
        <f t="shared" si="142"/>
        <v>2.5</v>
      </c>
      <c r="O415" s="15" t="str">
        <f t="shared" si="143"/>
        <v>A30</v>
      </c>
      <c r="P415" s="15" t="str">
        <f t="shared" si="144"/>
        <v>Chesterton Enterprises</v>
      </c>
      <c r="Q415" s="15" t="str">
        <f t="shared" si="145"/>
        <v>41 William Russell Road</v>
      </c>
      <c r="R415" s="3">
        <f>OrdersTable!C415</f>
        <v>44592</v>
      </c>
      <c r="S415" s="15">
        <f>OrdersTable!E415</f>
        <v>9</v>
      </c>
      <c r="T415" s="15">
        <f t="shared" si="146"/>
        <v>49.99</v>
      </c>
      <c r="U415" s="15">
        <f t="shared" si="147"/>
        <v>68.23</v>
      </c>
      <c r="V415" s="15">
        <f t="shared" si="148"/>
        <v>80.98</v>
      </c>
      <c r="W415" s="15">
        <f>IF(MarkupType="Store Markup",ROUND(V415+V415*StoreMarkup,2),IF(MarkupType="Supplier Markup",V415+V415*SupplierMarkup,"Error at finding value"))</f>
        <v>127.54</v>
      </c>
      <c r="X415" s="32">
        <f t="shared" si="150"/>
        <v>9.09</v>
      </c>
      <c r="Y415" s="15">
        <f t="shared" si="151"/>
        <v>728.82</v>
      </c>
      <c r="Z415" s="15">
        <f t="shared" si="152"/>
        <v>1066.05</v>
      </c>
      <c r="AA415" s="15">
        <f>IF(FreightType="Lethbridge-Stewart Freight ",ROUND(2.99+IF(N415&gt;0.75,(N415-0.75)*2.25,0)*S415,2),IF(MarkupType="Supplier Markup",V415+V415*SupplierMarkup,"Error at finding value"))</f>
        <v>38.43</v>
      </c>
      <c r="AB415" s="15">
        <f t="shared" si="153"/>
        <v>81.81</v>
      </c>
    </row>
    <row r="416" spans="1:28" x14ac:dyDescent="0.25">
      <c r="A416" s="16">
        <f>OrdersTable!A416</f>
        <v>180</v>
      </c>
      <c r="B416" s="15" t="str">
        <f t="shared" si="133"/>
        <v>Mrs</v>
      </c>
      <c r="C416" s="15" t="str">
        <f t="shared" si="154"/>
        <v>Feeney</v>
      </c>
      <c r="D416" s="15" t="str">
        <f t="shared" si="134"/>
        <v>Jennifer Ruth</v>
      </c>
      <c r="E416" s="15" t="str">
        <f t="shared" si="135"/>
        <v>18 Cook Avenue</v>
      </c>
      <c r="F416" s="15" t="str">
        <f t="shared" si="136"/>
        <v>Nayook</v>
      </c>
      <c r="G416" s="15" t="str">
        <f t="shared" si="137"/>
        <v>VIC</v>
      </c>
      <c r="H416" s="15">
        <f t="shared" si="138"/>
        <v>3832</v>
      </c>
      <c r="I416" s="15">
        <f t="shared" si="149"/>
        <v>1552</v>
      </c>
      <c r="J416" s="15">
        <f>OrdersTable!B416</f>
        <v>128</v>
      </c>
      <c r="K416" s="15" t="str">
        <f t="shared" si="139"/>
        <v>Bobbleheads</v>
      </c>
      <c r="L416" s="15" t="str">
        <f t="shared" si="140"/>
        <v>Doctor Who: Bobblehead: Davros</v>
      </c>
      <c r="M416" s="15" t="str">
        <f t="shared" si="141"/>
        <v>-</v>
      </c>
      <c r="N416" s="15">
        <f t="shared" si="142"/>
        <v>0.85</v>
      </c>
      <c r="O416" s="15" t="str">
        <f t="shared" si="143"/>
        <v>A50</v>
      </c>
      <c r="P416" s="15" t="str">
        <f t="shared" si="144"/>
        <v>Rassilon Ltd.</v>
      </c>
      <c r="Q416" s="15" t="str">
        <f t="shared" si="145"/>
        <v>82 Richard Mathews Road</v>
      </c>
      <c r="R416" s="3">
        <f>OrdersTable!C416</f>
        <v>44592</v>
      </c>
      <c r="S416" s="15">
        <f>OrdersTable!E416</f>
        <v>6</v>
      </c>
      <c r="T416" s="15">
        <f t="shared" si="146"/>
        <v>16.989999999999998</v>
      </c>
      <c r="U416" s="15">
        <f t="shared" si="147"/>
        <v>23.27</v>
      </c>
      <c r="V416" s="15">
        <f t="shared" si="148"/>
        <v>27.52</v>
      </c>
      <c r="W416" s="15">
        <f>IF(MarkupType="Store Markup",ROUND(V416+V416*StoreMarkup,2),IF(MarkupType="Supplier Markup",V416+V416*SupplierMarkup,"Error at finding value"))</f>
        <v>43.34</v>
      </c>
      <c r="X416" s="32" t="str">
        <f t="shared" si="150"/>
        <v>0.00</v>
      </c>
      <c r="Y416" s="15">
        <f t="shared" si="151"/>
        <v>165.12</v>
      </c>
      <c r="Z416" s="15">
        <f t="shared" si="152"/>
        <v>260.04000000000002</v>
      </c>
      <c r="AA416" s="15">
        <f>IF(FreightType="Lethbridge-Stewart Freight ",ROUND(2.99+IF(N416&gt;0.75,(N416-0.75)*2.25,0)*S416,2),IF(MarkupType="Supplier Markup",V416+V416*SupplierMarkup,"Error at finding value"))</f>
        <v>4.34</v>
      </c>
      <c r="AB416" s="15">
        <f t="shared" si="153"/>
        <v>0</v>
      </c>
    </row>
    <row r="417" spans="1:28" x14ac:dyDescent="0.25">
      <c r="A417" s="16">
        <f>OrdersTable!A417</f>
        <v>249</v>
      </c>
      <c r="B417" s="15" t="str">
        <f t="shared" si="133"/>
        <v>Mr</v>
      </c>
      <c r="C417" s="15" t="str">
        <f t="shared" si="154"/>
        <v>Sinclair</v>
      </c>
      <c r="D417" s="15" t="str">
        <f t="shared" si="134"/>
        <v>Travis James Foord</v>
      </c>
      <c r="E417" s="15" t="str">
        <f t="shared" si="135"/>
        <v>25 Leunen Avenue</v>
      </c>
      <c r="F417" s="15" t="str">
        <f t="shared" si="136"/>
        <v>Batlow</v>
      </c>
      <c r="G417" s="15" t="str">
        <f t="shared" si="137"/>
        <v>NSW</v>
      </c>
      <c r="H417" s="15">
        <f t="shared" si="138"/>
        <v>2730</v>
      </c>
      <c r="I417" s="15">
        <f t="shared" si="149"/>
        <v>1138</v>
      </c>
      <c r="J417" s="15">
        <f>OrdersTable!B417</f>
        <v>812</v>
      </c>
      <c r="K417" s="15" t="str">
        <f t="shared" si="139"/>
        <v>Statues and Busts</v>
      </c>
      <c r="L417" s="15" t="str">
        <f t="shared" si="140"/>
        <v>Doctor Who: Masterpiece Collection Maxi Bust: Dalek: Day Of The Daleks</v>
      </c>
      <c r="M417" s="15" t="str">
        <f t="shared" si="141"/>
        <v>-</v>
      </c>
      <c r="N417" s="15">
        <f t="shared" si="142"/>
        <v>2.5</v>
      </c>
      <c r="O417" s="15" t="str">
        <f t="shared" si="143"/>
        <v>A20</v>
      </c>
      <c r="P417" s="15" t="str">
        <f t="shared" si="144"/>
        <v>Morbius Inc.</v>
      </c>
      <c r="Q417" s="15" t="str">
        <f t="shared" si="145"/>
        <v>56 Michael Spice Hwy</v>
      </c>
      <c r="R417" s="3">
        <f>OrdersTable!C417</f>
        <v>44592</v>
      </c>
      <c r="S417" s="15">
        <f>OrdersTable!E417</f>
        <v>6</v>
      </c>
      <c r="T417" s="15">
        <f t="shared" si="146"/>
        <v>49.99</v>
      </c>
      <c r="U417" s="15">
        <f t="shared" si="147"/>
        <v>68.47</v>
      </c>
      <c r="V417" s="15">
        <f t="shared" si="148"/>
        <v>80.98</v>
      </c>
      <c r="W417" s="15">
        <f>IF(MarkupType="Store Markup",ROUND(V417+V417*StoreMarkup,2),IF(MarkupType="Supplier Markup",V417+V417*SupplierMarkup,"Error at finding value"))</f>
        <v>127.54</v>
      </c>
      <c r="X417" s="32">
        <f t="shared" si="150"/>
        <v>9.09</v>
      </c>
      <c r="Y417" s="15">
        <f t="shared" si="151"/>
        <v>485.88</v>
      </c>
      <c r="Z417" s="15">
        <f t="shared" si="152"/>
        <v>710.7</v>
      </c>
      <c r="AA417" s="15">
        <f>IF(FreightType="Lethbridge-Stewart Freight ",ROUND(2.99+IF(N417&gt;0.75,(N417-0.75)*2.25,0)*S417,2),IF(MarkupType="Supplier Markup",V417+V417*SupplierMarkup,"Error at finding value"))</f>
        <v>26.62</v>
      </c>
      <c r="AB417" s="15">
        <f t="shared" si="153"/>
        <v>54.54</v>
      </c>
    </row>
    <row r="418" spans="1:28" x14ac:dyDescent="0.25">
      <c r="A418" s="16">
        <f>OrdersTable!A418</f>
        <v>282</v>
      </c>
      <c r="B418" s="15" t="str">
        <f t="shared" si="133"/>
        <v>Dr</v>
      </c>
      <c r="C418" s="15" t="str">
        <f t="shared" si="154"/>
        <v>Johnson</v>
      </c>
      <c r="D418" s="15" t="str">
        <f t="shared" si="134"/>
        <v>Samantha Emily Louise</v>
      </c>
      <c r="E418" s="15" t="str">
        <f t="shared" si="135"/>
        <v>2 Wiggan Avenue</v>
      </c>
      <c r="F418" s="15" t="str">
        <f t="shared" si="136"/>
        <v>Boston</v>
      </c>
      <c r="G418" s="15" t="str">
        <f t="shared" si="137"/>
        <v>SA</v>
      </c>
      <c r="H418" s="15">
        <f t="shared" si="138"/>
        <v>5607</v>
      </c>
      <c r="I418" s="15">
        <f t="shared" si="149"/>
        <v>2076</v>
      </c>
      <c r="J418" s="15">
        <f>OrdersTable!B418</f>
        <v>679</v>
      </c>
      <c r="K418" s="15" t="str">
        <f t="shared" si="139"/>
        <v>Mugs</v>
      </c>
      <c r="L418" s="15" t="str">
        <f t="shared" si="140"/>
        <v>Doctor Who: Mug: The Fifth Doctor</v>
      </c>
      <c r="M418" s="15" t="str">
        <f t="shared" si="141"/>
        <v>-</v>
      </c>
      <c r="N418" s="15">
        <f t="shared" si="142"/>
        <v>0.45</v>
      </c>
      <c r="O418" s="15" t="str">
        <f t="shared" si="143"/>
        <v>A40</v>
      </c>
      <c r="P418" s="15" t="str">
        <f t="shared" si="144"/>
        <v>Romana Imports</v>
      </c>
      <c r="Q418" s="15" t="str">
        <f t="shared" si="145"/>
        <v>17 Lalla Ward Road</v>
      </c>
      <c r="R418" s="3">
        <f>OrdersTable!C418</f>
        <v>44592</v>
      </c>
      <c r="S418" s="15">
        <f>OrdersTable!E418</f>
        <v>1</v>
      </c>
      <c r="T418" s="15">
        <f t="shared" si="146"/>
        <v>8.99</v>
      </c>
      <c r="U418" s="15">
        <f t="shared" si="147"/>
        <v>12.28</v>
      </c>
      <c r="V418" s="15">
        <f t="shared" si="148"/>
        <v>14.56</v>
      </c>
      <c r="W418" s="15">
        <f>IF(MarkupType="Store Markup",ROUND(V418+V418*StoreMarkup,2),IF(MarkupType="Supplier Markup",V418+V418*SupplierMarkup,"Error at finding value"))</f>
        <v>22.93</v>
      </c>
      <c r="X418" s="32" t="str">
        <f t="shared" si="150"/>
        <v>0.00</v>
      </c>
      <c r="Y418" s="15">
        <f t="shared" si="151"/>
        <v>14.56</v>
      </c>
      <c r="Z418" s="15">
        <f t="shared" si="152"/>
        <v>22.93</v>
      </c>
      <c r="AA418" s="15">
        <f>IF(FreightType="Lethbridge-Stewart Freight ",ROUND(2.99+IF(N418&gt;0.75,(N418-0.75)*2.25,0)*S418,2),IF(MarkupType="Supplier Markup",V418+V418*SupplierMarkup,"Error at finding value"))</f>
        <v>2.99</v>
      </c>
      <c r="AB418" s="15">
        <f t="shared" si="153"/>
        <v>0</v>
      </c>
    </row>
    <row r="419" spans="1:28" x14ac:dyDescent="0.25">
      <c r="A419" s="16">
        <f>OrdersTable!A419</f>
        <v>338</v>
      </c>
      <c r="B419" s="15" t="str">
        <f t="shared" si="133"/>
        <v>Miss</v>
      </c>
      <c r="C419" s="15" t="str">
        <f t="shared" si="154"/>
        <v>Pellegrino</v>
      </c>
      <c r="D419" s="15" t="str">
        <f t="shared" si="134"/>
        <v>Samantha</v>
      </c>
      <c r="E419" s="15" t="str">
        <f t="shared" si="135"/>
        <v>38 McKeown Street</v>
      </c>
      <c r="F419" s="15" t="str">
        <f t="shared" si="136"/>
        <v>Avon Plains</v>
      </c>
      <c r="G419" s="15" t="str">
        <f t="shared" si="137"/>
        <v>VIC</v>
      </c>
      <c r="H419" s="15">
        <f t="shared" si="138"/>
        <v>3477</v>
      </c>
      <c r="I419" s="15">
        <f t="shared" si="149"/>
        <v>1565</v>
      </c>
      <c r="J419" s="15">
        <f>OrdersTable!B419</f>
        <v>681</v>
      </c>
      <c r="K419" s="15" t="str">
        <f t="shared" si="139"/>
        <v>Mugs</v>
      </c>
      <c r="L419" s="15" t="str">
        <f t="shared" si="140"/>
        <v>Doctor Who: Mug: The First Doctor</v>
      </c>
      <c r="M419" s="15" t="str">
        <f t="shared" si="141"/>
        <v>-</v>
      </c>
      <c r="N419" s="15">
        <f t="shared" si="142"/>
        <v>0.45</v>
      </c>
      <c r="O419" s="15" t="str">
        <f t="shared" si="143"/>
        <v>A20</v>
      </c>
      <c r="P419" s="15" t="str">
        <f t="shared" si="144"/>
        <v>Morbius Inc.</v>
      </c>
      <c r="Q419" s="15" t="str">
        <f t="shared" si="145"/>
        <v>56 Michael Spice Hwy</v>
      </c>
      <c r="R419" s="3">
        <f>OrdersTable!C419</f>
        <v>44592</v>
      </c>
      <c r="S419" s="15">
        <f>OrdersTable!E419</f>
        <v>9</v>
      </c>
      <c r="T419" s="15">
        <f t="shared" si="146"/>
        <v>8.99</v>
      </c>
      <c r="U419" s="15">
        <f t="shared" si="147"/>
        <v>12.51</v>
      </c>
      <c r="V419" s="15">
        <f t="shared" si="148"/>
        <v>14.56</v>
      </c>
      <c r="W419" s="15">
        <f>IF(MarkupType="Store Markup",ROUND(V419+V419*StoreMarkup,2),IF(MarkupType="Supplier Markup",V419+V419*SupplierMarkup,"Error at finding value"))</f>
        <v>22.93</v>
      </c>
      <c r="X419" s="32" t="str">
        <f t="shared" si="150"/>
        <v>0.00</v>
      </c>
      <c r="Y419" s="15">
        <f t="shared" si="151"/>
        <v>131.04</v>
      </c>
      <c r="Z419" s="15">
        <f t="shared" si="152"/>
        <v>206.37</v>
      </c>
      <c r="AA419" s="15">
        <f>IF(FreightType="Lethbridge-Stewart Freight ",ROUND(2.99+IF(N419&gt;0.75,(N419-0.75)*2.25,0)*S419,2),IF(MarkupType="Supplier Markup",V419+V419*SupplierMarkup,"Error at finding value"))</f>
        <v>2.99</v>
      </c>
      <c r="AB419" s="15">
        <f t="shared" si="153"/>
        <v>0</v>
      </c>
    </row>
    <row r="420" spans="1:28" x14ac:dyDescent="0.25">
      <c r="A420" s="16">
        <f>OrdersTable!A420</f>
        <v>412</v>
      </c>
      <c r="B420" s="15" t="str">
        <f t="shared" si="133"/>
        <v>Miss</v>
      </c>
      <c r="C420" s="15" t="str">
        <f t="shared" si="154"/>
        <v>Moraitis</v>
      </c>
      <c r="D420" s="15" t="str">
        <f t="shared" si="134"/>
        <v>Vikki Sue</v>
      </c>
      <c r="E420" s="15" t="str">
        <f t="shared" si="135"/>
        <v>11 Stuckings Boulevard</v>
      </c>
      <c r="F420" s="15" t="str">
        <f t="shared" si="136"/>
        <v>Airly</v>
      </c>
      <c r="G420" s="15" t="str">
        <f t="shared" si="137"/>
        <v>VIC</v>
      </c>
      <c r="H420" s="15">
        <f t="shared" si="138"/>
        <v>3851</v>
      </c>
      <c r="I420" s="15">
        <f t="shared" si="149"/>
        <v>1583</v>
      </c>
      <c r="J420" s="15">
        <f>OrdersTable!B420</f>
        <v>683</v>
      </c>
      <c r="K420" s="15" t="str">
        <f t="shared" si="139"/>
        <v>Mugs</v>
      </c>
      <c r="L420" s="15" t="str">
        <f t="shared" si="140"/>
        <v>Doctor Who: Mug: The Tenth Doctor</v>
      </c>
      <c r="M420" s="15" t="str">
        <f t="shared" si="141"/>
        <v>-</v>
      </c>
      <c r="N420" s="15">
        <f t="shared" si="142"/>
        <v>0.45</v>
      </c>
      <c r="O420" s="15" t="str">
        <f t="shared" si="143"/>
        <v>A20</v>
      </c>
      <c r="P420" s="15" t="str">
        <f t="shared" si="144"/>
        <v>Morbius Inc.</v>
      </c>
      <c r="Q420" s="15" t="str">
        <f t="shared" si="145"/>
        <v>56 Michael Spice Hwy</v>
      </c>
      <c r="R420" s="3">
        <f>OrdersTable!C420</f>
        <v>44592</v>
      </c>
      <c r="S420" s="15">
        <f>OrdersTable!E420</f>
        <v>10</v>
      </c>
      <c r="T420" s="15">
        <f t="shared" si="146"/>
        <v>8.99</v>
      </c>
      <c r="U420" s="15">
        <f t="shared" si="147"/>
        <v>12.54</v>
      </c>
      <c r="V420" s="15">
        <f t="shared" si="148"/>
        <v>14.56</v>
      </c>
      <c r="W420" s="15">
        <f>IF(MarkupType="Store Markup",ROUND(V420+V420*StoreMarkup,2),IF(MarkupType="Supplier Markup",V420+V420*SupplierMarkup,"Error at finding value"))</f>
        <v>22.93</v>
      </c>
      <c r="X420" s="32" t="str">
        <f t="shared" si="150"/>
        <v>0.00</v>
      </c>
      <c r="Y420" s="15">
        <f t="shared" si="151"/>
        <v>145.6</v>
      </c>
      <c r="Z420" s="15">
        <f t="shared" si="152"/>
        <v>229.3</v>
      </c>
      <c r="AA420" s="15">
        <f>IF(FreightType="Lethbridge-Stewart Freight ",ROUND(2.99+IF(N420&gt;0.75,(N420-0.75)*2.25,0)*S420,2),IF(MarkupType="Supplier Markup",V420+V420*SupplierMarkup,"Error at finding value"))</f>
        <v>2.99</v>
      </c>
      <c r="AB420" s="15">
        <f t="shared" si="153"/>
        <v>0</v>
      </c>
    </row>
    <row r="421" spans="1:28" x14ac:dyDescent="0.25">
      <c r="A421" s="16">
        <f>OrdersTable!A421</f>
        <v>527</v>
      </c>
      <c r="B421" s="15" t="str">
        <f t="shared" si="133"/>
        <v>Mr</v>
      </c>
      <c r="C421" s="15" t="str">
        <f t="shared" si="154"/>
        <v>McTaggart</v>
      </c>
      <c r="D421" s="15" t="str">
        <f t="shared" si="134"/>
        <v>Daniel</v>
      </c>
      <c r="E421" s="15" t="str">
        <f t="shared" si="135"/>
        <v>24 Mulholland Avenue</v>
      </c>
      <c r="F421" s="15" t="str">
        <f t="shared" si="136"/>
        <v>Belconnen</v>
      </c>
      <c r="G421" s="15" t="str">
        <f t="shared" si="137"/>
        <v>ACT</v>
      </c>
      <c r="H421" s="15">
        <f t="shared" si="138"/>
        <v>2617</v>
      </c>
      <c r="I421" s="15">
        <f t="shared" si="149"/>
        <v>1194</v>
      </c>
      <c r="J421" s="15">
        <f>OrdersTable!B421</f>
        <v>710</v>
      </c>
      <c r="K421" s="15" t="str">
        <f t="shared" si="139"/>
        <v>Posters, Prints and Standees</v>
      </c>
      <c r="L421" s="15" t="str">
        <f t="shared" si="140"/>
        <v>Doctor Who: Poster: Regenerate</v>
      </c>
      <c r="M421" s="15" t="str">
        <f t="shared" si="141"/>
        <v>-</v>
      </c>
      <c r="N421" s="15">
        <f t="shared" si="142"/>
        <v>0.2</v>
      </c>
      <c r="O421" s="15" t="str">
        <f t="shared" si="143"/>
        <v>A40</v>
      </c>
      <c r="P421" s="15" t="str">
        <f t="shared" si="144"/>
        <v>Romana Imports</v>
      </c>
      <c r="Q421" s="15" t="str">
        <f t="shared" si="145"/>
        <v>17 Lalla Ward Road</v>
      </c>
      <c r="R421" s="3">
        <f>OrdersTable!C421</f>
        <v>44592</v>
      </c>
      <c r="S421" s="15">
        <f>OrdersTable!E421</f>
        <v>3</v>
      </c>
      <c r="T421" s="15">
        <f t="shared" si="146"/>
        <v>3.99</v>
      </c>
      <c r="U421" s="15">
        <f t="shared" si="147"/>
        <v>5.5</v>
      </c>
      <c r="V421" s="15">
        <f t="shared" si="148"/>
        <v>6.46</v>
      </c>
      <c r="W421" s="15">
        <f>IF(MarkupType="Store Markup",ROUND(V421+V421*StoreMarkup,2),IF(MarkupType="Supplier Markup",V421+V421*SupplierMarkup,"Error at finding value"))</f>
        <v>10.17</v>
      </c>
      <c r="X421" s="32" t="str">
        <f t="shared" si="150"/>
        <v>0.00</v>
      </c>
      <c r="Y421" s="15">
        <f t="shared" si="151"/>
        <v>19.38</v>
      </c>
      <c r="Z421" s="15">
        <f t="shared" si="152"/>
        <v>30.51</v>
      </c>
      <c r="AA421" s="15">
        <f>IF(FreightType="Lethbridge-Stewart Freight ",ROUND(2.99+IF(N421&gt;0.75,(N421-0.75)*2.25,0)*S421,2),IF(MarkupType="Supplier Markup",V421+V421*SupplierMarkup,"Error at finding value"))</f>
        <v>2.99</v>
      </c>
      <c r="AB421" s="15">
        <f t="shared" si="153"/>
        <v>0</v>
      </c>
    </row>
    <row r="422" spans="1:28" x14ac:dyDescent="0.25">
      <c r="A422" s="16">
        <f>OrdersTable!A422</f>
        <v>567</v>
      </c>
      <c r="B422" s="15" t="str">
        <f t="shared" si="133"/>
        <v>Ms</v>
      </c>
      <c r="C422" s="15" t="str">
        <f t="shared" si="154"/>
        <v>Perkins</v>
      </c>
      <c r="D422" s="15" t="str">
        <f t="shared" si="134"/>
        <v>Sarah</v>
      </c>
      <c r="E422" s="15" t="str">
        <f t="shared" si="135"/>
        <v>7 Tengdahl Road</v>
      </c>
      <c r="F422" s="15" t="str">
        <f t="shared" si="136"/>
        <v>Areegra</v>
      </c>
      <c r="G422" s="15" t="str">
        <f t="shared" si="137"/>
        <v>VIC</v>
      </c>
      <c r="H422" s="15">
        <f t="shared" si="138"/>
        <v>3480</v>
      </c>
      <c r="I422" s="15">
        <f t="shared" si="149"/>
        <v>1559</v>
      </c>
      <c r="J422" s="15">
        <f>OrdersTable!B422</f>
        <v>563</v>
      </c>
      <c r="K422" s="15" t="str">
        <f t="shared" si="139"/>
        <v>Giftware</v>
      </c>
      <c r="L422" s="15" t="str">
        <f t="shared" si="140"/>
        <v>Doctor Who: TARDIS Jewellery Box</v>
      </c>
      <c r="M422" s="15" t="str">
        <f t="shared" si="141"/>
        <v>-</v>
      </c>
      <c r="N422" s="15">
        <f t="shared" si="142"/>
        <v>1.1499999999999999</v>
      </c>
      <c r="O422" s="15" t="str">
        <f t="shared" si="143"/>
        <v>A50</v>
      </c>
      <c r="P422" s="15" t="str">
        <f t="shared" si="144"/>
        <v>Rassilon Ltd.</v>
      </c>
      <c r="Q422" s="15" t="str">
        <f t="shared" si="145"/>
        <v>82 Richard Mathews Road</v>
      </c>
      <c r="R422" s="3">
        <f>OrdersTable!C422</f>
        <v>44592</v>
      </c>
      <c r="S422" s="15">
        <f>OrdersTable!E422</f>
        <v>8</v>
      </c>
      <c r="T422" s="15">
        <f t="shared" si="146"/>
        <v>22.99</v>
      </c>
      <c r="U422" s="15">
        <f t="shared" si="147"/>
        <v>31.63</v>
      </c>
      <c r="V422" s="15">
        <f t="shared" si="148"/>
        <v>37.24</v>
      </c>
      <c r="W422" s="15">
        <f>IF(MarkupType="Store Markup",ROUND(V422+V422*StoreMarkup,2),IF(MarkupType="Supplier Markup",V422+V422*SupplierMarkup,"Error at finding value"))</f>
        <v>58.65</v>
      </c>
      <c r="X422" s="32" t="str">
        <f t="shared" si="150"/>
        <v>0.00</v>
      </c>
      <c r="Y422" s="15">
        <f t="shared" si="151"/>
        <v>297.92</v>
      </c>
      <c r="Z422" s="15">
        <f t="shared" si="152"/>
        <v>469.2</v>
      </c>
      <c r="AA422" s="15">
        <f>IF(FreightType="Lethbridge-Stewart Freight ",ROUND(2.99+IF(N422&gt;0.75,(N422-0.75)*2.25,0)*S422,2),IF(MarkupType="Supplier Markup",V422+V422*SupplierMarkup,"Error at finding value"))</f>
        <v>10.19</v>
      </c>
      <c r="AB422" s="15">
        <f t="shared" si="153"/>
        <v>0</v>
      </c>
    </row>
    <row r="423" spans="1:28" x14ac:dyDescent="0.25">
      <c r="A423" s="16">
        <f>OrdersTable!A423</f>
        <v>568</v>
      </c>
      <c r="B423" s="15" t="str">
        <f t="shared" si="133"/>
        <v>Mr</v>
      </c>
      <c r="C423" s="15" t="str">
        <f t="shared" si="154"/>
        <v>Byrne</v>
      </c>
      <c r="D423" s="15" t="str">
        <f t="shared" si="134"/>
        <v>Gregory James</v>
      </c>
      <c r="E423" s="15" t="str">
        <f t="shared" si="135"/>
        <v>18 Doroshenko Crescent</v>
      </c>
      <c r="F423" s="15" t="str">
        <f t="shared" si="136"/>
        <v>Abington</v>
      </c>
      <c r="G423" s="15" t="str">
        <f t="shared" si="137"/>
        <v>QLD</v>
      </c>
      <c r="H423" s="15">
        <f t="shared" si="138"/>
        <v>4660</v>
      </c>
      <c r="I423" s="15">
        <f t="shared" si="149"/>
        <v>336</v>
      </c>
      <c r="J423" s="15">
        <f>OrdersTable!B423</f>
        <v>652</v>
      </c>
      <c r="K423" s="15" t="str">
        <f t="shared" si="139"/>
        <v>Mugs</v>
      </c>
      <c r="L423" s="15" t="str">
        <f t="shared" si="140"/>
        <v>Doctor Who: Mug: Dalek 2D</v>
      </c>
      <c r="M423" s="15" t="str">
        <f t="shared" si="141"/>
        <v>-</v>
      </c>
      <c r="N423" s="15">
        <f t="shared" si="142"/>
        <v>0.35</v>
      </c>
      <c r="O423" s="15" t="str">
        <f t="shared" si="143"/>
        <v>A10</v>
      </c>
      <c r="P423" s="15" t="str">
        <f t="shared" si="144"/>
        <v>Gallifrey International</v>
      </c>
      <c r="Q423" s="15" t="str">
        <f t="shared" si="145"/>
        <v>181 Arcadia Street</v>
      </c>
      <c r="R423" s="3">
        <f>OrdersTable!C423</f>
        <v>44592</v>
      </c>
      <c r="S423" s="15">
        <f>OrdersTable!E423</f>
        <v>7</v>
      </c>
      <c r="T423" s="15">
        <f t="shared" si="146"/>
        <v>6.99</v>
      </c>
      <c r="U423" s="15">
        <f t="shared" si="147"/>
        <v>9.8800000000000008</v>
      </c>
      <c r="V423" s="15">
        <f t="shared" si="148"/>
        <v>11.32</v>
      </c>
      <c r="W423" s="15">
        <f>IF(MarkupType="Store Markup",ROUND(V423+V423*StoreMarkup,2),IF(MarkupType="Supplier Markup",V423+V423*SupplierMarkup,"Error at finding value"))</f>
        <v>17.829999999999998</v>
      </c>
      <c r="X423" s="32" t="str">
        <f t="shared" si="150"/>
        <v>0.00</v>
      </c>
      <c r="Y423" s="15">
        <f t="shared" si="151"/>
        <v>79.239999999999995</v>
      </c>
      <c r="Z423" s="15">
        <f t="shared" si="152"/>
        <v>124.81</v>
      </c>
      <c r="AA423" s="15">
        <f>IF(FreightType="Lethbridge-Stewart Freight ",ROUND(2.99+IF(N423&gt;0.75,(N423-0.75)*2.25,0)*S423,2),IF(MarkupType="Supplier Markup",V423+V423*SupplierMarkup,"Error at finding value"))</f>
        <v>2.99</v>
      </c>
      <c r="AB423" s="15">
        <f t="shared" si="153"/>
        <v>0</v>
      </c>
    </row>
    <row r="424" spans="1:28" x14ac:dyDescent="0.25">
      <c r="A424" s="16">
        <f>OrdersTable!A424</f>
        <v>585</v>
      </c>
      <c r="B424" s="15" t="str">
        <f t="shared" si="133"/>
        <v>Miss</v>
      </c>
      <c r="C424" s="15" t="str">
        <f t="shared" si="154"/>
        <v>Long</v>
      </c>
      <c r="D424" s="15" t="str">
        <f t="shared" si="134"/>
        <v>Bellinda May</v>
      </c>
      <c r="E424" s="15" t="str">
        <f t="shared" si="135"/>
        <v>5 Hutcheson Avenue</v>
      </c>
      <c r="F424" s="15" t="str">
        <f t="shared" si="136"/>
        <v>Glenfern</v>
      </c>
      <c r="G424" s="15" t="str">
        <f t="shared" si="137"/>
        <v>QLD</v>
      </c>
      <c r="H424" s="15">
        <f t="shared" si="138"/>
        <v>4515</v>
      </c>
      <c r="I424" s="15">
        <f t="shared" si="149"/>
        <v>128</v>
      </c>
      <c r="J424" s="15">
        <f>OrdersTable!B424</f>
        <v>668</v>
      </c>
      <c r="K424" s="15" t="str">
        <f t="shared" si="139"/>
        <v>Mugs</v>
      </c>
      <c r="L424" s="15" t="str">
        <f t="shared" si="140"/>
        <v>Doctor Who: Mug: Silver TARDIS</v>
      </c>
      <c r="M424" s="15" t="str">
        <f t="shared" si="141"/>
        <v>-</v>
      </c>
      <c r="N424" s="15">
        <f t="shared" si="142"/>
        <v>1.1499999999999999</v>
      </c>
      <c r="O424" s="15" t="str">
        <f t="shared" si="143"/>
        <v>A50</v>
      </c>
      <c r="P424" s="15" t="str">
        <f t="shared" si="144"/>
        <v>Rassilon Ltd.</v>
      </c>
      <c r="Q424" s="15" t="str">
        <f t="shared" si="145"/>
        <v>82 Richard Mathews Road</v>
      </c>
      <c r="R424" s="3">
        <f>OrdersTable!C424</f>
        <v>44592</v>
      </c>
      <c r="S424" s="15">
        <f>OrdersTable!E424</f>
        <v>9</v>
      </c>
      <c r="T424" s="15">
        <f t="shared" si="146"/>
        <v>22.99</v>
      </c>
      <c r="U424" s="15">
        <f t="shared" si="147"/>
        <v>31.53</v>
      </c>
      <c r="V424" s="15">
        <f t="shared" si="148"/>
        <v>37.24</v>
      </c>
      <c r="W424" s="15">
        <f>IF(MarkupType="Store Markup",ROUND(V424+V424*StoreMarkup,2),IF(MarkupType="Supplier Markup",V424+V424*SupplierMarkup,"Error at finding value"))</f>
        <v>58.65</v>
      </c>
      <c r="X424" s="32" t="str">
        <f t="shared" si="150"/>
        <v>0.00</v>
      </c>
      <c r="Y424" s="15">
        <f t="shared" si="151"/>
        <v>335.16</v>
      </c>
      <c r="Z424" s="15">
        <f t="shared" si="152"/>
        <v>527.85</v>
      </c>
      <c r="AA424" s="15">
        <f>IF(FreightType="Lethbridge-Stewart Freight ",ROUND(2.99+IF(N424&gt;0.75,(N424-0.75)*2.25,0)*S424,2),IF(MarkupType="Supplier Markup",V424+V424*SupplierMarkup,"Error at finding value"))</f>
        <v>11.09</v>
      </c>
      <c r="AB424" s="15">
        <f t="shared" si="153"/>
        <v>0</v>
      </c>
    </row>
    <row r="425" spans="1:28" x14ac:dyDescent="0.25">
      <c r="A425" s="16">
        <f>OrdersTable!A425</f>
        <v>585</v>
      </c>
      <c r="B425" s="15" t="str">
        <f t="shared" si="133"/>
        <v>Miss</v>
      </c>
      <c r="C425" s="15" t="str">
        <f t="shared" si="154"/>
        <v>Long</v>
      </c>
      <c r="D425" s="15" t="str">
        <f t="shared" si="134"/>
        <v>Bellinda May</v>
      </c>
      <c r="E425" s="15" t="str">
        <f t="shared" si="135"/>
        <v>5 Hutcheson Avenue</v>
      </c>
      <c r="F425" s="15" t="str">
        <f t="shared" si="136"/>
        <v>Glenfern</v>
      </c>
      <c r="G425" s="15" t="str">
        <f t="shared" si="137"/>
        <v>QLD</v>
      </c>
      <c r="H425" s="15">
        <f t="shared" si="138"/>
        <v>4515</v>
      </c>
      <c r="I425" s="15">
        <f t="shared" si="149"/>
        <v>128</v>
      </c>
      <c r="J425" s="15">
        <f>OrdersTable!B425</f>
        <v>747</v>
      </c>
      <c r="K425" s="15" t="str">
        <f t="shared" si="139"/>
        <v>Props and Replicas</v>
      </c>
      <c r="L425" s="15" t="str">
        <f t="shared" si="140"/>
        <v>Doctor Who: The Master's Fob Watch</v>
      </c>
      <c r="M425" s="15" t="str">
        <f t="shared" si="141"/>
        <v>-</v>
      </c>
      <c r="N425" s="15">
        <f t="shared" si="142"/>
        <v>2.25</v>
      </c>
      <c r="O425" s="15" t="str">
        <f t="shared" si="143"/>
        <v>A10</v>
      </c>
      <c r="P425" s="15" t="str">
        <f t="shared" si="144"/>
        <v>Gallifrey International</v>
      </c>
      <c r="Q425" s="15" t="str">
        <f t="shared" si="145"/>
        <v>181 Arcadia Street</v>
      </c>
      <c r="R425" s="3">
        <f>OrdersTable!C425</f>
        <v>44592</v>
      </c>
      <c r="S425" s="15">
        <f>OrdersTable!E425</f>
        <v>1</v>
      </c>
      <c r="T425" s="15">
        <f t="shared" si="146"/>
        <v>44.99</v>
      </c>
      <c r="U425" s="15">
        <f t="shared" si="147"/>
        <v>61.7</v>
      </c>
      <c r="V425" s="15">
        <f t="shared" si="148"/>
        <v>72.88</v>
      </c>
      <c r="W425" s="15">
        <f>IF(MarkupType="Store Markup",ROUND(V425+V425*StoreMarkup,2),IF(MarkupType="Supplier Markup",V425+V425*SupplierMarkup,"Error at finding value"))</f>
        <v>114.79</v>
      </c>
      <c r="X425" s="32" t="str">
        <f t="shared" si="150"/>
        <v>0.00</v>
      </c>
      <c r="Y425" s="15">
        <f t="shared" si="151"/>
        <v>72.88</v>
      </c>
      <c r="Z425" s="15">
        <f t="shared" si="152"/>
        <v>114.79</v>
      </c>
      <c r="AA425" s="15">
        <f>IF(FreightType="Lethbridge-Stewart Freight ",ROUND(2.99+IF(N425&gt;0.75,(N425-0.75)*2.25,0)*S425,2),IF(MarkupType="Supplier Markup",V425+V425*SupplierMarkup,"Error at finding value"))</f>
        <v>6.37</v>
      </c>
      <c r="AB425" s="15">
        <f t="shared" si="153"/>
        <v>0</v>
      </c>
    </row>
    <row r="426" spans="1:28" x14ac:dyDescent="0.25">
      <c r="A426" s="16">
        <f>OrdersTable!A426</f>
        <v>657</v>
      </c>
      <c r="B426" s="15" t="str">
        <f t="shared" si="133"/>
        <v>Mr</v>
      </c>
      <c r="C426" s="15" t="str">
        <f t="shared" si="154"/>
        <v>Poljak</v>
      </c>
      <c r="D426" s="15" t="str">
        <f t="shared" si="134"/>
        <v>Anthony</v>
      </c>
      <c r="E426" s="15" t="str">
        <f t="shared" si="135"/>
        <v>45 Robertson Boulevard</v>
      </c>
      <c r="F426" s="15" t="str">
        <f t="shared" si="136"/>
        <v>Iluka</v>
      </c>
      <c r="G426" s="15" t="str">
        <f t="shared" si="137"/>
        <v>NSW</v>
      </c>
      <c r="H426" s="15">
        <f t="shared" si="138"/>
        <v>2466</v>
      </c>
      <c r="I426" s="15">
        <f t="shared" si="149"/>
        <v>347</v>
      </c>
      <c r="J426" s="15">
        <f>OrdersTable!B426</f>
        <v>620</v>
      </c>
      <c r="K426" s="15" t="str">
        <f t="shared" si="139"/>
        <v>iPhone Skins</v>
      </c>
      <c r="L426" s="15" t="str">
        <f t="shared" si="140"/>
        <v>Doctor Who: iPhone Skin: TARDIS Water Colour</v>
      </c>
      <c r="M426" s="15" t="str">
        <f t="shared" si="141"/>
        <v>-</v>
      </c>
      <c r="N426" s="15">
        <f t="shared" si="142"/>
        <v>0.5</v>
      </c>
      <c r="O426" s="15" t="str">
        <f t="shared" si="143"/>
        <v>A30</v>
      </c>
      <c r="P426" s="15" t="str">
        <f t="shared" si="144"/>
        <v>Chesterton Enterprises</v>
      </c>
      <c r="Q426" s="15" t="str">
        <f t="shared" si="145"/>
        <v>41 William Russell Road</v>
      </c>
      <c r="R426" s="3">
        <f>OrdersTable!C426</f>
        <v>44592</v>
      </c>
      <c r="S426" s="15">
        <f>OrdersTable!E426</f>
        <v>10</v>
      </c>
      <c r="T426" s="15">
        <f t="shared" si="146"/>
        <v>9.99</v>
      </c>
      <c r="U426" s="15">
        <f t="shared" si="147"/>
        <v>13.81</v>
      </c>
      <c r="V426" s="15">
        <f t="shared" si="148"/>
        <v>16.18</v>
      </c>
      <c r="W426" s="15">
        <f>IF(MarkupType="Store Markup",ROUND(V426+V426*StoreMarkup,2),IF(MarkupType="Supplier Markup",V426+V426*SupplierMarkup,"Error at finding value"))</f>
        <v>25.48</v>
      </c>
      <c r="X426" s="32" t="str">
        <f t="shared" si="150"/>
        <v>0.00</v>
      </c>
      <c r="Y426" s="15">
        <f t="shared" si="151"/>
        <v>161.80000000000001</v>
      </c>
      <c r="Z426" s="15">
        <f t="shared" si="152"/>
        <v>254.8</v>
      </c>
      <c r="AA426" s="15">
        <f>IF(FreightType="Lethbridge-Stewart Freight ",ROUND(2.99+IF(N426&gt;0.75,(N426-0.75)*2.25,0)*S426,2),IF(MarkupType="Supplier Markup",V426+V426*SupplierMarkup,"Error at finding value"))</f>
        <v>2.99</v>
      </c>
      <c r="AB426" s="15">
        <f t="shared" si="153"/>
        <v>0</v>
      </c>
    </row>
    <row r="427" spans="1:28" x14ac:dyDescent="0.25">
      <c r="A427" s="16">
        <f>OrdersTable!A427</f>
        <v>830</v>
      </c>
      <c r="B427" s="15" t="str">
        <f t="shared" si="133"/>
        <v>Miss</v>
      </c>
      <c r="C427" s="15" t="str">
        <f t="shared" si="154"/>
        <v>Blakeney</v>
      </c>
      <c r="D427" s="15" t="str">
        <f t="shared" si="134"/>
        <v>Hannah</v>
      </c>
      <c r="E427" s="15" t="str">
        <f t="shared" si="135"/>
        <v>31 Sproule Street</v>
      </c>
      <c r="F427" s="15" t="str">
        <f t="shared" si="136"/>
        <v>Belford</v>
      </c>
      <c r="G427" s="15" t="str">
        <f t="shared" si="137"/>
        <v>NSW</v>
      </c>
      <c r="H427" s="15">
        <f t="shared" si="138"/>
        <v>2335</v>
      </c>
      <c r="I427" s="15">
        <f t="shared" si="149"/>
        <v>716</v>
      </c>
      <c r="J427" s="15">
        <f>OrdersTable!B427</f>
        <v>580</v>
      </c>
      <c r="K427" s="15" t="str">
        <f t="shared" si="139"/>
        <v>Giftware</v>
      </c>
      <c r="L427" s="15" t="str">
        <f t="shared" si="140"/>
        <v>Doctor Who: Wallpaper: Classic TARDIS Columns</v>
      </c>
      <c r="M427" s="15" t="str">
        <f t="shared" si="141"/>
        <v>-</v>
      </c>
      <c r="N427" s="15">
        <f t="shared" si="142"/>
        <v>0.65500000000000003</v>
      </c>
      <c r="O427" s="15" t="str">
        <f t="shared" si="143"/>
        <v>A50</v>
      </c>
      <c r="P427" s="15" t="str">
        <f t="shared" si="144"/>
        <v>Rassilon Ltd.</v>
      </c>
      <c r="Q427" s="15" t="str">
        <f t="shared" si="145"/>
        <v>82 Richard Mathews Road</v>
      </c>
      <c r="R427" s="3">
        <f>OrdersTable!C427</f>
        <v>44592</v>
      </c>
      <c r="S427" s="15">
        <f>OrdersTable!E427</f>
        <v>3</v>
      </c>
      <c r="T427" s="15">
        <f t="shared" si="146"/>
        <v>13.11</v>
      </c>
      <c r="U427" s="15">
        <f t="shared" si="147"/>
        <v>18.18</v>
      </c>
      <c r="V427" s="15">
        <f t="shared" si="148"/>
        <v>21.24</v>
      </c>
      <c r="W427" s="15">
        <f>IF(MarkupType="Store Markup",ROUND(V427+V427*StoreMarkup,2),IF(MarkupType="Supplier Markup",V427+V427*SupplierMarkup,"Error at finding value"))</f>
        <v>33.450000000000003</v>
      </c>
      <c r="X427" s="32" t="str">
        <f t="shared" si="150"/>
        <v>0.00</v>
      </c>
      <c r="Y427" s="15">
        <f t="shared" si="151"/>
        <v>63.72</v>
      </c>
      <c r="Z427" s="15">
        <f t="shared" si="152"/>
        <v>100.35</v>
      </c>
      <c r="AA427" s="15">
        <f>IF(FreightType="Lethbridge-Stewart Freight ",ROUND(2.99+IF(N427&gt;0.75,(N427-0.75)*2.25,0)*S427,2),IF(MarkupType="Supplier Markup",V427+V427*SupplierMarkup,"Error at finding value"))</f>
        <v>2.99</v>
      </c>
      <c r="AB427" s="15">
        <f t="shared" si="153"/>
        <v>0</v>
      </c>
    </row>
    <row r="428" spans="1:28" x14ac:dyDescent="0.25">
      <c r="A428" s="16">
        <f>OrdersTable!A428</f>
        <v>843</v>
      </c>
      <c r="B428" s="15" t="str">
        <f t="shared" si="133"/>
        <v>Mr</v>
      </c>
      <c r="C428" s="15" t="str">
        <f t="shared" si="154"/>
        <v>Goodwin</v>
      </c>
      <c r="D428" s="15" t="str">
        <f t="shared" si="134"/>
        <v>Damon Joel</v>
      </c>
      <c r="E428" s="15" t="str">
        <f t="shared" si="135"/>
        <v>40 Powell Boulevard</v>
      </c>
      <c r="F428" s="15" t="str">
        <f t="shared" si="136"/>
        <v>Abington</v>
      </c>
      <c r="G428" s="15" t="str">
        <f t="shared" si="137"/>
        <v>QLD</v>
      </c>
      <c r="H428" s="15">
        <f t="shared" si="138"/>
        <v>4660</v>
      </c>
      <c r="I428" s="15">
        <f t="shared" si="149"/>
        <v>336</v>
      </c>
      <c r="J428" s="15">
        <f>OrdersTable!B428</f>
        <v>745</v>
      </c>
      <c r="K428" s="15" t="str">
        <f t="shared" si="139"/>
        <v>Props and Replicas</v>
      </c>
      <c r="L428" s="15" t="str">
        <f t="shared" si="140"/>
        <v>Doctor Who: TARDIS Type 40 Plaque</v>
      </c>
      <c r="M428" s="15" t="str">
        <f t="shared" si="141"/>
        <v>-</v>
      </c>
      <c r="N428" s="15">
        <f t="shared" si="142"/>
        <v>1.75</v>
      </c>
      <c r="O428" s="15" t="str">
        <f t="shared" si="143"/>
        <v>A30</v>
      </c>
      <c r="P428" s="15" t="str">
        <f t="shared" si="144"/>
        <v>Chesterton Enterprises</v>
      </c>
      <c r="Q428" s="15" t="str">
        <f t="shared" si="145"/>
        <v>41 William Russell Road</v>
      </c>
      <c r="R428" s="3">
        <f>OrdersTable!C428</f>
        <v>44592</v>
      </c>
      <c r="S428" s="15">
        <f>OrdersTable!E428</f>
        <v>10</v>
      </c>
      <c r="T428" s="15">
        <f t="shared" si="146"/>
        <v>34.99</v>
      </c>
      <c r="U428" s="15">
        <f t="shared" si="147"/>
        <v>47.86</v>
      </c>
      <c r="V428" s="15">
        <f t="shared" si="148"/>
        <v>56.68</v>
      </c>
      <c r="W428" s="15">
        <f>IF(MarkupType="Store Markup",ROUND(V428+V428*StoreMarkup,2),IF(MarkupType="Supplier Markup",V428+V428*SupplierMarkup,"Error at finding value"))</f>
        <v>89.27</v>
      </c>
      <c r="X428" s="32" t="str">
        <f t="shared" si="150"/>
        <v>0.00</v>
      </c>
      <c r="Y428" s="15">
        <f t="shared" si="151"/>
        <v>566.79999999999995</v>
      </c>
      <c r="Z428" s="15">
        <f t="shared" si="152"/>
        <v>892.7</v>
      </c>
      <c r="AA428" s="15">
        <f>IF(FreightType="Lethbridge-Stewart Freight ",ROUND(2.99+IF(N428&gt;0.75,(N428-0.75)*2.25,0)*S428,2),IF(MarkupType="Supplier Markup",V428+V428*SupplierMarkup,"Error at finding value"))</f>
        <v>25.49</v>
      </c>
      <c r="AB428" s="15">
        <f t="shared" si="153"/>
        <v>0</v>
      </c>
    </row>
    <row r="429" spans="1:28" x14ac:dyDescent="0.25">
      <c r="A429" s="16">
        <f>OrdersTable!A429</f>
        <v>923</v>
      </c>
      <c r="B429" s="15" t="str">
        <f t="shared" si="133"/>
        <v>Ms</v>
      </c>
      <c r="C429" s="15" t="str">
        <f t="shared" si="154"/>
        <v>Savage</v>
      </c>
      <c r="D429" s="15" t="str">
        <f t="shared" si="134"/>
        <v>Eliza Margaret</v>
      </c>
      <c r="E429" s="15" t="str">
        <f t="shared" si="135"/>
        <v>28 Whisson Crescent</v>
      </c>
      <c r="F429" s="15" t="str">
        <f t="shared" si="136"/>
        <v>Belconnen</v>
      </c>
      <c r="G429" s="15" t="str">
        <f t="shared" si="137"/>
        <v>ACT</v>
      </c>
      <c r="H429" s="15">
        <f t="shared" si="138"/>
        <v>2617</v>
      </c>
      <c r="I429" s="15">
        <f t="shared" si="149"/>
        <v>1194</v>
      </c>
      <c r="J429" s="15">
        <f>OrdersTable!B429</f>
        <v>671</v>
      </c>
      <c r="K429" s="15" t="str">
        <f t="shared" si="139"/>
        <v>Mugs</v>
      </c>
      <c r="L429" s="15" t="str">
        <f t="shared" si="140"/>
        <v>Doctor Who: Mug: TARDIS Inside</v>
      </c>
      <c r="M429" s="15" t="str">
        <f t="shared" si="141"/>
        <v>-</v>
      </c>
      <c r="N429" s="15">
        <f t="shared" si="142"/>
        <v>0.6</v>
      </c>
      <c r="O429" s="15" t="str">
        <f t="shared" si="143"/>
        <v>A30</v>
      </c>
      <c r="P429" s="15" t="str">
        <f t="shared" si="144"/>
        <v>Chesterton Enterprises</v>
      </c>
      <c r="Q429" s="15" t="str">
        <f t="shared" si="145"/>
        <v>41 William Russell Road</v>
      </c>
      <c r="R429" s="3">
        <f>OrdersTable!C429</f>
        <v>44592</v>
      </c>
      <c r="S429" s="15">
        <f>OrdersTable!E429</f>
        <v>9</v>
      </c>
      <c r="T429" s="15">
        <f t="shared" si="146"/>
        <v>11.99</v>
      </c>
      <c r="U429" s="15">
        <f t="shared" si="147"/>
        <v>16.690000000000001</v>
      </c>
      <c r="V429" s="15">
        <f t="shared" si="148"/>
        <v>19.420000000000002</v>
      </c>
      <c r="W429" s="15">
        <f>IF(MarkupType="Store Markup",ROUND(V429+V429*StoreMarkup,2),IF(MarkupType="Supplier Markup",V429+V429*SupplierMarkup,"Error at finding value"))</f>
        <v>30.59</v>
      </c>
      <c r="X429" s="32" t="str">
        <f t="shared" si="150"/>
        <v>0.00</v>
      </c>
      <c r="Y429" s="15">
        <f t="shared" si="151"/>
        <v>174.78</v>
      </c>
      <c r="Z429" s="15">
        <f t="shared" si="152"/>
        <v>275.31</v>
      </c>
      <c r="AA429" s="15">
        <f>IF(FreightType="Lethbridge-Stewart Freight ",ROUND(2.99+IF(N429&gt;0.75,(N429-0.75)*2.25,0)*S429,2),IF(MarkupType="Supplier Markup",V429+V429*SupplierMarkup,"Error at finding value"))</f>
        <v>2.99</v>
      </c>
      <c r="AB429" s="15">
        <f t="shared" si="153"/>
        <v>0</v>
      </c>
    </row>
    <row r="430" spans="1:28" x14ac:dyDescent="0.25">
      <c r="A430" s="16">
        <f>OrdersTable!A430</f>
        <v>150</v>
      </c>
      <c r="B430" s="15" t="str">
        <f t="shared" si="133"/>
        <v>Dr</v>
      </c>
      <c r="C430" s="15" t="str">
        <f t="shared" si="154"/>
        <v>Taumalolo</v>
      </c>
      <c r="D430" s="15" t="str">
        <f t="shared" si="134"/>
        <v>Latai Fono-Ki-Moana</v>
      </c>
      <c r="E430" s="15" t="str">
        <f t="shared" si="135"/>
        <v>13 Taylor Way</v>
      </c>
      <c r="F430" s="15" t="str">
        <f t="shared" si="136"/>
        <v>Bamboo</v>
      </c>
      <c r="G430" s="15" t="str">
        <f t="shared" si="137"/>
        <v>QLD</v>
      </c>
      <c r="H430" s="15">
        <f t="shared" si="138"/>
        <v>4873</v>
      </c>
      <c r="I430" s="15">
        <f t="shared" si="149"/>
        <v>1741</v>
      </c>
      <c r="J430" s="15">
        <f>OrdersTable!B430</f>
        <v>724</v>
      </c>
      <c r="K430" s="15" t="str">
        <f t="shared" si="139"/>
        <v>Posters, Prints and Standees</v>
      </c>
      <c r="L430" s="15" t="str">
        <f t="shared" si="140"/>
        <v>Doctor Who: Standee: The 10th Doctor</v>
      </c>
      <c r="M430" s="15" t="str">
        <f t="shared" si="141"/>
        <v>-</v>
      </c>
      <c r="N430" s="15">
        <f t="shared" si="142"/>
        <v>1.125</v>
      </c>
      <c r="O430" s="15" t="str">
        <f t="shared" si="143"/>
        <v>A50</v>
      </c>
      <c r="P430" s="15" t="str">
        <f t="shared" si="144"/>
        <v>Rassilon Ltd.</v>
      </c>
      <c r="Q430" s="15" t="str">
        <f t="shared" si="145"/>
        <v>82 Richard Mathews Road</v>
      </c>
      <c r="R430" s="3">
        <f>OrdersTable!C430</f>
        <v>44593</v>
      </c>
      <c r="S430" s="15">
        <f>OrdersTable!E430</f>
        <v>5</v>
      </c>
      <c r="T430" s="15">
        <f t="shared" si="146"/>
        <v>22.49</v>
      </c>
      <c r="U430" s="15">
        <f t="shared" si="147"/>
        <v>30.77</v>
      </c>
      <c r="V430" s="15">
        <f t="shared" si="148"/>
        <v>36.43</v>
      </c>
      <c r="W430" s="15">
        <f>IF(MarkupType="Store Markup",ROUND(V430+V430*StoreMarkup,2),IF(MarkupType="Supplier Markup",V430+V430*SupplierMarkup,"Error at finding value"))</f>
        <v>57.38</v>
      </c>
      <c r="X430" s="32" t="str">
        <f t="shared" si="150"/>
        <v>0.00</v>
      </c>
      <c r="Y430" s="15">
        <f t="shared" si="151"/>
        <v>182.15</v>
      </c>
      <c r="Z430" s="15">
        <f t="shared" si="152"/>
        <v>286.89999999999998</v>
      </c>
      <c r="AA430" s="15">
        <f>IF(FreightType="Lethbridge-Stewart Freight ",ROUND(2.99+IF(N430&gt;0.75,(N430-0.75)*2.25,0)*S430,2),IF(MarkupType="Supplier Markup",V430+V430*SupplierMarkup,"Error at finding value"))</f>
        <v>7.21</v>
      </c>
      <c r="AB430" s="15">
        <f t="shared" si="153"/>
        <v>0</v>
      </c>
    </row>
    <row r="431" spans="1:28" x14ac:dyDescent="0.25">
      <c r="A431" s="16">
        <f>OrdersTable!A431</f>
        <v>302</v>
      </c>
      <c r="B431" s="15" t="str">
        <f t="shared" si="133"/>
        <v>Ms</v>
      </c>
      <c r="C431" s="15" t="str">
        <f t="shared" si="154"/>
        <v>Lamshed</v>
      </c>
      <c r="D431" s="15" t="str">
        <f t="shared" si="134"/>
        <v>Laura Clare</v>
      </c>
      <c r="E431" s="15" t="str">
        <f t="shared" si="135"/>
        <v>22 Edser Drive</v>
      </c>
      <c r="F431" s="15" t="str">
        <f t="shared" si="136"/>
        <v>Caliph</v>
      </c>
      <c r="G431" s="15" t="str">
        <f t="shared" si="137"/>
        <v>SA</v>
      </c>
      <c r="H431" s="15">
        <f t="shared" si="138"/>
        <v>5310</v>
      </c>
      <c r="I431" s="15">
        <f t="shared" si="149"/>
        <v>1720</v>
      </c>
      <c r="J431" s="15">
        <f>OrdersTable!B431</f>
        <v>696</v>
      </c>
      <c r="K431" s="15" t="str">
        <f t="shared" si="139"/>
        <v>Posters, Prints and Standees</v>
      </c>
      <c r="L431" s="15" t="str">
        <f t="shared" si="140"/>
        <v xml:space="preserve">Doctor Who: 50th Anniversary: Poster: To Victory </v>
      </c>
      <c r="M431" s="15" t="str">
        <f t="shared" si="141"/>
        <v>-</v>
      </c>
      <c r="N431" s="15">
        <f t="shared" si="142"/>
        <v>0.2</v>
      </c>
      <c r="O431" s="15" t="str">
        <f t="shared" si="143"/>
        <v>A40</v>
      </c>
      <c r="P431" s="15" t="str">
        <f t="shared" si="144"/>
        <v>Romana Imports</v>
      </c>
      <c r="Q431" s="15" t="str">
        <f t="shared" si="145"/>
        <v>17 Lalla Ward Road</v>
      </c>
      <c r="R431" s="3">
        <f>OrdersTable!C431</f>
        <v>44593</v>
      </c>
      <c r="S431" s="15">
        <f>OrdersTable!E431</f>
        <v>4</v>
      </c>
      <c r="T431" s="15">
        <f t="shared" si="146"/>
        <v>3.99</v>
      </c>
      <c r="U431" s="15">
        <f t="shared" si="147"/>
        <v>5.6</v>
      </c>
      <c r="V431" s="15">
        <f t="shared" si="148"/>
        <v>6.46</v>
      </c>
      <c r="W431" s="15">
        <f>IF(MarkupType="Store Markup",ROUND(V431+V431*StoreMarkup,2),IF(MarkupType="Supplier Markup",V431+V431*SupplierMarkup,"Error at finding value"))</f>
        <v>10.17</v>
      </c>
      <c r="X431" s="32" t="str">
        <f t="shared" si="150"/>
        <v>0.00</v>
      </c>
      <c r="Y431" s="15">
        <f t="shared" si="151"/>
        <v>25.84</v>
      </c>
      <c r="Z431" s="15">
        <f t="shared" si="152"/>
        <v>40.68</v>
      </c>
      <c r="AA431" s="15">
        <f>IF(FreightType="Lethbridge-Stewart Freight ",ROUND(2.99+IF(N431&gt;0.75,(N431-0.75)*2.25,0)*S431,2),IF(MarkupType="Supplier Markup",V431+V431*SupplierMarkup,"Error at finding value"))</f>
        <v>2.99</v>
      </c>
      <c r="AB431" s="15">
        <f t="shared" si="153"/>
        <v>0</v>
      </c>
    </row>
    <row r="432" spans="1:28" x14ac:dyDescent="0.25">
      <c r="A432" s="16">
        <f>OrdersTable!A432</f>
        <v>334</v>
      </c>
      <c r="B432" s="15" t="str">
        <f t="shared" si="133"/>
        <v>Mrs</v>
      </c>
      <c r="C432" s="15" t="str">
        <f t="shared" si="154"/>
        <v>Wilson</v>
      </c>
      <c r="D432" s="15" t="str">
        <f t="shared" si="134"/>
        <v>Hayley Lauren</v>
      </c>
      <c r="E432" s="15" t="str">
        <f t="shared" si="135"/>
        <v>3 Ashley Crescent</v>
      </c>
      <c r="F432" s="15" t="str">
        <f t="shared" si="136"/>
        <v>Black Hills</v>
      </c>
      <c r="G432" s="15" t="str">
        <f t="shared" si="137"/>
        <v>TAS</v>
      </c>
      <c r="H432" s="15">
        <f t="shared" si="138"/>
        <v>7140</v>
      </c>
      <c r="I432" s="15">
        <f t="shared" si="149"/>
        <v>2191</v>
      </c>
      <c r="J432" s="15">
        <f>OrdersTable!B432</f>
        <v>679</v>
      </c>
      <c r="K432" s="15" t="str">
        <f t="shared" si="139"/>
        <v>Mugs</v>
      </c>
      <c r="L432" s="15" t="str">
        <f t="shared" si="140"/>
        <v>Doctor Who: Mug: The Fifth Doctor</v>
      </c>
      <c r="M432" s="15" t="str">
        <f t="shared" si="141"/>
        <v>-</v>
      </c>
      <c r="N432" s="15">
        <f t="shared" si="142"/>
        <v>0.45</v>
      </c>
      <c r="O432" s="15" t="str">
        <f t="shared" si="143"/>
        <v>A40</v>
      </c>
      <c r="P432" s="15" t="str">
        <f t="shared" si="144"/>
        <v>Romana Imports</v>
      </c>
      <c r="Q432" s="15" t="str">
        <f t="shared" si="145"/>
        <v>17 Lalla Ward Road</v>
      </c>
      <c r="R432" s="3">
        <f>OrdersTable!C432</f>
        <v>44593</v>
      </c>
      <c r="S432" s="15">
        <f>OrdersTable!E432</f>
        <v>7</v>
      </c>
      <c r="T432" s="15">
        <f t="shared" si="146"/>
        <v>8.99</v>
      </c>
      <c r="U432" s="15">
        <f t="shared" si="147"/>
        <v>12.28</v>
      </c>
      <c r="V432" s="15">
        <f t="shared" si="148"/>
        <v>14.56</v>
      </c>
      <c r="W432" s="15">
        <f>IF(MarkupType="Store Markup",ROUND(V432+V432*StoreMarkup,2),IF(MarkupType="Supplier Markup",V432+V432*SupplierMarkup,"Error at finding value"))</f>
        <v>22.93</v>
      </c>
      <c r="X432" s="32" t="str">
        <f t="shared" si="150"/>
        <v>0.00</v>
      </c>
      <c r="Y432" s="15">
        <f t="shared" si="151"/>
        <v>101.92</v>
      </c>
      <c r="Z432" s="15">
        <f t="shared" si="152"/>
        <v>160.51</v>
      </c>
      <c r="AA432" s="15">
        <f>IF(FreightType="Lethbridge-Stewart Freight ",ROUND(2.99+IF(N432&gt;0.75,(N432-0.75)*2.25,0)*S432,2),IF(MarkupType="Supplier Markup",V432+V432*SupplierMarkup,"Error at finding value"))</f>
        <v>2.99</v>
      </c>
      <c r="AB432" s="15">
        <f t="shared" si="153"/>
        <v>0</v>
      </c>
    </row>
    <row r="433" spans="1:28" x14ac:dyDescent="0.25">
      <c r="A433" s="16">
        <f>OrdersTable!A433</f>
        <v>334</v>
      </c>
      <c r="B433" s="15" t="str">
        <f t="shared" si="133"/>
        <v>Mrs</v>
      </c>
      <c r="C433" s="15" t="str">
        <f t="shared" si="154"/>
        <v>Wilson</v>
      </c>
      <c r="D433" s="15" t="str">
        <f t="shared" si="134"/>
        <v>Hayley Lauren</v>
      </c>
      <c r="E433" s="15" t="str">
        <f t="shared" si="135"/>
        <v>3 Ashley Crescent</v>
      </c>
      <c r="F433" s="15" t="str">
        <f t="shared" si="136"/>
        <v>Black Hills</v>
      </c>
      <c r="G433" s="15" t="str">
        <f t="shared" si="137"/>
        <v>TAS</v>
      </c>
      <c r="H433" s="15">
        <f t="shared" si="138"/>
        <v>7140</v>
      </c>
      <c r="I433" s="15">
        <f t="shared" si="149"/>
        <v>2191</v>
      </c>
      <c r="J433" s="15">
        <f>OrdersTable!B433</f>
        <v>810</v>
      </c>
      <c r="K433" s="15" t="str">
        <f t="shared" si="139"/>
        <v>Statues and Busts</v>
      </c>
      <c r="L433" s="15" t="str">
        <f t="shared" si="140"/>
        <v>Doctor Who: Masterpiece Collection Maxi Bust: Amy Pond</v>
      </c>
      <c r="M433" s="15" t="str">
        <f t="shared" si="141"/>
        <v>-</v>
      </c>
      <c r="N433" s="15">
        <f t="shared" si="142"/>
        <v>2.5</v>
      </c>
      <c r="O433" s="15" t="str">
        <f t="shared" si="143"/>
        <v>A50</v>
      </c>
      <c r="P433" s="15" t="str">
        <f t="shared" si="144"/>
        <v>Rassilon Ltd.</v>
      </c>
      <c r="Q433" s="15" t="str">
        <f t="shared" si="145"/>
        <v>82 Richard Mathews Road</v>
      </c>
      <c r="R433" s="3">
        <f>OrdersTable!C433</f>
        <v>44593</v>
      </c>
      <c r="S433" s="15">
        <f>OrdersTable!E433</f>
        <v>10</v>
      </c>
      <c r="T433" s="15">
        <f t="shared" si="146"/>
        <v>49.99</v>
      </c>
      <c r="U433" s="15">
        <f t="shared" si="147"/>
        <v>68.260000000000005</v>
      </c>
      <c r="V433" s="15">
        <f t="shared" si="148"/>
        <v>80.98</v>
      </c>
      <c r="W433" s="15">
        <f>IF(MarkupType="Store Markup",ROUND(V433+V433*StoreMarkup,2),IF(MarkupType="Supplier Markup",V433+V433*SupplierMarkup,"Error at finding value"))</f>
        <v>127.54</v>
      </c>
      <c r="X433" s="32">
        <f t="shared" si="150"/>
        <v>9.09</v>
      </c>
      <c r="Y433" s="15">
        <f t="shared" si="151"/>
        <v>809.8</v>
      </c>
      <c r="Z433" s="15">
        <f t="shared" si="152"/>
        <v>1184.5</v>
      </c>
      <c r="AA433" s="15">
        <f>IF(FreightType="Lethbridge-Stewart Freight ",ROUND(2.99+IF(N433&gt;0.75,(N433-0.75)*2.25,0)*S433,2),IF(MarkupType="Supplier Markup",V433+V433*SupplierMarkup,"Error at finding value"))</f>
        <v>42.37</v>
      </c>
      <c r="AB433" s="15">
        <f t="shared" si="153"/>
        <v>90.9</v>
      </c>
    </row>
    <row r="434" spans="1:28" x14ac:dyDescent="0.25">
      <c r="A434" s="16">
        <f>OrdersTable!A434</f>
        <v>364</v>
      </c>
      <c r="B434" s="15" t="str">
        <f t="shared" si="133"/>
        <v>Dr</v>
      </c>
      <c r="C434" s="15" t="str">
        <f t="shared" si="154"/>
        <v>Reibelt</v>
      </c>
      <c r="D434" s="15" t="str">
        <f t="shared" si="134"/>
        <v>Corey James</v>
      </c>
      <c r="E434" s="15" t="str">
        <f t="shared" si="135"/>
        <v>23 Burns Drive</v>
      </c>
      <c r="F434" s="15" t="str">
        <f t="shared" si="136"/>
        <v>Caliph</v>
      </c>
      <c r="G434" s="15" t="str">
        <f t="shared" si="137"/>
        <v>SA</v>
      </c>
      <c r="H434" s="15">
        <f t="shared" si="138"/>
        <v>5310</v>
      </c>
      <c r="I434" s="15">
        <f t="shared" si="149"/>
        <v>1720</v>
      </c>
      <c r="J434" s="15">
        <f>OrdersTable!B434</f>
        <v>259</v>
      </c>
      <c r="K434" s="15" t="str">
        <f t="shared" si="139"/>
        <v>Clothing and Apparel</v>
      </c>
      <c r="L434" s="15" t="str">
        <f t="shared" si="140"/>
        <v>Doctor Who: Men's Winter Pyjamas</v>
      </c>
      <c r="M434" s="15" t="str">
        <f t="shared" si="141"/>
        <v>XL</v>
      </c>
      <c r="N434" s="15">
        <f t="shared" si="142"/>
        <v>1.5</v>
      </c>
      <c r="O434" s="15" t="str">
        <f t="shared" si="143"/>
        <v>A50</v>
      </c>
      <c r="P434" s="15" t="str">
        <f t="shared" si="144"/>
        <v>Rassilon Ltd.</v>
      </c>
      <c r="Q434" s="15" t="str">
        <f t="shared" si="145"/>
        <v>82 Richard Mathews Road</v>
      </c>
      <c r="R434" s="3">
        <f>OrdersTable!C434</f>
        <v>44593</v>
      </c>
      <c r="S434" s="15">
        <f>OrdersTable!E434</f>
        <v>9</v>
      </c>
      <c r="T434" s="15">
        <f t="shared" si="146"/>
        <v>29.99</v>
      </c>
      <c r="U434" s="15">
        <f t="shared" si="147"/>
        <v>41.15</v>
      </c>
      <c r="V434" s="15">
        <f t="shared" si="148"/>
        <v>48.58</v>
      </c>
      <c r="W434" s="15">
        <f>IF(MarkupType="Store Markup",ROUND(V434+V434*StoreMarkup,2),IF(MarkupType="Supplier Markup",V434+V434*SupplierMarkup,"Error at finding value"))</f>
        <v>76.510000000000005</v>
      </c>
      <c r="X434" s="32" t="str">
        <f t="shared" si="150"/>
        <v>0.00</v>
      </c>
      <c r="Y434" s="15">
        <f t="shared" si="151"/>
        <v>437.22</v>
      </c>
      <c r="Z434" s="15">
        <f t="shared" si="152"/>
        <v>688.59</v>
      </c>
      <c r="AA434" s="15">
        <f>IF(FreightType="Lethbridge-Stewart Freight ",ROUND(2.99+IF(N434&gt;0.75,(N434-0.75)*2.25,0)*S434,2),IF(MarkupType="Supplier Markup",V434+V434*SupplierMarkup,"Error at finding value"))</f>
        <v>18.18</v>
      </c>
      <c r="AB434" s="15">
        <f t="shared" si="153"/>
        <v>0</v>
      </c>
    </row>
    <row r="435" spans="1:28" x14ac:dyDescent="0.25">
      <c r="A435" s="16">
        <f>OrdersTable!A435</f>
        <v>543</v>
      </c>
      <c r="B435" s="15" t="str">
        <f t="shared" si="133"/>
        <v>Ms</v>
      </c>
      <c r="C435" s="15" t="str">
        <f t="shared" si="154"/>
        <v>Mendezona</v>
      </c>
      <c r="D435" s="15" t="str">
        <f t="shared" si="134"/>
        <v>Tara Colleen-Mary</v>
      </c>
      <c r="E435" s="15" t="str">
        <f t="shared" si="135"/>
        <v>27 Picone Drive</v>
      </c>
      <c r="F435" s="15" t="str">
        <f t="shared" si="136"/>
        <v>Aberfoyle</v>
      </c>
      <c r="G435" s="15" t="str">
        <f t="shared" si="137"/>
        <v>NSW</v>
      </c>
      <c r="H435" s="15">
        <f t="shared" si="138"/>
        <v>2350</v>
      </c>
      <c r="I435" s="15">
        <f t="shared" si="149"/>
        <v>363</v>
      </c>
      <c r="J435" s="15">
        <f>OrdersTable!B435</f>
        <v>331</v>
      </c>
      <c r="K435" s="15" t="str">
        <f t="shared" si="139"/>
        <v>Clothing and Apparel</v>
      </c>
      <c r="L435" s="15" t="str">
        <f t="shared" si="140"/>
        <v xml:space="preserve">Doctor Who: T-Shirts: 4th Doctor Costume </v>
      </c>
      <c r="M435" s="15" t="str">
        <f t="shared" si="141"/>
        <v>L</v>
      </c>
      <c r="N435" s="15">
        <f t="shared" si="142"/>
        <v>0.8</v>
      </c>
      <c r="O435" s="15" t="str">
        <f t="shared" si="143"/>
        <v>A20</v>
      </c>
      <c r="P435" s="15" t="str">
        <f t="shared" si="144"/>
        <v>Morbius Inc.</v>
      </c>
      <c r="Q435" s="15" t="str">
        <f t="shared" si="145"/>
        <v>56 Michael Spice Hwy</v>
      </c>
      <c r="R435" s="3">
        <f>OrdersTable!C435</f>
        <v>44593</v>
      </c>
      <c r="S435" s="15">
        <f>OrdersTable!E435</f>
        <v>2</v>
      </c>
      <c r="T435" s="15">
        <f t="shared" si="146"/>
        <v>15.99</v>
      </c>
      <c r="U435" s="15">
        <f t="shared" si="147"/>
        <v>22.08</v>
      </c>
      <c r="V435" s="15">
        <f t="shared" si="148"/>
        <v>25.9</v>
      </c>
      <c r="W435" s="15">
        <f>IF(MarkupType="Store Markup",ROUND(V435+V435*StoreMarkup,2),IF(MarkupType="Supplier Markup",V435+V435*SupplierMarkup,"Error at finding value"))</f>
        <v>40.79</v>
      </c>
      <c r="X435" s="32" t="str">
        <f t="shared" si="150"/>
        <v>0.00</v>
      </c>
      <c r="Y435" s="15">
        <f t="shared" si="151"/>
        <v>51.8</v>
      </c>
      <c r="Z435" s="15">
        <f t="shared" si="152"/>
        <v>81.58</v>
      </c>
      <c r="AA435" s="15">
        <f>IF(FreightType="Lethbridge-Stewart Freight ",ROUND(2.99+IF(N435&gt;0.75,(N435-0.75)*2.25,0)*S435,2),IF(MarkupType="Supplier Markup",V435+V435*SupplierMarkup,"Error at finding value"))</f>
        <v>3.22</v>
      </c>
      <c r="AB435" s="15">
        <f t="shared" si="153"/>
        <v>0</v>
      </c>
    </row>
    <row r="436" spans="1:28" x14ac:dyDescent="0.25">
      <c r="A436" s="16">
        <f>OrdersTable!A436</f>
        <v>543</v>
      </c>
      <c r="B436" s="15" t="str">
        <f t="shared" si="133"/>
        <v>Ms</v>
      </c>
      <c r="C436" s="15" t="str">
        <f t="shared" si="154"/>
        <v>Mendezona</v>
      </c>
      <c r="D436" s="15" t="str">
        <f t="shared" si="134"/>
        <v>Tara Colleen-Mary</v>
      </c>
      <c r="E436" s="15" t="str">
        <f t="shared" si="135"/>
        <v>27 Picone Drive</v>
      </c>
      <c r="F436" s="15" t="str">
        <f t="shared" si="136"/>
        <v>Aberfoyle</v>
      </c>
      <c r="G436" s="15" t="str">
        <f t="shared" si="137"/>
        <v>NSW</v>
      </c>
      <c r="H436" s="15">
        <f t="shared" si="138"/>
        <v>2350</v>
      </c>
      <c r="I436" s="15">
        <f t="shared" si="149"/>
        <v>363</v>
      </c>
      <c r="J436" s="15">
        <f>OrdersTable!B436</f>
        <v>810</v>
      </c>
      <c r="K436" s="15" t="str">
        <f t="shared" si="139"/>
        <v>Statues and Busts</v>
      </c>
      <c r="L436" s="15" t="str">
        <f t="shared" si="140"/>
        <v>Doctor Who: Masterpiece Collection Maxi Bust: Amy Pond</v>
      </c>
      <c r="M436" s="15" t="str">
        <f t="shared" si="141"/>
        <v>-</v>
      </c>
      <c r="N436" s="15">
        <f t="shared" si="142"/>
        <v>2.5</v>
      </c>
      <c r="O436" s="15" t="str">
        <f t="shared" si="143"/>
        <v>A50</v>
      </c>
      <c r="P436" s="15" t="str">
        <f t="shared" si="144"/>
        <v>Rassilon Ltd.</v>
      </c>
      <c r="Q436" s="15" t="str">
        <f t="shared" si="145"/>
        <v>82 Richard Mathews Road</v>
      </c>
      <c r="R436" s="3">
        <f>OrdersTable!C436</f>
        <v>44593</v>
      </c>
      <c r="S436" s="15">
        <f>OrdersTable!E436</f>
        <v>1</v>
      </c>
      <c r="T436" s="15">
        <f t="shared" si="146"/>
        <v>49.99</v>
      </c>
      <c r="U436" s="15">
        <f t="shared" si="147"/>
        <v>68.260000000000005</v>
      </c>
      <c r="V436" s="15">
        <f t="shared" si="148"/>
        <v>80.98</v>
      </c>
      <c r="W436" s="15">
        <f>IF(MarkupType="Store Markup",ROUND(V436+V436*StoreMarkup,2),IF(MarkupType="Supplier Markup",V436+V436*SupplierMarkup,"Error at finding value"))</f>
        <v>127.54</v>
      </c>
      <c r="X436" s="32" t="str">
        <f t="shared" si="150"/>
        <v>0.00</v>
      </c>
      <c r="Y436" s="15">
        <f t="shared" si="151"/>
        <v>80.98</v>
      </c>
      <c r="Z436" s="15">
        <f t="shared" si="152"/>
        <v>127.54</v>
      </c>
      <c r="AA436" s="15">
        <f>IF(FreightType="Lethbridge-Stewart Freight ",ROUND(2.99+IF(N436&gt;0.75,(N436-0.75)*2.25,0)*S436,2),IF(MarkupType="Supplier Markup",V436+V436*SupplierMarkup,"Error at finding value"))</f>
        <v>6.93</v>
      </c>
      <c r="AB436" s="15">
        <f t="shared" si="153"/>
        <v>0</v>
      </c>
    </row>
    <row r="437" spans="1:28" x14ac:dyDescent="0.25">
      <c r="A437" s="16">
        <f>OrdersTable!A437</f>
        <v>585</v>
      </c>
      <c r="B437" s="15" t="str">
        <f t="shared" si="133"/>
        <v>Miss</v>
      </c>
      <c r="C437" s="15" t="str">
        <f t="shared" si="154"/>
        <v>Long</v>
      </c>
      <c r="D437" s="15" t="str">
        <f t="shared" si="134"/>
        <v>Bellinda May</v>
      </c>
      <c r="E437" s="15" t="str">
        <f t="shared" si="135"/>
        <v>5 Hutcheson Avenue</v>
      </c>
      <c r="F437" s="15" t="str">
        <f t="shared" si="136"/>
        <v>Glenfern</v>
      </c>
      <c r="G437" s="15" t="str">
        <f t="shared" si="137"/>
        <v>QLD</v>
      </c>
      <c r="H437" s="15">
        <f t="shared" si="138"/>
        <v>4515</v>
      </c>
      <c r="I437" s="15">
        <f t="shared" si="149"/>
        <v>128</v>
      </c>
      <c r="J437" s="15">
        <f>OrdersTable!B437</f>
        <v>668</v>
      </c>
      <c r="K437" s="15" t="str">
        <f t="shared" si="139"/>
        <v>Mugs</v>
      </c>
      <c r="L437" s="15" t="str">
        <f t="shared" si="140"/>
        <v>Doctor Who: Mug: Silver TARDIS</v>
      </c>
      <c r="M437" s="15" t="str">
        <f t="shared" si="141"/>
        <v>-</v>
      </c>
      <c r="N437" s="15">
        <f t="shared" si="142"/>
        <v>1.1499999999999999</v>
      </c>
      <c r="O437" s="15" t="str">
        <f t="shared" si="143"/>
        <v>A50</v>
      </c>
      <c r="P437" s="15" t="str">
        <f t="shared" si="144"/>
        <v>Rassilon Ltd.</v>
      </c>
      <c r="Q437" s="15" t="str">
        <f t="shared" si="145"/>
        <v>82 Richard Mathews Road</v>
      </c>
      <c r="R437" s="3">
        <f>OrdersTable!C437</f>
        <v>44593</v>
      </c>
      <c r="S437" s="15">
        <f>OrdersTable!E437</f>
        <v>10</v>
      </c>
      <c r="T437" s="15">
        <f t="shared" si="146"/>
        <v>22.99</v>
      </c>
      <c r="U437" s="15">
        <f t="shared" si="147"/>
        <v>31.53</v>
      </c>
      <c r="V437" s="15">
        <f t="shared" si="148"/>
        <v>37.24</v>
      </c>
      <c r="W437" s="15">
        <f>IF(MarkupType="Store Markup",ROUND(V437+V437*StoreMarkup,2),IF(MarkupType="Supplier Markup",V437+V437*SupplierMarkup,"Error at finding value"))</f>
        <v>58.65</v>
      </c>
      <c r="X437" s="32" t="str">
        <f t="shared" si="150"/>
        <v>0.00</v>
      </c>
      <c r="Y437" s="15">
        <f t="shared" si="151"/>
        <v>372.4</v>
      </c>
      <c r="Z437" s="15">
        <f t="shared" si="152"/>
        <v>586.5</v>
      </c>
      <c r="AA437" s="15">
        <f>IF(FreightType="Lethbridge-Stewart Freight ",ROUND(2.99+IF(N437&gt;0.75,(N437-0.75)*2.25,0)*S437,2),IF(MarkupType="Supplier Markup",V437+V437*SupplierMarkup,"Error at finding value"))</f>
        <v>11.99</v>
      </c>
      <c r="AB437" s="15">
        <f t="shared" si="153"/>
        <v>0</v>
      </c>
    </row>
    <row r="438" spans="1:28" x14ac:dyDescent="0.25">
      <c r="A438" s="16">
        <f>OrdersTable!A438</f>
        <v>611</v>
      </c>
      <c r="B438" s="15" t="str">
        <f t="shared" si="133"/>
        <v>Mr</v>
      </c>
      <c r="C438" s="15" t="str">
        <f t="shared" si="154"/>
        <v>Wittman</v>
      </c>
      <c r="D438" s="15" t="str">
        <f t="shared" si="134"/>
        <v>Nicholas Jackson</v>
      </c>
      <c r="E438" s="15" t="str">
        <f t="shared" si="135"/>
        <v>48 Sheppard-Kadel Way</v>
      </c>
      <c r="F438" s="15" t="str">
        <f t="shared" si="136"/>
        <v>Nayook</v>
      </c>
      <c r="G438" s="15" t="str">
        <f t="shared" si="137"/>
        <v>VIC</v>
      </c>
      <c r="H438" s="15">
        <f t="shared" si="138"/>
        <v>3832</v>
      </c>
      <c r="I438" s="15">
        <f t="shared" si="149"/>
        <v>1552</v>
      </c>
      <c r="J438" s="15">
        <f>OrdersTable!B438</f>
        <v>418</v>
      </c>
      <c r="K438" s="15" t="str">
        <f t="shared" si="139"/>
        <v>Clothing and Apparel</v>
      </c>
      <c r="L438" s="15" t="str">
        <f t="shared" si="140"/>
        <v>Doctor Who: Women's Winter Pyjamas</v>
      </c>
      <c r="M438" s="15" t="str">
        <f t="shared" si="141"/>
        <v>M</v>
      </c>
      <c r="N438" s="15">
        <f t="shared" si="142"/>
        <v>1.5</v>
      </c>
      <c r="O438" s="15" t="str">
        <f t="shared" si="143"/>
        <v>A30</v>
      </c>
      <c r="P438" s="15" t="str">
        <f t="shared" si="144"/>
        <v>Chesterton Enterprises</v>
      </c>
      <c r="Q438" s="15" t="str">
        <f t="shared" si="145"/>
        <v>41 William Russell Road</v>
      </c>
      <c r="R438" s="3">
        <f>OrdersTable!C438</f>
        <v>44593</v>
      </c>
      <c r="S438" s="15">
        <f>OrdersTable!E438</f>
        <v>8</v>
      </c>
      <c r="T438" s="15">
        <f t="shared" si="146"/>
        <v>29.99</v>
      </c>
      <c r="U438" s="15">
        <f t="shared" si="147"/>
        <v>40.96</v>
      </c>
      <c r="V438" s="15">
        <f t="shared" si="148"/>
        <v>48.58</v>
      </c>
      <c r="W438" s="15">
        <f>IF(MarkupType="Store Markup",ROUND(V438+V438*StoreMarkup,2),IF(MarkupType="Supplier Markup",V438+V438*SupplierMarkup,"Error at finding value"))</f>
        <v>76.510000000000005</v>
      </c>
      <c r="X438" s="32" t="str">
        <f t="shared" si="150"/>
        <v>0.00</v>
      </c>
      <c r="Y438" s="15">
        <f t="shared" si="151"/>
        <v>388.64</v>
      </c>
      <c r="Z438" s="15">
        <f t="shared" si="152"/>
        <v>612.08000000000004</v>
      </c>
      <c r="AA438" s="15">
        <f>IF(FreightType="Lethbridge-Stewart Freight ",ROUND(2.99+IF(N438&gt;0.75,(N438-0.75)*2.25,0)*S438,2),IF(MarkupType="Supplier Markup",V438+V438*SupplierMarkup,"Error at finding value"))</f>
        <v>16.489999999999998</v>
      </c>
      <c r="AB438" s="15">
        <f t="shared" si="153"/>
        <v>0</v>
      </c>
    </row>
    <row r="439" spans="1:28" x14ac:dyDescent="0.25">
      <c r="A439" s="16">
        <f>OrdersTable!A439</f>
        <v>750</v>
      </c>
      <c r="B439" s="15" t="str">
        <f t="shared" si="133"/>
        <v>Ms</v>
      </c>
      <c r="C439" s="15" t="str">
        <f t="shared" si="154"/>
        <v>Talbot</v>
      </c>
      <c r="D439" s="15" t="str">
        <f t="shared" si="134"/>
        <v>Carlie Wenderly</v>
      </c>
      <c r="E439" s="15" t="str">
        <f t="shared" si="135"/>
        <v>31 Somerville Way</v>
      </c>
      <c r="F439" s="15" t="str">
        <f t="shared" si="136"/>
        <v>Boston</v>
      </c>
      <c r="G439" s="15" t="str">
        <f t="shared" si="137"/>
        <v>SA</v>
      </c>
      <c r="H439" s="15">
        <f t="shared" si="138"/>
        <v>5607</v>
      </c>
      <c r="I439" s="15">
        <f t="shared" si="149"/>
        <v>2076</v>
      </c>
      <c r="J439" s="15">
        <f>OrdersTable!B439</f>
        <v>810</v>
      </c>
      <c r="K439" s="15" t="str">
        <f t="shared" si="139"/>
        <v>Statues and Busts</v>
      </c>
      <c r="L439" s="15" t="str">
        <f t="shared" si="140"/>
        <v>Doctor Who: Masterpiece Collection Maxi Bust: Amy Pond</v>
      </c>
      <c r="M439" s="15" t="str">
        <f t="shared" si="141"/>
        <v>-</v>
      </c>
      <c r="N439" s="15">
        <f t="shared" si="142"/>
        <v>2.5</v>
      </c>
      <c r="O439" s="15" t="str">
        <f t="shared" si="143"/>
        <v>A50</v>
      </c>
      <c r="P439" s="15" t="str">
        <f t="shared" si="144"/>
        <v>Rassilon Ltd.</v>
      </c>
      <c r="Q439" s="15" t="str">
        <f t="shared" si="145"/>
        <v>82 Richard Mathews Road</v>
      </c>
      <c r="R439" s="3">
        <f>OrdersTable!C439</f>
        <v>44593</v>
      </c>
      <c r="S439" s="15">
        <f>OrdersTable!E439</f>
        <v>5</v>
      </c>
      <c r="T439" s="15">
        <f t="shared" si="146"/>
        <v>49.99</v>
      </c>
      <c r="U439" s="15">
        <f t="shared" si="147"/>
        <v>68.260000000000005</v>
      </c>
      <c r="V439" s="15">
        <f t="shared" si="148"/>
        <v>80.98</v>
      </c>
      <c r="W439" s="15">
        <f>IF(MarkupType="Store Markup",ROUND(V439+V439*StoreMarkup,2),IF(MarkupType="Supplier Markup",V439+V439*SupplierMarkup,"Error at finding value"))</f>
        <v>127.54</v>
      </c>
      <c r="X439" s="32">
        <f t="shared" si="150"/>
        <v>9.09</v>
      </c>
      <c r="Y439" s="15">
        <f t="shared" si="151"/>
        <v>404.9</v>
      </c>
      <c r="Z439" s="15">
        <f t="shared" si="152"/>
        <v>592.25</v>
      </c>
      <c r="AA439" s="15">
        <f>IF(FreightType="Lethbridge-Stewart Freight ",ROUND(2.99+IF(N439&gt;0.75,(N439-0.75)*2.25,0)*S439,2),IF(MarkupType="Supplier Markup",V439+V439*SupplierMarkup,"Error at finding value"))</f>
        <v>22.68</v>
      </c>
      <c r="AB439" s="15">
        <f t="shared" si="153"/>
        <v>45.45</v>
      </c>
    </row>
    <row r="440" spans="1:28" x14ac:dyDescent="0.25">
      <c r="A440" s="16">
        <f>OrdersTable!A440</f>
        <v>282</v>
      </c>
      <c r="B440" s="15" t="str">
        <f t="shared" si="133"/>
        <v>Dr</v>
      </c>
      <c r="C440" s="15" t="str">
        <f t="shared" si="154"/>
        <v>Johnson</v>
      </c>
      <c r="D440" s="15" t="str">
        <f t="shared" si="134"/>
        <v>Samantha Emily Louise</v>
      </c>
      <c r="E440" s="15" t="str">
        <f t="shared" si="135"/>
        <v>2 Wiggan Avenue</v>
      </c>
      <c r="F440" s="15" t="str">
        <f t="shared" si="136"/>
        <v>Boston</v>
      </c>
      <c r="G440" s="15" t="str">
        <f t="shared" si="137"/>
        <v>SA</v>
      </c>
      <c r="H440" s="15">
        <f t="shared" si="138"/>
        <v>5607</v>
      </c>
      <c r="I440" s="15">
        <f t="shared" si="149"/>
        <v>2076</v>
      </c>
      <c r="J440" s="15">
        <f>OrdersTable!B440</f>
        <v>585</v>
      </c>
      <c r="K440" s="15" t="str">
        <f t="shared" si="139"/>
        <v>iPhone Skins</v>
      </c>
      <c r="L440" s="15" t="str">
        <f t="shared" si="140"/>
        <v>Doctor Who: iPhone Skin: Dalek To Victory</v>
      </c>
      <c r="M440" s="15" t="str">
        <f t="shared" si="141"/>
        <v>-</v>
      </c>
      <c r="N440" s="15">
        <f t="shared" si="142"/>
        <v>0.5</v>
      </c>
      <c r="O440" s="15" t="str">
        <f t="shared" si="143"/>
        <v>A10</v>
      </c>
      <c r="P440" s="15" t="str">
        <f t="shared" si="144"/>
        <v>Gallifrey International</v>
      </c>
      <c r="Q440" s="15" t="str">
        <f t="shared" si="145"/>
        <v>181 Arcadia Street</v>
      </c>
      <c r="R440" s="3">
        <f>OrdersTable!C440</f>
        <v>44594</v>
      </c>
      <c r="S440" s="15">
        <f>OrdersTable!E440</f>
        <v>4</v>
      </c>
      <c r="T440" s="15">
        <f t="shared" si="146"/>
        <v>9.99</v>
      </c>
      <c r="U440" s="15">
        <f t="shared" si="147"/>
        <v>13.7</v>
      </c>
      <c r="V440" s="15">
        <f t="shared" si="148"/>
        <v>16.18</v>
      </c>
      <c r="W440" s="15">
        <f>IF(MarkupType="Store Markup",ROUND(V440+V440*StoreMarkup,2),IF(MarkupType="Supplier Markup",V440+V440*SupplierMarkup,"Error at finding value"))</f>
        <v>25.48</v>
      </c>
      <c r="X440" s="32" t="str">
        <f t="shared" si="150"/>
        <v>0.00</v>
      </c>
      <c r="Y440" s="15">
        <f t="shared" si="151"/>
        <v>64.72</v>
      </c>
      <c r="Z440" s="15">
        <f t="shared" si="152"/>
        <v>101.92</v>
      </c>
      <c r="AA440" s="15">
        <f>IF(FreightType="Lethbridge-Stewart Freight ",ROUND(2.99+IF(N440&gt;0.75,(N440-0.75)*2.25,0)*S440,2),IF(MarkupType="Supplier Markup",V440+V440*SupplierMarkup,"Error at finding value"))</f>
        <v>2.99</v>
      </c>
      <c r="AB440" s="15">
        <f t="shared" si="153"/>
        <v>0</v>
      </c>
    </row>
    <row r="441" spans="1:28" x14ac:dyDescent="0.25">
      <c r="A441" s="16">
        <f>OrdersTable!A441</f>
        <v>308</v>
      </c>
      <c r="B441" s="15" t="str">
        <f t="shared" si="133"/>
        <v>Dr</v>
      </c>
      <c r="C441" s="15" t="str">
        <f t="shared" si="154"/>
        <v>Azar</v>
      </c>
      <c r="D441" s="15" t="str">
        <f t="shared" si="134"/>
        <v>Mariam</v>
      </c>
      <c r="E441" s="15" t="str">
        <f t="shared" si="135"/>
        <v>26 Osmond Road</v>
      </c>
      <c r="F441" s="15" t="str">
        <f t="shared" si="136"/>
        <v>Boston</v>
      </c>
      <c r="G441" s="15" t="str">
        <f t="shared" si="137"/>
        <v>SA</v>
      </c>
      <c r="H441" s="15">
        <f t="shared" si="138"/>
        <v>5607</v>
      </c>
      <c r="I441" s="15">
        <f t="shared" si="149"/>
        <v>2076</v>
      </c>
      <c r="J441" s="15">
        <f>OrdersTable!B441</f>
        <v>668</v>
      </c>
      <c r="K441" s="15" t="str">
        <f t="shared" si="139"/>
        <v>Mugs</v>
      </c>
      <c r="L441" s="15" t="str">
        <f t="shared" si="140"/>
        <v>Doctor Who: Mug: Silver TARDIS</v>
      </c>
      <c r="M441" s="15" t="str">
        <f t="shared" si="141"/>
        <v>-</v>
      </c>
      <c r="N441" s="15">
        <f t="shared" si="142"/>
        <v>1.1499999999999999</v>
      </c>
      <c r="O441" s="15" t="str">
        <f t="shared" si="143"/>
        <v>A50</v>
      </c>
      <c r="P441" s="15" t="str">
        <f t="shared" si="144"/>
        <v>Rassilon Ltd.</v>
      </c>
      <c r="Q441" s="15" t="str">
        <f t="shared" si="145"/>
        <v>82 Richard Mathews Road</v>
      </c>
      <c r="R441" s="3">
        <f>OrdersTable!C441</f>
        <v>44594</v>
      </c>
      <c r="S441" s="15">
        <f>OrdersTable!E441</f>
        <v>4</v>
      </c>
      <c r="T441" s="15">
        <f t="shared" si="146"/>
        <v>22.99</v>
      </c>
      <c r="U441" s="15">
        <f t="shared" si="147"/>
        <v>31.53</v>
      </c>
      <c r="V441" s="15">
        <f t="shared" si="148"/>
        <v>37.24</v>
      </c>
      <c r="W441" s="15">
        <f>IF(MarkupType="Store Markup",ROUND(V441+V441*StoreMarkup,2),IF(MarkupType="Supplier Markup",V441+V441*SupplierMarkup,"Error at finding value"))</f>
        <v>58.65</v>
      </c>
      <c r="X441" s="32" t="str">
        <f t="shared" si="150"/>
        <v>0.00</v>
      </c>
      <c r="Y441" s="15">
        <f t="shared" si="151"/>
        <v>148.96</v>
      </c>
      <c r="Z441" s="15">
        <f t="shared" si="152"/>
        <v>234.6</v>
      </c>
      <c r="AA441" s="15">
        <f>IF(FreightType="Lethbridge-Stewart Freight ",ROUND(2.99+IF(N441&gt;0.75,(N441-0.75)*2.25,0)*S441,2),IF(MarkupType="Supplier Markup",V441+V441*SupplierMarkup,"Error at finding value"))</f>
        <v>6.59</v>
      </c>
      <c r="AB441" s="15">
        <f t="shared" si="153"/>
        <v>0</v>
      </c>
    </row>
    <row r="442" spans="1:28" x14ac:dyDescent="0.25">
      <c r="A442" s="16">
        <f>OrdersTable!A442</f>
        <v>312</v>
      </c>
      <c r="B442" s="15" t="str">
        <f t="shared" si="133"/>
        <v>Mr</v>
      </c>
      <c r="C442" s="15" t="str">
        <f t="shared" si="154"/>
        <v>Lloyd</v>
      </c>
      <c r="D442" s="15" t="str">
        <f t="shared" si="134"/>
        <v>Ben</v>
      </c>
      <c r="E442" s="15" t="str">
        <f t="shared" si="135"/>
        <v>13 Stark Avenue</v>
      </c>
      <c r="F442" s="15" t="str">
        <f t="shared" si="136"/>
        <v>Iluka</v>
      </c>
      <c r="G442" s="15" t="str">
        <f t="shared" si="137"/>
        <v>NSW</v>
      </c>
      <c r="H442" s="15">
        <f t="shared" si="138"/>
        <v>2466</v>
      </c>
      <c r="I442" s="15">
        <f t="shared" si="149"/>
        <v>347</v>
      </c>
      <c r="J442" s="15">
        <f>OrdersTable!B442</f>
        <v>752</v>
      </c>
      <c r="K442" s="15" t="str">
        <f t="shared" si="139"/>
        <v>Statues and Busts</v>
      </c>
      <c r="L442" s="15" t="str">
        <f t="shared" si="140"/>
        <v>Doctor Who: Helmet: Cyberman Leader</v>
      </c>
      <c r="M442" s="15" t="str">
        <f t="shared" si="141"/>
        <v>-</v>
      </c>
      <c r="N442" s="15">
        <f t="shared" si="142"/>
        <v>2</v>
      </c>
      <c r="O442" s="15" t="str">
        <f t="shared" si="143"/>
        <v>A30</v>
      </c>
      <c r="P442" s="15" t="str">
        <f t="shared" si="144"/>
        <v>Chesterton Enterprises</v>
      </c>
      <c r="Q442" s="15" t="str">
        <f t="shared" si="145"/>
        <v>41 William Russell Road</v>
      </c>
      <c r="R442" s="3">
        <f>OrdersTable!C442</f>
        <v>44594</v>
      </c>
      <c r="S442" s="15">
        <f>OrdersTable!E442</f>
        <v>5</v>
      </c>
      <c r="T442" s="15">
        <f t="shared" si="146"/>
        <v>39.99</v>
      </c>
      <c r="U442" s="15">
        <f t="shared" si="147"/>
        <v>54.85</v>
      </c>
      <c r="V442" s="15">
        <f t="shared" si="148"/>
        <v>64.78</v>
      </c>
      <c r="W442" s="15">
        <f>IF(MarkupType="Store Markup",ROUND(V442+V442*StoreMarkup,2),IF(MarkupType="Supplier Markup",V442+V442*SupplierMarkup,"Error at finding value"))</f>
        <v>102.03</v>
      </c>
      <c r="X442" s="32">
        <f t="shared" si="150"/>
        <v>7.27</v>
      </c>
      <c r="Y442" s="15">
        <f t="shared" si="151"/>
        <v>323.89999999999998</v>
      </c>
      <c r="Z442" s="15">
        <f t="shared" si="152"/>
        <v>473.8</v>
      </c>
      <c r="AA442" s="15">
        <f>IF(FreightType="Lethbridge-Stewart Freight ",ROUND(2.99+IF(N442&gt;0.75,(N442-0.75)*2.25,0)*S442,2),IF(MarkupType="Supplier Markup",V442+V442*SupplierMarkup,"Error at finding value"))</f>
        <v>17.05</v>
      </c>
      <c r="AB442" s="15">
        <f t="shared" si="153"/>
        <v>36.35</v>
      </c>
    </row>
    <row r="443" spans="1:28" x14ac:dyDescent="0.25">
      <c r="A443" s="16">
        <f>OrdersTable!A443</f>
        <v>329</v>
      </c>
      <c r="B443" s="15" t="str">
        <f t="shared" si="133"/>
        <v>Ms</v>
      </c>
      <c r="C443" s="15" t="str">
        <f t="shared" si="154"/>
        <v>Hubbard</v>
      </c>
      <c r="D443" s="15" t="str">
        <f t="shared" si="134"/>
        <v>Sonya Marie</v>
      </c>
      <c r="E443" s="15" t="str">
        <f t="shared" si="135"/>
        <v>42 Keable Crescent</v>
      </c>
      <c r="F443" s="15" t="str">
        <f t="shared" si="136"/>
        <v>Boston</v>
      </c>
      <c r="G443" s="15" t="str">
        <f t="shared" si="137"/>
        <v>SA</v>
      </c>
      <c r="H443" s="15">
        <f t="shared" si="138"/>
        <v>5607</v>
      </c>
      <c r="I443" s="15">
        <f t="shared" si="149"/>
        <v>2076</v>
      </c>
      <c r="J443" s="15">
        <f>OrdersTable!B443</f>
        <v>316</v>
      </c>
      <c r="K443" s="15" t="str">
        <f t="shared" si="139"/>
        <v>Clothing and Apparel</v>
      </c>
      <c r="L443" s="15" t="str">
        <f t="shared" si="140"/>
        <v xml:space="preserve">Doctor Who: T-Shirts: 4th Doctor Costume </v>
      </c>
      <c r="M443" s="15" t="str">
        <f t="shared" si="141"/>
        <v>S</v>
      </c>
      <c r="N443" s="15">
        <f t="shared" si="142"/>
        <v>0.8</v>
      </c>
      <c r="O443" s="15" t="str">
        <f t="shared" si="143"/>
        <v>A30</v>
      </c>
      <c r="P443" s="15" t="str">
        <f t="shared" si="144"/>
        <v>Chesterton Enterprises</v>
      </c>
      <c r="Q443" s="15" t="str">
        <f t="shared" si="145"/>
        <v>41 William Russell Road</v>
      </c>
      <c r="R443" s="3">
        <f>OrdersTable!C443</f>
        <v>44594</v>
      </c>
      <c r="S443" s="15">
        <f>OrdersTable!E443</f>
        <v>8</v>
      </c>
      <c r="T443" s="15">
        <f t="shared" si="146"/>
        <v>15.99</v>
      </c>
      <c r="U443" s="15">
        <f t="shared" si="147"/>
        <v>21.94</v>
      </c>
      <c r="V443" s="15">
        <f t="shared" si="148"/>
        <v>25.9</v>
      </c>
      <c r="W443" s="15">
        <f>IF(MarkupType="Store Markup",ROUND(V443+V443*StoreMarkup,2),IF(MarkupType="Supplier Markup",V443+V443*SupplierMarkup,"Error at finding value"))</f>
        <v>40.79</v>
      </c>
      <c r="X443" s="32" t="str">
        <f t="shared" si="150"/>
        <v>0.00</v>
      </c>
      <c r="Y443" s="15">
        <f t="shared" si="151"/>
        <v>207.2</v>
      </c>
      <c r="Z443" s="15">
        <f t="shared" si="152"/>
        <v>326.32</v>
      </c>
      <c r="AA443" s="15">
        <f>IF(FreightType="Lethbridge-Stewart Freight ",ROUND(2.99+IF(N443&gt;0.75,(N443-0.75)*2.25,0)*S443,2),IF(MarkupType="Supplier Markup",V443+V443*SupplierMarkup,"Error at finding value"))</f>
        <v>3.89</v>
      </c>
      <c r="AB443" s="15">
        <f t="shared" si="153"/>
        <v>0</v>
      </c>
    </row>
    <row r="444" spans="1:28" x14ac:dyDescent="0.25">
      <c r="A444" s="16">
        <f>OrdersTable!A444</f>
        <v>370</v>
      </c>
      <c r="B444" s="15" t="str">
        <f t="shared" si="133"/>
        <v>Mr</v>
      </c>
      <c r="C444" s="15" t="str">
        <f t="shared" si="154"/>
        <v>Kennedy</v>
      </c>
      <c r="D444" s="15" t="str">
        <f t="shared" si="134"/>
        <v>Joseph Dominic</v>
      </c>
      <c r="E444" s="15" t="str">
        <f t="shared" si="135"/>
        <v>43 Barton Road</v>
      </c>
      <c r="F444" s="15" t="str">
        <f t="shared" si="136"/>
        <v>Boston</v>
      </c>
      <c r="G444" s="15" t="str">
        <f t="shared" si="137"/>
        <v>SA</v>
      </c>
      <c r="H444" s="15">
        <f t="shared" si="138"/>
        <v>5607</v>
      </c>
      <c r="I444" s="15">
        <f t="shared" si="149"/>
        <v>2076</v>
      </c>
      <c r="J444" s="15">
        <f>OrdersTable!B444</f>
        <v>780</v>
      </c>
      <c r="K444" s="15" t="str">
        <f t="shared" si="139"/>
        <v>Statues and Busts</v>
      </c>
      <c r="L444" s="15" t="str">
        <f t="shared" si="140"/>
        <v>Doctor Who: Masterpiece Collection Dalek: Genesis Of The Daleks</v>
      </c>
      <c r="M444" s="15" t="str">
        <f t="shared" si="141"/>
        <v>-</v>
      </c>
      <c r="N444" s="15">
        <f t="shared" si="142"/>
        <v>2.5</v>
      </c>
      <c r="O444" s="15" t="str">
        <f t="shared" si="143"/>
        <v>A30</v>
      </c>
      <c r="P444" s="15" t="str">
        <f t="shared" si="144"/>
        <v>Chesterton Enterprises</v>
      </c>
      <c r="Q444" s="15" t="str">
        <f t="shared" si="145"/>
        <v>41 William Russell Road</v>
      </c>
      <c r="R444" s="3">
        <f>OrdersTable!C444</f>
        <v>44594</v>
      </c>
      <c r="S444" s="15">
        <f>OrdersTable!E444</f>
        <v>10</v>
      </c>
      <c r="T444" s="15">
        <f t="shared" si="146"/>
        <v>49.99</v>
      </c>
      <c r="U444" s="15">
        <f t="shared" si="147"/>
        <v>68.23</v>
      </c>
      <c r="V444" s="15">
        <f t="shared" si="148"/>
        <v>80.98</v>
      </c>
      <c r="W444" s="15">
        <f>IF(MarkupType="Store Markup",ROUND(V444+V444*StoreMarkup,2),IF(MarkupType="Supplier Markup",V444+V444*SupplierMarkup,"Error at finding value"))</f>
        <v>127.54</v>
      </c>
      <c r="X444" s="32">
        <f t="shared" si="150"/>
        <v>9.09</v>
      </c>
      <c r="Y444" s="15">
        <f t="shared" si="151"/>
        <v>809.8</v>
      </c>
      <c r="Z444" s="15">
        <f t="shared" si="152"/>
        <v>1184.5</v>
      </c>
      <c r="AA444" s="15">
        <f>IF(FreightType="Lethbridge-Stewart Freight ",ROUND(2.99+IF(N444&gt;0.75,(N444-0.75)*2.25,0)*S444,2),IF(MarkupType="Supplier Markup",V444+V444*SupplierMarkup,"Error at finding value"))</f>
        <v>42.37</v>
      </c>
      <c r="AB444" s="15">
        <f t="shared" si="153"/>
        <v>90.9</v>
      </c>
    </row>
    <row r="445" spans="1:28" x14ac:dyDescent="0.25">
      <c r="A445" s="16">
        <f>OrdersTable!A445</f>
        <v>467</v>
      </c>
      <c r="B445" s="15" t="str">
        <f t="shared" si="133"/>
        <v>Mrs</v>
      </c>
      <c r="C445" s="15" t="str">
        <f t="shared" si="154"/>
        <v>Daniell</v>
      </c>
      <c r="D445" s="15" t="str">
        <f t="shared" si="134"/>
        <v>Bronte Eliza</v>
      </c>
      <c r="E445" s="15" t="str">
        <f t="shared" si="135"/>
        <v>41 Wilson Boulevard</v>
      </c>
      <c r="F445" s="15" t="str">
        <f t="shared" si="136"/>
        <v>Aberfoyle</v>
      </c>
      <c r="G445" s="15" t="str">
        <f t="shared" si="137"/>
        <v>NSW</v>
      </c>
      <c r="H445" s="15">
        <f t="shared" si="138"/>
        <v>2350</v>
      </c>
      <c r="I445" s="15">
        <f t="shared" si="149"/>
        <v>363</v>
      </c>
      <c r="J445" s="15">
        <f>OrdersTable!B445</f>
        <v>701</v>
      </c>
      <c r="K445" s="15" t="str">
        <f t="shared" si="139"/>
        <v>Posters, Prints and Standees</v>
      </c>
      <c r="L445" s="15" t="str">
        <f t="shared" si="140"/>
        <v>Doctor Who: Half Sized Standee: The TARDIS</v>
      </c>
      <c r="M445" s="15" t="str">
        <f t="shared" si="141"/>
        <v>-</v>
      </c>
      <c r="N445" s="15">
        <f t="shared" si="142"/>
        <v>0.5</v>
      </c>
      <c r="O445" s="15" t="str">
        <f t="shared" si="143"/>
        <v>A40</v>
      </c>
      <c r="P445" s="15" t="str">
        <f t="shared" si="144"/>
        <v>Romana Imports</v>
      </c>
      <c r="Q445" s="15" t="str">
        <f t="shared" si="145"/>
        <v>17 Lalla Ward Road</v>
      </c>
      <c r="R445" s="3">
        <f>OrdersTable!C445</f>
        <v>44594</v>
      </c>
      <c r="S445" s="15">
        <f>OrdersTable!E445</f>
        <v>10</v>
      </c>
      <c r="T445" s="15">
        <f t="shared" si="146"/>
        <v>9.99</v>
      </c>
      <c r="U445" s="15">
        <f t="shared" si="147"/>
        <v>13.83</v>
      </c>
      <c r="V445" s="15">
        <f t="shared" si="148"/>
        <v>16.18</v>
      </c>
      <c r="W445" s="15">
        <f>IF(MarkupType="Store Markup",ROUND(V445+V445*StoreMarkup,2),IF(MarkupType="Supplier Markup",V445+V445*SupplierMarkup,"Error at finding value"))</f>
        <v>25.48</v>
      </c>
      <c r="X445" s="32" t="str">
        <f t="shared" si="150"/>
        <v>0.00</v>
      </c>
      <c r="Y445" s="15">
        <f t="shared" si="151"/>
        <v>161.80000000000001</v>
      </c>
      <c r="Z445" s="15">
        <f t="shared" si="152"/>
        <v>254.8</v>
      </c>
      <c r="AA445" s="15">
        <f>IF(FreightType="Lethbridge-Stewart Freight ",ROUND(2.99+IF(N445&gt;0.75,(N445-0.75)*2.25,0)*S445,2),IF(MarkupType="Supplier Markup",V445+V445*SupplierMarkup,"Error at finding value"))</f>
        <v>2.99</v>
      </c>
      <c r="AB445" s="15">
        <f t="shared" si="153"/>
        <v>0</v>
      </c>
    </row>
    <row r="446" spans="1:28" x14ac:dyDescent="0.25">
      <c r="A446" s="16">
        <f>OrdersTable!A446</f>
        <v>634</v>
      </c>
      <c r="B446" s="15" t="str">
        <f t="shared" si="133"/>
        <v>Miss</v>
      </c>
      <c r="C446" s="15" t="str">
        <f t="shared" si="154"/>
        <v>Betts</v>
      </c>
      <c r="D446" s="15" t="str">
        <f t="shared" si="134"/>
        <v>Melissa Leigh</v>
      </c>
      <c r="E446" s="15" t="str">
        <f t="shared" si="135"/>
        <v>4 Aitcheson Drive</v>
      </c>
      <c r="F446" s="15" t="str">
        <f t="shared" si="136"/>
        <v>Bray Park</v>
      </c>
      <c r="G446" s="15" t="str">
        <f t="shared" si="137"/>
        <v>QLD</v>
      </c>
      <c r="H446" s="15">
        <f t="shared" si="138"/>
        <v>4500</v>
      </c>
      <c r="I446" s="15">
        <f t="shared" si="149"/>
        <v>139</v>
      </c>
      <c r="J446" s="15">
        <f>OrdersTable!B446</f>
        <v>580</v>
      </c>
      <c r="K446" s="15" t="str">
        <f t="shared" si="139"/>
        <v>Giftware</v>
      </c>
      <c r="L446" s="15" t="str">
        <f t="shared" si="140"/>
        <v>Doctor Who: Wallpaper: Classic TARDIS Columns</v>
      </c>
      <c r="M446" s="15" t="str">
        <f t="shared" si="141"/>
        <v>-</v>
      </c>
      <c r="N446" s="15">
        <f t="shared" si="142"/>
        <v>0.65500000000000003</v>
      </c>
      <c r="O446" s="15" t="str">
        <f t="shared" si="143"/>
        <v>A50</v>
      </c>
      <c r="P446" s="15" t="str">
        <f t="shared" si="144"/>
        <v>Rassilon Ltd.</v>
      </c>
      <c r="Q446" s="15" t="str">
        <f t="shared" si="145"/>
        <v>82 Richard Mathews Road</v>
      </c>
      <c r="R446" s="3">
        <f>OrdersTable!C446</f>
        <v>44594</v>
      </c>
      <c r="S446" s="15">
        <f>OrdersTable!E446</f>
        <v>7</v>
      </c>
      <c r="T446" s="15">
        <f t="shared" si="146"/>
        <v>13.11</v>
      </c>
      <c r="U446" s="15">
        <f t="shared" si="147"/>
        <v>18.18</v>
      </c>
      <c r="V446" s="15">
        <f t="shared" si="148"/>
        <v>21.24</v>
      </c>
      <c r="W446" s="15">
        <f>IF(MarkupType="Store Markup",ROUND(V446+V446*StoreMarkup,2),IF(MarkupType="Supplier Markup",V446+V446*SupplierMarkup,"Error at finding value"))</f>
        <v>33.450000000000003</v>
      </c>
      <c r="X446" s="32" t="str">
        <f t="shared" si="150"/>
        <v>0.00</v>
      </c>
      <c r="Y446" s="15">
        <f t="shared" si="151"/>
        <v>148.68</v>
      </c>
      <c r="Z446" s="15">
        <f t="shared" si="152"/>
        <v>234.15</v>
      </c>
      <c r="AA446" s="15">
        <f>IF(FreightType="Lethbridge-Stewart Freight ",ROUND(2.99+IF(N446&gt;0.75,(N446-0.75)*2.25,0)*S446,2),IF(MarkupType="Supplier Markup",V446+V446*SupplierMarkup,"Error at finding value"))</f>
        <v>2.99</v>
      </c>
      <c r="AB446" s="15">
        <f t="shared" si="153"/>
        <v>0</v>
      </c>
    </row>
    <row r="447" spans="1:28" x14ac:dyDescent="0.25">
      <c r="A447" s="16">
        <f>OrdersTable!A447</f>
        <v>747</v>
      </c>
      <c r="B447" s="15" t="str">
        <f t="shared" si="133"/>
        <v>Miss</v>
      </c>
      <c r="C447" s="15" t="str">
        <f t="shared" si="154"/>
        <v>Coom</v>
      </c>
      <c r="D447" s="15" t="str">
        <f t="shared" si="134"/>
        <v>Mackenzie Megan</v>
      </c>
      <c r="E447" s="15" t="str">
        <f t="shared" si="135"/>
        <v>2 Tsalikis Road</v>
      </c>
      <c r="F447" s="15" t="str">
        <f t="shared" si="136"/>
        <v>Aberfoyle</v>
      </c>
      <c r="G447" s="15" t="str">
        <f t="shared" si="137"/>
        <v>NSW</v>
      </c>
      <c r="H447" s="15">
        <f t="shared" si="138"/>
        <v>2350</v>
      </c>
      <c r="I447" s="15">
        <f t="shared" si="149"/>
        <v>363</v>
      </c>
      <c r="J447" s="15">
        <f>OrdersTable!B447</f>
        <v>164</v>
      </c>
      <c r="K447" s="15" t="str">
        <f t="shared" si="139"/>
        <v>Bobbleheads</v>
      </c>
      <c r="L447" s="15" t="str">
        <f t="shared" si="140"/>
        <v>Doctor Who: Bobblehead: Fourth Doctor</v>
      </c>
      <c r="M447" s="15" t="str">
        <f t="shared" si="141"/>
        <v>-</v>
      </c>
      <c r="N447" s="15">
        <f t="shared" si="142"/>
        <v>0.75</v>
      </c>
      <c r="O447" s="15" t="str">
        <f t="shared" si="143"/>
        <v>A40</v>
      </c>
      <c r="P447" s="15" t="str">
        <f t="shared" si="144"/>
        <v>Romana Imports</v>
      </c>
      <c r="Q447" s="15" t="str">
        <f t="shared" si="145"/>
        <v>17 Lalla Ward Road</v>
      </c>
      <c r="R447" s="3">
        <f>OrdersTable!C447</f>
        <v>44594</v>
      </c>
      <c r="S447" s="15">
        <f>OrdersTable!E447</f>
        <v>9</v>
      </c>
      <c r="T447" s="15">
        <f t="shared" si="146"/>
        <v>14.99</v>
      </c>
      <c r="U447" s="15">
        <f t="shared" si="147"/>
        <v>20.53</v>
      </c>
      <c r="V447" s="15">
        <f t="shared" si="148"/>
        <v>24.28</v>
      </c>
      <c r="W447" s="15">
        <f>IF(MarkupType="Store Markup",ROUND(V447+V447*StoreMarkup,2),IF(MarkupType="Supplier Markup",V447+V447*SupplierMarkup,"Error at finding value"))</f>
        <v>38.24</v>
      </c>
      <c r="X447" s="32" t="str">
        <f t="shared" si="150"/>
        <v>0.00</v>
      </c>
      <c r="Y447" s="15">
        <f t="shared" si="151"/>
        <v>218.52</v>
      </c>
      <c r="Z447" s="15">
        <f t="shared" si="152"/>
        <v>344.16</v>
      </c>
      <c r="AA447" s="15">
        <f>IF(FreightType="Lethbridge-Stewart Freight ",ROUND(2.99+IF(N447&gt;0.75,(N447-0.75)*2.25,0)*S447,2),IF(MarkupType="Supplier Markup",V447+V447*SupplierMarkup,"Error at finding value"))</f>
        <v>2.99</v>
      </c>
      <c r="AB447" s="15">
        <f t="shared" si="153"/>
        <v>0</v>
      </c>
    </row>
    <row r="448" spans="1:28" x14ac:dyDescent="0.25">
      <c r="A448" s="16">
        <f>OrdersTable!A448</f>
        <v>747</v>
      </c>
      <c r="B448" s="15" t="str">
        <f t="shared" si="133"/>
        <v>Miss</v>
      </c>
      <c r="C448" s="15" t="str">
        <f t="shared" si="154"/>
        <v>Coom</v>
      </c>
      <c r="D448" s="15" t="str">
        <f t="shared" si="134"/>
        <v>Mackenzie Megan</v>
      </c>
      <c r="E448" s="15" t="str">
        <f t="shared" si="135"/>
        <v>2 Tsalikis Road</v>
      </c>
      <c r="F448" s="15" t="str">
        <f t="shared" si="136"/>
        <v>Aberfoyle</v>
      </c>
      <c r="G448" s="15" t="str">
        <f t="shared" si="137"/>
        <v>NSW</v>
      </c>
      <c r="H448" s="15">
        <f t="shared" si="138"/>
        <v>2350</v>
      </c>
      <c r="I448" s="15">
        <f t="shared" si="149"/>
        <v>363</v>
      </c>
      <c r="J448" s="15">
        <f>OrdersTable!B448</f>
        <v>792</v>
      </c>
      <c r="K448" s="15" t="str">
        <f t="shared" si="139"/>
        <v>Statues and Busts</v>
      </c>
      <c r="L448" s="15" t="str">
        <f t="shared" si="140"/>
        <v>Doctor Who: Masterpiece Collection Maxi Bust: 3rd Doctor</v>
      </c>
      <c r="M448" s="15" t="str">
        <f t="shared" si="141"/>
        <v>-</v>
      </c>
      <c r="N448" s="15">
        <f t="shared" si="142"/>
        <v>2.5</v>
      </c>
      <c r="O448" s="15" t="str">
        <f t="shared" si="143"/>
        <v>A20</v>
      </c>
      <c r="P448" s="15" t="str">
        <f t="shared" si="144"/>
        <v>Morbius Inc.</v>
      </c>
      <c r="Q448" s="15" t="str">
        <f t="shared" si="145"/>
        <v>56 Michael Spice Hwy</v>
      </c>
      <c r="R448" s="3">
        <f>OrdersTable!C448</f>
        <v>44594</v>
      </c>
      <c r="S448" s="15">
        <f>OrdersTable!E448</f>
        <v>6</v>
      </c>
      <c r="T448" s="15">
        <f t="shared" si="146"/>
        <v>49.99</v>
      </c>
      <c r="U448" s="15">
        <f t="shared" si="147"/>
        <v>68.39</v>
      </c>
      <c r="V448" s="15">
        <f t="shared" si="148"/>
        <v>80.98</v>
      </c>
      <c r="W448" s="15">
        <f>IF(MarkupType="Store Markup",ROUND(V448+V448*StoreMarkup,2),IF(MarkupType="Supplier Markup",V448+V448*SupplierMarkup,"Error at finding value"))</f>
        <v>127.54</v>
      </c>
      <c r="X448" s="32">
        <f t="shared" si="150"/>
        <v>9.09</v>
      </c>
      <c r="Y448" s="15">
        <f t="shared" si="151"/>
        <v>485.88</v>
      </c>
      <c r="Z448" s="15">
        <f t="shared" si="152"/>
        <v>710.7</v>
      </c>
      <c r="AA448" s="15">
        <f>IF(FreightType="Lethbridge-Stewart Freight ",ROUND(2.99+IF(N448&gt;0.75,(N448-0.75)*2.25,0)*S448,2),IF(MarkupType="Supplier Markup",V448+V448*SupplierMarkup,"Error at finding value"))</f>
        <v>26.62</v>
      </c>
      <c r="AB448" s="15">
        <f t="shared" si="153"/>
        <v>54.54</v>
      </c>
    </row>
    <row r="449" spans="1:28" x14ac:dyDescent="0.25">
      <c r="A449" s="16">
        <f>OrdersTable!A449</f>
        <v>802</v>
      </c>
      <c r="B449" s="15" t="str">
        <f t="shared" si="133"/>
        <v>Mr</v>
      </c>
      <c r="C449" s="15" t="str">
        <f t="shared" si="154"/>
        <v>Carlton</v>
      </c>
      <c r="D449" s="15" t="str">
        <f t="shared" si="134"/>
        <v>Lawrence</v>
      </c>
      <c r="E449" s="15" t="str">
        <f t="shared" si="135"/>
        <v>39 Walsh Way</v>
      </c>
      <c r="F449" s="15" t="str">
        <f t="shared" si="136"/>
        <v>Breakwater</v>
      </c>
      <c r="G449" s="15" t="str">
        <f t="shared" si="137"/>
        <v>VIC</v>
      </c>
      <c r="H449" s="15">
        <f t="shared" si="138"/>
        <v>3219</v>
      </c>
      <c r="I449" s="15">
        <f t="shared" si="149"/>
        <v>1596</v>
      </c>
      <c r="J449" s="15">
        <f>OrdersTable!B449</f>
        <v>762</v>
      </c>
      <c r="K449" s="15" t="str">
        <f t="shared" si="139"/>
        <v>Statues and Busts</v>
      </c>
      <c r="L449" s="15" t="str">
        <f t="shared" si="140"/>
        <v>Doctor Who: Legends Forever Bust: Patrick Troughton</v>
      </c>
      <c r="M449" s="15" t="str">
        <f t="shared" si="141"/>
        <v>-</v>
      </c>
      <c r="N449" s="15">
        <f t="shared" si="142"/>
        <v>1.375</v>
      </c>
      <c r="O449" s="15" t="str">
        <f t="shared" si="143"/>
        <v>A40</v>
      </c>
      <c r="P449" s="15" t="str">
        <f t="shared" si="144"/>
        <v>Romana Imports</v>
      </c>
      <c r="Q449" s="15" t="str">
        <f t="shared" si="145"/>
        <v>17 Lalla Ward Road</v>
      </c>
      <c r="R449" s="3">
        <f>OrdersTable!C449</f>
        <v>44594</v>
      </c>
      <c r="S449" s="15">
        <f>OrdersTable!E449</f>
        <v>5</v>
      </c>
      <c r="T449" s="15">
        <f t="shared" si="146"/>
        <v>27.5</v>
      </c>
      <c r="U449" s="15">
        <f t="shared" si="147"/>
        <v>37.799999999999997</v>
      </c>
      <c r="V449" s="15">
        <f t="shared" si="148"/>
        <v>44.55</v>
      </c>
      <c r="W449" s="15">
        <f>IF(MarkupType="Store Markup",ROUND(V449+V449*StoreMarkup,2),IF(MarkupType="Supplier Markup",V449+V449*SupplierMarkup,"Error at finding value"))</f>
        <v>70.17</v>
      </c>
      <c r="X449" s="32" t="str">
        <f t="shared" si="150"/>
        <v>0.00</v>
      </c>
      <c r="Y449" s="15">
        <f t="shared" si="151"/>
        <v>222.75</v>
      </c>
      <c r="Z449" s="15">
        <f t="shared" si="152"/>
        <v>350.85</v>
      </c>
      <c r="AA449" s="15">
        <f>IF(FreightType="Lethbridge-Stewart Freight ",ROUND(2.99+IF(N449&gt;0.75,(N449-0.75)*2.25,0)*S449,2),IF(MarkupType="Supplier Markup",V449+V449*SupplierMarkup,"Error at finding value"))</f>
        <v>10.02</v>
      </c>
      <c r="AB449" s="15">
        <f t="shared" si="153"/>
        <v>0</v>
      </c>
    </row>
    <row r="450" spans="1:28" x14ac:dyDescent="0.25">
      <c r="A450" s="16">
        <f>OrdersTable!A450</f>
        <v>972</v>
      </c>
      <c r="B450" s="15" t="str">
        <f t="shared" si="133"/>
        <v>Miss</v>
      </c>
      <c r="C450" s="15" t="str">
        <f t="shared" si="154"/>
        <v>Walsh</v>
      </c>
      <c r="D450" s="15" t="str">
        <f t="shared" si="134"/>
        <v>Alana Jane</v>
      </c>
      <c r="E450" s="15" t="str">
        <f t="shared" si="135"/>
        <v>40 Betts Crescent</v>
      </c>
      <c r="F450" s="15" t="str">
        <f t="shared" si="136"/>
        <v>Alleena</v>
      </c>
      <c r="G450" s="15" t="str">
        <f t="shared" si="137"/>
        <v>NSW</v>
      </c>
      <c r="H450" s="15">
        <f t="shared" si="138"/>
        <v>2671</v>
      </c>
      <c r="I450" s="15">
        <f t="shared" si="149"/>
        <v>988</v>
      </c>
      <c r="J450" s="15">
        <f>OrdersTable!B450</f>
        <v>594</v>
      </c>
      <c r="K450" s="15" t="str">
        <f t="shared" si="139"/>
        <v>iPhone Skins</v>
      </c>
      <c r="L450" s="15" t="str">
        <f t="shared" si="140"/>
        <v>Doctor Who: iPhone Skin: Keep Calm And Don't Blink</v>
      </c>
      <c r="M450" s="15" t="str">
        <f t="shared" si="141"/>
        <v>-</v>
      </c>
      <c r="N450" s="15">
        <f t="shared" si="142"/>
        <v>0.5</v>
      </c>
      <c r="O450" s="15" t="str">
        <f t="shared" si="143"/>
        <v>A20</v>
      </c>
      <c r="P450" s="15" t="str">
        <f t="shared" si="144"/>
        <v>Morbius Inc.</v>
      </c>
      <c r="Q450" s="15" t="str">
        <f t="shared" si="145"/>
        <v>56 Michael Spice Hwy</v>
      </c>
      <c r="R450" s="3">
        <f>OrdersTable!C450</f>
        <v>44594</v>
      </c>
      <c r="S450" s="15">
        <f>OrdersTable!E450</f>
        <v>1</v>
      </c>
      <c r="T450" s="15">
        <f t="shared" si="146"/>
        <v>9.99</v>
      </c>
      <c r="U450" s="15">
        <f t="shared" si="147"/>
        <v>13.88</v>
      </c>
      <c r="V450" s="15">
        <f t="shared" si="148"/>
        <v>16.18</v>
      </c>
      <c r="W450" s="15">
        <f>IF(MarkupType="Store Markup",ROUND(V450+V450*StoreMarkup,2),IF(MarkupType="Supplier Markup",V450+V450*SupplierMarkup,"Error at finding value"))</f>
        <v>25.48</v>
      </c>
      <c r="X450" s="32" t="str">
        <f t="shared" si="150"/>
        <v>0.00</v>
      </c>
      <c r="Y450" s="15">
        <f t="shared" si="151"/>
        <v>16.18</v>
      </c>
      <c r="Z450" s="15">
        <f t="shared" si="152"/>
        <v>25.48</v>
      </c>
      <c r="AA450" s="15">
        <f>IF(FreightType="Lethbridge-Stewart Freight ",ROUND(2.99+IF(N450&gt;0.75,(N450-0.75)*2.25,0)*S450,2),IF(MarkupType="Supplier Markup",V450+V450*SupplierMarkup,"Error at finding value"))</f>
        <v>2.99</v>
      </c>
      <c r="AB450" s="15">
        <f t="shared" si="153"/>
        <v>0</v>
      </c>
    </row>
    <row r="451" spans="1:28" x14ac:dyDescent="0.25">
      <c r="A451" s="16">
        <f>OrdersTable!A451</f>
        <v>983</v>
      </c>
      <c r="B451" s="15" t="str">
        <f t="shared" si="133"/>
        <v>Mrs</v>
      </c>
      <c r="C451" s="15" t="str">
        <f t="shared" si="154"/>
        <v>Bennett</v>
      </c>
      <c r="D451" s="15" t="str">
        <f t="shared" si="134"/>
        <v>Mikayla Elizabeth</v>
      </c>
      <c r="E451" s="15" t="str">
        <f t="shared" si="135"/>
        <v>35 Khanal Crescent</v>
      </c>
      <c r="F451" s="15" t="str">
        <f t="shared" si="136"/>
        <v>Bamboo</v>
      </c>
      <c r="G451" s="15" t="str">
        <f t="shared" si="137"/>
        <v>QLD</v>
      </c>
      <c r="H451" s="15">
        <f t="shared" si="138"/>
        <v>4873</v>
      </c>
      <c r="I451" s="15">
        <f t="shared" si="149"/>
        <v>1741</v>
      </c>
      <c r="J451" s="15">
        <f>OrdersTable!B451</f>
        <v>676</v>
      </c>
      <c r="K451" s="15" t="str">
        <f t="shared" si="139"/>
        <v>Mugs</v>
      </c>
      <c r="L451" s="15" t="str">
        <f t="shared" si="140"/>
        <v>Doctor Who: Mug: The Eleventh Doctor</v>
      </c>
      <c r="M451" s="15" t="str">
        <f t="shared" si="141"/>
        <v>-</v>
      </c>
      <c r="N451" s="15">
        <f t="shared" si="142"/>
        <v>0.45</v>
      </c>
      <c r="O451" s="15" t="str">
        <f t="shared" si="143"/>
        <v>A20</v>
      </c>
      <c r="P451" s="15" t="str">
        <f t="shared" si="144"/>
        <v>Morbius Inc.</v>
      </c>
      <c r="Q451" s="15" t="str">
        <f t="shared" si="145"/>
        <v>56 Michael Spice Hwy</v>
      </c>
      <c r="R451" s="3">
        <f>OrdersTable!C451</f>
        <v>44594</v>
      </c>
      <c r="S451" s="15">
        <f>OrdersTable!E451</f>
        <v>5</v>
      </c>
      <c r="T451" s="15">
        <f t="shared" si="146"/>
        <v>8.99</v>
      </c>
      <c r="U451" s="15">
        <f t="shared" si="147"/>
        <v>12.55</v>
      </c>
      <c r="V451" s="15">
        <f t="shared" si="148"/>
        <v>14.56</v>
      </c>
      <c r="W451" s="15">
        <f>IF(MarkupType="Store Markup",ROUND(V451+V451*StoreMarkup,2),IF(MarkupType="Supplier Markup",V451+V451*SupplierMarkup,"Error at finding value"))</f>
        <v>22.93</v>
      </c>
      <c r="X451" s="32" t="str">
        <f t="shared" si="150"/>
        <v>0.00</v>
      </c>
      <c r="Y451" s="15">
        <f t="shared" si="151"/>
        <v>72.8</v>
      </c>
      <c r="Z451" s="15">
        <f t="shared" si="152"/>
        <v>114.65</v>
      </c>
      <c r="AA451" s="15">
        <f>IF(FreightType="Lethbridge-Stewart Freight ",ROUND(2.99+IF(N451&gt;0.75,(N451-0.75)*2.25,0)*S451,2),IF(MarkupType="Supplier Markup",V451+V451*SupplierMarkup,"Error at finding value"))</f>
        <v>2.99</v>
      </c>
      <c r="AB451" s="15">
        <f t="shared" si="153"/>
        <v>0</v>
      </c>
    </row>
    <row r="452" spans="1:28" x14ac:dyDescent="0.25">
      <c r="A452" s="16">
        <f>OrdersTable!A452</f>
        <v>983</v>
      </c>
      <c r="B452" s="15" t="str">
        <f t="shared" ref="B452:B515" si="155">VLOOKUP($A452,Cust,2,0)</f>
        <v>Mrs</v>
      </c>
      <c r="C452" s="15" t="str">
        <f t="shared" si="154"/>
        <v>Bennett</v>
      </c>
      <c r="D452" s="15" t="str">
        <f t="shared" ref="D452:D515" si="156">VLOOKUP($A452,Cust,4,0)</f>
        <v>Mikayla Elizabeth</v>
      </c>
      <c r="E452" s="15" t="str">
        <f t="shared" ref="E452:E515" si="157">VLOOKUP($A452,Cust,6,0)</f>
        <v>35 Khanal Crescent</v>
      </c>
      <c r="F452" s="15" t="str">
        <f t="shared" ref="F452:F515" si="158">VLOOKUP($A452,Cust,7,0)</f>
        <v>Bamboo</v>
      </c>
      <c r="G452" s="15" t="str">
        <f t="shared" ref="G452:G515" si="159">VLOOKUP($A452,Cust,8,0)</f>
        <v>QLD</v>
      </c>
      <c r="H452" s="15">
        <f t="shared" ref="H452:H515" si="160">VLOOKUP($A452,Cust,9,0)</f>
        <v>4873</v>
      </c>
      <c r="I452" s="15">
        <f t="shared" si="149"/>
        <v>1741</v>
      </c>
      <c r="J452" s="15">
        <f>OrdersTable!B452</f>
        <v>752</v>
      </c>
      <c r="K452" s="15" t="str">
        <f t="shared" ref="K452:K515" si="161">VLOOKUP($J452,Itms,2,0)</f>
        <v>Statues and Busts</v>
      </c>
      <c r="L452" s="15" t="str">
        <f t="shared" ref="L452:L515" si="162">VLOOKUP($J452,Itms,3,0)</f>
        <v>Doctor Who: Helmet: Cyberman Leader</v>
      </c>
      <c r="M452" s="15" t="str">
        <f t="shared" ref="M452:M515" si="163">VLOOKUP($J452,Itms,4,0)</f>
        <v>-</v>
      </c>
      <c r="N452" s="15">
        <f t="shared" ref="N452:N515" si="164">VLOOKUP($J452,Itms,5,0)</f>
        <v>2</v>
      </c>
      <c r="O452" s="15" t="str">
        <f t="shared" ref="O452:O515" si="165">VLOOKUP($J452,Itms,6,0)</f>
        <v>A30</v>
      </c>
      <c r="P452" s="15" t="str">
        <f t="shared" ref="P452:P515" si="166">VLOOKUP($O452,Supp,2,0)</f>
        <v>Chesterton Enterprises</v>
      </c>
      <c r="Q452" s="15" t="str">
        <f t="shared" ref="Q452:Q515" si="167">VLOOKUP($O452,Supp,3,0)</f>
        <v>41 William Russell Road</v>
      </c>
      <c r="R452" s="3">
        <f>OrdersTable!C452</f>
        <v>44594</v>
      </c>
      <c r="S452" s="15">
        <f>OrdersTable!E452</f>
        <v>7</v>
      </c>
      <c r="T452" s="15">
        <f t="shared" ref="T452:T515" si="168">VLOOKUP($J452,Itms,9,0)</f>
        <v>39.99</v>
      </c>
      <c r="U452" s="15">
        <f t="shared" ref="U452:U515" si="169">VLOOKUP($J452,Itms,10,0)</f>
        <v>54.85</v>
      </c>
      <c r="V452" s="15">
        <f t="shared" ref="V452:V515" si="170">IF(ExchRateType="IR",ROUND(T452*ExchRateIR,2),IF(ExchRateType="CA",ROUND(U452*ExchRateCA,2),"Error at finding value"))</f>
        <v>64.78</v>
      </c>
      <c r="W452" s="15">
        <f>IF(MarkupType="Store Markup",ROUND(V452+V452*StoreMarkup,2),IF(MarkupType="Supplier Markup",V452+V452*SupplierMarkup,"Error at finding value"))</f>
        <v>102.03</v>
      </c>
      <c r="X452" s="32">
        <f t="shared" si="150"/>
        <v>7.27</v>
      </c>
      <c r="Y452" s="15">
        <f t="shared" si="151"/>
        <v>453.46</v>
      </c>
      <c r="Z452" s="15">
        <f t="shared" si="152"/>
        <v>663.32</v>
      </c>
      <c r="AA452" s="15">
        <f>IF(FreightType="Lethbridge-Stewart Freight ",ROUND(2.99+IF(N452&gt;0.75,(N452-0.75)*2.25,0)*S452,2),IF(MarkupType="Supplier Markup",V452+V452*SupplierMarkup,"Error at finding value"))</f>
        <v>22.68</v>
      </c>
      <c r="AB452" s="15">
        <f t="shared" si="153"/>
        <v>50.89</v>
      </c>
    </row>
    <row r="453" spans="1:28" x14ac:dyDescent="0.25">
      <c r="A453" s="16">
        <f>OrdersTable!A453</f>
        <v>22</v>
      </c>
      <c r="B453" s="15" t="str">
        <f t="shared" si="155"/>
        <v>Mr</v>
      </c>
      <c r="C453" s="15" t="str">
        <f t="shared" si="154"/>
        <v>Tyrrell</v>
      </c>
      <c r="D453" s="15" t="str">
        <f t="shared" si="156"/>
        <v>Timothy James</v>
      </c>
      <c r="E453" s="15" t="str">
        <f t="shared" si="157"/>
        <v>48 Lambourne Crescent</v>
      </c>
      <c r="F453" s="15" t="str">
        <f t="shared" si="158"/>
        <v>Belford</v>
      </c>
      <c r="G453" s="15" t="str">
        <f t="shared" si="159"/>
        <v>NSW</v>
      </c>
      <c r="H453" s="15">
        <f t="shared" si="160"/>
        <v>2335</v>
      </c>
      <c r="I453" s="15">
        <f t="shared" ref="I453:I516" si="171">VLOOKUP($A453,Cust,10,0)</f>
        <v>716</v>
      </c>
      <c r="J453" s="15">
        <f>OrdersTable!B453</f>
        <v>702</v>
      </c>
      <c r="K453" s="15" t="str">
        <f t="shared" si="161"/>
        <v>Posters, Prints and Standees</v>
      </c>
      <c r="L453" s="15" t="str">
        <f t="shared" si="162"/>
        <v>Doctor Who: Poster: Daleks</v>
      </c>
      <c r="M453" s="15" t="str">
        <f t="shared" si="163"/>
        <v>-</v>
      </c>
      <c r="N453" s="15">
        <f t="shared" si="164"/>
        <v>0.2</v>
      </c>
      <c r="O453" s="15" t="str">
        <f t="shared" si="165"/>
        <v>A50</v>
      </c>
      <c r="P453" s="15" t="str">
        <f t="shared" si="166"/>
        <v>Rassilon Ltd.</v>
      </c>
      <c r="Q453" s="15" t="str">
        <f t="shared" si="167"/>
        <v>82 Richard Mathews Road</v>
      </c>
      <c r="R453" s="3">
        <f>OrdersTable!C453</f>
        <v>44595</v>
      </c>
      <c r="S453" s="15">
        <f>OrdersTable!E453</f>
        <v>4</v>
      </c>
      <c r="T453" s="15">
        <f t="shared" si="168"/>
        <v>3.99</v>
      </c>
      <c r="U453" s="15">
        <f t="shared" si="169"/>
        <v>5.46</v>
      </c>
      <c r="V453" s="15">
        <f t="shared" si="170"/>
        <v>6.46</v>
      </c>
      <c r="W453" s="15">
        <f>IF(MarkupType="Store Markup",ROUND(V453+V453*StoreMarkup,2),IF(MarkupType="Supplier Markup",V453+V453*SupplierMarkup,"Error at finding value"))</f>
        <v>10.17</v>
      </c>
      <c r="X453" s="32" t="str">
        <f t="shared" ref="X453:X516" si="172">IF(AND(W453&gt;100,S453&gt;=3),ROUND(0.07125*W453,2),"0.00")</f>
        <v>0.00</v>
      </c>
      <c r="Y453" s="15">
        <f t="shared" ref="Y453:Y516" si="173">ROUND(V453*S453,2)</f>
        <v>25.84</v>
      </c>
      <c r="Z453" s="15">
        <f t="shared" ref="Z453:Z516" si="174">ROUND((W453-X453)*S453,2)</f>
        <v>40.68</v>
      </c>
      <c r="AA453" s="15">
        <f>IF(FreightType="Lethbridge-Stewart Freight ",ROUND(2.99+IF(N453&gt;0.75,(N453-0.75)*2.25,0)*S453,2),IF(MarkupType="Supplier Markup",V453+V453*SupplierMarkup,"Error at finding value"))</f>
        <v>2.99</v>
      </c>
      <c r="AB453" s="15">
        <f t="shared" ref="AB453:AB516" si="175">ROUND(X453*S453,2)</f>
        <v>0</v>
      </c>
    </row>
    <row r="454" spans="1:28" x14ac:dyDescent="0.25">
      <c r="A454" s="16">
        <f>OrdersTable!A454</f>
        <v>112</v>
      </c>
      <c r="B454" s="15" t="str">
        <f t="shared" si="155"/>
        <v>Mr</v>
      </c>
      <c r="C454" s="15" t="str">
        <f t="shared" si="154"/>
        <v>Dahal</v>
      </c>
      <c r="D454" s="15" t="str">
        <f t="shared" si="156"/>
        <v>Subash</v>
      </c>
      <c r="E454" s="15" t="str">
        <f t="shared" si="157"/>
        <v>121-127 Railway Pde, Granville, NSW 2142</v>
      </c>
      <c r="F454" s="15" t="str">
        <f t="shared" si="158"/>
        <v>Granville</v>
      </c>
      <c r="G454" s="15" t="str">
        <f t="shared" si="159"/>
        <v>NSW</v>
      </c>
      <c r="H454" s="15">
        <f t="shared" si="160"/>
        <v>2142</v>
      </c>
      <c r="I454" s="15">
        <f t="shared" si="171"/>
        <v>907</v>
      </c>
      <c r="J454" s="15">
        <f>OrdersTable!B454</f>
        <v>239</v>
      </c>
      <c r="K454" s="15" t="str">
        <f t="shared" si="161"/>
        <v>Clothing and Apparel</v>
      </c>
      <c r="L454" s="15" t="str">
        <f t="shared" si="162"/>
        <v>Doctor Who: Men's Winter Pyjamas</v>
      </c>
      <c r="M454" s="15" t="str">
        <f t="shared" si="163"/>
        <v>L</v>
      </c>
      <c r="N454" s="15">
        <f t="shared" si="164"/>
        <v>1.5</v>
      </c>
      <c r="O454" s="15" t="str">
        <f t="shared" si="165"/>
        <v>A10</v>
      </c>
      <c r="P454" s="15" t="str">
        <f t="shared" si="166"/>
        <v>Gallifrey International</v>
      </c>
      <c r="Q454" s="15" t="str">
        <f t="shared" si="167"/>
        <v>181 Arcadia Street</v>
      </c>
      <c r="R454" s="3">
        <f>OrdersTable!C454</f>
        <v>44595</v>
      </c>
      <c r="S454" s="15">
        <f>OrdersTable!E454</f>
        <v>3</v>
      </c>
      <c r="T454" s="15">
        <f t="shared" si="168"/>
        <v>29.99</v>
      </c>
      <c r="U454" s="15">
        <f t="shared" si="169"/>
        <v>41.23</v>
      </c>
      <c r="V454" s="15">
        <f t="shared" si="170"/>
        <v>48.58</v>
      </c>
      <c r="W454" s="15">
        <f>IF(MarkupType="Store Markup",ROUND(V454+V454*StoreMarkup,2),IF(MarkupType="Supplier Markup",V454+V454*SupplierMarkup,"Error at finding value"))</f>
        <v>76.510000000000005</v>
      </c>
      <c r="X454" s="32" t="str">
        <f t="shared" si="172"/>
        <v>0.00</v>
      </c>
      <c r="Y454" s="15">
        <f t="shared" si="173"/>
        <v>145.74</v>
      </c>
      <c r="Z454" s="15">
        <f t="shared" si="174"/>
        <v>229.53</v>
      </c>
      <c r="AA454" s="15">
        <f>IF(FreightType="Lethbridge-Stewart Freight ",ROUND(2.99+IF(N454&gt;0.75,(N454-0.75)*2.25,0)*S454,2),IF(MarkupType="Supplier Markup",V454+V454*SupplierMarkup,"Error at finding value"))</f>
        <v>8.0500000000000007</v>
      </c>
      <c r="AB454" s="15">
        <f t="shared" si="175"/>
        <v>0</v>
      </c>
    </row>
    <row r="455" spans="1:28" x14ac:dyDescent="0.25">
      <c r="A455" s="16">
        <f>OrdersTable!A455</f>
        <v>224</v>
      </c>
      <c r="B455" s="15" t="str">
        <f t="shared" si="155"/>
        <v>Miss</v>
      </c>
      <c r="C455" s="15" t="str">
        <f t="shared" si="154"/>
        <v>Baruwal</v>
      </c>
      <c r="D455" s="15" t="str">
        <f t="shared" si="156"/>
        <v>Pratikshya</v>
      </c>
      <c r="E455" s="15" t="str">
        <f t="shared" si="157"/>
        <v>43 Gilloway Street</v>
      </c>
      <c r="F455" s="15" t="str">
        <f t="shared" si="158"/>
        <v>Iluka</v>
      </c>
      <c r="G455" s="15" t="str">
        <f t="shared" si="159"/>
        <v>NSW</v>
      </c>
      <c r="H455" s="15">
        <f t="shared" si="160"/>
        <v>2466</v>
      </c>
      <c r="I455" s="15">
        <f t="shared" si="171"/>
        <v>347</v>
      </c>
      <c r="J455" s="15">
        <f>OrdersTable!B455</f>
        <v>694</v>
      </c>
      <c r="K455" s="15" t="str">
        <f t="shared" si="161"/>
        <v>Posters, Prints and Standees</v>
      </c>
      <c r="L455" s="15" t="str">
        <f t="shared" si="162"/>
        <v>Doctor Who: 16'x12' Framed Print: Hide</v>
      </c>
      <c r="M455" s="15" t="str">
        <f t="shared" si="163"/>
        <v>-</v>
      </c>
      <c r="N455" s="15">
        <f t="shared" si="164"/>
        <v>0.75</v>
      </c>
      <c r="O455" s="15" t="str">
        <f t="shared" si="165"/>
        <v>A40</v>
      </c>
      <c r="P455" s="15" t="str">
        <f t="shared" si="166"/>
        <v>Romana Imports</v>
      </c>
      <c r="Q455" s="15" t="str">
        <f t="shared" si="167"/>
        <v>17 Lalla Ward Road</v>
      </c>
      <c r="R455" s="3">
        <f>OrdersTable!C455</f>
        <v>44595</v>
      </c>
      <c r="S455" s="15">
        <f>OrdersTable!E455</f>
        <v>9</v>
      </c>
      <c r="T455" s="15">
        <f t="shared" si="168"/>
        <v>14.99</v>
      </c>
      <c r="U455" s="15">
        <f t="shared" si="169"/>
        <v>20.49</v>
      </c>
      <c r="V455" s="15">
        <f t="shared" si="170"/>
        <v>24.28</v>
      </c>
      <c r="W455" s="15">
        <f>IF(MarkupType="Store Markup",ROUND(V455+V455*StoreMarkup,2),IF(MarkupType="Supplier Markup",V455+V455*SupplierMarkup,"Error at finding value"))</f>
        <v>38.24</v>
      </c>
      <c r="X455" s="32" t="str">
        <f t="shared" si="172"/>
        <v>0.00</v>
      </c>
      <c r="Y455" s="15">
        <f t="shared" si="173"/>
        <v>218.52</v>
      </c>
      <c r="Z455" s="15">
        <f t="shared" si="174"/>
        <v>344.16</v>
      </c>
      <c r="AA455" s="15">
        <f>IF(FreightType="Lethbridge-Stewart Freight ",ROUND(2.99+IF(N455&gt;0.75,(N455-0.75)*2.25,0)*S455,2),IF(MarkupType="Supplier Markup",V455+V455*SupplierMarkup,"Error at finding value"))</f>
        <v>2.99</v>
      </c>
      <c r="AB455" s="15">
        <f t="shared" si="175"/>
        <v>0</v>
      </c>
    </row>
    <row r="456" spans="1:28" x14ac:dyDescent="0.25">
      <c r="A456" s="16">
        <f>OrdersTable!A456</f>
        <v>282</v>
      </c>
      <c r="B456" s="15" t="str">
        <f t="shared" si="155"/>
        <v>Dr</v>
      </c>
      <c r="C456" s="15" t="str">
        <f t="shared" si="154"/>
        <v>Johnson</v>
      </c>
      <c r="D456" s="15" t="str">
        <f t="shared" si="156"/>
        <v>Samantha Emily Louise</v>
      </c>
      <c r="E456" s="15" t="str">
        <f t="shared" si="157"/>
        <v>2 Wiggan Avenue</v>
      </c>
      <c r="F456" s="15" t="str">
        <f t="shared" si="158"/>
        <v>Boston</v>
      </c>
      <c r="G456" s="15" t="str">
        <f t="shared" si="159"/>
        <v>SA</v>
      </c>
      <c r="H456" s="15">
        <f t="shared" si="160"/>
        <v>5607</v>
      </c>
      <c r="I456" s="15">
        <f t="shared" si="171"/>
        <v>2076</v>
      </c>
      <c r="J456" s="15">
        <f>OrdersTable!B456</f>
        <v>852</v>
      </c>
      <c r="K456" s="15" t="str">
        <f t="shared" si="161"/>
        <v>Statues and Busts</v>
      </c>
      <c r="L456" s="15" t="str">
        <f t="shared" si="162"/>
        <v>Doctor Who: Statue: Revenge Of The Cybermen Cyberleader</v>
      </c>
      <c r="M456" s="15" t="str">
        <f t="shared" si="163"/>
        <v>-</v>
      </c>
      <c r="N456" s="15">
        <f t="shared" si="164"/>
        <v>5.4</v>
      </c>
      <c r="O456" s="15" t="str">
        <f t="shared" si="165"/>
        <v>A50</v>
      </c>
      <c r="P456" s="15" t="str">
        <f t="shared" si="166"/>
        <v>Rassilon Ltd.</v>
      </c>
      <c r="Q456" s="15" t="str">
        <f t="shared" si="167"/>
        <v>82 Richard Mathews Road</v>
      </c>
      <c r="R456" s="3">
        <f>OrdersTable!C456</f>
        <v>44595</v>
      </c>
      <c r="S456" s="15">
        <f>OrdersTable!E456</f>
        <v>8</v>
      </c>
      <c r="T456" s="15">
        <f t="shared" si="168"/>
        <v>108</v>
      </c>
      <c r="U456" s="15">
        <f t="shared" si="169"/>
        <v>147.29</v>
      </c>
      <c r="V456" s="15">
        <f t="shared" si="170"/>
        <v>174.96</v>
      </c>
      <c r="W456" s="15">
        <f>IF(MarkupType="Store Markup",ROUND(V456+V456*StoreMarkup,2),IF(MarkupType="Supplier Markup",V456+V456*SupplierMarkup,"Error at finding value"))</f>
        <v>275.56</v>
      </c>
      <c r="X456" s="32">
        <f t="shared" si="172"/>
        <v>19.63</v>
      </c>
      <c r="Y456" s="15">
        <f t="shared" si="173"/>
        <v>1399.68</v>
      </c>
      <c r="Z456" s="15">
        <f t="shared" si="174"/>
        <v>2047.44</v>
      </c>
      <c r="AA456" s="15">
        <f>IF(FreightType="Lethbridge-Stewart Freight ",ROUND(2.99+IF(N456&gt;0.75,(N456-0.75)*2.25,0)*S456,2),IF(MarkupType="Supplier Markup",V456+V456*SupplierMarkup,"Error at finding value"))</f>
        <v>86.69</v>
      </c>
      <c r="AB456" s="15">
        <f t="shared" si="175"/>
        <v>157.04</v>
      </c>
    </row>
    <row r="457" spans="1:28" x14ac:dyDescent="0.25">
      <c r="A457" s="16">
        <f>OrdersTable!A457</f>
        <v>364</v>
      </c>
      <c r="B457" s="15" t="str">
        <f t="shared" si="155"/>
        <v>Dr</v>
      </c>
      <c r="C457" s="15" t="str">
        <f t="shared" si="154"/>
        <v>Reibelt</v>
      </c>
      <c r="D457" s="15" t="str">
        <f t="shared" si="156"/>
        <v>Corey James</v>
      </c>
      <c r="E457" s="15" t="str">
        <f t="shared" si="157"/>
        <v>23 Burns Drive</v>
      </c>
      <c r="F457" s="15" t="str">
        <f t="shared" si="158"/>
        <v>Caliph</v>
      </c>
      <c r="G457" s="15" t="str">
        <f t="shared" si="159"/>
        <v>SA</v>
      </c>
      <c r="H457" s="15">
        <f t="shared" si="160"/>
        <v>5310</v>
      </c>
      <c r="I457" s="15">
        <f t="shared" si="171"/>
        <v>1720</v>
      </c>
      <c r="J457" s="15">
        <f>OrdersTable!B457</f>
        <v>671</v>
      </c>
      <c r="K457" s="15" t="str">
        <f t="shared" si="161"/>
        <v>Mugs</v>
      </c>
      <c r="L457" s="15" t="str">
        <f t="shared" si="162"/>
        <v>Doctor Who: Mug: TARDIS Inside</v>
      </c>
      <c r="M457" s="15" t="str">
        <f t="shared" si="163"/>
        <v>-</v>
      </c>
      <c r="N457" s="15">
        <f t="shared" si="164"/>
        <v>0.6</v>
      </c>
      <c r="O457" s="15" t="str">
        <f t="shared" si="165"/>
        <v>A30</v>
      </c>
      <c r="P457" s="15" t="str">
        <f t="shared" si="166"/>
        <v>Chesterton Enterprises</v>
      </c>
      <c r="Q457" s="15" t="str">
        <f t="shared" si="167"/>
        <v>41 William Russell Road</v>
      </c>
      <c r="R457" s="3">
        <f>OrdersTable!C457</f>
        <v>44595</v>
      </c>
      <c r="S457" s="15">
        <f>OrdersTable!E457</f>
        <v>9</v>
      </c>
      <c r="T457" s="15">
        <f t="shared" si="168"/>
        <v>11.99</v>
      </c>
      <c r="U457" s="15">
        <f t="shared" si="169"/>
        <v>16.690000000000001</v>
      </c>
      <c r="V457" s="15">
        <f t="shared" si="170"/>
        <v>19.420000000000002</v>
      </c>
      <c r="W457" s="15">
        <f>IF(MarkupType="Store Markup",ROUND(V457+V457*StoreMarkup,2),IF(MarkupType="Supplier Markup",V457+V457*SupplierMarkup,"Error at finding value"))</f>
        <v>30.59</v>
      </c>
      <c r="X457" s="32" t="str">
        <f t="shared" si="172"/>
        <v>0.00</v>
      </c>
      <c r="Y457" s="15">
        <f t="shared" si="173"/>
        <v>174.78</v>
      </c>
      <c r="Z457" s="15">
        <f t="shared" si="174"/>
        <v>275.31</v>
      </c>
      <c r="AA457" s="15">
        <f>IF(FreightType="Lethbridge-Stewart Freight ",ROUND(2.99+IF(N457&gt;0.75,(N457-0.75)*2.25,0)*S457,2),IF(MarkupType="Supplier Markup",V457+V457*SupplierMarkup,"Error at finding value"))</f>
        <v>2.99</v>
      </c>
      <c r="AB457" s="15">
        <f t="shared" si="175"/>
        <v>0</v>
      </c>
    </row>
    <row r="458" spans="1:28" x14ac:dyDescent="0.25">
      <c r="A458" s="16">
        <f>OrdersTable!A458</f>
        <v>364</v>
      </c>
      <c r="B458" s="15" t="str">
        <f t="shared" si="155"/>
        <v>Dr</v>
      </c>
      <c r="C458" s="15" t="str">
        <f t="shared" si="154"/>
        <v>Reibelt</v>
      </c>
      <c r="D458" s="15" t="str">
        <f t="shared" si="156"/>
        <v>Corey James</v>
      </c>
      <c r="E458" s="15" t="str">
        <f t="shared" si="157"/>
        <v>23 Burns Drive</v>
      </c>
      <c r="F458" s="15" t="str">
        <f t="shared" si="158"/>
        <v>Caliph</v>
      </c>
      <c r="G458" s="15" t="str">
        <f t="shared" si="159"/>
        <v>SA</v>
      </c>
      <c r="H458" s="15">
        <f t="shared" si="160"/>
        <v>5310</v>
      </c>
      <c r="I458" s="15">
        <f t="shared" si="171"/>
        <v>1720</v>
      </c>
      <c r="J458" s="15">
        <f>OrdersTable!B458</f>
        <v>703</v>
      </c>
      <c r="K458" s="15" t="str">
        <f t="shared" si="161"/>
        <v>Posters, Prints and Standees</v>
      </c>
      <c r="L458" s="15" t="str">
        <f t="shared" si="162"/>
        <v>Doctor Who: Poster: Doctor With Sonic Screwdriver</v>
      </c>
      <c r="M458" s="15" t="str">
        <f t="shared" si="163"/>
        <v>-</v>
      </c>
      <c r="N458" s="15">
        <f t="shared" si="164"/>
        <v>0.2</v>
      </c>
      <c r="O458" s="15" t="str">
        <f t="shared" si="165"/>
        <v>A50</v>
      </c>
      <c r="P458" s="15" t="str">
        <f t="shared" si="166"/>
        <v>Rassilon Ltd.</v>
      </c>
      <c r="Q458" s="15" t="str">
        <f t="shared" si="167"/>
        <v>82 Richard Mathews Road</v>
      </c>
      <c r="R458" s="3">
        <f>OrdersTable!C458</f>
        <v>44595</v>
      </c>
      <c r="S458" s="15">
        <f>OrdersTable!E458</f>
        <v>8</v>
      </c>
      <c r="T458" s="15">
        <f t="shared" si="168"/>
        <v>3.99</v>
      </c>
      <c r="U458" s="15">
        <f t="shared" si="169"/>
        <v>5.51</v>
      </c>
      <c r="V458" s="15">
        <f t="shared" si="170"/>
        <v>6.46</v>
      </c>
      <c r="W458" s="15">
        <f>IF(MarkupType="Store Markup",ROUND(V458+V458*StoreMarkup,2),IF(MarkupType="Supplier Markup",V458+V458*SupplierMarkup,"Error at finding value"))</f>
        <v>10.17</v>
      </c>
      <c r="X458" s="32" t="str">
        <f t="shared" si="172"/>
        <v>0.00</v>
      </c>
      <c r="Y458" s="15">
        <f t="shared" si="173"/>
        <v>51.68</v>
      </c>
      <c r="Z458" s="15">
        <f t="shared" si="174"/>
        <v>81.36</v>
      </c>
      <c r="AA458" s="15">
        <f>IF(FreightType="Lethbridge-Stewart Freight ",ROUND(2.99+IF(N458&gt;0.75,(N458-0.75)*2.25,0)*S458,2),IF(MarkupType="Supplier Markup",V458+V458*SupplierMarkup,"Error at finding value"))</f>
        <v>2.99</v>
      </c>
      <c r="AB458" s="15">
        <f t="shared" si="175"/>
        <v>0</v>
      </c>
    </row>
    <row r="459" spans="1:28" x14ac:dyDescent="0.25">
      <c r="A459" s="16">
        <f>OrdersTable!A459</f>
        <v>515</v>
      </c>
      <c r="B459" s="15" t="str">
        <f t="shared" si="155"/>
        <v>Mr</v>
      </c>
      <c r="C459" s="15" t="str">
        <f t="shared" ref="C459:C522" si="176">VLOOKUP($A459,Cust,3,0)</f>
        <v>Noffke</v>
      </c>
      <c r="D459" s="15" t="str">
        <f t="shared" si="156"/>
        <v>William Thomas</v>
      </c>
      <c r="E459" s="15" t="str">
        <f t="shared" si="157"/>
        <v>20 Tyler Drive</v>
      </c>
      <c r="F459" s="15" t="str">
        <f t="shared" si="158"/>
        <v>Areegra</v>
      </c>
      <c r="G459" s="15" t="str">
        <f t="shared" si="159"/>
        <v>VIC</v>
      </c>
      <c r="H459" s="15">
        <f t="shared" si="160"/>
        <v>3480</v>
      </c>
      <c r="I459" s="15">
        <f t="shared" si="171"/>
        <v>1559</v>
      </c>
      <c r="J459" s="15">
        <f>OrdersTable!B459</f>
        <v>862</v>
      </c>
      <c r="K459" s="15" t="str">
        <f t="shared" si="161"/>
        <v>Statues and Busts</v>
      </c>
      <c r="L459" s="15" t="str">
        <f t="shared" si="162"/>
        <v>Doctor Who: TITANS: The 10th Doctor</v>
      </c>
      <c r="M459" s="15" t="str">
        <f t="shared" si="163"/>
        <v>-</v>
      </c>
      <c r="N459" s="15">
        <f t="shared" si="164"/>
        <v>0.4</v>
      </c>
      <c r="O459" s="15" t="str">
        <f t="shared" si="165"/>
        <v>A40</v>
      </c>
      <c r="P459" s="15" t="str">
        <f t="shared" si="166"/>
        <v>Romana Imports</v>
      </c>
      <c r="Q459" s="15" t="str">
        <f t="shared" si="167"/>
        <v>17 Lalla Ward Road</v>
      </c>
      <c r="R459" s="3">
        <f>OrdersTable!C459</f>
        <v>44595</v>
      </c>
      <c r="S459" s="15">
        <f>OrdersTable!E459</f>
        <v>6</v>
      </c>
      <c r="T459" s="15">
        <f t="shared" si="168"/>
        <v>7.99</v>
      </c>
      <c r="U459" s="15">
        <f t="shared" si="169"/>
        <v>11.01</v>
      </c>
      <c r="V459" s="15">
        <f t="shared" si="170"/>
        <v>12.94</v>
      </c>
      <c r="W459" s="15">
        <f>IF(MarkupType="Store Markup",ROUND(V459+V459*StoreMarkup,2),IF(MarkupType="Supplier Markup",V459+V459*SupplierMarkup,"Error at finding value"))</f>
        <v>20.38</v>
      </c>
      <c r="X459" s="32" t="str">
        <f t="shared" si="172"/>
        <v>0.00</v>
      </c>
      <c r="Y459" s="15">
        <f t="shared" si="173"/>
        <v>77.64</v>
      </c>
      <c r="Z459" s="15">
        <f t="shared" si="174"/>
        <v>122.28</v>
      </c>
      <c r="AA459" s="15">
        <f>IF(FreightType="Lethbridge-Stewart Freight ",ROUND(2.99+IF(N459&gt;0.75,(N459-0.75)*2.25,0)*S459,2),IF(MarkupType="Supplier Markup",V459+V459*SupplierMarkup,"Error at finding value"))</f>
        <v>2.99</v>
      </c>
      <c r="AB459" s="15">
        <f t="shared" si="175"/>
        <v>0</v>
      </c>
    </row>
    <row r="460" spans="1:28" x14ac:dyDescent="0.25">
      <c r="A460" s="16">
        <f>OrdersTable!A460</f>
        <v>611</v>
      </c>
      <c r="B460" s="15" t="str">
        <f t="shared" si="155"/>
        <v>Mr</v>
      </c>
      <c r="C460" s="15" t="str">
        <f t="shared" si="176"/>
        <v>Wittman</v>
      </c>
      <c r="D460" s="15" t="str">
        <f t="shared" si="156"/>
        <v>Nicholas Jackson</v>
      </c>
      <c r="E460" s="15" t="str">
        <f t="shared" si="157"/>
        <v>48 Sheppard-Kadel Way</v>
      </c>
      <c r="F460" s="15" t="str">
        <f t="shared" si="158"/>
        <v>Nayook</v>
      </c>
      <c r="G460" s="15" t="str">
        <f t="shared" si="159"/>
        <v>VIC</v>
      </c>
      <c r="H460" s="15">
        <f t="shared" si="160"/>
        <v>3832</v>
      </c>
      <c r="I460" s="15">
        <f t="shared" si="171"/>
        <v>1552</v>
      </c>
      <c r="J460" s="15">
        <f>OrdersTable!B460</f>
        <v>479</v>
      </c>
      <c r="K460" s="15" t="str">
        <f t="shared" si="161"/>
        <v>Giftware</v>
      </c>
      <c r="L460" s="15" t="str">
        <f t="shared" si="162"/>
        <v>Doctor Who: Keyring Dalek</v>
      </c>
      <c r="M460" s="15" t="str">
        <f t="shared" si="163"/>
        <v>-</v>
      </c>
      <c r="N460" s="15">
        <f t="shared" si="164"/>
        <v>0.25</v>
      </c>
      <c r="O460" s="15" t="str">
        <f t="shared" si="165"/>
        <v>A10</v>
      </c>
      <c r="P460" s="15" t="str">
        <f t="shared" si="166"/>
        <v>Gallifrey International</v>
      </c>
      <c r="Q460" s="15" t="str">
        <f t="shared" si="167"/>
        <v>181 Arcadia Street</v>
      </c>
      <c r="R460" s="3">
        <f>OrdersTable!C460</f>
        <v>44595</v>
      </c>
      <c r="S460" s="15">
        <f>OrdersTable!E460</f>
        <v>9</v>
      </c>
      <c r="T460" s="15">
        <f t="shared" si="168"/>
        <v>4.99</v>
      </c>
      <c r="U460" s="15">
        <f t="shared" si="169"/>
        <v>6.86</v>
      </c>
      <c r="V460" s="15">
        <f t="shared" si="170"/>
        <v>8.08</v>
      </c>
      <c r="W460" s="15">
        <f>IF(MarkupType="Store Markup",ROUND(V460+V460*StoreMarkup,2),IF(MarkupType="Supplier Markup",V460+V460*SupplierMarkup,"Error at finding value"))</f>
        <v>12.73</v>
      </c>
      <c r="X460" s="32" t="str">
        <f t="shared" si="172"/>
        <v>0.00</v>
      </c>
      <c r="Y460" s="15">
        <f t="shared" si="173"/>
        <v>72.72</v>
      </c>
      <c r="Z460" s="15">
        <f t="shared" si="174"/>
        <v>114.57</v>
      </c>
      <c r="AA460" s="15">
        <f>IF(FreightType="Lethbridge-Stewart Freight ",ROUND(2.99+IF(N460&gt;0.75,(N460-0.75)*2.25,0)*S460,2),IF(MarkupType="Supplier Markup",V460+V460*SupplierMarkup,"Error at finding value"))</f>
        <v>2.99</v>
      </c>
      <c r="AB460" s="15">
        <f t="shared" si="175"/>
        <v>0</v>
      </c>
    </row>
    <row r="461" spans="1:28" x14ac:dyDescent="0.25">
      <c r="A461" s="16">
        <f>OrdersTable!A461</f>
        <v>651</v>
      </c>
      <c r="B461" s="15" t="str">
        <f t="shared" si="155"/>
        <v>Mr</v>
      </c>
      <c r="C461" s="15" t="str">
        <f t="shared" si="176"/>
        <v>Wilkes</v>
      </c>
      <c r="D461" s="15" t="str">
        <f t="shared" si="156"/>
        <v>Harley</v>
      </c>
      <c r="E461" s="15" t="str">
        <f t="shared" si="157"/>
        <v>12 Locke Circuit</v>
      </c>
      <c r="F461" s="15" t="str">
        <f t="shared" si="158"/>
        <v>Bray Park</v>
      </c>
      <c r="G461" s="15" t="str">
        <f t="shared" si="159"/>
        <v>QLD</v>
      </c>
      <c r="H461" s="15">
        <f t="shared" si="160"/>
        <v>4500</v>
      </c>
      <c r="I461" s="15">
        <f t="shared" si="171"/>
        <v>139</v>
      </c>
      <c r="J461" s="15">
        <f>OrdersTable!B461</f>
        <v>259</v>
      </c>
      <c r="K461" s="15" t="str">
        <f t="shared" si="161"/>
        <v>Clothing and Apparel</v>
      </c>
      <c r="L461" s="15" t="str">
        <f t="shared" si="162"/>
        <v>Doctor Who: Men's Winter Pyjamas</v>
      </c>
      <c r="M461" s="15" t="str">
        <f t="shared" si="163"/>
        <v>XL</v>
      </c>
      <c r="N461" s="15">
        <f t="shared" si="164"/>
        <v>1.5</v>
      </c>
      <c r="O461" s="15" t="str">
        <f t="shared" si="165"/>
        <v>A50</v>
      </c>
      <c r="P461" s="15" t="str">
        <f t="shared" si="166"/>
        <v>Rassilon Ltd.</v>
      </c>
      <c r="Q461" s="15" t="str">
        <f t="shared" si="167"/>
        <v>82 Richard Mathews Road</v>
      </c>
      <c r="R461" s="3">
        <f>OrdersTable!C461</f>
        <v>44595</v>
      </c>
      <c r="S461" s="15">
        <f>OrdersTable!E461</f>
        <v>3</v>
      </c>
      <c r="T461" s="15">
        <f t="shared" si="168"/>
        <v>29.99</v>
      </c>
      <c r="U461" s="15">
        <f t="shared" si="169"/>
        <v>41.15</v>
      </c>
      <c r="V461" s="15">
        <f t="shared" si="170"/>
        <v>48.58</v>
      </c>
      <c r="W461" s="15">
        <f>IF(MarkupType="Store Markup",ROUND(V461+V461*StoreMarkup,2),IF(MarkupType="Supplier Markup",V461+V461*SupplierMarkup,"Error at finding value"))</f>
        <v>76.510000000000005</v>
      </c>
      <c r="X461" s="32" t="str">
        <f t="shared" si="172"/>
        <v>0.00</v>
      </c>
      <c r="Y461" s="15">
        <f t="shared" si="173"/>
        <v>145.74</v>
      </c>
      <c r="Z461" s="15">
        <f t="shared" si="174"/>
        <v>229.53</v>
      </c>
      <c r="AA461" s="15">
        <f>IF(FreightType="Lethbridge-Stewart Freight ",ROUND(2.99+IF(N461&gt;0.75,(N461-0.75)*2.25,0)*S461,2),IF(MarkupType="Supplier Markup",V461+V461*SupplierMarkup,"Error at finding value"))</f>
        <v>8.0500000000000007</v>
      </c>
      <c r="AB461" s="15">
        <f t="shared" si="175"/>
        <v>0</v>
      </c>
    </row>
    <row r="462" spans="1:28" x14ac:dyDescent="0.25">
      <c r="A462" s="16">
        <f>OrdersTable!A462</f>
        <v>651</v>
      </c>
      <c r="B462" s="15" t="str">
        <f t="shared" si="155"/>
        <v>Mr</v>
      </c>
      <c r="C462" s="15" t="str">
        <f t="shared" si="176"/>
        <v>Wilkes</v>
      </c>
      <c r="D462" s="15" t="str">
        <f t="shared" si="156"/>
        <v>Harley</v>
      </c>
      <c r="E462" s="15" t="str">
        <f t="shared" si="157"/>
        <v>12 Locke Circuit</v>
      </c>
      <c r="F462" s="15" t="str">
        <f t="shared" si="158"/>
        <v>Bray Park</v>
      </c>
      <c r="G462" s="15" t="str">
        <f t="shared" si="159"/>
        <v>QLD</v>
      </c>
      <c r="H462" s="15">
        <f t="shared" si="160"/>
        <v>4500</v>
      </c>
      <c r="I462" s="15">
        <f t="shared" si="171"/>
        <v>139</v>
      </c>
      <c r="J462" s="15">
        <f>OrdersTable!B462</f>
        <v>585</v>
      </c>
      <c r="K462" s="15" t="str">
        <f t="shared" si="161"/>
        <v>iPhone Skins</v>
      </c>
      <c r="L462" s="15" t="str">
        <f t="shared" si="162"/>
        <v>Doctor Who: iPhone Skin: Dalek To Victory</v>
      </c>
      <c r="M462" s="15" t="str">
        <f t="shared" si="163"/>
        <v>-</v>
      </c>
      <c r="N462" s="15">
        <f t="shared" si="164"/>
        <v>0.5</v>
      </c>
      <c r="O462" s="15" t="str">
        <f t="shared" si="165"/>
        <v>A10</v>
      </c>
      <c r="P462" s="15" t="str">
        <f t="shared" si="166"/>
        <v>Gallifrey International</v>
      </c>
      <c r="Q462" s="15" t="str">
        <f t="shared" si="167"/>
        <v>181 Arcadia Street</v>
      </c>
      <c r="R462" s="3">
        <f>OrdersTable!C462</f>
        <v>44595</v>
      </c>
      <c r="S462" s="15">
        <f>OrdersTable!E462</f>
        <v>6</v>
      </c>
      <c r="T462" s="15">
        <f t="shared" si="168"/>
        <v>9.99</v>
      </c>
      <c r="U462" s="15">
        <f t="shared" si="169"/>
        <v>13.7</v>
      </c>
      <c r="V462" s="15">
        <f t="shared" si="170"/>
        <v>16.18</v>
      </c>
      <c r="W462" s="15">
        <f>IF(MarkupType="Store Markup",ROUND(V462+V462*StoreMarkup,2),IF(MarkupType="Supplier Markup",V462+V462*SupplierMarkup,"Error at finding value"))</f>
        <v>25.48</v>
      </c>
      <c r="X462" s="32" t="str">
        <f t="shared" si="172"/>
        <v>0.00</v>
      </c>
      <c r="Y462" s="15">
        <f t="shared" si="173"/>
        <v>97.08</v>
      </c>
      <c r="Z462" s="15">
        <f t="shared" si="174"/>
        <v>152.88</v>
      </c>
      <c r="AA462" s="15">
        <f>IF(FreightType="Lethbridge-Stewart Freight ",ROUND(2.99+IF(N462&gt;0.75,(N462-0.75)*2.25,0)*S462,2),IF(MarkupType="Supplier Markup",V462+V462*SupplierMarkup,"Error at finding value"))</f>
        <v>2.99</v>
      </c>
      <c r="AB462" s="15">
        <f t="shared" si="175"/>
        <v>0</v>
      </c>
    </row>
    <row r="463" spans="1:28" x14ac:dyDescent="0.25">
      <c r="A463" s="16">
        <f>OrdersTable!A463</f>
        <v>651</v>
      </c>
      <c r="B463" s="15" t="str">
        <f t="shared" si="155"/>
        <v>Mr</v>
      </c>
      <c r="C463" s="15" t="str">
        <f t="shared" si="176"/>
        <v>Wilkes</v>
      </c>
      <c r="D463" s="15" t="str">
        <f t="shared" si="156"/>
        <v>Harley</v>
      </c>
      <c r="E463" s="15" t="str">
        <f t="shared" si="157"/>
        <v>12 Locke Circuit</v>
      </c>
      <c r="F463" s="15" t="str">
        <f t="shared" si="158"/>
        <v>Bray Park</v>
      </c>
      <c r="G463" s="15" t="str">
        <f t="shared" si="159"/>
        <v>QLD</v>
      </c>
      <c r="H463" s="15">
        <f t="shared" si="160"/>
        <v>4500</v>
      </c>
      <c r="I463" s="15">
        <f t="shared" si="171"/>
        <v>139</v>
      </c>
      <c r="J463" s="15">
        <f>OrdersTable!B463</f>
        <v>782</v>
      </c>
      <c r="K463" s="15" t="str">
        <f t="shared" si="161"/>
        <v>Statues and Busts</v>
      </c>
      <c r="L463" s="15" t="str">
        <f t="shared" si="162"/>
        <v>Doctor Who: Masterpiece Collection Maxi Bust: 10th Doctor</v>
      </c>
      <c r="M463" s="15" t="str">
        <f t="shared" si="163"/>
        <v>-</v>
      </c>
      <c r="N463" s="15">
        <f t="shared" si="164"/>
        <v>2.5</v>
      </c>
      <c r="O463" s="15" t="str">
        <f t="shared" si="165"/>
        <v>A30</v>
      </c>
      <c r="P463" s="15" t="str">
        <f t="shared" si="166"/>
        <v>Chesterton Enterprises</v>
      </c>
      <c r="Q463" s="15" t="str">
        <f t="shared" si="167"/>
        <v>41 William Russell Road</v>
      </c>
      <c r="R463" s="3">
        <f>OrdersTable!C463</f>
        <v>44595</v>
      </c>
      <c r="S463" s="15">
        <f>OrdersTable!E463</f>
        <v>1</v>
      </c>
      <c r="T463" s="15">
        <f t="shared" si="168"/>
        <v>49.99</v>
      </c>
      <c r="U463" s="15">
        <f t="shared" si="169"/>
        <v>68.5</v>
      </c>
      <c r="V463" s="15">
        <f t="shared" si="170"/>
        <v>80.98</v>
      </c>
      <c r="W463" s="15">
        <f>IF(MarkupType="Store Markup",ROUND(V463+V463*StoreMarkup,2),IF(MarkupType="Supplier Markup",V463+V463*SupplierMarkup,"Error at finding value"))</f>
        <v>127.54</v>
      </c>
      <c r="X463" s="32" t="str">
        <f t="shared" si="172"/>
        <v>0.00</v>
      </c>
      <c r="Y463" s="15">
        <f t="shared" si="173"/>
        <v>80.98</v>
      </c>
      <c r="Z463" s="15">
        <f t="shared" si="174"/>
        <v>127.54</v>
      </c>
      <c r="AA463" s="15">
        <f>IF(FreightType="Lethbridge-Stewart Freight ",ROUND(2.99+IF(N463&gt;0.75,(N463-0.75)*2.25,0)*S463,2),IF(MarkupType="Supplier Markup",V463+V463*SupplierMarkup,"Error at finding value"))</f>
        <v>6.93</v>
      </c>
      <c r="AB463" s="15">
        <f t="shared" si="175"/>
        <v>0</v>
      </c>
    </row>
    <row r="464" spans="1:28" x14ac:dyDescent="0.25">
      <c r="A464" s="16">
        <f>OrdersTable!A464</f>
        <v>659</v>
      </c>
      <c r="B464" s="15" t="str">
        <f t="shared" si="155"/>
        <v>Mr</v>
      </c>
      <c r="C464" s="15" t="str">
        <f t="shared" si="176"/>
        <v>Douglas</v>
      </c>
      <c r="D464" s="15" t="str">
        <f t="shared" si="156"/>
        <v>Jason Richard</v>
      </c>
      <c r="E464" s="15" t="str">
        <f t="shared" si="157"/>
        <v>14 Young Crescent</v>
      </c>
      <c r="F464" s="15" t="str">
        <f t="shared" si="158"/>
        <v>Caliph</v>
      </c>
      <c r="G464" s="15" t="str">
        <f t="shared" si="159"/>
        <v>SA</v>
      </c>
      <c r="H464" s="15">
        <f t="shared" si="160"/>
        <v>5310</v>
      </c>
      <c r="I464" s="15">
        <f t="shared" si="171"/>
        <v>1720</v>
      </c>
      <c r="J464" s="15">
        <f>OrdersTable!B464</f>
        <v>710</v>
      </c>
      <c r="K464" s="15" t="str">
        <f t="shared" si="161"/>
        <v>Posters, Prints and Standees</v>
      </c>
      <c r="L464" s="15" t="str">
        <f t="shared" si="162"/>
        <v>Doctor Who: Poster: Regenerate</v>
      </c>
      <c r="M464" s="15" t="str">
        <f t="shared" si="163"/>
        <v>-</v>
      </c>
      <c r="N464" s="15">
        <f t="shared" si="164"/>
        <v>0.2</v>
      </c>
      <c r="O464" s="15" t="str">
        <f t="shared" si="165"/>
        <v>A40</v>
      </c>
      <c r="P464" s="15" t="str">
        <f t="shared" si="166"/>
        <v>Romana Imports</v>
      </c>
      <c r="Q464" s="15" t="str">
        <f t="shared" si="167"/>
        <v>17 Lalla Ward Road</v>
      </c>
      <c r="R464" s="3">
        <f>OrdersTable!C464</f>
        <v>44595</v>
      </c>
      <c r="S464" s="15">
        <f>OrdersTable!E464</f>
        <v>7</v>
      </c>
      <c r="T464" s="15">
        <f t="shared" si="168"/>
        <v>3.99</v>
      </c>
      <c r="U464" s="15">
        <f t="shared" si="169"/>
        <v>5.5</v>
      </c>
      <c r="V464" s="15">
        <f t="shared" si="170"/>
        <v>6.46</v>
      </c>
      <c r="W464" s="15">
        <f>IF(MarkupType="Store Markup",ROUND(V464+V464*StoreMarkup,2),IF(MarkupType="Supplier Markup",V464+V464*SupplierMarkup,"Error at finding value"))</f>
        <v>10.17</v>
      </c>
      <c r="X464" s="32" t="str">
        <f t="shared" si="172"/>
        <v>0.00</v>
      </c>
      <c r="Y464" s="15">
        <f t="shared" si="173"/>
        <v>45.22</v>
      </c>
      <c r="Z464" s="15">
        <f t="shared" si="174"/>
        <v>71.19</v>
      </c>
      <c r="AA464" s="15">
        <f>IF(FreightType="Lethbridge-Stewart Freight ",ROUND(2.99+IF(N464&gt;0.75,(N464-0.75)*2.25,0)*S464,2),IF(MarkupType="Supplier Markup",V464+V464*SupplierMarkup,"Error at finding value"))</f>
        <v>2.99</v>
      </c>
      <c r="AB464" s="15">
        <f t="shared" si="175"/>
        <v>0</v>
      </c>
    </row>
    <row r="465" spans="1:28" x14ac:dyDescent="0.25">
      <c r="A465" s="16">
        <f>OrdersTable!A465</f>
        <v>827</v>
      </c>
      <c r="B465" s="15" t="str">
        <f t="shared" si="155"/>
        <v>Ms</v>
      </c>
      <c r="C465" s="15" t="str">
        <f t="shared" si="176"/>
        <v>Ottaway</v>
      </c>
      <c r="D465" s="15" t="str">
        <f t="shared" si="156"/>
        <v>Katherine</v>
      </c>
      <c r="E465" s="15" t="str">
        <f t="shared" si="157"/>
        <v>7 Morrison Street</v>
      </c>
      <c r="F465" s="15" t="str">
        <f t="shared" si="158"/>
        <v>Glenfern</v>
      </c>
      <c r="G465" s="15" t="str">
        <f t="shared" si="159"/>
        <v>QLD</v>
      </c>
      <c r="H465" s="15">
        <f t="shared" si="160"/>
        <v>4515</v>
      </c>
      <c r="I465" s="15">
        <f t="shared" si="171"/>
        <v>128</v>
      </c>
      <c r="J465" s="15">
        <f>OrdersTable!B465</f>
        <v>805</v>
      </c>
      <c r="K465" s="15" t="str">
        <f t="shared" si="161"/>
        <v>Statues and Busts</v>
      </c>
      <c r="L465" s="15" t="str">
        <f t="shared" si="162"/>
        <v>Doctor Who: Masterpiece Collection Maxi Bust: 5th Doctor</v>
      </c>
      <c r="M465" s="15" t="str">
        <f t="shared" si="163"/>
        <v>-</v>
      </c>
      <c r="N465" s="15">
        <f t="shared" si="164"/>
        <v>2.5</v>
      </c>
      <c r="O465" s="15" t="str">
        <f t="shared" si="165"/>
        <v>A20</v>
      </c>
      <c r="P465" s="15" t="str">
        <f t="shared" si="166"/>
        <v>Morbius Inc.</v>
      </c>
      <c r="Q465" s="15" t="str">
        <f t="shared" si="167"/>
        <v>56 Michael Spice Hwy</v>
      </c>
      <c r="R465" s="3">
        <f>OrdersTable!C465</f>
        <v>44595</v>
      </c>
      <c r="S465" s="15">
        <f>OrdersTable!E465</f>
        <v>3</v>
      </c>
      <c r="T465" s="15">
        <f t="shared" si="168"/>
        <v>49.99</v>
      </c>
      <c r="U465" s="15">
        <f t="shared" si="169"/>
        <v>68.42</v>
      </c>
      <c r="V465" s="15">
        <f t="shared" si="170"/>
        <v>80.98</v>
      </c>
      <c r="W465" s="15">
        <f>IF(MarkupType="Store Markup",ROUND(V465+V465*StoreMarkup,2),IF(MarkupType="Supplier Markup",V465+V465*SupplierMarkup,"Error at finding value"))</f>
        <v>127.54</v>
      </c>
      <c r="X465" s="32">
        <f t="shared" si="172"/>
        <v>9.09</v>
      </c>
      <c r="Y465" s="15">
        <f t="shared" si="173"/>
        <v>242.94</v>
      </c>
      <c r="Z465" s="15">
        <f t="shared" si="174"/>
        <v>355.35</v>
      </c>
      <c r="AA465" s="15">
        <f>IF(FreightType="Lethbridge-Stewart Freight ",ROUND(2.99+IF(N465&gt;0.75,(N465-0.75)*2.25,0)*S465,2),IF(MarkupType="Supplier Markup",V465+V465*SupplierMarkup,"Error at finding value"))</f>
        <v>14.8</v>
      </c>
      <c r="AB465" s="15">
        <f t="shared" si="175"/>
        <v>27.27</v>
      </c>
    </row>
    <row r="466" spans="1:28" x14ac:dyDescent="0.25">
      <c r="A466" s="16">
        <f>OrdersTable!A466</f>
        <v>961</v>
      </c>
      <c r="B466" s="15" t="str">
        <f t="shared" si="155"/>
        <v>Ms</v>
      </c>
      <c r="C466" s="15" t="str">
        <f t="shared" si="176"/>
        <v>Schuh</v>
      </c>
      <c r="D466" s="15" t="str">
        <f t="shared" si="156"/>
        <v>Rebecca Anne</v>
      </c>
      <c r="E466" s="15" t="str">
        <f t="shared" si="157"/>
        <v>48 Wilson Court</v>
      </c>
      <c r="F466" s="15" t="str">
        <f t="shared" si="158"/>
        <v>Breakwater</v>
      </c>
      <c r="G466" s="15" t="str">
        <f t="shared" si="159"/>
        <v>VIC</v>
      </c>
      <c r="H466" s="15">
        <f t="shared" si="160"/>
        <v>3219</v>
      </c>
      <c r="I466" s="15">
        <f t="shared" si="171"/>
        <v>1596</v>
      </c>
      <c r="J466" s="15">
        <f>OrdersTable!B466</f>
        <v>699</v>
      </c>
      <c r="K466" s="15" t="str">
        <f t="shared" si="161"/>
        <v>Posters, Prints and Standees</v>
      </c>
      <c r="L466" s="15" t="str">
        <f t="shared" si="162"/>
        <v>Doctor Who: Half Sized Standee: The Master</v>
      </c>
      <c r="M466" s="15" t="str">
        <f t="shared" si="163"/>
        <v>-</v>
      </c>
      <c r="N466" s="15">
        <f t="shared" si="164"/>
        <v>0.5</v>
      </c>
      <c r="O466" s="15" t="str">
        <f t="shared" si="165"/>
        <v>A20</v>
      </c>
      <c r="P466" s="15" t="str">
        <f t="shared" si="166"/>
        <v>Morbius Inc.</v>
      </c>
      <c r="Q466" s="15" t="str">
        <f t="shared" si="167"/>
        <v>56 Michael Spice Hwy</v>
      </c>
      <c r="R466" s="3">
        <f>OrdersTable!C466</f>
        <v>44595</v>
      </c>
      <c r="S466" s="15">
        <f>OrdersTable!E466</f>
        <v>7</v>
      </c>
      <c r="T466" s="15">
        <f t="shared" si="168"/>
        <v>9.99</v>
      </c>
      <c r="U466" s="15">
        <f t="shared" si="169"/>
        <v>13.79</v>
      </c>
      <c r="V466" s="15">
        <f t="shared" si="170"/>
        <v>16.18</v>
      </c>
      <c r="W466" s="15">
        <f>IF(MarkupType="Store Markup",ROUND(V466+V466*StoreMarkup,2),IF(MarkupType="Supplier Markup",V466+V466*SupplierMarkup,"Error at finding value"))</f>
        <v>25.48</v>
      </c>
      <c r="X466" s="32" t="str">
        <f t="shared" si="172"/>
        <v>0.00</v>
      </c>
      <c r="Y466" s="15">
        <f t="shared" si="173"/>
        <v>113.26</v>
      </c>
      <c r="Z466" s="15">
        <f t="shared" si="174"/>
        <v>178.36</v>
      </c>
      <c r="AA466" s="15">
        <f>IF(FreightType="Lethbridge-Stewart Freight ",ROUND(2.99+IF(N466&gt;0.75,(N466-0.75)*2.25,0)*S466,2),IF(MarkupType="Supplier Markup",V466+V466*SupplierMarkup,"Error at finding value"))</f>
        <v>2.99</v>
      </c>
      <c r="AB466" s="15">
        <f t="shared" si="175"/>
        <v>0</v>
      </c>
    </row>
    <row r="467" spans="1:28" x14ac:dyDescent="0.25">
      <c r="A467" s="16">
        <f>OrdersTable!A467</f>
        <v>46</v>
      </c>
      <c r="B467" s="15" t="str">
        <f t="shared" si="155"/>
        <v>Mrs</v>
      </c>
      <c r="C467" s="15" t="str">
        <f t="shared" si="176"/>
        <v>Dovey</v>
      </c>
      <c r="D467" s="15" t="str">
        <f t="shared" si="156"/>
        <v>Aisha Jade</v>
      </c>
      <c r="E467" s="15" t="str">
        <f t="shared" si="157"/>
        <v>43 Wilkes Circuit</v>
      </c>
      <c r="F467" s="15" t="str">
        <f t="shared" si="158"/>
        <v>Alfredtown</v>
      </c>
      <c r="G467" s="15" t="str">
        <f t="shared" si="159"/>
        <v>NSW</v>
      </c>
      <c r="H467" s="15">
        <f t="shared" si="160"/>
        <v>2650</v>
      </c>
      <c r="I467" s="15">
        <f t="shared" si="171"/>
        <v>1124</v>
      </c>
      <c r="J467" s="15">
        <f>OrdersTable!B467</f>
        <v>792</v>
      </c>
      <c r="K467" s="15" t="str">
        <f t="shared" si="161"/>
        <v>Statues and Busts</v>
      </c>
      <c r="L467" s="15" t="str">
        <f t="shared" si="162"/>
        <v>Doctor Who: Masterpiece Collection Maxi Bust: 3rd Doctor</v>
      </c>
      <c r="M467" s="15" t="str">
        <f t="shared" si="163"/>
        <v>-</v>
      </c>
      <c r="N467" s="15">
        <f t="shared" si="164"/>
        <v>2.5</v>
      </c>
      <c r="O467" s="15" t="str">
        <f t="shared" si="165"/>
        <v>A20</v>
      </c>
      <c r="P467" s="15" t="str">
        <f t="shared" si="166"/>
        <v>Morbius Inc.</v>
      </c>
      <c r="Q467" s="15" t="str">
        <f t="shared" si="167"/>
        <v>56 Michael Spice Hwy</v>
      </c>
      <c r="R467" s="3">
        <f>OrdersTable!C467</f>
        <v>44596</v>
      </c>
      <c r="S467" s="15">
        <f>OrdersTable!E467</f>
        <v>7</v>
      </c>
      <c r="T467" s="15">
        <f t="shared" si="168"/>
        <v>49.99</v>
      </c>
      <c r="U467" s="15">
        <f t="shared" si="169"/>
        <v>68.39</v>
      </c>
      <c r="V467" s="15">
        <f t="shared" si="170"/>
        <v>80.98</v>
      </c>
      <c r="W467" s="15">
        <f>IF(MarkupType="Store Markup",ROUND(V467+V467*StoreMarkup,2),IF(MarkupType="Supplier Markup",V467+V467*SupplierMarkup,"Error at finding value"))</f>
        <v>127.54</v>
      </c>
      <c r="X467" s="32">
        <f t="shared" si="172"/>
        <v>9.09</v>
      </c>
      <c r="Y467" s="15">
        <f t="shared" si="173"/>
        <v>566.86</v>
      </c>
      <c r="Z467" s="15">
        <f t="shared" si="174"/>
        <v>829.15</v>
      </c>
      <c r="AA467" s="15">
        <f>IF(FreightType="Lethbridge-Stewart Freight ",ROUND(2.99+IF(N467&gt;0.75,(N467-0.75)*2.25,0)*S467,2),IF(MarkupType="Supplier Markup",V467+V467*SupplierMarkup,"Error at finding value"))</f>
        <v>30.55</v>
      </c>
      <c r="AB467" s="15">
        <f t="shared" si="175"/>
        <v>63.63</v>
      </c>
    </row>
    <row r="468" spans="1:28" x14ac:dyDescent="0.25">
      <c r="A468" s="16">
        <f>OrdersTable!A468</f>
        <v>46</v>
      </c>
      <c r="B468" s="15" t="str">
        <f t="shared" si="155"/>
        <v>Mrs</v>
      </c>
      <c r="C468" s="15" t="str">
        <f t="shared" si="176"/>
        <v>Dovey</v>
      </c>
      <c r="D468" s="15" t="str">
        <f t="shared" si="156"/>
        <v>Aisha Jade</v>
      </c>
      <c r="E468" s="15" t="str">
        <f t="shared" si="157"/>
        <v>43 Wilkes Circuit</v>
      </c>
      <c r="F468" s="15" t="str">
        <f t="shared" si="158"/>
        <v>Alfredtown</v>
      </c>
      <c r="G468" s="15" t="str">
        <f t="shared" si="159"/>
        <v>NSW</v>
      </c>
      <c r="H468" s="15">
        <f t="shared" si="160"/>
        <v>2650</v>
      </c>
      <c r="I468" s="15">
        <f t="shared" si="171"/>
        <v>1124</v>
      </c>
      <c r="J468" s="15">
        <f>OrdersTable!B468</f>
        <v>805</v>
      </c>
      <c r="K468" s="15" t="str">
        <f t="shared" si="161"/>
        <v>Statues and Busts</v>
      </c>
      <c r="L468" s="15" t="str">
        <f t="shared" si="162"/>
        <v>Doctor Who: Masterpiece Collection Maxi Bust: 5th Doctor</v>
      </c>
      <c r="M468" s="15" t="str">
        <f t="shared" si="163"/>
        <v>-</v>
      </c>
      <c r="N468" s="15">
        <f t="shared" si="164"/>
        <v>2.5</v>
      </c>
      <c r="O468" s="15" t="str">
        <f t="shared" si="165"/>
        <v>A20</v>
      </c>
      <c r="P468" s="15" t="str">
        <f t="shared" si="166"/>
        <v>Morbius Inc.</v>
      </c>
      <c r="Q468" s="15" t="str">
        <f t="shared" si="167"/>
        <v>56 Michael Spice Hwy</v>
      </c>
      <c r="R468" s="3">
        <f>OrdersTable!C468</f>
        <v>44596</v>
      </c>
      <c r="S468" s="15">
        <f>OrdersTable!E468</f>
        <v>10</v>
      </c>
      <c r="T468" s="15">
        <f t="shared" si="168"/>
        <v>49.99</v>
      </c>
      <c r="U468" s="15">
        <f t="shared" si="169"/>
        <v>68.42</v>
      </c>
      <c r="V468" s="15">
        <f t="shared" si="170"/>
        <v>80.98</v>
      </c>
      <c r="W468" s="15">
        <f>IF(MarkupType="Store Markup",ROUND(V468+V468*StoreMarkup,2),IF(MarkupType="Supplier Markup",V468+V468*SupplierMarkup,"Error at finding value"))</f>
        <v>127.54</v>
      </c>
      <c r="X468" s="32">
        <f t="shared" si="172"/>
        <v>9.09</v>
      </c>
      <c r="Y468" s="15">
        <f t="shared" si="173"/>
        <v>809.8</v>
      </c>
      <c r="Z468" s="15">
        <f t="shared" si="174"/>
        <v>1184.5</v>
      </c>
      <c r="AA468" s="15">
        <f>IF(FreightType="Lethbridge-Stewart Freight ",ROUND(2.99+IF(N468&gt;0.75,(N468-0.75)*2.25,0)*S468,2),IF(MarkupType="Supplier Markup",V468+V468*SupplierMarkup,"Error at finding value"))</f>
        <v>42.37</v>
      </c>
      <c r="AB468" s="15">
        <f t="shared" si="175"/>
        <v>90.9</v>
      </c>
    </row>
    <row r="469" spans="1:28" x14ac:dyDescent="0.25">
      <c r="A469" s="16">
        <f>OrdersTable!A469</f>
        <v>190</v>
      </c>
      <c r="B469" s="15" t="str">
        <f t="shared" si="155"/>
        <v>Mr</v>
      </c>
      <c r="C469" s="15" t="str">
        <f t="shared" si="176"/>
        <v>Azar</v>
      </c>
      <c r="D469" s="15" t="str">
        <f t="shared" si="156"/>
        <v>Hector Antonio</v>
      </c>
      <c r="E469" s="15" t="str">
        <f t="shared" si="157"/>
        <v>38 Hope Avenue</v>
      </c>
      <c r="F469" s="15" t="str">
        <f t="shared" si="158"/>
        <v>Glenfern</v>
      </c>
      <c r="G469" s="15" t="str">
        <f t="shared" si="159"/>
        <v>QLD</v>
      </c>
      <c r="H469" s="15">
        <f t="shared" si="160"/>
        <v>4515</v>
      </c>
      <c r="I469" s="15">
        <f t="shared" si="171"/>
        <v>128</v>
      </c>
      <c r="J469" s="15">
        <f>OrdersTable!B469</f>
        <v>590</v>
      </c>
      <c r="K469" s="15" t="str">
        <f t="shared" si="161"/>
        <v>iPhone Skins</v>
      </c>
      <c r="L469" s="15" t="str">
        <f t="shared" si="162"/>
        <v>Doctor Who: iPhone Skin: Exploding TARDIS</v>
      </c>
      <c r="M469" s="15" t="str">
        <f t="shared" si="163"/>
        <v>-</v>
      </c>
      <c r="N469" s="15">
        <f t="shared" si="164"/>
        <v>0.5</v>
      </c>
      <c r="O469" s="15" t="str">
        <f t="shared" si="165"/>
        <v>A20</v>
      </c>
      <c r="P469" s="15" t="str">
        <f t="shared" si="166"/>
        <v>Morbius Inc.</v>
      </c>
      <c r="Q469" s="15" t="str">
        <f t="shared" si="167"/>
        <v>56 Michael Spice Hwy</v>
      </c>
      <c r="R469" s="3">
        <f>OrdersTable!C469</f>
        <v>44596</v>
      </c>
      <c r="S469" s="15">
        <f>OrdersTable!E469</f>
        <v>4</v>
      </c>
      <c r="T469" s="15">
        <f t="shared" si="168"/>
        <v>9.99</v>
      </c>
      <c r="U469" s="15">
        <f t="shared" si="169"/>
        <v>13.86</v>
      </c>
      <c r="V469" s="15">
        <f t="shared" si="170"/>
        <v>16.18</v>
      </c>
      <c r="W469" s="15">
        <f>IF(MarkupType="Store Markup",ROUND(V469+V469*StoreMarkup,2),IF(MarkupType="Supplier Markup",V469+V469*SupplierMarkup,"Error at finding value"))</f>
        <v>25.48</v>
      </c>
      <c r="X469" s="32" t="str">
        <f t="shared" si="172"/>
        <v>0.00</v>
      </c>
      <c r="Y469" s="15">
        <f t="shared" si="173"/>
        <v>64.72</v>
      </c>
      <c r="Z469" s="15">
        <f t="shared" si="174"/>
        <v>101.92</v>
      </c>
      <c r="AA469" s="15">
        <f>IF(FreightType="Lethbridge-Stewart Freight ",ROUND(2.99+IF(N469&gt;0.75,(N469-0.75)*2.25,0)*S469,2),IF(MarkupType="Supplier Markup",V469+V469*SupplierMarkup,"Error at finding value"))</f>
        <v>2.99</v>
      </c>
      <c r="AB469" s="15">
        <f t="shared" si="175"/>
        <v>0</v>
      </c>
    </row>
    <row r="470" spans="1:28" x14ac:dyDescent="0.25">
      <c r="A470" s="16">
        <f>OrdersTable!A470</f>
        <v>312</v>
      </c>
      <c r="B470" s="15" t="str">
        <f t="shared" si="155"/>
        <v>Mr</v>
      </c>
      <c r="C470" s="15" t="str">
        <f t="shared" si="176"/>
        <v>Lloyd</v>
      </c>
      <c r="D470" s="15" t="str">
        <f t="shared" si="156"/>
        <v>Ben</v>
      </c>
      <c r="E470" s="15" t="str">
        <f t="shared" si="157"/>
        <v>13 Stark Avenue</v>
      </c>
      <c r="F470" s="15" t="str">
        <f t="shared" si="158"/>
        <v>Iluka</v>
      </c>
      <c r="G470" s="15" t="str">
        <f t="shared" si="159"/>
        <v>NSW</v>
      </c>
      <c r="H470" s="15">
        <f t="shared" si="160"/>
        <v>2466</v>
      </c>
      <c r="I470" s="15">
        <f t="shared" si="171"/>
        <v>347</v>
      </c>
      <c r="J470" s="15">
        <f>OrdersTable!B470</f>
        <v>707</v>
      </c>
      <c r="K470" s="15" t="str">
        <f t="shared" si="161"/>
        <v>Posters, Prints and Standees</v>
      </c>
      <c r="L470" s="15" t="str">
        <f t="shared" si="162"/>
        <v>Doctor Who: Poster: Ironside Dalek Blueprint</v>
      </c>
      <c r="M470" s="15" t="str">
        <f t="shared" si="163"/>
        <v>-</v>
      </c>
      <c r="N470" s="15">
        <f t="shared" si="164"/>
        <v>0.2</v>
      </c>
      <c r="O470" s="15" t="str">
        <f t="shared" si="165"/>
        <v>A20</v>
      </c>
      <c r="P470" s="15" t="str">
        <f t="shared" si="166"/>
        <v>Morbius Inc.</v>
      </c>
      <c r="Q470" s="15" t="str">
        <f t="shared" si="167"/>
        <v>56 Michael Spice Hwy</v>
      </c>
      <c r="R470" s="3">
        <f>OrdersTable!C470</f>
        <v>44596</v>
      </c>
      <c r="S470" s="15">
        <f>OrdersTable!E470</f>
        <v>3</v>
      </c>
      <c r="T470" s="15">
        <f t="shared" si="168"/>
        <v>3.99</v>
      </c>
      <c r="U470" s="15">
        <f t="shared" si="169"/>
        <v>5.48</v>
      </c>
      <c r="V470" s="15">
        <f t="shared" si="170"/>
        <v>6.46</v>
      </c>
      <c r="W470" s="15">
        <f>IF(MarkupType="Store Markup",ROUND(V470+V470*StoreMarkup,2),IF(MarkupType="Supplier Markup",V470+V470*SupplierMarkup,"Error at finding value"))</f>
        <v>10.17</v>
      </c>
      <c r="X470" s="32" t="str">
        <f t="shared" si="172"/>
        <v>0.00</v>
      </c>
      <c r="Y470" s="15">
        <f t="shared" si="173"/>
        <v>19.38</v>
      </c>
      <c r="Z470" s="15">
        <f t="shared" si="174"/>
        <v>30.51</v>
      </c>
      <c r="AA470" s="15">
        <f>IF(FreightType="Lethbridge-Stewart Freight ",ROUND(2.99+IF(N470&gt;0.75,(N470-0.75)*2.25,0)*S470,2),IF(MarkupType="Supplier Markup",V470+V470*SupplierMarkup,"Error at finding value"))</f>
        <v>2.99</v>
      </c>
      <c r="AB470" s="15">
        <f t="shared" si="175"/>
        <v>0</v>
      </c>
    </row>
    <row r="471" spans="1:28" x14ac:dyDescent="0.25">
      <c r="A471" s="16">
        <f>OrdersTable!A471</f>
        <v>332</v>
      </c>
      <c r="B471" s="15" t="str">
        <f t="shared" si="155"/>
        <v>Mr</v>
      </c>
      <c r="C471" s="15" t="str">
        <f t="shared" si="176"/>
        <v>Selman</v>
      </c>
      <c r="D471" s="15" t="str">
        <f t="shared" si="156"/>
        <v>Jack Ryan</v>
      </c>
      <c r="E471" s="15" t="str">
        <f t="shared" si="157"/>
        <v>17 Van Essen Street</v>
      </c>
      <c r="F471" s="15" t="str">
        <f t="shared" si="158"/>
        <v>Airly</v>
      </c>
      <c r="G471" s="15" t="str">
        <f t="shared" si="159"/>
        <v>VIC</v>
      </c>
      <c r="H471" s="15">
        <f t="shared" si="160"/>
        <v>3851</v>
      </c>
      <c r="I471" s="15">
        <f t="shared" si="171"/>
        <v>1583</v>
      </c>
      <c r="J471" s="15">
        <f>OrdersTable!B471</f>
        <v>341</v>
      </c>
      <c r="K471" s="15" t="str">
        <f t="shared" si="161"/>
        <v>Clothing and Apparel</v>
      </c>
      <c r="L471" s="15" t="str">
        <f t="shared" si="162"/>
        <v xml:space="preserve">Doctor Who: T-Shirts: 4th Doctor Costume </v>
      </c>
      <c r="M471" s="15" t="str">
        <f t="shared" si="163"/>
        <v>XL</v>
      </c>
      <c r="N471" s="15">
        <f t="shared" si="164"/>
        <v>0.8</v>
      </c>
      <c r="O471" s="15" t="str">
        <f t="shared" si="165"/>
        <v>A20</v>
      </c>
      <c r="P471" s="15" t="str">
        <f t="shared" si="166"/>
        <v>Morbius Inc.</v>
      </c>
      <c r="Q471" s="15" t="str">
        <f t="shared" si="167"/>
        <v>56 Michael Spice Hwy</v>
      </c>
      <c r="R471" s="3">
        <f>OrdersTable!C471</f>
        <v>44596</v>
      </c>
      <c r="S471" s="15">
        <f>OrdersTable!E471</f>
        <v>8</v>
      </c>
      <c r="T471" s="15">
        <f t="shared" si="168"/>
        <v>15.99</v>
      </c>
      <c r="U471" s="15">
        <f t="shared" si="169"/>
        <v>22.05</v>
      </c>
      <c r="V471" s="15">
        <f t="shared" si="170"/>
        <v>25.9</v>
      </c>
      <c r="W471" s="15">
        <f>IF(MarkupType="Store Markup",ROUND(V471+V471*StoreMarkup,2),IF(MarkupType="Supplier Markup",V471+V471*SupplierMarkup,"Error at finding value"))</f>
        <v>40.79</v>
      </c>
      <c r="X471" s="32" t="str">
        <f t="shared" si="172"/>
        <v>0.00</v>
      </c>
      <c r="Y471" s="15">
        <f t="shared" si="173"/>
        <v>207.2</v>
      </c>
      <c r="Z471" s="15">
        <f t="shared" si="174"/>
        <v>326.32</v>
      </c>
      <c r="AA471" s="15">
        <f>IF(FreightType="Lethbridge-Stewart Freight ",ROUND(2.99+IF(N471&gt;0.75,(N471-0.75)*2.25,0)*S471,2),IF(MarkupType="Supplier Markup",V471+V471*SupplierMarkup,"Error at finding value"))</f>
        <v>3.89</v>
      </c>
      <c r="AB471" s="15">
        <f t="shared" si="175"/>
        <v>0</v>
      </c>
    </row>
    <row r="472" spans="1:28" x14ac:dyDescent="0.25">
      <c r="A472" s="16">
        <f>OrdersTable!A472</f>
        <v>362</v>
      </c>
      <c r="B472" s="15" t="str">
        <f t="shared" si="155"/>
        <v>Mr</v>
      </c>
      <c r="C472" s="15" t="str">
        <f t="shared" si="176"/>
        <v>Hurst</v>
      </c>
      <c r="D472" s="15" t="str">
        <f t="shared" si="156"/>
        <v>Ralph Gregory</v>
      </c>
      <c r="E472" s="15" t="str">
        <f t="shared" si="157"/>
        <v>45 Blakeney Road</v>
      </c>
      <c r="F472" s="15" t="str">
        <f t="shared" si="158"/>
        <v>Iluka</v>
      </c>
      <c r="G472" s="15" t="str">
        <f t="shared" si="159"/>
        <v>NSW</v>
      </c>
      <c r="H472" s="15">
        <f t="shared" si="160"/>
        <v>2466</v>
      </c>
      <c r="I472" s="15">
        <f t="shared" si="171"/>
        <v>347</v>
      </c>
      <c r="J472" s="15">
        <f>OrdersTable!B472</f>
        <v>453</v>
      </c>
      <c r="K472" s="15" t="str">
        <f t="shared" si="161"/>
        <v>Giftware</v>
      </c>
      <c r="L472" s="15" t="str">
        <f t="shared" si="162"/>
        <v>Doctor Who: Ceramic Cookie Jar: TARDIS</v>
      </c>
      <c r="M472" s="15" t="str">
        <f t="shared" si="163"/>
        <v>-</v>
      </c>
      <c r="N472" s="15">
        <f t="shared" si="164"/>
        <v>1.35</v>
      </c>
      <c r="O472" s="15" t="str">
        <f t="shared" si="165"/>
        <v>A40</v>
      </c>
      <c r="P472" s="15" t="str">
        <f t="shared" si="166"/>
        <v>Romana Imports</v>
      </c>
      <c r="Q472" s="15" t="str">
        <f t="shared" si="167"/>
        <v>17 Lalla Ward Road</v>
      </c>
      <c r="R472" s="3">
        <f>OrdersTable!C472</f>
        <v>44596</v>
      </c>
      <c r="S472" s="15">
        <f>OrdersTable!E472</f>
        <v>4</v>
      </c>
      <c r="T472" s="15">
        <f t="shared" si="168"/>
        <v>26.99</v>
      </c>
      <c r="U472" s="15">
        <f t="shared" si="169"/>
        <v>37.119999999999997</v>
      </c>
      <c r="V472" s="15">
        <f t="shared" si="170"/>
        <v>43.72</v>
      </c>
      <c r="W472" s="15">
        <f>IF(MarkupType="Store Markup",ROUND(V472+V472*StoreMarkup,2),IF(MarkupType="Supplier Markup",V472+V472*SupplierMarkup,"Error at finding value"))</f>
        <v>68.86</v>
      </c>
      <c r="X472" s="32" t="str">
        <f t="shared" si="172"/>
        <v>0.00</v>
      </c>
      <c r="Y472" s="15">
        <f t="shared" si="173"/>
        <v>174.88</v>
      </c>
      <c r="Z472" s="15">
        <f t="shared" si="174"/>
        <v>275.44</v>
      </c>
      <c r="AA472" s="15">
        <f>IF(FreightType="Lethbridge-Stewart Freight ",ROUND(2.99+IF(N472&gt;0.75,(N472-0.75)*2.25,0)*S472,2),IF(MarkupType="Supplier Markup",V472+V472*SupplierMarkup,"Error at finding value"))</f>
        <v>8.39</v>
      </c>
      <c r="AB472" s="15">
        <f t="shared" si="175"/>
        <v>0</v>
      </c>
    </row>
    <row r="473" spans="1:28" x14ac:dyDescent="0.25">
      <c r="A473" s="16">
        <f>OrdersTable!A473</f>
        <v>390</v>
      </c>
      <c r="B473" s="15" t="str">
        <f t="shared" si="155"/>
        <v>Ms</v>
      </c>
      <c r="C473" s="15" t="str">
        <f t="shared" si="176"/>
        <v>Queen</v>
      </c>
      <c r="D473" s="15" t="str">
        <f t="shared" si="156"/>
        <v>Joanne</v>
      </c>
      <c r="E473" s="15" t="str">
        <f t="shared" si="157"/>
        <v>30 Hall Drive</v>
      </c>
      <c r="F473" s="15" t="str">
        <f t="shared" si="158"/>
        <v>Belconnen</v>
      </c>
      <c r="G473" s="15" t="str">
        <f t="shared" si="159"/>
        <v>ACT</v>
      </c>
      <c r="H473" s="15">
        <f t="shared" si="160"/>
        <v>2617</v>
      </c>
      <c r="I473" s="15">
        <f t="shared" si="171"/>
        <v>1194</v>
      </c>
      <c r="J473" s="15">
        <f>OrdersTable!B473</f>
        <v>787</v>
      </c>
      <c r="K473" s="15" t="str">
        <f t="shared" si="161"/>
        <v>Statues and Busts</v>
      </c>
      <c r="L473" s="15" t="str">
        <f t="shared" si="162"/>
        <v>Doctor Who: Masterpiece Collection Maxi Bust: 1st Doctor</v>
      </c>
      <c r="M473" s="15" t="str">
        <f t="shared" si="163"/>
        <v>-</v>
      </c>
      <c r="N473" s="15">
        <f t="shared" si="164"/>
        <v>2.5</v>
      </c>
      <c r="O473" s="15" t="str">
        <f t="shared" si="165"/>
        <v>A10</v>
      </c>
      <c r="P473" s="15" t="str">
        <f t="shared" si="166"/>
        <v>Gallifrey International</v>
      </c>
      <c r="Q473" s="15" t="str">
        <f t="shared" si="167"/>
        <v>181 Arcadia Street</v>
      </c>
      <c r="R473" s="3">
        <f>OrdersTable!C473</f>
        <v>44596</v>
      </c>
      <c r="S473" s="15">
        <f>OrdersTable!E473</f>
        <v>7</v>
      </c>
      <c r="T473" s="15">
        <f t="shared" si="168"/>
        <v>49.99</v>
      </c>
      <c r="U473" s="15">
        <f t="shared" si="169"/>
        <v>68.290000000000006</v>
      </c>
      <c r="V473" s="15">
        <f t="shared" si="170"/>
        <v>80.98</v>
      </c>
      <c r="W473" s="15">
        <f>IF(MarkupType="Store Markup",ROUND(V473+V473*StoreMarkup,2),IF(MarkupType="Supplier Markup",V473+V473*SupplierMarkup,"Error at finding value"))</f>
        <v>127.54</v>
      </c>
      <c r="X473" s="32">
        <f t="shared" si="172"/>
        <v>9.09</v>
      </c>
      <c r="Y473" s="15">
        <f t="shared" si="173"/>
        <v>566.86</v>
      </c>
      <c r="Z473" s="15">
        <f t="shared" si="174"/>
        <v>829.15</v>
      </c>
      <c r="AA473" s="15">
        <f>IF(FreightType="Lethbridge-Stewart Freight ",ROUND(2.99+IF(N473&gt;0.75,(N473-0.75)*2.25,0)*S473,2),IF(MarkupType="Supplier Markup",V473+V473*SupplierMarkup,"Error at finding value"))</f>
        <v>30.55</v>
      </c>
      <c r="AB473" s="15">
        <f t="shared" si="175"/>
        <v>63.63</v>
      </c>
    </row>
    <row r="474" spans="1:28" x14ac:dyDescent="0.25">
      <c r="A474" s="16">
        <f>OrdersTable!A474</f>
        <v>496</v>
      </c>
      <c r="B474" s="15" t="str">
        <f t="shared" si="155"/>
        <v>Dr</v>
      </c>
      <c r="C474" s="15" t="str">
        <f t="shared" si="176"/>
        <v>Johnston</v>
      </c>
      <c r="D474" s="15" t="str">
        <f t="shared" si="156"/>
        <v>Karrina</v>
      </c>
      <c r="E474" s="15" t="str">
        <f t="shared" si="157"/>
        <v>11 Bishop Drive</v>
      </c>
      <c r="F474" s="15" t="str">
        <f t="shared" si="158"/>
        <v>Belford</v>
      </c>
      <c r="G474" s="15" t="str">
        <f t="shared" si="159"/>
        <v>NSW</v>
      </c>
      <c r="H474" s="15">
        <f t="shared" si="160"/>
        <v>2335</v>
      </c>
      <c r="I474" s="15">
        <f t="shared" si="171"/>
        <v>716</v>
      </c>
      <c r="J474" s="15">
        <f>OrdersTable!B474</f>
        <v>530</v>
      </c>
      <c r="K474" s="15" t="str">
        <f t="shared" si="161"/>
        <v>Giftware</v>
      </c>
      <c r="L474" s="15" t="str">
        <f t="shared" si="162"/>
        <v>Doctor Who: Keyring TARDIS</v>
      </c>
      <c r="M474" s="15" t="str">
        <f t="shared" si="163"/>
        <v>-</v>
      </c>
      <c r="N474" s="15">
        <f t="shared" si="164"/>
        <v>0.25</v>
      </c>
      <c r="O474" s="15" t="str">
        <f t="shared" si="165"/>
        <v>A20</v>
      </c>
      <c r="P474" s="15" t="str">
        <f t="shared" si="166"/>
        <v>Morbius Inc.</v>
      </c>
      <c r="Q474" s="15" t="str">
        <f t="shared" si="167"/>
        <v>56 Michael Spice Hwy</v>
      </c>
      <c r="R474" s="3">
        <f>OrdersTable!C474</f>
        <v>44596</v>
      </c>
      <c r="S474" s="15">
        <f>OrdersTable!E474</f>
        <v>2</v>
      </c>
      <c r="T474" s="15">
        <f t="shared" si="168"/>
        <v>4.99</v>
      </c>
      <c r="U474" s="15">
        <f t="shared" si="169"/>
        <v>7.1</v>
      </c>
      <c r="V474" s="15">
        <f t="shared" si="170"/>
        <v>8.08</v>
      </c>
      <c r="W474" s="15">
        <f>IF(MarkupType="Store Markup",ROUND(V474+V474*StoreMarkup,2),IF(MarkupType="Supplier Markup",V474+V474*SupplierMarkup,"Error at finding value"))</f>
        <v>12.73</v>
      </c>
      <c r="X474" s="32" t="str">
        <f t="shared" si="172"/>
        <v>0.00</v>
      </c>
      <c r="Y474" s="15">
        <f t="shared" si="173"/>
        <v>16.16</v>
      </c>
      <c r="Z474" s="15">
        <f t="shared" si="174"/>
        <v>25.46</v>
      </c>
      <c r="AA474" s="15">
        <f>IF(FreightType="Lethbridge-Stewart Freight ",ROUND(2.99+IF(N474&gt;0.75,(N474-0.75)*2.25,0)*S474,2),IF(MarkupType="Supplier Markup",V474+V474*SupplierMarkup,"Error at finding value"))</f>
        <v>2.99</v>
      </c>
      <c r="AB474" s="15">
        <f t="shared" si="175"/>
        <v>0</v>
      </c>
    </row>
    <row r="475" spans="1:28" x14ac:dyDescent="0.25">
      <c r="A475" s="16">
        <f>OrdersTable!A475</f>
        <v>515</v>
      </c>
      <c r="B475" s="15" t="str">
        <f t="shared" si="155"/>
        <v>Mr</v>
      </c>
      <c r="C475" s="15" t="str">
        <f t="shared" si="176"/>
        <v>Noffke</v>
      </c>
      <c r="D475" s="15" t="str">
        <f t="shared" si="156"/>
        <v>William Thomas</v>
      </c>
      <c r="E475" s="15" t="str">
        <f t="shared" si="157"/>
        <v>20 Tyler Drive</v>
      </c>
      <c r="F475" s="15" t="str">
        <f t="shared" si="158"/>
        <v>Areegra</v>
      </c>
      <c r="G475" s="15" t="str">
        <f t="shared" si="159"/>
        <v>VIC</v>
      </c>
      <c r="H475" s="15">
        <f t="shared" si="160"/>
        <v>3480</v>
      </c>
      <c r="I475" s="15">
        <f t="shared" si="171"/>
        <v>1559</v>
      </c>
      <c r="J475" s="15">
        <f>OrdersTable!B475</f>
        <v>834</v>
      </c>
      <c r="K475" s="15" t="str">
        <f t="shared" si="161"/>
        <v>Statues and Busts</v>
      </c>
      <c r="L475" s="15" t="str">
        <f t="shared" si="162"/>
        <v>Doctor Who: Signature Edition Statue: Gallifrey Edition: Matt Smith</v>
      </c>
      <c r="M475" s="15" t="str">
        <f t="shared" si="163"/>
        <v>-</v>
      </c>
      <c r="N475" s="15">
        <f t="shared" si="164"/>
        <v>2.5</v>
      </c>
      <c r="O475" s="15" t="str">
        <f t="shared" si="165"/>
        <v>A30</v>
      </c>
      <c r="P475" s="15" t="str">
        <f t="shared" si="166"/>
        <v>Chesterton Enterprises</v>
      </c>
      <c r="Q475" s="15" t="str">
        <f t="shared" si="167"/>
        <v>41 William Russell Road</v>
      </c>
      <c r="R475" s="3">
        <f>OrdersTable!C475</f>
        <v>44596</v>
      </c>
      <c r="S475" s="15">
        <f>OrdersTable!E475</f>
        <v>2</v>
      </c>
      <c r="T475" s="15">
        <f t="shared" si="168"/>
        <v>49.99</v>
      </c>
      <c r="U475" s="15">
        <f t="shared" si="169"/>
        <v>68.52</v>
      </c>
      <c r="V475" s="15">
        <f t="shared" si="170"/>
        <v>80.98</v>
      </c>
      <c r="W475" s="15">
        <f>IF(MarkupType="Store Markup",ROUND(V475+V475*StoreMarkup,2),IF(MarkupType="Supplier Markup",V475+V475*SupplierMarkup,"Error at finding value"))</f>
        <v>127.54</v>
      </c>
      <c r="X475" s="32" t="str">
        <f t="shared" si="172"/>
        <v>0.00</v>
      </c>
      <c r="Y475" s="15">
        <f t="shared" si="173"/>
        <v>161.96</v>
      </c>
      <c r="Z475" s="15">
        <f t="shared" si="174"/>
        <v>255.08</v>
      </c>
      <c r="AA475" s="15">
        <f>IF(FreightType="Lethbridge-Stewart Freight ",ROUND(2.99+IF(N475&gt;0.75,(N475-0.75)*2.25,0)*S475,2),IF(MarkupType="Supplier Markup",V475+V475*SupplierMarkup,"Error at finding value"))</f>
        <v>10.87</v>
      </c>
      <c r="AB475" s="15">
        <f t="shared" si="175"/>
        <v>0</v>
      </c>
    </row>
    <row r="476" spans="1:28" x14ac:dyDescent="0.25">
      <c r="A476" s="16">
        <f>OrdersTable!A476</f>
        <v>526</v>
      </c>
      <c r="B476" s="15" t="str">
        <f t="shared" si="155"/>
        <v>Mrs</v>
      </c>
      <c r="C476" s="15" t="str">
        <f t="shared" si="176"/>
        <v>Bradford</v>
      </c>
      <c r="D476" s="15" t="str">
        <f t="shared" si="156"/>
        <v>Haleigh Renae Ann</v>
      </c>
      <c r="E476" s="15" t="str">
        <f t="shared" si="157"/>
        <v>31 Johnston Road</v>
      </c>
      <c r="F476" s="15" t="str">
        <f t="shared" si="158"/>
        <v>Ashford</v>
      </c>
      <c r="G476" s="15" t="str">
        <f t="shared" si="159"/>
        <v>SA</v>
      </c>
      <c r="H476" s="15">
        <f t="shared" si="160"/>
        <v>5035</v>
      </c>
      <c r="I476" s="15">
        <f t="shared" si="171"/>
        <v>1877</v>
      </c>
      <c r="J476" s="15">
        <f>OrdersTable!B476</f>
        <v>762</v>
      </c>
      <c r="K476" s="15" t="str">
        <f t="shared" si="161"/>
        <v>Statues and Busts</v>
      </c>
      <c r="L476" s="15" t="str">
        <f t="shared" si="162"/>
        <v>Doctor Who: Legends Forever Bust: Patrick Troughton</v>
      </c>
      <c r="M476" s="15" t="str">
        <f t="shared" si="163"/>
        <v>-</v>
      </c>
      <c r="N476" s="15">
        <f t="shared" si="164"/>
        <v>1.375</v>
      </c>
      <c r="O476" s="15" t="str">
        <f t="shared" si="165"/>
        <v>A40</v>
      </c>
      <c r="P476" s="15" t="str">
        <f t="shared" si="166"/>
        <v>Romana Imports</v>
      </c>
      <c r="Q476" s="15" t="str">
        <f t="shared" si="167"/>
        <v>17 Lalla Ward Road</v>
      </c>
      <c r="R476" s="3">
        <f>OrdersTable!C476</f>
        <v>44596</v>
      </c>
      <c r="S476" s="15">
        <f>OrdersTable!E476</f>
        <v>4</v>
      </c>
      <c r="T476" s="15">
        <f t="shared" si="168"/>
        <v>27.5</v>
      </c>
      <c r="U476" s="15">
        <f t="shared" si="169"/>
        <v>37.799999999999997</v>
      </c>
      <c r="V476" s="15">
        <f t="shared" si="170"/>
        <v>44.55</v>
      </c>
      <c r="W476" s="15">
        <f>IF(MarkupType="Store Markup",ROUND(V476+V476*StoreMarkup,2),IF(MarkupType="Supplier Markup",V476+V476*SupplierMarkup,"Error at finding value"))</f>
        <v>70.17</v>
      </c>
      <c r="X476" s="32" t="str">
        <f t="shared" si="172"/>
        <v>0.00</v>
      </c>
      <c r="Y476" s="15">
        <f t="shared" si="173"/>
        <v>178.2</v>
      </c>
      <c r="Z476" s="15">
        <f t="shared" si="174"/>
        <v>280.68</v>
      </c>
      <c r="AA476" s="15">
        <f>IF(FreightType="Lethbridge-Stewart Freight ",ROUND(2.99+IF(N476&gt;0.75,(N476-0.75)*2.25,0)*S476,2),IF(MarkupType="Supplier Markup",V476+V476*SupplierMarkup,"Error at finding value"))</f>
        <v>8.6199999999999992</v>
      </c>
      <c r="AB476" s="15">
        <f t="shared" si="175"/>
        <v>0</v>
      </c>
    </row>
    <row r="477" spans="1:28" x14ac:dyDescent="0.25">
      <c r="A477" s="16">
        <f>OrdersTable!A477</f>
        <v>543</v>
      </c>
      <c r="B477" s="15" t="str">
        <f t="shared" si="155"/>
        <v>Ms</v>
      </c>
      <c r="C477" s="15" t="str">
        <f t="shared" si="176"/>
        <v>Mendezona</v>
      </c>
      <c r="D477" s="15" t="str">
        <f t="shared" si="156"/>
        <v>Tara Colleen-Mary</v>
      </c>
      <c r="E477" s="15" t="str">
        <f t="shared" si="157"/>
        <v>27 Picone Drive</v>
      </c>
      <c r="F477" s="15" t="str">
        <f t="shared" si="158"/>
        <v>Aberfoyle</v>
      </c>
      <c r="G477" s="15" t="str">
        <f t="shared" si="159"/>
        <v>NSW</v>
      </c>
      <c r="H477" s="15">
        <f t="shared" si="160"/>
        <v>2350</v>
      </c>
      <c r="I477" s="15">
        <f t="shared" si="171"/>
        <v>363</v>
      </c>
      <c r="J477" s="15">
        <f>OrdersTable!B477</f>
        <v>515</v>
      </c>
      <c r="K477" s="15" t="str">
        <f t="shared" si="161"/>
        <v>Giftware</v>
      </c>
      <c r="L477" s="15" t="str">
        <f t="shared" si="162"/>
        <v>Doctor Who: Keyring K9</v>
      </c>
      <c r="M477" s="15" t="str">
        <f t="shared" si="163"/>
        <v>-</v>
      </c>
      <c r="N477" s="15">
        <f t="shared" si="164"/>
        <v>0.25</v>
      </c>
      <c r="O477" s="15" t="str">
        <f t="shared" si="165"/>
        <v>A50</v>
      </c>
      <c r="P477" s="15" t="str">
        <f t="shared" si="166"/>
        <v>Rassilon Ltd.</v>
      </c>
      <c r="Q477" s="15" t="str">
        <f t="shared" si="167"/>
        <v>82 Richard Mathews Road</v>
      </c>
      <c r="R477" s="3">
        <f>OrdersTable!C477</f>
        <v>44596</v>
      </c>
      <c r="S477" s="15">
        <f>OrdersTable!E477</f>
        <v>7</v>
      </c>
      <c r="T477" s="15">
        <f t="shared" si="168"/>
        <v>4.99</v>
      </c>
      <c r="U477" s="15">
        <f t="shared" si="169"/>
        <v>6.91</v>
      </c>
      <c r="V477" s="15">
        <f t="shared" si="170"/>
        <v>8.08</v>
      </c>
      <c r="W477" s="15">
        <f>IF(MarkupType="Store Markup",ROUND(V477+V477*StoreMarkup,2),IF(MarkupType="Supplier Markup",V477+V477*SupplierMarkup,"Error at finding value"))</f>
        <v>12.73</v>
      </c>
      <c r="X477" s="32" t="str">
        <f t="shared" si="172"/>
        <v>0.00</v>
      </c>
      <c r="Y477" s="15">
        <f t="shared" si="173"/>
        <v>56.56</v>
      </c>
      <c r="Z477" s="15">
        <f t="shared" si="174"/>
        <v>89.11</v>
      </c>
      <c r="AA477" s="15">
        <f>IF(FreightType="Lethbridge-Stewart Freight ",ROUND(2.99+IF(N477&gt;0.75,(N477-0.75)*2.25,0)*S477,2),IF(MarkupType="Supplier Markup",V477+V477*SupplierMarkup,"Error at finding value"))</f>
        <v>2.99</v>
      </c>
      <c r="AB477" s="15">
        <f t="shared" si="175"/>
        <v>0</v>
      </c>
    </row>
    <row r="478" spans="1:28" x14ac:dyDescent="0.25">
      <c r="A478" s="16">
        <f>OrdersTable!A478</f>
        <v>557</v>
      </c>
      <c r="B478" s="15" t="str">
        <f t="shared" si="155"/>
        <v>Mrs</v>
      </c>
      <c r="C478" s="15" t="str">
        <f t="shared" si="176"/>
        <v>Allen</v>
      </c>
      <c r="D478" s="15" t="str">
        <f t="shared" si="156"/>
        <v>Morgan</v>
      </c>
      <c r="E478" s="15" t="str">
        <f t="shared" si="157"/>
        <v>15 Winsor Street</v>
      </c>
      <c r="F478" s="15" t="str">
        <f t="shared" si="158"/>
        <v>Appletree Flat</v>
      </c>
      <c r="G478" s="15" t="str">
        <f t="shared" si="159"/>
        <v>NSW</v>
      </c>
      <c r="H478" s="15">
        <f t="shared" si="160"/>
        <v>2330</v>
      </c>
      <c r="I478" s="15">
        <f t="shared" si="171"/>
        <v>691</v>
      </c>
      <c r="J478" s="15">
        <f>OrdersTable!B478</f>
        <v>374</v>
      </c>
      <c r="K478" s="15" t="str">
        <f t="shared" si="161"/>
        <v>Clothing and Apparel</v>
      </c>
      <c r="L478" s="15" t="str">
        <f t="shared" si="162"/>
        <v xml:space="preserve">Doctor Who: T-Shirts: 5th Doctor Costume </v>
      </c>
      <c r="M478" s="15" t="str">
        <f t="shared" si="163"/>
        <v>XL</v>
      </c>
      <c r="N478" s="15">
        <f t="shared" si="164"/>
        <v>0.8</v>
      </c>
      <c r="O478" s="15" t="str">
        <f t="shared" si="165"/>
        <v>A50</v>
      </c>
      <c r="P478" s="15" t="str">
        <f t="shared" si="166"/>
        <v>Rassilon Ltd.</v>
      </c>
      <c r="Q478" s="15" t="str">
        <f t="shared" si="167"/>
        <v>82 Richard Mathews Road</v>
      </c>
      <c r="R478" s="3">
        <f>OrdersTable!C478</f>
        <v>44596</v>
      </c>
      <c r="S478" s="15">
        <f>OrdersTable!E478</f>
        <v>5</v>
      </c>
      <c r="T478" s="15">
        <f t="shared" si="168"/>
        <v>15.99</v>
      </c>
      <c r="U478" s="15">
        <f t="shared" si="169"/>
        <v>21.97</v>
      </c>
      <c r="V478" s="15">
        <f t="shared" si="170"/>
        <v>25.9</v>
      </c>
      <c r="W478" s="15">
        <f>IF(MarkupType="Store Markup",ROUND(V478+V478*StoreMarkup,2),IF(MarkupType="Supplier Markup",V478+V478*SupplierMarkup,"Error at finding value"))</f>
        <v>40.79</v>
      </c>
      <c r="X478" s="32" t="str">
        <f t="shared" si="172"/>
        <v>0.00</v>
      </c>
      <c r="Y478" s="15">
        <f t="shared" si="173"/>
        <v>129.5</v>
      </c>
      <c r="Z478" s="15">
        <f t="shared" si="174"/>
        <v>203.95</v>
      </c>
      <c r="AA478" s="15">
        <f>IF(FreightType="Lethbridge-Stewart Freight ",ROUND(2.99+IF(N478&gt;0.75,(N478-0.75)*2.25,0)*S478,2),IF(MarkupType="Supplier Markup",V478+V478*SupplierMarkup,"Error at finding value"))</f>
        <v>3.55</v>
      </c>
      <c r="AB478" s="15">
        <f t="shared" si="175"/>
        <v>0</v>
      </c>
    </row>
    <row r="479" spans="1:28" x14ac:dyDescent="0.25">
      <c r="A479" s="16">
        <f>OrdersTable!A479</f>
        <v>561</v>
      </c>
      <c r="B479" s="15" t="str">
        <f t="shared" si="155"/>
        <v>Ms</v>
      </c>
      <c r="C479" s="15" t="str">
        <f t="shared" si="176"/>
        <v>Mulcahy</v>
      </c>
      <c r="D479" s="15" t="str">
        <f t="shared" si="156"/>
        <v>Jodie Leigh</v>
      </c>
      <c r="E479" s="15" t="str">
        <f t="shared" si="157"/>
        <v>32 Scott Crescent</v>
      </c>
      <c r="F479" s="15" t="str">
        <f t="shared" si="158"/>
        <v>Bray Park</v>
      </c>
      <c r="G479" s="15" t="str">
        <f t="shared" si="159"/>
        <v>QLD</v>
      </c>
      <c r="H479" s="15">
        <f t="shared" si="160"/>
        <v>4500</v>
      </c>
      <c r="I479" s="15">
        <f t="shared" si="171"/>
        <v>139</v>
      </c>
      <c r="J479" s="15">
        <f>OrdersTable!B479</f>
        <v>594</v>
      </c>
      <c r="K479" s="15" t="str">
        <f t="shared" si="161"/>
        <v>iPhone Skins</v>
      </c>
      <c r="L479" s="15" t="str">
        <f t="shared" si="162"/>
        <v>Doctor Who: iPhone Skin: Keep Calm And Don't Blink</v>
      </c>
      <c r="M479" s="15" t="str">
        <f t="shared" si="163"/>
        <v>-</v>
      </c>
      <c r="N479" s="15">
        <f t="shared" si="164"/>
        <v>0.5</v>
      </c>
      <c r="O479" s="15" t="str">
        <f t="shared" si="165"/>
        <v>A20</v>
      </c>
      <c r="P479" s="15" t="str">
        <f t="shared" si="166"/>
        <v>Morbius Inc.</v>
      </c>
      <c r="Q479" s="15" t="str">
        <f t="shared" si="167"/>
        <v>56 Michael Spice Hwy</v>
      </c>
      <c r="R479" s="3">
        <f>OrdersTable!C479</f>
        <v>44596</v>
      </c>
      <c r="S479" s="15">
        <f>OrdersTable!E479</f>
        <v>4</v>
      </c>
      <c r="T479" s="15">
        <f t="shared" si="168"/>
        <v>9.99</v>
      </c>
      <c r="U479" s="15">
        <f t="shared" si="169"/>
        <v>13.88</v>
      </c>
      <c r="V479" s="15">
        <f t="shared" si="170"/>
        <v>16.18</v>
      </c>
      <c r="W479" s="15">
        <f>IF(MarkupType="Store Markup",ROUND(V479+V479*StoreMarkup,2),IF(MarkupType="Supplier Markup",V479+V479*SupplierMarkup,"Error at finding value"))</f>
        <v>25.48</v>
      </c>
      <c r="X479" s="32" t="str">
        <f t="shared" si="172"/>
        <v>0.00</v>
      </c>
      <c r="Y479" s="15">
        <f t="shared" si="173"/>
        <v>64.72</v>
      </c>
      <c r="Z479" s="15">
        <f t="shared" si="174"/>
        <v>101.92</v>
      </c>
      <c r="AA479" s="15">
        <f>IF(FreightType="Lethbridge-Stewart Freight ",ROUND(2.99+IF(N479&gt;0.75,(N479-0.75)*2.25,0)*S479,2),IF(MarkupType="Supplier Markup",V479+V479*SupplierMarkup,"Error at finding value"))</f>
        <v>2.99</v>
      </c>
      <c r="AB479" s="15">
        <f t="shared" si="175"/>
        <v>0</v>
      </c>
    </row>
    <row r="480" spans="1:28" x14ac:dyDescent="0.25">
      <c r="A480" s="16">
        <f>OrdersTable!A480</f>
        <v>923</v>
      </c>
      <c r="B480" s="15" t="str">
        <f t="shared" si="155"/>
        <v>Ms</v>
      </c>
      <c r="C480" s="15" t="str">
        <f t="shared" si="176"/>
        <v>Savage</v>
      </c>
      <c r="D480" s="15" t="str">
        <f t="shared" si="156"/>
        <v>Eliza Margaret</v>
      </c>
      <c r="E480" s="15" t="str">
        <f t="shared" si="157"/>
        <v>28 Whisson Crescent</v>
      </c>
      <c r="F480" s="15" t="str">
        <f t="shared" si="158"/>
        <v>Belconnen</v>
      </c>
      <c r="G480" s="15" t="str">
        <f t="shared" si="159"/>
        <v>ACT</v>
      </c>
      <c r="H480" s="15">
        <f t="shared" si="160"/>
        <v>2617</v>
      </c>
      <c r="I480" s="15">
        <f t="shared" si="171"/>
        <v>1194</v>
      </c>
      <c r="J480" s="15">
        <f>OrdersTable!B480</f>
        <v>196</v>
      </c>
      <c r="K480" s="15" t="str">
        <f t="shared" si="161"/>
        <v>Clothing and Apparel</v>
      </c>
      <c r="L480" s="15" t="str">
        <f t="shared" si="162"/>
        <v>Doctor Who: 12 Foot Tom Baker Scarf</v>
      </c>
      <c r="M480" s="15" t="str">
        <f t="shared" si="163"/>
        <v>-</v>
      </c>
      <c r="N480" s="15">
        <f t="shared" si="164"/>
        <v>2.5</v>
      </c>
      <c r="O480" s="15" t="str">
        <f t="shared" si="165"/>
        <v>A40</v>
      </c>
      <c r="P480" s="15" t="str">
        <f t="shared" si="166"/>
        <v>Romana Imports</v>
      </c>
      <c r="Q480" s="15" t="str">
        <f t="shared" si="167"/>
        <v>17 Lalla Ward Road</v>
      </c>
      <c r="R480" s="3">
        <f>OrdersTable!C480</f>
        <v>44596</v>
      </c>
      <c r="S480" s="15">
        <f>OrdersTable!E480</f>
        <v>3</v>
      </c>
      <c r="T480" s="15">
        <f t="shared" si="168"/>
        <v>49.99</v>
      </c>
      <c r="U480" s="15">
        <f t="shared" si="169"/>
        <v>68.28</v>
      </c>
      <c r="V480" s="15">
        <f t="shared" si="170"/>
        <v>80.98</v>
      </c>
      <c r="W480" s="15">
        <f>IF(MarkupType="Store Markup",ROUND(V480+V480*StoreMarkup,2),IF(MarkupType="Supplier Markup",V480+V480*SupplierMarkup,"Error at finding value"))</f>
        <v>127.54</v>
      </c>
      <c r="X480" s="32">
        <f t="shared" si="172"/>
        <v>9.09</v>
      </c>
      <c r="Y480" s="15">
        <f t="shared" si="173"/>
        <v>242.94</v>
      </c>
      <c r="Z480" s="15">
        <f t="shared" si="174"/>
        <v>355.35</v>
      </c>
      <c r="AA480" s="15">
        <f>IF(FreightType="Lethbridge-Stewart Freight ",ROUND(2.99+IF(N480&gt;0.75,(N480-0.75)*2.25,0)*S480,2),IF(MarkupType="Supplier Markup",V480+V480*SupplierMarkup,"Error at finding value"))</f>
        <v>14.8</v>
      </c>
      <c r="AB480" s="15">
        <f t="shared" si="175"/>
        <v>27.27</v>
      </c>
    </row>
    <row r="481" spans="1:28" x14ac:dyDescent="0.25">
      <c r="A481" s="16">
        <f>OrdersTable!A481</f>
        <v>139</v>
      </c>
      <c r="B481" s="15" t="str">
        <f t="shared" si="155"/>
        <v>Mrs</v>
      </c>
      <c r="C481" s="15" t="str">
        <f t="shared" si="176"/>
        <v>Atkinson</v>
      </c>
      <c r="D481" s="15" t="str">
        <f t="shared" si="156"/>
        <v>Leanne</v>
      </c>
      <c r="E481" s="15" t="str">
        <f t="shared" si="157"/>
        <v>45 Maloney Boulevard</v>
      </c>
      <c r="F481" s="15" t="str">
        <f t="shared" si="158"/>
        <v>Avon Plains</v>
      </c>
      <c r="G481" s="15" t="str">
        <f t="shared" si="159"/>
        <v>VIC</v>
      </c>
      <c r="H481" s="15">
        <f t="shared" si="160"/>
        <v>3477</v>
      </c>
      <c r="I481" s="15">
        <f t="shared" si="171"/>
        <v>1565</v>
      </c>
      <c r="J481" s="15">
        <f>OrdersTable!B481</f>
        <v>374</v>
      </c>
      <c r="K481" s="15" t="str">
        <f t="shared" si="161"/>
        <v>Clothing and Apparel</v>
      </c>
      <c r="L481" s="15" t="str">
        <f t="shared" si="162"/>
        <v xml:space="preserve">Doctor Who: T-Shirts: 5th Doctor Costume </v>
      </c>
      <c r="M481" s="15" t="str">
        <f t="shared" si="163"/>
        <v>XL</v>
      </c>
      <c r="N481" s="15">
        <f t="shared" si="164"/>
        <v>0.8</v>
      </c>
      <c r="O481" s="15" t="str">
        <f t="shared" si="165"/>
        <v>A50</v>
      </c>
      <c r="P481" s="15" t="str">
        <f t="shared" si="166"/>
        <v>Rassilon Ltd.</v>
      </c>
      <c r="Q481" s="15" t="str">
        <f t="shared" si="167"/>
        <v>82 Richard Mathews Road</v>
      </c>
      <c r="R481" s="3">
        <f>OrdersTable!C481</f>
        <v>44597</v>
      </c>
      <c r="S481" s="15">
        <f>OrdersTable!E481</f>
        <v>5</v>
      </c>
      <c r="T481" s="15">
        <f t="shared" si="168"/>
        <v>15.99</v>
      </c>
      <c r="U481" s="15">
        <f t="shared" si="169"/>
        <v>21.97</v>
      </c>
      <c r="V481" s="15">
        <f t="shared" si="170"/>
        <v>25.9</v>
      </c>
      <c r="W481" s="15">
        <f>IF(MarkupType="Store Markup",ROUND(V481+V481*StoreMarkup,2),IF(MarkupType="Supplier Markup",V481+V481*SupplierMarkup,"Error at finding value"))</f>
        <v>40.79</v>
      </c>
      <c r="X481" s="32" t="str">
        <f t="shared" si="172"/>
        <v>0.00</v>
      </c>
      <c r="Y481" s="15">
        <f t="shared" si="173"/>
        <v>129.5</v>
      </c>
      <c r="Z481" s="15">
        <f t="shared" si="174"/>
        <v>203.95</v>
      </c>
      <c r="AA481" s="15">
        <f>IF(FreightType="Lethbridge-Stewart Freight ",ROUND(2.99+IF(N481&gt;0.75,(N481-0.75)*2.25,0)*S481,2),IF(MarkupType="Supplier Markup",V481+V481*SupplierMarkup,"Error at finding value"))</f>
        <v>3.55</v>
      </c>
      <c r="AB481" s="15">
        <f t="shared" si="175"/>
        <v>0</v>
      </c>
    </row>
    <row r="482" spans="1:28" x14ac:dyDescent="0.25">
      <c r="A482" s="16">
        <f>OrdersTable!A482</f>
        <v>146</v>
      </c>
      <c r="B482" s="15" t="str">
        <f t="shared" si="155"/>
        <v>Miss</v>
      </c>
      <c r="C482" s="15" t="str">
        <f t="shared" si="176"/>
        <v>Brown</v>
      </c>
      <c r="D482" s="15" t="str">
        <f t="shared" si="156"/>
        <v>Sarah Danielle</v>
      </c>
      <c r="E482" s="15" t="str">
        <f t="shared" si="157"/>
        <v>50 Brieschke Court</v>
      </c>
      <c r="F482" s="15" t="str">
        <f t="shared" si="158"/>
        <v>Bray Park</v>
      </c>
      <c r="G482" s="15" t="str">
        <f t="shared" si="159"/>
        <v>QLD</v>
      </c>
      <c r="H482" s="15">
        <f t="shared" si="160"/>
        <v>4500</v>
      </c>
      <c r="I482" s="15">
        <f t="shared" si="171"/>
        <v>139</v>
      </c>
      <c r="J482" s="15">
        <f>OrdersTable!B482</f>
        <v>792</v>
      </c>
      <c r="K482" s="15" t="str">
        <f t="shared" si="161"/>
        <v>Statues and Busts</v>
      </c>
      <c r="L482" s="15" t="str">
        <f t="shared" si="162"/>
        <v>Doctor Who: Masterpiece Collection Maxi Bust: 3rd Doctor</v>
      </c>
      <c r="M482" s="15" t="str">
        <f t="shared" si="163"/>
        <v>-</v>
      </c>
      <c r="N482" s="15">
        <f t="shared" si="164"/>
        <v>2.5</v>
      </c>
      <c r="O482" s="15" t="str">
        <f t="shared" si="165"/>
        <v>A20</v>
      </c>
      <c r="P482" s="15" t="str">
        <f t="shared" si="166"/>
        <v>Morbius Inc.</v>
      </c>
      <c r="Q482" s="15" t="str">
        <f t="shared" si="167"/>
        <v>56 Michael Spice Hwy</v>
      </c>
      <c r="R482" s="3">
        <f>OrdersTable!C482</f>
        <v>44597</v>
      </c>
      <c r="S482" s="15">
        <f>OrdersTable!E482</f>
        <v>7</v>
      </c>
      <c r="T482" s="15">
        <f t="shared" si="168"/>
        <v>49.99</v>
      </c>
      <c r="U482" s="15">
        <f t="shared" si="169"/>
        <v>68.39</v>
      </c>
      <c r="V482" s="15">
        <f t="shared" si="170"/>
        <v>80.98</v>
      </c>
      <c r="W482" s="15">
        <f>IF(MarkupType="Store Markup",ROUND(V482+V482*StoreMarkup,2),IF(MarkupType="Supplier Markup",V482+V482*SupplierMarkup,"Error at finding value"))</f>
        <v>127.54</v>
      </c>
      <c r="X482" s="32">
        <f t="shared" si="172"/>
        <v>9.09</v>
      </c>
      <c r="Y482" s="15">
        <f t="shared" si="173"/>
        <v>566.86</v>
      </c>
      <c r="Z482" s="15">
        <f t="shared" si="174"/>
        <v>829.15</v>
      </c>
      <c r="AA482" s="15">
        <f>IF(FreightType="Lethbridge-Stewart Freight ",ROUND(2.99+IF(N482&gt;0.75,(N482-0.75)*2.25,0)*S482,2),IF(MarkupType="Supplier Markup",V482+V482*SupplierMarkup,"Error at finding value"))</f>
        <v>30.55</v>
      </c>
      <c r="AB482" s="15">
        <f t="shared" si="175"/>
        <v>63.63</v>
      </c>
    </row>
    <row r="483" spans="1:28" x14ac:dyDescent="0.25">
      <c r="A483" s="16">
        <f>OrdersTable!A483</f>
        <v>150</v>
      </c>
      <c r="B483" s="15" t="str">
        <f t="shared" si="155"/>
        <v>Dr</v>
      </c>
      <c r="C483" s="15" t="str">
        <f t="shared" si="176"/>
        <v>Taumalolo</v>
      </c>
      <c r="D483" s="15" t="str">
        <f t="shared" si="156"/>
        <v>Latai Fono-Ki-Moana</v>
      </c>
      <c r="E483" s="15" t="str">
        <f t="shared" si="157"/>
        <v>13 Taylor Way</v>
      </c>
      <c r="F483" s="15" t="str">
        <f t="shared" si="158"/>
        <v>Bamboo</v>
      </c>
      <c r="G483" s="15" t="str">
        <f t="shared" si="159"/>
        <v>QLD</v>
      </c>
      <c r="H483" s="15">
        <f t="shared" si="160"/>
        <v>4873</v>
      </c>
      <c r="I483" s="15">
        <f t="shared" si="171"/>
        <v>1741</v>
      </c>
      <c r="J483" s="15">
        <f>OrdersTable!B483</f>
        <v>583</v>
      </c>
      <c r="K483" s="15" t="str">
        <f t="shared" si="161"/>
        <v>iPhone Skins</v>
      </c>
      <c r="L483" s="15" t="str">
        <f t="shared" si="162"/>
        <v>Doctor Who: iPhone Skin: Cyberman Delete</v>
      </c>
      <c r="M483" s="15" t="str">
        <f t="shared" si="163"/>
        <v>-</v>
      </c>
      <c r="N483" s="15">
        <f t="shared" si="164"/>
        <v>0.3</v>
      </c>
      <c r="O483" s="15" t="str">
        <f t="shared" si="165"/>
        <v>A50</v>
      </c>
      <c r="P483" s="15" t="str">
        <f t="shared" si="166"/>
        <v>Rassilon Ltd.</v>
      </c>
      <c r="Q483" s="15" t="str">
        <f t="shared" si="167"/>
        <v>82 Richard Mathews Road</v>
      </c>
      <c r="R483" s="3">
        <f>OrdersTable!C483</f>
        <v>44597</v>
      </c>
      <c r="S483" s="15">
        <f>OrdersTable!E483</f>
        <v>1</v>
      </c>
      <c r="T483" s="15">
        <f t="shared" si="168"/>
        <v>5.99</v>
      </c>
      <c r="U483" s="15">
        <f t="shared" si="169"/>
        <v>8.23</v>
      </c>
      <c r="V483" s="15">
        <f t="shared" si="170"/>
        <v>9.6999999999999993</v>
      </c>
      <c r="W483" s="15">
        <f>IF(MarkupType="Store Markup",ROUND(V483+V483*StoreMarkup,2),IF(MarkupType="Supplier Markup",V483+V483*SupplierMarkup,"Error at finding value"))</f>
        <v>15.28</v>
      </c>
      <c r="X483" s="32" t="str">
        <f t="shared" si="172"/>
        <v>0.00</v>
      </c>
      <c r="Y483" s="15">
        <f t="shared" si="173"/>
        <v>9.6999999999999993</v>
      </c>
      <c r="Z483" s="15">
        <f t="shared" si="174"/>
        <v>15.28</v>
      </c>
      <c r="AA483" s="15">
        <f>IF(FreightType="Lethbridge-Stewart Freight ",ROUND(2.99+IF(N483&gt;0.75,(N483-0.75)*2.25,0)*S483,2),IF(MarkupType="Supplier Markup",V483+V483*SupplierMarkup,"Error at finding value"))</f>
        <v>2.99</v>
      </c>
      <c r="AB483" s="15">
        <f t="shared" si="175"/>
        <v>0</v>
      </c>
    </row>
    <row r="484" spans="1:28" x14ac:dyDescent="0.25">
      <c r="A484" s="16">
        <f>OrdersTable!A484</f>
        <v>150</v>
      </c>
      <c r="B484" s="15" t="str">
        <f t="shared" si="155"/>
        <v>Dr</v>
      </c>
      <c r="C484" s="15" t="str">
        <f t="shared" si="176"/>
        <v>Taumalolo</v>
      </c>
      <c r="D484" s="15" t="str">
        <f t="shared" si="156"/>
        <v>Latai Fono-Ki-Moana</v>
      </c>
      <c r="E484" s="15" t="str">
        <f t="shared" si="157"/>
        <v>13 Taylor Way</v>
      </c>
      <c r="F484" s="15" t="str">
        <f t="shared" si="158"/>
        <v>Bamboo</v>
      </c>
      <c r="G484" s="15" t="str">
        <f t="shared" si="159"/>
        <v>QLD</v>
      </c>
      <c r="H484" s="15">
        <f t="shared" si="160"/>
        <v>4873</v>
      </c>
      <c r="I484" s="15">
        <f t="shared" si="171"/>
        <v>1741</v>
      </c>
      <c r="J484" s="15">
        <f>OrdersTable!B484</f>
        <v>724</v>
      </c>
      <c r="K484" s="15" t="str">
        <f t="shared" si="161"/>
        <v>Posters, Prints and Standees</v>
      </c>
      <c r="L484" s="15" t="str">
        <f t="shared" si="162"/>
        <v>Doctor Who: Standee: The 10th Doctor</v>
      </c>
      <c r="M484" s="15" t="str">
        <f t="shared" si="163"/>
        <v>-</v>
      </c>
      <c r="N484" s="15">
        <f t="shared" si="164"/>
        <v>1.125</v>
      </c>
      <c r="O484" s="15" t="str">
        <f t="shared" si="165"/>
        <v>A50</v>
      </c>
      <c r="P484" s="15" t="str">
        <f t="shared" si="166"/>
        <v>Rassilon Ltd.</v>
      </c>
      <c r="Q484" s="15" t="str">
        <f t="shared" si="167"/>
        <v>82 Richard Mathews Road</v>
      </c>
      <c r="R484" s="3">
        <f>OrdersTable!C484</f>
        <v>44597</v>
      </c>
      <c r="S484" s="15">
        <f>OrdersTable!E484</f>
        <v>3</v>
      </c>
      <c r="T484" s="15">
        <f t="shared" si="168"/>
        <v>22.49</v>
      </c>
      <c r="U484" s="15">
        <f t="shared" si="169"/>
        <v>30.77</v>
      </c>
      <c r="V484" s="15">
        <f t="shared" si="170"/>
        <v>36.43</v>
      </c>
      <c r="W484" s="15">
        <f>IF(MarkupType="Store Markup",ROUND(V484+V484*StoreMarkup,2),IF(MarkupType="Supplier Markup",V484+V484*SupplierMarkup,"Error at finding value"))</f>
        <v>57.38</v>
      </c>
      <c r="X484" s="32" t="str">
        <f t="shared" si="172"/>
        <v>0.00</v>
      </c>
      <c r="Y484" s="15">
        <f t="shared" si="173"/>
        <v>109.29</v>
      </c>
      <c r="Z484" s="15">
        <f t="shared" si="174"/>
        <v>172.14</v>
      </c>
      <c r="AA484" s="15">
        <f>IF(FreightType="Lethbridge-Stewart Freight ",ROUND(2.99+IF(N484&gt;0.75,(N484-0.75)*2.25,0)*S484,2),IF(MarkupType="Supplier Markup",V484+V484*SupplierMarkup,"Error at finding value"))</f>
        <v>5.52</v>
      </c>
      <c r="AB484" s="15">
        <f t="shared" si="175"/>
        <v>0</v>
      </c>
    </row>
    <row r="485" spans="1:28" x14ac:dyDescent="0.25">
      <c r="A485" s="16">
        <f>OrdersTable!A485</f>
        <v>323</v>
      </c>
      <c r="B485" s="15" t="str">
        <f t="shared" si="155"/>
        <v>Dr</v>
      </c>
      <c r="C485" s="15" t="str">
        <f t="shared" si="176"/>
        <v>King</v>
      </c>
      <c r="D485" s="15" t="str">
        <f t="shared" si="156"/>
        <v>Leith</v>
      </c>
      <c r="E485" s="15" t="str">
        <f t="shared" si="157"/>
        <v>25 Carbone Court</v>
      </c>
      <c r="F485" s="15" t="str">
        <f t="shared" si="158"/>
        <v>Nayook</v>
      </c>
      <c r="G485" s="15" t="str">
        <f t="shared" si="159"/>
        <v>VIC</v>
      </c>
      <c r="H485" s="15">
        <f t="shared" si="160"/>
        <v>3832</v>
      </c>
      <c r="I485" s="15">
        <f t="shared" si="171"/>
        <v>1552</v>
      </c>
      <c r="J485" s="15">
        <f>OrdersTable!B485</f>
        <v>331</v>
      </c>
      <c r="K485" s="15" t="str">
        <f t="shared" si="161"/>
        <v>Clothing and Apparel</v>
      </c>
      <c r="L485" s="15" t="str">
        <f t="shared" si="162"/>
        <v xml:space="preserve">Doctor Who: T-Shirts: 4th Doctor Costume </v>
      </c>
      <c r="M485" s="15" t="str">
        <f t="shared" si="163"/>
        <v>L</v>
      </c>
      <c r="N485" s="15">
        <f t="shared" si="164"/>
        <v>0.8</v>
      </c>
      <c r="O485" s="15" t="str">
        <f t="shared" si="165"/>
        <v>A20</v>
      </c>
      <c r="P485" s="15" t="str">
        <f t="shared" si="166"/>
        <v>Morbius Inc.</v>
      </c>
      <c r="Q485" s="15" t="str">
        <f t="shared" si="167"/>
        <v>56 Michael Spice Hwy</v>
      </c>
      <c r="R485" s="3">
        <f>OrdersTable!C485</f>
        <v>44597</v>
      </c>
      <c r="S485" s="15">
        <f>OrdersTable!E485</f>
        <v>1</v>
      </c>
      <c r="T485" s="15">
        <f t="shared" si="168"/>
        <v>15.99</v>
      </c>
      <c r="U485" s="15">
        <f t="shared" si="169"/>
        <v>22.08</v>
      </c>
      <c r="V485" s="15">
        <f t="shared" si="170"/>
        <v>25.9</v>
      </c>
      <c r="W485" s="15">
        <f>IF(MarkupType="Store Markup",ROUND(V485+V485*StoreMarkup,2),IF(MarkupType="Supplier Markup",V485+V485*SupplierMarkup,"Error at finding value"))</f>
        <v>40.79</v>
      </c>
      <c r="X485" s="32" t="str">
        <f t="shared" si="172"/>
        <v>0.00</v>
      </c>
      <c r="Y485" s="15">
        <f t="shared" si="173"/>
        <v>25.9</v>
      </c>
      <c r="Z485" s="15">
        <f t="shared" si="174"/>
        <v>40.79</v>
      </c>
      <c r="AA485" s="15">
        <f>IF(FreightType="Lethbridge-Stewart Freight ",ROUND(2.99+IF(N485&gt;0.75,(N485-0.75)*2.25,0)*S485,2),IF(MarkupType="Supplier Markup",V485+V485*SupplierMarkup,"Error at finding value"))</f>
        <v>3.1</v>
      </c>
      <c r="AB485" s="15">
        <f t="shared" si="175"/>
        <v>0</v>
      </c>
    </row>
    <row r="486" spans="1:28" x14ac:dyDescent="0.25">
      <c r="A486" s="16">
        <f>OrdersTable!A486</f>
        <v>323</v>
      </c>
      <c r="B486" s="15" t="str">
        <f t="shared" si="155"/>
        <v>Dr</v>
      </c>
      <c r="C486" s="15" t="str">
        <f t="shared" si="176"/>
        <v>King</v>
      </c>
      <c r="D486" s="15" t="str">
        <f t="shared" si="156"/>
        <v>Leith</v>
      </c>
      <c r="E486" s="15" t="str">
        <f t="shared" si="157"/>
        <v>25 Carbone Court</v>
      </c>
      <c r="F486" s="15" t="str">
        <f t="shared" si="158"/>
        <v>Nayook</v>
      </c>
      <c r="G486" s="15" t="str">
        <f t="shared" si="159"/>
        <v>VIC</v>
      </c>
      <c r="H486" s="15">
        <f t="shared" si="160"/>
        <v>3832</v>
      </c>
      <c r="I486" s="15">
        <f t="shared" si="171"/>
        <v>1552</v>
      </c>
      <c r="J486" s="15">
        <f>OrdersTable!B486</f>
        <v>377</v>
      </c>
      <c r="K486" s="15" t="str">
        <f t="shared" si="161"/>
        <v>Clothing and Apparel</v>
      </c>
      <c r="L486" s="15" t="str">
        <f t="shared" si="162"/>
        <v xml:space="preserve">Doctor Who: T-Shirts: 7th Doctor Costume </v>
      </c>
      <c r="M486" s="15" t="str">
        <f t="shared" si="163"/>
        <v>M</v>
      </c>
      <c r="N486" s="15">
        <f t="shared" si="164"/>
        <v>0.8</v>
      </c>
      <c r="O486" s="15" t="str">
        <f t="shared" si="165"/>
        <v>A40</v>
      </c>
      <c r="P486" s="15" t="str">
        <f t="shared" si="166"/>
        <v>Romana Imports</v>
      </c>
      <c r="Q486" s="15" t="str">
        <f t="shared" si="167"/>
        <v>17 Lalla Ward Road</v>
      </c>
      <c r="R486" s="3">
        <f>OrdersTable!C486</f>
        <v>44597</v>
      </c>
      <c r="S486" s="15">
        <f>OrdersTable!E486</f>
        <v>3</v>
      </c>
      <c r="T486" s="15">
        <f t="shared" si="168"/>
        <v>15.99</v>
      </c>
      <c r="U486" s="15">
        <f t="shared" si="169"/>
        <v>21.95</v>
      </c>
      <c r="V486" s="15">
        <f t="shared" si="170"/>
        <v>25.9</v>
      </c>
      <c r="W486" s="15">
        <f>IF(MarkupType="Store Markup",ROUND(V486+V486*StoreMarkup,2),IF(MarkupType="Supplier Markup",V486+V486*SupplierMarkup,"Error at finding value"))</f>
        <v>40.79</v>
      </c>
      <c r="X486" s="32" t="str">
        <f t="shared" si="172"/>
        <v>0.00</v>
      </c>
      <c r="Y486" s="15">
        <f t="shared" si="173"/>
        <v>77.7</v>
      </c>
      <c r="Z486" s="15">
        <f t="shared" si="174"/>
        <v>122.37</v>
      </c>
      <c r="AA486" s="15">
        <f>IF(FreightType="Lethbridge-Stewart Freight ",ROUND(2.99+IF(N486&gt;0.75,(N486-0.75)*2.25,0)*S486,2),IF(MarkupType="Supplier Markup",V486+V486*SupplierMarkup,"Error at finding value"))</f>
        <v>3.33</v>
      </c>
      <c r="AB486" s="15">
        <f t="shared" si="175"/>
        <v>0</v>
      </c>
    </row>
    <row r="487" spans="1:28" x14ac:dyDescent="0.25">
      <c r="A487" s="16">
        <f>OrdersTable!A487</f>
        <v>323</v>
      </c>
      <c r="B487" s="15" t="str">
        <f t="shared" si="155"/>
        <v>Dr</v>
      </c>
      <c r="C487" s="15" t="str">
        <f t="shared" si="176"/>
        <v>King</v>
      </c>
      <c r="D487" s="15" t="str">
        <f t="shared" si="156"/>
        <v>Leith</v>
      </c>
      <c r="E487" s="15" t="str">
        <f t="shared" si="157"/>
        <v>25 Carbone Court</v>
      </c>
      <c r="F487" s="15" t="str">
        <f t="shared" si="158"/>
        <v>Nayook</v>
      </c>
      <c r="G487" s="15" t="str">
        <f t="shared" si="159"/>
        <v>VIC</v>
      </c>
      <c r="H487" s="15">
        <f t="shared" si="160"/>
        <v>3832</v>
      </c>
      <c r="I487" s="15">
        <f t="shared" si="171"/>
        <v>1552</v>
      </c>
      <c r="J487" s="15">
        <f>OrdersTable!B487</f>
        <v>701</v>
      </c>
      <c r="K487" s="15" t="str">
        <f t="shared" si="161"/>
        <v>Posters, Prints and Standees</v>
      </c>
      <c r="L487" s="15" t="str">
        <f t="shared" si="162"/>
        <v>Doctor Who: Half Sized Standee: The TARDIS</v>
      </c>
      <c r="M487" s="15" t="str">
        <f t="shared" si="163"/>
        <v>-</v>
      </c>
      <c r="N487" s="15">
        <f t="shared" si="164"/>
        <v>0.5</v>
      </c>
      <c r="O487" s="15" t="str">
        <f t="shared" si="165"/>
        <v>A40</v>
      </c>
      <c r="P487" s="15" t="str">
        <f t="shared" si="166"/>
        <v>Romana Imports</v>
      </c>
      <c r="Q487" s="15" t="str">
        <f t="shared" si="167"/>
        <v>17 Lalla Ward Road</v>
      </c>
      <c r="R487" s="3">
        <f>OrdersTable!C487</f>
        <v>44597</v>
      </c>
      <c r="S487" s="15">
        <f>OrdersTable!E487</f>
        <v>2</v>
      </c>
      <c r="T487" s="15">
        <f t="shared" si="168"/>
        <v>9.99</v>
      </c>
      <c r="U487" s="15">
        <f t="shared" si="169"/>
        <v>13.83</v>
      </c>
      <c r="V487" s="15">
        <f t="shared" si="170"/>
        <v>16.18</v>
      </c>
      <c r="W487" s="15">
        <f>IF(MarkupType="Store Markup",ROUND(V487+V487*StoreMarkup,2),IF(MarkupType="Supplier Markup",V487+V487*SupplierMarkup,"Error at finding value"))</f>
        <v>25.48</v>
      </c>
      <c r="X487" s="32" t="str">
        <f t="shared" si="172"/>
        <v>0.00</v>
      </c>
      <c r="Y487" s="15">
        <f t="shared" si="173"/>
        <v>32.36</v>
      </c>
      <c r="Z487" s="15">
        <f t="shared" si="174"/>
        <v>50.96</v>
      </c>
      <c r="AA487" s="15">
        <f>IF(FreightType="Lethbridge-Stewart Freight ",ROUND(2.99+IF(N487&gt;0.75,(N487-0.75)*2.25,0)*S487,2),IF(MarkupType="Supplier Markup",V487+V487*SupplierMarkup,"Error at finding value"))</f>
        <v>2.99</v>
      </c>
      <c r="AB487" s="15">
        <f t="shared" si="175"/>
        <v>0</v>
      </c>
    </row>
    <row r="488" spans="1:28" x14ac:dyDescent="0.25">
      <c r="A488" s="16">
        <f>OrdersTable!A488</f>
        <v>323</v>
      </c>
      <c r="B488" s="15" t="str">
        <f t="shared" si="155"/>
        <v>Dr</v>
      </c>
      <c r="C488" s="15" t="str">
        <f t="shared" si="176"/>
        <v>King</v>
      </c>
      <c r="D488" s="15" t="str">
        <f t="shared" si="156"/>
        <v>Leith</v>
      </c>
      <c r="E488" s="15" t="str">
        <f t="shared" si="157"/>
        <v>25 Carbone Court</v>
      </c>
      <c r="F488" s="15" t="str">
        <f t="shared" si="158"/>
        <v>Nayook</v>
      </c>
      <c r="G488" s="15" t="str">
        <f t="shared" si="159"/>
        <v>VIC</v>
      </c>
      <c r="H488" s="15">
        <f t="shared" si="160"/>
        <v>3832</v>
      </c>
      <c r="I488" s="15">
        <f t="shared" si="171"/>
        <v>1552</v>
      </c>
      <c r="J488" s="15">
        <f>OrdersTable!B488</f>
        <v>747</v>
      </c>
      <c r="K488" s="15" t="str">
        <f t="shared" si="161"/>
        <v>Props and Replicas</v>
      </c>
      <c r="L488" s="15" t="str">
        <f t="shared" si="162"/>
        <v>Doctor Who: The Master's Fob Watch</v>
      </c>
      <c r="M488" s="15" t="str">
        <f t="shared" si="163"/>
        <v>-</v>
      </c>
      <c r="N488" s="15">
        <f t="shared" si="164"/>
        <v>2.25</v>
      </c>
      <c r="O488" s="15" t="str">
        <f t="shared" si="165"/>
        <v>A10</v>
      </c>
      <c r="P488" s="15" t="str">
        <f t="shared" si="166"/>
        <v>Gallifrey International</v>
      </c>
      <c r="Q488" s="15" t="str">
        <f t="shared" si="167"/>
        <v>181 Arcadia Street</v>
      </c>
      <c r="R488" s="3">
        <f>OrdersTable!C488</f>
        <v>44597</v>
      </c>
      <c r="S488" s="15">
        <f>OrdersTable!E488</f>
        <v>7</v>
      </c>
      <c r="T488" s="15">
        <f t="shared" si="168"/>
        <v>44.99</v>
      </c>
      <c r="U488" s="15">
        <f t="shared" si="169"/>
        <v>61.7</v>
      </c>
      <c r="V488" s="15">
        <f t="shared" si="170"/>
        <v>72.88</v>
      </c>
      <c r="W488" s="15">
        <f>IF(MarkupType="Store Markup",ROUND(V488+V488*StoreMarkup,2),IF(MarkupType="Supplier Markup",V488+V488*SupplierMarkup,"Error at finding value"))</f>
        <v>114.79</v>
      </c>
      <c r="X488" s="32">
        <f t="shared" si="172"/>
        <v>8.18</v>
      </c>
      <c r="Y488" s="15">
        <f t="shared" si="173"/>
        <v>510.16</v>
      </c>
      <c r="Z488" s="15">
        <f t="shared" si="174"/>
        <v>746.27</v>
      </c>
      <c r="AA488" s="15">
        <f>IF(FreightType="Lethbridge-Stewart Freight ",ROUND(2.99+IF(N488&gt;0.75,(N488-0.75)*2.25,0)*S488,2),IF(MarkupType="Supplier Markup",V488+V488*SupplierMarkup,"Error at finding value"))</f>
        <v>26.62</v>
      </c>
      <c r="AB488" s="15">
        <f t="shared" si="175"/>
        <v>57.26</v>
      </c>
    </row>
    <row r="489" spans="1:28" x14ac:dyDescent="0.25">
      <c r="A489" s="16">
        <f>OrdersTable!A489</f>
        <v>360</v>
      </c>
      <c r="B489" s="15" t="str">
        <f t="shared" si="155"/>
        <v>Ms</v>
      </c>
      <c r="C489" s="15" t="str">
        <f t="shared" si="176"/>
        <v>Bobonica</v>
      </c>
      <c r="D489" s="15" t="str">
        <f t="shared" si="156"/>
        <v>Claudia</v>
      </c>
      <c r="E489" s="15" t="str">
        <f t="shared" si="157"/>
        <v>47 Klein Way</v>
      </c>
      <c r="F489" s="15" t="str">
        <f t="shared" si="158"/>
        <v>Avon Plains</v>
      </c>
      <c r="G489" s="15" t="str">
        <f t="shared" si="159"/>
        <v>VIC</v>
      </c>
      <c r="H489" s="15">
        <f t="shared" si="160"/>
        <v>3477</v>
      </c>
      <c r="I489" s="15">
        <f t="shared" si="171"/>
        <v>1565</v>
      </c>
      <c r="J489" s="15">
        <f>OrdersTable!B489</f>
        <v>186</v>
      </c>
      <c r="K489" s="15" t="str">
        <f t="shared" si="161"/>
        <v>Bobbleheads</v>
      </c>
      <c r="L489" s="15" t="str">
        <f t="shared" si="162"/>
        <v>Doctor Who: Monitor Mate: 50th Anniversary Original TARDIS</v>
      </c>
      <c r="M489" s="15" t="str">
        <f t="shared" si="163"/>
        <v>-</v>
      </c>
      <c r="N489" s="15">
        <f t="shared" si="164"/>
        <v>0.45</v>
      </c>
      <c r="O489" s="15" t="str">
        <f t="shared" si="165"/>
        <v>A20</v>
      </c>
      <c r="P489" s="15" t="str">
        <f t="shared" si="166"/>
        <v>Morbius Inc.</v>
      </c>
      <c r="Q489" s="15" t="str">
        <f t="shared" si="167"/>
        <v>56 Michael Spice Hwy</v>
      </c>
      <c r="R489" s="3">
        <f>OrdersTable!C489</f>
        <v>44597</v>
      </c>
      <c r="S489" s="15">
        <f>OrdersTable!E489</f>
        <v>9</v>
      </c>
      <c r="T489" s="15">
        <f t="shared" si="168"/>
        <v>8.99</v>
      </c>
      <c r="U489" s="15">
        <f t="shared" si="169"/>
        <v>12.46</v>
      </c>
      <c r="V489" s="15">
        <f t="shared" si="170"/>
        <v>14.56</v>
      </c>
      <c r="W489" s="15">
        <f>IF(MarkupType="Store Markup",ROUND(V489+V489*StoreMarkup,2),IF(MarkupType="Supplier Markup",V489+V489*SupplierMarkup,"Error at finding value"))</f>
        <v>22.93</v>
      </c>
      <c r="X489" s="32" t="str">
        <f t="shared" si="172"/>
        <v>0.00</v>
      </c>
      <c r="Y489" s="15">
        <f t="shared" si="173"/>
        <v>131.04</v>
      </c>
      <c r="Z489" s="15">
        <f t="shared" si="174"/>
        <v>206.37</v>
      </c>
      <c r="AA489" s="15">
        <f>IF(FreightType="Lethbridge-Stewart Freight ",ROUND(2.99+IF(N489&gt;0.75,(N489-0.75)*2.25,0)*S489,2),IF(MarkupType="Supplier Markup",V489+V489*SupplierMarkup,"Error at finding value"))</f>
        <v>2.99</v>
      </c>
      <c r="AB489" s="15">
        <f t="shared" si="175"/>
        <v>0</v>
      </c>
    </row>
    <row r="490" spans="1:28" x14ac:dyDescent="0.25">
      <c r="A490" s="16">
        <f>OrdersTable!A490</f>
        <v>500</v>
      </c>
      <c r="B490" s="15" t="str">
        <f t="shared" si="155"/>
        <v>Ms</v>
      </c>
      <c r="C490" s="15" t="str">
        <f t="shared" si="176"/>
        <v>Helmers</v>
      </c>
      <c r="D490" s="15" t="str">
        <f t="shared" si="156"/>
        <v>Kristy-Lee</v>
      </c>
      <c r="E490" s="15" t="str">
        <f t="shared" si="157"/>
        <v>43 Welthagen Court</v>
      </c>
      <c r="F490" s="15" t="str">
        <f t="shared" si="158"/>
        <v>Areegra</v>
      </c>
      <c r="G490" s="15" t="str">
        <f t="shared" si="159"/>
        <v>VIC</v>
      </c>
      <c r="H490" s="15">
        <f t="shared" si="160"/>
        <v>3480</v>
      </c>
      <c r="I490" s="15">
        <f t="shared" si="171"/>
        <v>1559</v>
      </c>
      <c r="J490" s="15">
        <f>OrdersTable!B490</f>
        <v>582</v>
      </c>
      <c r="K490" s="15" t="str">
        <f t="shared" si="161"/>
        <v>Giftware</v>
      </c>
      <c r="L490" s="15" t="str">
        <f t="shared" si="162"/>
        <v>Doctor Who: Wallpaper: Classic TARDIS Roundels</v>
      </c>
      <c r="M490" s="15" t="str">
        <f t="shared" si="163"/>
        <v>-</v>
      </c>
      <c r="N490" s="15">
        <f t="shared" si="164"/>
        <v>1.75</v>
      </c>
      <c r="O490" s="15" t="str">
        <f t="shared" si="165"/>
        <v>A40</v>
      </c>
      <c r="P490" s="15" t="str">
        <f t="shared" si="166"/>
        <v>Romana Imports</v>
      </c>
      <c r="Q490" s="15" t="str">
        <f t="shared" si="167"/>
        <v>17 Lalla Ward Road</v>
      </c>
      <c r="R490" s="3">
        <f>OrdersTable!C490</f>
        <v>44597</v>
      </c>
      <c r="S490" s="15">
        <f>OrdersTable!E490</f>
        <v>2</v>
      </c>
      <c r="T490" s="15">
        <f t="shared" si="168"/>
        <v>34.99</v>
      </c>
      <c r="U490" s="15">
        <f t="shared" si="169"/>
        <v>47.77</v>
      </c>
      <c r="V490" s="15">
        <f t="shared" si="170"/>
        <v>56.68</v>
      </c>
      <c r="W490" s="15">
        <f>IF(MarkupType="Store Markup",ROUND(V490+V490*StoreMarkup,2),IF(MarkupType="Supplier Markup",V490+V490*SupplierMarkup,"Error at finding value"))</f>
        <v>89.27</v>
      </c>
      <c r="X490" s="32" t="str">
        <f t="shared" si="172"/>
        <v>0.00</v>
      </c>
      <c r="Y490" s="15">
        <f t="shared" si="173"/>
        <v>113.36</v>
      </c>
      <c r="Z490" s="15">
        <f t="shared" si="174"/>
        <v>178.54</v>
      </c>
      <c r="AA490" s="15">
        <f>IF(FreightType="Lethbridge-Stewart Freight ",ROUND(2.99+IF(N490&gt;0.75,(N490-0.75)*2.25,0)*S490,2),IF(MarkupType="Supplier Markup",V490+V490*SupplierMarkup,"Error at finding value"))</f>
        <v>7.49</v>
      </c>
      <c r="AB490" s="15">
        <f t="shared" si="175"/>
        <v>0</v>
      </c>
    </row>
    <row r="491" spans="1:28" x14ac:dyDescent="0.25">
      <c r="A491" s="16">
        <f>OrdersTable!A491</f>
        <v>515</v>
      </c>
      <c r="B491" s="15" t="str">
        <f t="shared" si="155"/>
        <v>Mr</v>
      </c>
      <c r="C491" s="15" t="str">
        <f t="shared" si="176"/>
        <v>Noffke</v>
      </c>
      <c r="D491" s="15" t="str">
        <f t="shared" si="156"/>
        <v>William Thomas</v>
      </c>
      <c r="E491" s="15" t="str">
        <f t="shared" si="157"/>
        <v>20 Tyler Drive</v>
      </c>
      <c r="F491" s="15" t="str">
        <f t="shared" si="158"/>
        <v>Areegra</v>
      </c>
      <c r="G491" s="15" t="str">
        <f t="shared" si="159"/>
        <v>VIC</v>
      </c>
      <c r="H491" s="15">
        <f t="shared" si="160"/>
        <v>3480</v>
      </c>
      <c r="I491" s="15">
        <f t="shared" si="171"/>
        <v>1559</v>
      </c>
      <c r="J491" s="15">
        <f>OrdersTable!B491</f>
        <v>580</v>
      </c>
      <c r="K491" s="15" t="str">
        <f t="shared" si="161"/>
        <v>Giftware</v>
      </c>
      <c r="L491" s="15" t="str">
        <f t="shared" si="162"/>
        <v>Doctor Who: Wallpaper: Classic TARDIS Columns</v>
      </c>
      <c r="M491" s="15" t="str">
        <f t="shared" si="163"/>
        <v>-</v>
      </c>
      <c r="N491" s="15">
        <f t="shared" si="164"/>
        <v>0.65500000000000003</v>
      </c>
      <c r="O491" s="15" t="str">
        <f t="shared" si="165"/>
        <v>A50</v>
      </c>
      <c r="P491" s="15" t="str">
        <f t="shared" si="166"/>
        <v>Rassilon Ltd.</v>
      </c>
      <c r="Q491" s="15" t="str">
        <f t="shared" si="167"/>
        <v>82 Richard Mathews Road</v>
      </c>
      <c r="R491" s="3">
        <f>OrdersTable!C491</f>
        <v>44597</v>
      </c>
      <c r="S491" s="15">
        <f>OrdersTable!E491</f>
        <v>10</v>
      </c>
      <c r="T491" s="15">
        <f t="shared" si="168"/>
        <v>13.11</v>
      </c>
      <c r="U491" s="15">
        <f t="shared" si="169"/>
        <v>18.18</v>
      </c>
      <c r="V491" s="15">
        <f t="shared" si="170"/>
        <v>21.24</v>
      </c>
      <c r="W491" s="15">
        <f>IF(MarkupType="Store Markup",ROUND(V491+V491*StoreMarkup,2),IF(MarkupType="Supplier Markup",V491+V491*SupplierMarkup,"Error at finding value"))</f>
        <v>33.450000000000003</v>
      </c>
      <c r="X491" s="32" t="str">
        <f t="shared" si="172"/>
        <v>0.00</v>
      </c>
      <c r="Y491" s="15">
        <f t="shared" si="173"/>
        <v>212.4</v>
      </c>
      <c r="Z491" s="15">
        <f t="shared" si="174"/>
        <v>334.5</v>
      </c>
      <c r="AA491" s="15">
        <f>IF(FreightType="Lethbridge-Stewart Freight ",ROUND(2.99+IF(N491&gt;0.75,(N491-0.75)*2.25,0)*S491,2),IF(MarkupType="Supplier Markup",V491+V491*SupplierMarkup,"Error at finding value"))</f>
        <v>2.99</v>
      </c>
      <c r="AB491" s="15">
        <f t="shared" si="175"/>
        <v>0</v>
      </c>
    </row>
    <row r="492" spans="1:28" x14ac:dyDescent="0.25">
      <c r="A492" s="16">
        <f>OrdersTable!A492</f>
        <v>573</v>
      </c>
      <c r="B492" s="15" t="str">
        <f t="shared" si="155"/>
        <v>Mrs</v>
      </c>
      <c r="C492" s="15" t="str">
        <f t="shared" si="176"/>
        <v>Hollonds</v>
      </c>
      <c r="D492" s="15" t="str">
        <f t="shared" si="156"/>
        <v>Suzan</v>
      </c>
      <c r="E492" s="15" t="str">
        <f t="shared" si="157"/>
        <v>49 Patel Way</v>
      </c>
      <c r="F492" s="15" t="str">
        <f t="shared" si="158"/>
        <v>Belconnen</v>
      </c>
      <c r="G492" s="15" t="str">
        <f t="shared" si="159"/>
        <v>ACT</v>
      </c>
      <c r="H492" s="15">
        <f t="shared" si="160"/>
        <v>2617</v>
      </c>
      <c r="I492" s="15">
        <f t="shared" si="171"/>
        <v>1194</v>
      </c>
      <c r="J492" s="15">
        <f>OrdersTable!B492</f>
        <v>583</v>
      </c>
      <c r="K492" s="15" t="str">
        <f t="shared" si="161"/>
        <v>iPhone Skins</v>
      </c>
      <c r="L492" s="15" t="str">
        <f t="shared" si="162"/>
        <v>Doctor Who: iPhone Skin: Cyberman Delete</v>
      </c>
      <c r="M492" s="15" t="str">
        <f t="shared" si="163"/>
        <v>-</v>
      </c>
      <c r="N492" s="15">
        <f t="shared" si="164"/>
        <v>0.3</v>
      </c>
      <c r="O492" s="15" t="str">
        <f t="shared" si="165"/>
        <v>A50</v>
      </c>
      <c r="P492" s="15" t="str">
        <f t="shared" si="166"/>
        <v>Rassilon Ltd.</v>
      </c>
      <c r="Q492" s="15" t="str">
        <f t="shared" si="167"/>
        <v>82 Richard Mathews Road</v>
      </c>
      <c r="R492" s="3">
        <f>OrdersTable!C492</f>
        <v>44597</v>
      </c>
      <c r="S492" s="15">
        <f>OrdersTable!E492</f>
        <v>10</v>
      </c>
      <c r="T492" s="15">
        <f t="shared" si="168"/>
        <v>5.99</v>
      </c>
      <c r="U492" s="15">
        <f t="shared" si="169"/>
        <v>8.23</v>
      </c>
      <c r="V492" s="15">
        <f t="shared" si="170"/>
        <v>9.6999999999999993</v>
      </c>
      <c r="W492" s="15">
        <f>IF(MarkupType="Store Markup",ROUND(V492+V492*StoreMarkup,2),IF(MarkupType="Supplier Markup",V492+V492*SupplierMarkup,"Error at finding value"))</f>
        <v>15.28</v>
      </c>
      <c r="X492" s="32" t="str">
        <f t="shared" si="172"/>
        <v>0.00</v>
      </c>
      <c r="Y492" s="15">
        <f t="shared" si="173"/>
        <v>97</v>
      </c>
      <c r="Z492" s="15">
        <f t="shared" si="174"/>
        <v>152.80000000000001</v>
      </c>
      <c r="AA492" s="15">
        <f>IF(FreightType="Lethbridge-Stewart Freight ",ROUND(2.99+IF(N492&gt;0.75,(N492-0.75)*2.25,0)*S492,2),IF(MarkupType="Supplier Markup",V492+V492*SupplierMarkup,"Error at finding value"))</f>
        <v>2.99</v>
      </c>
      <c r="AB492" s="15">
        <f t="shared" si="175"/>
        <v>0</v>
      </c>
    </row>
    <row r="493" spans="1:28" x14ac:dyDescent="0.25">
      <c r="A493" s="16">
        <f>OrdersTable!A493</f>
        <v>659</v>
      </c>
      <c r="B493" s="15" t="str">
        <f t="shared" si="155"/>
        <v>Mr</v>
      </c>
      <c r="C493" s="15" t="str">
        <f t="shared" si="176"/>
        <v>Douglas</v>
      </c>
      <c r="D493" s="15" t="str">
        <f t="shared" si="156"/>
        <v>Jason Richard</v>
      </c>
      <c r="E493" s="15" t="str">
        <f t="shared" si="157"/>
        <v>14 Young Crescent</v>
      </c>
      <c r="F493" s="15" t="str">
        <f t="shared" si="158"/>
        <v>Caliph</v>
      </c>
      <c r="G493" s="15" t="str">
        <f t="shared" si="159"/>
        <v>SA</v>
      </c>
      <c r="H493" s="15">
        <f t="shared" si="160"/>
        <v>5310</v>
      </c>
      <c r="I493" s="15">
        <f t="shared" si="171"/>
        <v>1720</v>
      </c>
      <c r="J493" s="15">
        <f>OrdersTable!B493</f>
        <v>583</v>
      </c>
      <c r="K493" s="15" t="str">
        <f t="shared" si="161"/>
        <v>iPhone Skins</v>
      </c>
      <c r="L493" s="15" t="str">
        <f t="shared" si="162"/>
        <v>Doctor Who: iPhone Skin: Cyberman Delete</v>
      </c>
      <c r="M493" s="15" t="str">
        <f t="shared" si="163"/>
        <v>-</v>
      </c>
      <c r="N493" s="15">
        <f t="shared" si="164"/>
        <v>0.3</v>
      </c>
      <c r="O493" s="15" t="str">
        <f t="shared" si="165"/>
        <v>A50</v>
      </c>
      <c r="P493" s="15" t="str">
        <f t="shared" si="166"/>
        <v>Rassilon Ltd.</v>
      </c>
      <c r="Q493" s="15" t="str">
        <f t="shared" si="167"/>
        <v>82 Richard Mathews Road</v>
      </c>
      <c r="R493" s="3">
        <f>OrdersTable!C493</f>
        <v>44597</v>
      </c>
      <c r="S493" s="15">
        <f>OrdersTable!E493</f>
        <v>4</v>
      </c>
      <c r="T493" s="15">
        <f t="shared" si="168"/>
        <v>5.99</v>
      </c>
      <c r="U493" s="15">
        <f t="shared" si="169"/>
        <v>8.23</v>
      </c>
      <c r="V493" s="15">
        <f t="shared" si="170"/>
        <v>9.6999999999999993</v>
      </c>
      <c r="W493" s="15">
        <f>IF(MarkupType="Store Markup",ROUND(V493+V493*StoreMarkup,2),IF(MarkupType="Supplier Markup",V493+V493*SupplierMarkup,"Error at finding value"))</f>
        <v>15.28</v>
      </c>
      <c r="X493" s="32" t="str">
        <f t="shared" si="172"/>
        <v>0.00</v>
      </c>
      <c r="Y493" s="15">
        <f t="shared" si="173"/>
        <v>38.799999999999997</v>
      </c>
      <c r="Z493" s="15">
        <f t="shared" si="174"/>
        <v>61.12</v>
      </c>
      <c r="AA493" s="15">
        <f>IF(FreightType="Lethbridge-Stewart Freight ",ROUND(2.99+IF(N493&gt;0.75,(N493-0.75)*2.25,0)*S493,2),IF(MarkupType="Supplier Markup",V493+V493*SupplierMarkup,"Error at finding value"))</f>
        <v>2.99</v>
      </c>
      <c r="AB493" s="15">
        <f t="shared" si="175"/>
        <v>0</v>
      </c>
    </row>
    <row r="494" spans="1:28" x14ac:dyDescent="0.25">
      <c r="A494" s="16">
        <f>OrdersTable!A494</f>
        <v>46</v>
      </c>
      <c r="B494" s="15" t="str">
        <f t="shared" si="155"/>
        <v>Mrs</v>
      </c>
      <c r="C494" s="15" t="str">
        <f t="shared" si="176"/>
        <v>Dovey</v>
      </c>
      <c r="D494" s="15" t="str">
        <f t="shared" si="156"/>
        <v>Aisha Jade</v>
      </c>
      <c r="E494" s="15" t="str">
        <f t="shared" si="157"/>
        <v>43 Wilkes Circuit</v>
      </c>
      <c r="F494" s="15" t="str">
        <f t="shared" si="158"/>
        <v>Alfredtown</v>
      </c>
      <c r="G494" s="15" t="str">
        <f t="shared" si="159"/>
        <v>NSW</v>
      </c>
      <c r="H494" s="15">
        <f t="shared" si="160"/>
        <v>2650</v>
      </c>
      <c r="I494" s="15">
        <f t="shared" si="171"/>
        <v>1124</v>
      </c>
      <c r="J494" s="15">
        <f>OrdersTable!B494</f>
        <v>590</v>
      </c>
      <c r="K494" s="15" t="str">
        <f t="shared" si="161"/>
        <v>iPhone Skins</v>
      </c>
      <c r="L494" s="15" t="str">
        <f t="shared" si="162"/>
        <v>Doctor Who: iPhone Skin: Exploding TARDIS</v>
      </c>
      <c r="M494" s="15" t="str">
        <f t="shared" si="163"/>
        <v>-</v>
      </c>
      <c r="N494" s="15">
        <f t="shared" si="164"/>
        <v>0.5</v>
      </c>
      <c r="O494" s="15" t="str">
        <f t="shared" si="165"/>
        <v>A20</v>
      </c>
      <c r="P494" s="15" t="str">
        <f t="shared" si="166"/>
        <v>Morbius Inc.</v>
      </c>
      <c r="Q494" s="15" t="str">
        <f t="shared" si="167"/>
        <v>56 Michael Spice Hwy</v>
      </c>
      <c r="R494" s="3">
        <f>OrdersTable!C494</f>
        <v>44598</v>
      </c>
      <c r="S494" s="15">
        <f>OrdersTable!E494</f>
        <v>6</v>
      </c>
      <c r="T494" s="15">
        <f t="shared" si="168"/>
        <v>9.99</v>
      </c>
      <c r="U494" s="15">
        <f t="shared" si="169"/>
        <v>13.86</v>
      </c>
      <c r="V494" s="15">
        <f t="shared" si="170"/>
        <v>16.18</v>
      </c>
      <c r="W494" s="15">
        <f>IF(MarkupType="Store Markup",ROUND(V494+V494*StoreMarkup,2),IF(MarkupType="Supplier Markup",V494+V494*SupplierMarkup,"Error at finding value"))</f>
        <v>25.48</v>
      </c>
      <c r="X494" s="32" t="str">
        <f t="shared" si="172"/>
        <v>0.00</v>
      </c>
      <c r="Y494" s="15">
        <f t="shared" si="173"/>
        <v>97.08</v>
      </c>
      <c r="Z494" s="15">
        <f t="shared" si="174"/>
        <v>152.88</v>
      </c>
      <c r="AA494" s="15">
        <f>IF(FreightType="Lethbridge-Stewart Freight ",ROUND(2.99+IF(N494&gt;0.75,(N494-0.75)*2.25,0)*S494,2),IF(MarkupType="Supplier Markup",V494+V494*SupplierMarkup,"Error at finding value"))</f>
        <v>2.99</v>
      </c>
      <c r="AB494" s="15">
        <f t="shared" si="175"/>
        <v>0</v>
      </c>
    </row>
    <row r="495" spans="1:28" x14ac:dyDescent="0.25">
      <c r="A495" s="16">
        <f>OrdersTable!A495</f>
        <v>47</v>
      </c>
      <c r="B495" s="15" t="str">
        <f t="shared" si="155"/>
        <v>Dr</v>
      </c>
      <c r="C495" s="15" t="str">
        <f t="shared" si="176"/>
        <v>Kaur</v>
      </c>
      <c r="D495" s="15" t="str">
        <f t="shared" si="156"/>
        <v>Jasleen</v>
      </c>
      <c r="E495" s="15" t="str">
        <f t="shared" si="157"/>
        <v>7 Hong Road</v>
      </c>
      <c r="F495" s="15" t="str">
        <f t="shared" si="158"/>
        <v>Belconnen</v>
      </c>
      <c r="G495" s="15" t="str">
        <f t="shared" si="159"/>
        <v>ACT</v>
      </c>
      <c r="H495" s="15">
        <f t="shared" si="160"/>
        <v>2617</v>
      </c>
      <c r="I495" s="15">
        <f t="shared" si="171"/>
        <v>1194</v>
      </c>
      <c r="J495" s="15">
        <f>OrdersTable!B495</f>
        <v>812</v>
      </c>
      <c r="K495" s="15" t="str">
        <f t="shared" si="161"/>
        <v>Statues and Busts</v>
      </c>
      <c r="L495" s="15" t="str">
        <f t="shared" si="162"/>
        <v>Doctor Who: Masterpiece Collection Maxi Bust: Dalek: Day Of The Daleks</v>
      </c>
      <c r="M495" s="15" t="str">
        <f t="shared" si="163"/>
        <v>-</v>
      </c>
      <c r="N495" s="15">
        <f t="shared" si="164"/>
        <v>2.5</v>
      </c>
      <c r="O495" s="15" t="str">
        <f t="shared" si="165"/>
        <v>A20</v>
      </c>
      <c r="P495" s="15" t="str">
        <f t="shared" si="166"/>
        <v>Morbius Inc.</v>
      </c>
      <c r="Q495" s="15" t="str">
        <f t="shared" si="167"/>
        <v>56 Michael Spice Hwy</v>
      </c>
      <c r="R495" s="3">
        <f>OrdersTable!C495</f>
        <v>44598</v>
      </c>
      <c r="S495" s="15">
        <f>OrdersTable!E495</f>
        <v>10</v>
      </c>
      <c r="T495" s="15">
        <f t="shared" si="168"/>
        <v>49.99</v>
      </c>
      <c r="U495" s="15">
        <f t="shared" si="169"/>
        <v>68.47</v>
      </c>
      <c r="V495" s="15">
        <f t="shared" si="170"/>
        <v>80.98</v>
      </c>
      <c r="W495" s="15">
        <f>IF(MarkupType="Store Markup",ROUND(V495+V495*StoreMarkup,2),IF(MarkupType="Supplier Markup",V495+V495*SupplierMarkup,"Error at finding value"))</f>
        <v>127.54</v>
      </c>
      <c r="X495" s="32">
        <f t="shared" si="172"/>
        <v>9.09</v>
      </c>
      <c r="Y495" s="15">
        <f t="shared" si="173"/>
        <v>809.8</v>
      </c>
      <c r="Z495" s="15">
        <f t="shared" si="174"/>
        <v>1184.5</v>
      </c>
      <c r="AA495" s="15">
        <f>IF(FreightType="Lethbridge-Stewart Freight ",ROUND(2.99+IF(N495&gt;0.75,(N495-0.75)*2.25,0)*S495,2),IF(MarkupType="Supplier Markup",V495+V495*SupplierMarkup,"Error at finding value"))</f>
        <v>42.37</v>
      </c>
      <c r="AB495" s="15">
        <f t="shared" si="175"/>
        <v>90.9</v>
      </c>
    </row>
    <row r="496" spans="1:28" x14ac:dyDescent="0.25">
      <c r="A496" s="16">
        <f>OrdersTable!A496</f>
        <v>302</v>
      </c>
      <c r="B496" s="15" t="str">
        <f t="shared" si="155"/>
        <v>Ms</v>
      </c>
      <c r="C496" s="15" t="str">
        <f t="shared" si="176"/>
        <v>Lamshed</v>
      </c>
      <c r="D496" s="15" t="str">
        <f t="shared" si="156"/>
        <v>Laura Clare</v>
      </c>
      <c r="E496" s="15" t="str">
        <f t="shared" si="157"/>
        <v>22 Edser Drive</v>
      </c>
      <c r="F496" s="15" t="str">
        <f t="shared" si="158"/>
        <v>Caliph</v>
      </c>
      <c r="G496" s="15" t="str">
        <f t="shared" si="159"/>
        <v>SA</v>
      </c>
      <c r="H496" s="15">
        <f t="shared" si="160"/>
        <v>5310</v>
      </c>
      <c r="I496" s="15">
        <f t="shared" si="171"/>
        <v>1720</v>
      </c>
      <c r="J496" s="15">
        <f>OrdersTable!B496</f>
        <v>582</v>
      </c>
      <c r="K496" s="15" t="str">
        <f t="shared" si="161"/>
        <v>Giftware</v>
      </c>
      <c r="L496" s="15" t="str">
        <f t="shared" si="162"/>
        <v>Doctor Who: Wallpaper: Classic TARDIS Roundels</v>
      </c>
      <c r="M496" s="15" t="str">
        <f t="shared" si="163"/>
        <v>-</v>
      </c>
      <c r="N496" s="15">
        <f t="shared" si="164"/>
        <v>1.75</v>
      </c>
      <c r="O496" s="15" t="str">
        <f t="shared" si="165"/>
        <v>A40</v>
      </c>
      <c r="P496" s="15" t="str">
        <f t="shared" si="166"/>
        <v>Romana Imports</v>
      </c>
      <c r="Q496" s="15" t="str">
        <f t="shared" si="167"/>
        <v>17 Lalla Ward Road</v>
      </c>
      <c r="R496" s="3">
        <f>OrdersTable!C496</f>
        <v>44598</v>
      </c>
      <c r="S496" s="15">
        <f>OrdersTable!E496</f>
        <v>10</v>
      </c>
      <c r="T496" s="15">
        <f t="shared" si="168"/>
        <v>34.99</v>
      </c>
      <c r="U496" s="15">
        <f t="shared" si="169"/>
        <v>47.77</v>
      </c>
      <c r="V496" s="15">
        <f t="shared" si="170"/>
        <v>56.68</v>
      </c>
      <c r="W496" s="15">
        <f>IF(MarkupType="Store Markup",ROUND(V496+V496*StoreMarkup,2),IF(MarkupType="Supplier Markup",V496+V496*SupplierMarkup,"Error at finding value"))</f>
        <v>89.27</v>
      </c>
      <c r="X496" s="32" t="str">
        <f t="shared" si="172"/>
        <v>0.00</v>
      </c>
      <c r="Y496" s="15">
        <f t="shared" si="173"/>
        <v>566.79999999999995</v>
      </c>
      <c r="Z496" s="15">
        <f t="shared" si="174"/>
        <v>892.7</v>
      </c>
      <c r="AA496" s="15">
        <f>IF(FreightType="Lethbridge-Stewart Freight ",ROUND(2.99+IF(N496&gt;0.75,(N496-0.75)*2.25,0)*S496,2),IF(MarkupType="Supplier Markup",V496+V496*SupplierMarkup,"Error at finding value"))</f>
        <v>25.49</v>
      </c>
      <c r="AB496" s="15">
        <f t="shared" si="175"/>
        <v>0</v>
      </c>
    </row>
    <row r="497" spans="1:28" x14ac:dyDescent="0.25">
      <c r="A497" s="16">
        <f>OrdersTable!A497</f>
        <v>333</v>
      </c>
      <c r="B497" s="15" t="str">
        <f t="shared" si="155"/>
        <v>Mr</v>
      </c>
      <c r="C497" s="15" t="str">
        <f t="shared" si="176"/>
        <v>Martin</v>
      </c>
      <c r="D497" s="15" t="str">
        <f t="shared" si="156"/>
        <v>Damien Roger</v>
      </c>
      <c r="E497" s="15" t="str">
        <f t="shared" si="157"/>
        <v>23 Quennell Way</v>
      </c>
      <c r="F497" s="15" t="str">
        <f t="shared" si="158"/>
        <v>Aberfoyle</v>
      </c>
      <c r="G497" s="15" t="str">
        <f t="shared" si="159"/>
        <v>NSW</v>
      </c>
      <c r="H497" s="15">
        <f t="shared" si="160"/>
        <v>2350</v>
      </c>
      <c r="I497" s="15">
        <f t="shared" si="171"/>
        <v>363</v>
      </c>
      <c r="J497" s="15">
        <f>OrdersTable!B497</f>
        <v>724</v>
      </c>
      <c r="K497" s="15" t="str">
        <f t="shared" si="161"/>
        <v>Posters, Prints and Standees</v>
      </c>
      <c r="L497" s="15" t="str">
        <f t="shared" si="162"/>
        <v>Doctor Who: Standee: The 10th Doctor</v>
      </c>
      <c r="M497" s="15" t="str">
        <f t="shared" si="163"/>
        <v>-</v>
      </c>
      <c r="N497" s="15">
        <f t="shared" si="164"/>
        <v>1.125</v>
      </c>
      <c r="O497" s="15" t="str">
        <f t="shared" si="165"/>
        <v>A50</v>
      </c>
      <c r="P497" s="15" t="str">
        <f t="shared" si="166"/>
        <v>Rassilon Ltd.</v>
      </c>
      <c r="Q497" s="15" t="str">
        <f t="shared" si="167"/>
        <v>82 Richard Mathews Road</v>
      </c>
      <c r="R497" s="3">
        <f>OrdersTable!C497</f>
        <v>44598</v>
      </c>
      <c r="S497" s="15">
        <f>OrdersTable!E497</f>
        <v>6</v>
      </c>
      <c r="T497" s="15">
        <f t="shared" si="168"/>
        <v>22.49</v>
      </c>
      <c r="U497" s="15">
        <f t="shared" si="169"/>
        <v>30.77</v>
      </c>
      <c r="V497" s="15">
        <f t="shared" si="170"/>
        <v>36.43</v>
      </c>
      <c r="W497" s="15">
        <f>IF(MarkupType="Store Markup",ROUND(V497+V497*StoreMarkup,2),IF(MarkupType="Supplier Markup",V497+V497*SupplierMarkup,"Error at finding value"))</f>
        <v>57.38</v>
      </c>
      <c r="X497" s="32" t="str">
        <f t="shared" si="172"/>
        <v>0.00</v>
      </c>
      <c r="Y497" s="15">
        <f t="shared" si="173"/>
        <v>218.58</v>
      </c>
      <c r="Z497" s="15">
        <f t="shared" si="174"/>
        <v>344.28</v>
      </c>
      <c r="AA497" s="15">
        <f>IF(FreightType="Lethbridge-Stewart Freight ",ROUND(2.99+IF(N497&gt;0.75,(N497-0.75)*2.25,0)*S497,2),IF(MarkupType="Supplier Markup",V497+V497*SupplierMarkup,"Error at finding value"))</f>
        <v>8.0500000000000007</v>
      </c>
      <c r="AB497" s="15">
        <f t="shared" si="175"/>
        <v>0</v>
      </c>
    </row>
    <row r="498" spans="1:28" x14ac:dyDescent="0.25">
      <c r="A498" s="16">
        <f>OrdersTable!A498</f>
        <v>364</v>
      </c>
      <c r="B498" s="15" t="str">
        <f t="shared" si="155"/>
        <v>Dr</v>
      </c>
      <c r="C498" s="15" t="str">
        <f t="shared" si="176"/>
        <v>Reibelt</v>
      </c>
      <c r="D498" s="15" t="str">
        <f t="shared" si="156"/>
        <v>Corey James</v>
      </c>
      <c r="E498" s="15" t="str">
        <f t="shared" si="157"/>
        <v>23 Burns Drive</v>
      </c>
      <c r="F498" s="15" t="str">
        <f t="shared" si="158"/>
        <v>Caliph</v>
      </c>
      <c r="G498" s="15" t="str">
        <f t="shared" si="159"/>
        <v>SA</v>
      </c>
      <c r="H498" s="15">
        <f t="shared" si="160"/>
        <v>5310</v>
      </c>
      <c r="I498" s="15">
        <f t="shared" si="171"/>
        <v>1720</v>
      </c>
      <c r="J498" s="15">
        <f>OrdersTable!B498</f>
        <v>594</v>
      </c>
      <c r="K498" s="15" t="str">
        <f t="shared" si="161"/>
        <v>iPhone Skins</v>
      </c>
      <c r="L498" s="15" t="str">
        <f t="shared" si="162"/>
        <v>Doctor Who: iPhone Skin: Keep Calm And Don't Blink</v>
      </c>
      <c r="M498" s="15" t="str">
        <f t="shared" si="163"/>
        <v>-</v>
      </c>
      <c r="N498" s="15">
        <f t="shared" si="164"/>
        <v>0.5</v>
      </c>
      <c r="O498" s="15" t="str">
        <f t="shared" si="165"/>
        <v>A20</v>
      </c>
      <c r="P498" s="15" t="str">
        <f t="shared" si="166"/>
        <v>Morbius Inc.</v>
      </c>
      <c r="Q498" s="15" t="str">
        <f t="shared" si="167"/>
        <v>56 Michael Spice Hwy</v>
      </c>
      <c r="R498" s="3">
        <f>OrdersTable!C498</f>
        <v>44598</v>
      </c>
      <c r="S498" s="15">
        <f>OrdersTable!E498</f>
        <v>8</v>
      </c>
      <c r="T498" s="15">
        <f t="shared" si="168"/>
        <v>9.99</v>
      </c>
      <c r="U498" s="15">
        <f t="shared" si="169"/>
        <v>13.88</v>
      </c>
      <c r="V498" s="15">
        <f t="shared" si="170"/>
        <v>16.18</v>
      </c>
      <c r="W498" s="15">
        <f>IF(MarkupType="Store Markup",ROUND(V498+V498*StoreMarkup,2),IF(MarkupType="Supplier Markup",V498+V498*SupplierMarkup,"Error at finding value"))</f>
        <v>25.48</v>
      </c>
      <c r="X498" s="32" t="str">
        <f t="shared" si="172"/>
        <v>0.00</v>
      </c>
      <c r="Y498" s="15">
        <f t="shared" si="173"/>
        <v>129.44</v>
      </c>
      <c r="Z498" s="15">
        <f t="shared" si="174"/>
        <v>203.84</v>
      </c>
      <c r="AA498" s="15">
        <f>IF(FreightType="Lethbridge-Stewart Freight ",ROUND(2.99+IF(N498&gt;0.75,(N498-0.75)*2.25,0)*S498,2),IF(MarkupType="Supplier Markup",V498+V498*SupplierMarkup,"Error at finding value"))</f>
        <v>2.99</v>
      </c>
      <c r="AB498" s="15">
        <f t="shared" si="175"/>
        <v>0</v>
      </c>
    </row>
    <row r="499" spans="1:28" x14ac:dyDescent="0.25">
      <c r="A499" s="16">
        <f>OrdersTable!A499</f>
        <v>448</v>
      </c>
      <c r="B499" s="15" t="str">
        <f t="shared" si="155"/>
        <v>Mr</v>
      </c>
      <c r="C499" s="15" t="str">
        <f t="shared" si="176"/>
        <v>Earl</v>
      </c>
      <c r="D499" s="15" t="str">
        <f t="shared" si="156"/>
        <v>Benn Robert</v>
      </c>
      <c r="E499" s="15" t="str">
        <f t="shared" si="157"/>
        <v>31 Kae Drive</v>
      </c>
      <c r="F499" s="15" t="str">
        <f t="shared" si="158"/>
        <v>Belford</v>
      </c>
      <c r="G499" s="15" t="str">
        <f t="shared" si="159"/>
        <v>NSW</v>
      </c>
      <c r="H499" s="15">
        <f t="shared" si="160"/>
        <v>2335</v>
      </c>
      <c r="I499" s="15">
        <f t="shared" si="171"/>
        <v>716</v>
      </c>
      <c r="J499" s="15">
        <f>OrdersTable!B499</f>
        <v>759</v>
      </c>
      <c r="K499" s="15" t="str">
        <f t="shared" si="161"/>
        <v>Statues and Busts</v>
      </c>
      <c r="L499" s="15" t="str">
        <f t="shared" si="162"/>
        <v>Doctor Who: Legends Forever Bust: Jon Pertwee</v>
      </c>
      <c r="M499" s="15" t="str">
        <f t="shared" si="163"/>
        <v>-</v>
      </c>
      <c r="N499" s="15">
        <f t="shared" si="164"/>
        <v>1.375</v>
      </c>
      <c r="O499" s="15" t="str">
        <f t="shared" si="165"/>
        <v>A30</v>
      </c>
      <c r="P499" s="15" t="str">
        <f t="shared" si="166"/>
        <v>Chesterton Enterprises</v>
      </c>
      <c r="Q499" s="15" t="str">
        <f t="shared" si="167"/>
        <v>41 William Russell Road</v>
      </c>
      <c r="R499" s="3">
        <f>OrdersTable!C499</f>
        <v>44598</v>
      </c>
      <c r="S499" s="15">
        <f>OrdersTable!E499</f>
        <v>9</v>
      </c>
      <c r="T499" s="15">
        <f t="shared" si="168"/>
        <v>27.5</v>
      </c>
      <c r="U499" s="15">
        <f t="shared" si="169"/>
        <v>37.630000000000003</v>
      </c>
      <c r="V499" s="15">
        <f t="shared" si="170"/>
        <v>44.55</v>
      </c>
      <c r="W499" s="15">
        <f>IF(MarkupType="Store Markup",ROUND(V499+V499*StoreMarkup,2),IF(MarkupType="Supplier Markup",V499+V499*SupplierMarkup,"Error at finding value"))</f>
        <v>70.17</v>
      </c>
      <c r="X499" s="32" t="str">
        <f t="shared" si="172"/>
        <v>0.00</v>
      </c>
      <c r="Y499" s="15">
        <f t="shared" si="173"/>
        <v>400.95</v>
      </c>
      <c r="Z499" s="15">
        <f t="shared" si="174"/>
        <v>631.53</v>
      </c>
      <c r="AA499" s="15">
        <f>IF(FreightType="Lethbridge-Stewart Freight ",ROUND(2.99+IF(N499&gt;0.75,(N499-0.75)*2.25,0)*S499,2),IF(MarkupType="Supplier Markup",V499+V499*SupplierMarkup,"Error at finding value"))</f>
        <v>15.65</v>
      </c>
      <c r="AB499" s="15">
        <f t="shared" si="175"/>
        <v>0</v>
      </c>
    </row>
    <row r="500" spans="1:28" x14ac:dyDescent="0.25">
      <c r="A500" s="16">
        <f>OrdersTable!A500</f>
        <v>543</v>
      </c>
      <c r="B500" s="15" t="str">
        <f t="shared" si="155"/>
        <v>Ms</v>
      </c>
      <c r="C500" s="15" t="str">
        <f t="shared" si="176"/>
        <v>Mendezona</v>
      </c>
      <c r="D500" s="15" t="str">
        <f t="shared" si="156"/>
        <v>Tara Colleen-Mary</v>
      </c>
      <c r="E500" s="15" t="str">
        <f t="shared" si="157"/>
        <v>27 Picone Drive</v>
      </c>
      <c r="F500" s="15" t="str">
        <f t="shared" si="158"/>
        <v>Aberfoyle</v>
      </c>
      <c r="G500" s="15" t="str">
        <f t="shared" si="159"/>
        <v>NSW</v>
      </c>
      <c r="H500" s="15">
        <f t="shared" si="160"/>
        <v>2350</v>
      </c>
      <c r="I500" s="15">
        <f t="shared" si="171"/>
        <v>363</v>
      </c>
      <c r="J500" s="15">
        <f>OrdersTable!B500</f>
        <v>840</v>
      </c>
      <c r="K500" s="15" t="str">
        <f t="shared" si="161"/>
        <v>Statues and Busts</v>
      </c>
      <c r="L500" s="15" t="str">
        <f t="shared" si="162"/>
        <v>Doctor Who: Signature Edition Statue: Gallifrey Edition: Patrick Troughton</v>
      </c>
      <c r="M500" s="15" t="str">
        <f t="shared" si="163"/>
        <v>-</v>
      </c>
      <c r="N500" s="15">
        <f t="shared" si="164"/>
        <v>2.5</v>
      </c>
      <c r="O500" s="15" t="str">
        <f t="shared" si="165"/>
        <v>A40</v>
      </c>
      <c r="P500" s="15" t="str">
        <f t="shared" si="166"/>
        <v>Romana Imports</v>
      </c>
      <c r="Q500" s="15" t="str">
        <f t="shared" si="167"/>
        <v>17 Lalla Ward Road</v>
      </c>
      <c r="R500" s="3">
        <f>OrdersTable!C500</f>
        <v>44598</v>
      </c>
      <c r="S500" s="15">
        <f>OrdersTable!E500</f>
        <v>3</v>
      </c>
      <c r="T500" s="15">
        <f t="shared" si="168"/>
        <v>49.99</v>
      </c>
      <c r="U500" s="15">
        <f t="shared" si="169"/>
        <v>68.510000000000005</v>
      </c>
      <c r="V500" s="15">
        <f t="shared" si="170"/>
        <v>80.98</v>
      </c>
      <c r="W500" s="15">
        <f>IF(MarkupType="Store Markup",ROUND(V500+V500*StoreMarkup,2),IF(MarkupType="Supplier Markup",V500+V500*SupplierMarkup,"Error at finding value"))</f>
        <v>127.54</v>
      </c>
      <c r="X500" s="32">
        <f t="shared" si="172"/>
        <v>9.09</v>
      </c>
      <c r="Y500" s="15">
        <f t="shared" si="173"/>
        <v>242.94</v>
      </c>
      <c r="Z500" s="15">
        <f t="shared" si="174"/>
        <v>355.35</v>
      </c>
      <c r="AA500" s="15">
        <f>IF(FreightType="Lethbridge-Stewart Freight ",ROUND(2.99+IF(N500&gt;0.75,(N500-0.75)*2.25,0)*S500,2),IF(MarkupType="Supplier Markup",V500+V500*SupplierMarkup,"Error at finding value"))</f>
        <v>14.8</v>
      </c>
      <c r="AB500" s="15">
        <f t="shared" si="175"/>
        <v>27.27</v>
      </c>
    </row>
    <row r="501" spans="1:28" x14ac:dyDescent="0.25">
      <c r="A501" s="16">
        <f>OrdersTable!A501</f>
        <v>567</v>
      </c>
      <c r="B501" s="15" t="str">
        <f t="shared" si="155"/>
        <v>Ms</v>
      </c>
      <c r="C501" s="15" t="str">
        <f t="shared" si="176"/>
        <v>Perkins</v>
      </c>
      <c r="D501" s="15" t="str">
        <f t="shared" si="156"/>
        <v>Sarah</v>
      </c>
      <c r="E501" s="15" t="str">
        <f t="shared" si="157"/>
        <v>7 Tengdahl Road</v>
      </c>
      <c r="F501" s="15" t="str">
        <f t="shared" si="158"/>
        <v>Areegra</v>
      </c>
      <c r="G501" s="15" t="str">
        <f t="shared" si="159"/>
        <v>VIC</v>
      </c>
      <c r="H501" s="15">
        <f t="shared" si="160"/>
        <v>3480</v>
      </c>
      <c r="I501" s="15">
        <f t="shared" si="171"/>
        <v>1559</v>
      </c>
      <c r="J501" s="15">
        <f>OrdersTable!B501</f>
        <v>724</v>
      </c>
      <c r="K501" s="15" t="str">
        <f t="shared" si="161"/>
        <v>Posters, Prints and Standees</v>
      </c>
      <c r="L501" s="15" t="str">
        <f t="shared" si="162"/>
        <v>Doctor Who: Standee: The 10th Doctor</v>
      </c>
      <c r="M501" s="15" t="str">
        <f t="shared" si="163"/>
        <v>-</v>
      </c>
      <c r="N501" s="15">
        <f t="shared" si="164"/>
        <v>1.125</v>
      </c>
      <c r="O501" s="15" t="str">
        <f t="shared" si="165"/>
        <v>A50</v>
      </c>
      <c r="P501" s="15" t="str">
        <f t="shared" si="166"/>
        <v>Rassilon Ltd.</v>
      </c>
      <c r="Q501" s="15" t="str">
        <f t="shared" si="167"/>
        <v>82 Richard Mathews Road</v>
      </c>
      <c r="R501" s="3">
        <f>OrdersTable!C501</f>
        <v>44598</v>
      </c>
      <c r="S501" s="15">
        <f>OrdersTable!E501</f>
        <v>8</v>
      </c>
      <c r="T501" s="15">
        <f t="shared" si="168"/>
        <v>22.49</v>
      </c>
      <c r="U501" s="15">
        <f t="shared" si="169"/>
        <v>30.77</v>
      </c>
      <c r="V501" s="15">
        <f t="shared" si="170"/>
        <v>36.43</v>
      </c>
      <c r="W501" s="15">
        <f>IF(MarkupType="Store Markup",ROUND(V501+V501*StoreMarkup,2),IF(MarkupType="Supplier Markup",V501+V501*SupplierMarkup,"Error at finding value"))</f>
        <v>57.38</v>
      </c>
      <c r="X501" s="32" t="str">
        <f t="shared" si="172"/>
        <v>0.00</v>
      </c>
      <c r="Y501" s="15">
        <f t="shared" si="173"/>
        <v>291.44</v>
      </c>
      <c r="Z501" s="15">
        <f t="shared" si="174"/>
        <v>459.04</v>
      </c>
      <c r="AA501" s="15">
        <f>IF(FreightType="Lethbridge-Stewart Freight ",ROUND(2.99+IF(N501&gt;0.75,(N501-0.75)*2.25,0)*S501,2),IF(MarkupType="Supplier Markup",V501+V501*SupplierMarkup,"Error at finding value"))</f>
        <v>9.74</v>
      </c>
      <c r="AB501" s="15">
        <f t="shared" si="175"/>
        <v>0</v>
      </c>
    </row>
    <row r="502" spans="1:28" x14ac:dyDescent="0.25">
      <c r="A502" s="16">
        <f>OrdersTable!A502</f>
        <v>568</v>
      </c>
      <c r="B502" s="15" t="str">
        <f t="shared" si="155"/>
        <v>Mr</v>
      </c>
      <c r="C502" s="15" t="str">
        <f t="shared" si="176"/>
        <v>Byrne</v>
      </c>
      <c r="D502" s="15" t="str">
        <f t="shared" si="156"/>
        <v>Gregory James</v>
      </c>
      <c r="E502" s="15" t="str">
        <f t="shared" si="157"/>
        <v>18 Doroshenko Crescent</v>
      </c>
      <c r="F502" s="15" t="str">
        <f t="shared" si="158"/>
        <v>Abington</v>
      </c>
      <c r="G502" s="15" t="str">
        <f t="shared" si="159"/>
        <v>QLD</v>
      </c>
      <c r="H502" s="15">
        <f t="shared" si="160"/>
        <v>4660</v>
      </c>
      <c r="I502" s="15">
        <f t="shared" si="171"/>
        <v>336</v>
      </c>
      <c r="J502" s="15">
        <f>OrdersTable!B502</f>
        <v>704</v>
      </c>
      <c r="K502" s="15" t="str">
        <f t="shared" si="161"/>
        <v>Posters, Prints and Standees</v>
      </c>
      <c r="L502" s="15" t="str">
        <f t="shared" si="162"/>
        <v>Doctor Who: Poster: Doctor's Enemies</v>
      </c>
      <c r="M502" s="15" t="str">
        <f t="shared" si="163"/>
        <v>-</v>
      </c>
      <c r="N502" s="15">
        <f t="shared" si="164"/>
        <v>0.2</v>
      </c>
      <c r="O502" s="15" t="str">
        <f t="shared" si="165"/>
        <v>A30</v>
      </c>
      <c r="P502" s="15" t="str">
        <f t="shared" si="166"/>
        <v>Chesterton Enterprises</v>
      </c>
      <c r="Q502" s="15" t="str">
        <f t="shared" si="167"/>
        <v>41 William Russell Road</v>
      </c>
      <c r="R502" s="3">
        <f>OrdersTable!C502</f>
        <v>44598</v>
      </c>
      <c r="S502" s="15">
        <f>OrdersTable!E502</f>
        <v>9</v>
      </c>
      <c r="T502" s="15">
        <f t="shared" si="168"/>
        <v>3.99</v>
      </c>
      <c r="U502" s="15">
        <f t="shared" si="169"/>
        <v>5.52</v>
      </c>
      <c r="V502" s="15">
        <f t="shared" si="170"/>
        <v>6.46</v>
      </c>
      <c r="W502" s="15">
        <f>IF(MarkupType="Store Markup",ROUND(V502+V502*StoreMarkup,2),IF(MarkupType="Supplier Markup",V502+V502*SupplierMarkup,"Error at finding value"))</f>
        <v>10.17</v>
      </c>
      <c r="X502" s="32" t="str">
        <f t="shared" si="172"/>
        <v>0.00</v>
      </c>
      <c r="Y502" s="15">
        <f t="shared" si="173"/>
        <v>58.14</v>
      </c>
      <c r="Z502" s="15">
        <f t="shared" si="174"/>
        <v>91.53</v>
      </c>
      <c r="AA502" s="15">
        <f>IF(FreightType="Lethbridge-Stewart Freight ",ROUND(2.99+IF(N502&gt;0.75,(N502-0.75)*2.25,0)*S502,2),IF(MarkupType="Supplier Markup",V502+V502*SupplierMarkup,"Error at finding value"))</f>
        <v>2.99</v>
      </c>
      <c r="AB502" s="15">
        <f t="shared" si="175"/>
        <v>0</v>
      </c>
    </row>
    <row r="503" spans="1:28" x14ac:dyDescent="0.25">
      <c r="A503" s="16">
        <f>OrdersTable!A503</f>
        <v>594</v>
      </c>
      <c r="B503" s="15" t="str">
        <f t="shared" si="155"/>
        <v>Mrs</v>
      </c>
      <c r="C503" s="15" t="str">
        <f t="shared" si="176"/>
        <v>Entriken</v>
      </c>
      <c r="D503" s="15" t="str">
        <f t="shared" si="156"/>
        <v>Gwenda Dawn</v>
      </c>
      <c r="E503" s="15" t="str">
        <f t="shared" si="157"/>
        <v>8 Miljkovic Drive</v>
      </c>
      <c r="F503" s="15" t="str">
        <f t="shared" si="158"/>
        <v>Nayook</v>
      </c>
      <c r="G503" s="15" t="str">
        <f t="shared" si="159"/>
        <v>VIC</v>
      </c>
      <c r="H503" s="15">
        <f t="shared" si="160"/>
        <v>3832</v>
      </c>
      <c r="I503" s="15">
        <f t="shared" si="171"/>
        <v>1552</v>
      </c>
      <c r="J503" s="15">
        <f>OrdersTable!B503</f>
        <v>711</v>
      </c>
      <c r="K503" s="15" t="str">
        <f t="shared" si="161"/>
        <v>Posters, Prints and Standees</v>
      </c>
      <c r="L503" s="15" t="str">
        <f t="shared" si="162"/>
        <v>Doctor Who: Poster: TARDIS Door Poster</v>
      </c>
      <c r="M503" s="15" t="str">
        <f t="shared" si="163"/>
        <v>-</v>
      </c>
      <c r="N503" s="15">
        <f t="shared" si="164"/>
        <v>0.3</v>
      </c>
      <c r="O503" s="15" t="str">
        <f t="shared" si="165"/>
        <v>A20</v>
      </c>
      <c r="P503" s="15" t="str">
        <f t="shared" si="166"/>
        <v>Morbius Inc.</v>
      </c>
      <c r="Q503" s="15" t="str">
        <f t="shared" si="167"/>
        <v>56 Michael Spice Hwy</v>
      </c>
      <c r="R503" s="3">
        <f>OrdersTable!C503</f>
        <v>44598</v>
      </c>
      <c r="S503" s="15">
        <f>OrdersTable!E503</f>
        <v>6</v>
      </c>
      <c r="T503" s="15">
        <f t="shared" si="168"/>
        <v>5.99</v>
      </c>
      <c r="U503" s="15">
        <f t="shared" si="169"/>
        <v>8.41</v>
      </c>
      <c r="V503" s="15">
        <f t="shared" si="170"/>
        <v>9.6999999999999993</v>
      </c>
      <c r="W503" s="15">
        <f>IF(MarkupType="Store Markup",ROUND(V503+V503*StoreMarkup,2),IF(MarkupType="Supplier Markup",V503+V503*SupplierMarkup,"Error at finding value"))</f>
        <v>15.28</v>
      </c>
      <c r="X503" s="32" t="str">
        <f t="shared" si="172"/>
        <v>0.00</v>
      </c>
      <c r="Y503" s="15">
        <f t="shared" si="173"/>
        <v>58.2</v>
      </c>
      <c r="Z503" s="15">
        <f t="shared" si="174"/>
        <v>91.68</v>
      </c>
      <c r="AA503" s="15">
        <f>IF(FreightType="Lethbridge-Stewart Freight ",ROUND(2.99+IF(N503&gt;0.75,(N503-0.75)*2.25,0)*S503,2),IF(MarkupType="Supplier Markup",V503+V503*SupplierMarkup,"Error at finding value"))</f>
        <v>2.99</v>
      </c>
      <c r="AB503" s="15">
        <f t="shared" si="175"/>
        <v>0</v>
      </c>
    </row>
    <row r="504" spans="1:28" x14ac:dyDescent="0.25">
      <c r="A504" s="16">
        <f>OrdersTable!A504</f>
        <v>643</v>
      </c>
      <c r="B504" s="15" t="str">
        <f t="shared" si="155"/>
        <v>Ms</v>
      </c>
      <c r="C504" s="15" t="str">
        <f t="shared" si="176"/>
        <v>Crispin-Purcell</v>
      </c>
      <c r="D504" s="15" t="str">
        <f t="shared" si="156"/>
        <v>Gabriellen Elizabeth</v>
      </c>
      <c r="E504" s="15" t="str">
        <f t="shared" si="157"/>
        <v>12 Williams Road</v>
      </c>
      <c r="F504" s="15" t="str">
        <f t="shared" si="158"/>
        <v>Appletree Flat</v>
      </c>
      <c r="G504" s="15" t="str">
        <f t="shared" si="159"/>
        <v>NSW</v>
      </c>
      <c r="H504" s="15">
        <f t="shared" si="160"/>
        <v>2330</v>
      </c>
      <c r="I504" s="15">
        <f t="shared" si="171"/>
        <v>691</v>
      </c>
      <c r="J504" s="15">
        <f>OrdersTable!B504</f>
        <v>725</v>
      </c>
      <c r="K504" s="15" t="str">
        <f t="shared" si="161"/>
        <v>Props and Replicas</v>
      </c>
      <c r="L504" s="15" t="str">
        <f t="shared" si="162"/>
        <v>Doctor Who: Captain Jack Sonic Blaster</v>
      </c>
      <c r="M504" s="15" t="str">
        <f t="shared" si="163"/>
        <v>-</v>
      </c>
      <c r="N504" s="15">
        <f t="shared" si="164"/>
        <v>14.8</v>
      </c>
      <c r="O504" s="15" t="str">
        <f t="shared" si="165"/>
        <v>A30</v>
      </c>
      <c r="P504" s="15" t="str">
        <f t="shared" si="166"/>
        <v>Chesterton Enterprises</v>
      </c>
      <c r="Q504" s="15" t="str">
        <f t="shared" si="167"/>
        <v>41 William Russell Road</v>
      </c>
      <c r="R504" s="3">
        <f>OrdersTable!C504</f>
        <v>44598</v>
      </c>
      <c r="S504" s="15">
        <f>OrdersTable!E504</f>
        <v>5</v>
      </c>
      <c r="T504" s="15">
        <f t="shared" si="168"/>
        <v>295.99</v>
      </c>
      <c r="U504" s="15">
        <f t="shared" si="169"/>
        <v>403.88</v>
      </c>
      <c r="V504" s="15">
        <f t="shared" si="170"/>
        <v>479.5</v>
      </c>
      <c r="W504" s="15">
        <f>IF(MarkupType="Store Markup",ROUND(V504+V504*StoreMarkup,2),IF(MarkupType="Supplier Markup",V504+V504*SupplierMarkup,"Error at finding value"))</f>
        <v>755.21</v>
      </c>
      <c r="X504" s="32">
        <f t="shared" si="172"/>
        <v>53.81</v>
      </c>
      <c r="Y504" s="15">
        <f t="shared" si="173"/>
        <v>2397.5</v>
      </c>
      <c r="Z504" s="15">
        <f t="shared" si="174"/>
        <v>3507</v>
      </c>
      <c r="AA504" s="15">
        <f>IF(FreightType="Lethbridge-Stewart Freight ",ROUND(2.99+IF(N504&gt;0.75,(N504-0.75)*2.25,0)*S504,2),IF(MarkupType="Supplier Markup",V504+V504*SupplierMarkup,"Error at finding value"))</f>
        <v>161.05000000000001</v>
      </c>
      <c r="AB504" s="15">
        <f t="shared" si="175"/>
        <v>269.05</v>
      </c>
    </row>
    <row r="505" spans="1:28" x14ac:dyDescent="0.25">
      <c r="A505" s="16">
        <f>OrdersTable!A505</f>
        <v>972</v>
      </c>
      <c r="B505" s="15" t="str">
        <f t="shared" si="155"/>
        <v>Miss</v>
      </c>
      <c r="C505" s="15" t="str">
        <f t="shared" si="176"/>
        <v>Walsh</v>
      </c>
      <c r="D505" s="15" t="str">
        <f t="shared" si="156"/>
        <v>Alana Jane</v>
      </c>
      <c r="E505" s="15" t="str">
        <f t="shared" si="157"/>
        <v>40 Betts Crescent</v>
      </c>
      <c r="F505" s="15" t="str">
        <f t="shared" si="158"/>
        <v>Alleena</v>
      </c>
      <c r="G505" s="15" t="str">
        <f t="shared" si="159"/>
        <v>NSW</v>
      </c>
      <c r="H505" s="15">
        <f t="shared" si="160"/>
        <v>2671</v>
      </c>
      <c r="I505" s="15">
        <f t="shared" si="171"/>
        <v>988</v>
      </c>
      <c r="J505" s="15">
        <f>OrdersTable!B505</f>
        <v>699</v>
      </c>
      <c r="K505" s="15" t="str">
        <f t="shared" si="161"/>
        <v>Posters, Prints and Standees</v>
      </c>
      <c r="L505" s="15" t="str">
        <f t="shared" si="162"/>
        <v>Doctor Who: Half Sized Standee: The Master</v>
      </c>
      <c r="M505" s="15" t="str">
        <f t="shared" si="163"/>
        <v>-</v>
      </c>
      <c r="N505" s="15">
        <f t="shared" si="164"/>
        <v>0.5</v>
      </c>
      <c r="O505" s="15" t="str">
        <f t="shared" si="165"/>
        <v>A20</v>
      </c>
      <c r="P505" s="15" t="str">
        <f t="shared" si="166"/>
        <v>Morbius Inc.</v>
      </c>
      <c r="Q505" s="15" t="str">
        <f t="shared" si="167"/>
        <v>56 Michael Spice Hwy</v>
      </c>
      <c r="R505" s="3">
        <f>OrdersTable!C505</f>
        <v>44598</v>
      </c>
      <c r="S505" s="15">
        <f>OrdersTable!E505</f>
        <v>6</v>
      </c>
      <c r="T505" s="15">
        <f t="shared" si="168"/>
        <v>9.99</v>
      </c>
      <c r="U505" s="15">
        <f t="shared" si="169"/>
        <v>13.79</v>
      </c>
      <c r="V505" s="15">
        <f t="shared" si="170"/>
        <v>16.18</v>
      </c>
      <c r="W505" s="15">
        <f>IF(MarkupType="Store Markup",ROUND(V505+V505*StoreMarkup,2),IF(MarkupType="Supplier Markup",V505+V505*SupplierMarkup,"Error at finding value"))</f>
        <v>25.48</v>
      </c>
      <c r="X505" s="32" t="str">
        <f t="shared" si="172"/>
        <v>0.00</v>
      </c>
      <c r="Y505" s="15">
        <f t="shared" si="173"/>
        <v>97.08</v>
      </c>
      <c r="Z505" s="15">
        <f t="shared" si="174"/>
        <v>152.88</v>
      </c>
      <c r="AA505" s="15">
        <f>IF(FreightType="Lethbridge-Stewart Freight ",ROUND(2.99+IF(N505&gt;0.75,(N505-0.75)*2.25,0)*S505,2),IF(MarkupType="Supplier Markup",V505+V505*SupplierMarkup,"Error at finding value"))</f>
        <v>2.99</v>
      </c>
      <c r="AB505" s="15">
        <f t="shared" si="175"/>
        <v>0</v>
      </c>
    </row>
    <row r="506" spans="1:28" x14ac:dyDescent="0.25">
      <c r="A506" s="16">
        <f>OrdersTable!A506</f>
        <v>55</v>
      </c>
      <c r="B506" s="15" t="str">
        <f t="shared" si="155"/>
        <v>Mr</v>
      </c>
      <c r="C506" s="15" t="str">
        <f t="shared" si="176"/>
        <v>Myers</v>
      </c>
      <c r="D506" s="15" t="str">
        <f t="shared" si="156"/>
        <v>Luke Charles</v>
      </c>
      <c r="E506" s="15" t="str">
        <f t="shared" si="157"/>
        <v>25 Penrose Street</v>
      </c>
      <c r="F506" s="15" t="str">
        <f t="shared" si="158"/>
        <v>Black Hills</v>
      </c>
      <c r="G506" s="15" t="str">
        <f t="shared" si="159"/>
        <v>TAS</v>
      </c>
      <c r="H506" s="15">
        <f t="shared" si="160"/>
        <v>7140</v>
      </c>
      <c r="I506" s="15">
        <f t="shared" si="171"/>
        <v>2191</v>
      </c>
      <c r="J506" s="15">
        <f>OrdersTable!B506</f>
        <v>758</v>
      </c>
      <c r="K506" s="15" t="str">
        <f t="shared" si="161"/>
        <v>Statues and Busts</v>
      </c>
      <c r="L506" s="15" t="str">
        <f t="shared" si="162"/>
        <v>Doctor Who: Helmet: Sontaran Officer Linx</v>
      </c>
      <c r="M506" s="15" t="str">
        <f t="shared" si="163"/>
        <v>-</v>
      </c>
      <c r="N506" s="15">
        <f t="shared" si="164"/>
        <v>1.75</v>
      </c>
      <c r="O506" s="15" t="str">
        <f t="shared" si="165"/>
        <v>A50</v>
      </c>
      <c r="P506" s="15" t="str">
        <f t="shared" si="166"/>
        <v>Rassilon Ltd.</v>
      </c>
      <c r="Q506" s="15" t="str">
        <f t="shared" si="167"/>
        <v>82 Richard Mathews Road</v>
      </c>
      <c r="R506" s="3">
        <f>OrdersTable!C506</f>
        <v>44599</v>
      </c>
      <c r="S506" s="15">
        <f>OrdersTable!E506</f>
        <v>1</v>
      </c>
      <c r="T506" s="15">
        <f t="shared" si="168"/>
        <v>34.99</v>
      </c>
      <c r="U506" s="15">
        <f t="shared" si="169"/>
        <v>47.79</v>
      </c>
      <c r="V506" s="15">
        <f t="shared" si="170"/>
        <v>56.68</v>
      </c>
      <c r="W506" s="15">
        <f>IF(MarkupType="Store Markup",ROUND(V506+V506*StoreMarkup,2),IF(MarkupType="Supplier Markup",V506+V506*SupplierMarkup,"Error at finding value"))</f>
        <v>89.27</v>
      </c>
      <c r="X506" s="32" t="str">
        <f t="shared" si="172"/>
        <v>0.00</v>
      </c>
      <c r="Y506" s="15">
        <f t="shared" si="173"/>
        <v>56.68</v>
      </c>
      <c r="Z506" s="15">
        <f t="shared" si="174"/>
        <v>89.27</v>
      </c>
      <c r="AA506" s="15">
        <f>IF(FreightType="Lethbridge-Stewart Freight ",ROUND(2.99+IF(N506&gt;0.75,(N506-0.75)*2.25,0)*S506,2),IF(MarkupType="Supplier Markup",V506+V506*SupplierMarkup,"Error at finding value"))</f>
        <v>5.24</v>
      </c>
      <c r="AB506" s="15">
        <f t="shared" si="175"/>
        <v>0</v>
      </c>
    </row>
    <row r="507" spans="1:28" x14ac:dyDescent="0.25">
      <c r="A507" s="16">
        <f>OrdersTable!A507</f>
        <v>66</v>
      </c>
      <c r="B507" s="15" t="str">
        <f t="shared" si="155"/>
        <v>Mr</v>
      </c>
      <c r="C507" s="15" t="str">
        <f t="shared" si="176"/>
        <v>Bachmann</v>
      </c>
      <c r="D507" s="15" t="str">
        <f t="shared" si="156"/>
        <v>Aaron</v>
      </c>
      <c r="E507" s="15" t="str">
        <f t="shared" si="157"/>
        <v>3 Csabai Avenue</v>
      </c>
      <c r="F507" s="15" t="str">
        <f t="shared" si="158"/>
        <v>Bridgewater</v>
      </c>
      <c r="G507" s="15" t="str">
        <f t="shared" si="159"/>
        <v>VIC</v>
      </c>
      <c r="H507" s="15">
        <f t="shared" si="160"/>
        <v>3516</v>
      </c>
      <c r="I507" s="15">
        <f t="shared" si="171"/>
        <v>1486</v>
      </c>
      <c r="J507" s="15">
        <f>OrdersTable!B507</f>
        <v>374</v>
      </c>
      <c r="K507" s="15" t="str">
        <f t="shared" si="161"/>
        <v>Clothing and Apparel</v>
      </c>
      <c r="L507" s="15" t="str">
        <f t="shared" si="162"/>
        <v xml:space="preserve">Doctor Who: T-Shirts: 5th Doctor Costume </v>
      </c>
      <c r="M507" s="15" t="str">
        <f t="shared" si="163"/>
        <v>XL</v>
      </c>
      <c r="N507" s="15">
        <f t="shared" si="164"/>
        <v>0.8</v>
      </c>
      <c r="O507" s="15" t="str">
        <f t="shared" si="165"/>
        <v>A50</v>
      </c>
      <c r="P507" s="15" t="str">
        <f t="shared" si="166"/>
        <v>Rassilon Ltd.</v>
      </c>
      <c r="Q507" s="15" t="str">
        <f t="shared" si="167"/>
        <v>82 Richard Mathews Road</v>
      </c>
      <c r="R507" s="3">
        <f>OrdersTable!C507</f>
        <v>44599</v>
      </c>
      <c r="S507" s="15">
        <f>OrdersTable!E507</f>
        <v>1</v>
      </c>
      <c r="T507" s="15">
        <f t="shared" si="168"/>
        <v>15.99</v>
      </c>
      <c r="U507" s="15">
        <f t="shared" si="169"/>
        <v>21.97</v>
      </c>
      <c r="V507" s="15">
        <f t="shared" si="170"/>
        <v>25.9</v>
      </c>
      <c r="W507" s="15">
        <f>IF(MarkupType="Store Markup",ROUND(V507+V507*StoreMarkup,2),IF(MarkupType="Supplier Markup",V507+V507*SupplierMarkup,"Error at finding value"))</f>
        <v>40.79</v>
      </c>
      <c r="X507" s="32" t="str">
        <f t="shared" si="172"/>
        <v>0.00</v>
      </c>
      <c r="Y507" s="15">
        <f t="shared" si="173"/>
        <v>25.9</v>
      </c>
      <c r="Z507" s="15">
        <f t="shared" si="174"/>
        <v>40.79</v>
      </c>
      <c r="AA507" s="15">
        <f>IF(FreightType="Lethbridge-Stewart Freight ",ROUND(2.99+IF(N507&gt;0.75,(N507-0.75)*2.25,0)*S507,2),IF(MarkupType="Supplier Markup",V507+V507*SupplierMarkup,"Error at finding value"))</f>
        <v>3.1</v>
      </c>
      <c r="AB507" s="15">
        <f t="shared" si="175"/>
        <v>0</v>
      </c>
    </row>
    <row r="508" spans="1:28" x14ac:dyDescent="0.25">
      <c r="A508" s="16">
        <f>OrdersTable!A508</f>
        <v>81</v>
      </c>
      <c r="B508" s="15" t="str">
        <f t="shared" si="155"/>
        <v>Ms</v>
      </c>
      <c r="C508" s="15" t="str">
        <f t="shared" si="176"/>
        <v>Madsen</v>
      </c>
      <c r="D508" s="15" t="str">
        <f t="shared" si="156"/>
        <v>Kim Marie</v>
      </c>
      <c r="E508" s="15" t="str">
        <f t="shared" si="157"/>
        <v>42 Singh Drive</v>
      </c>
      <c r="F508" s="15" t="str">
        <f t="shared" si="158"/>
        <v>Caliph</v>
      </c>
      <c r="G508" s="15" t="str">
        <f t="shared" si="159"/>
        <v>SA</v>
      </c>
      <c r="H508" s="15">
        <f t="shared" si="160"/>
        <v>5310</v>
      </c>
      <c r="I508" s="15">
        <f t="shared" si="171"/>
        <v>1720</v>
      </c>
      <c r="J508" s="15">
        <f>OrdersTable!B508</f>
        <v>758</v>
      </c>
      <c r="K508" s="15" t="str">
        <f t="shared" si="161"/>
        <v>Statues and Busts</v>
      </c>
      <c r="L508" s="15" t="str">
        <f t="shared" si="162"/>
        <v>Doctor Who: Helmet: Sontaran Officer Linx</v>
      </c>
      <c r="M508" s="15" t="str">
        <f t="shared" si="163"/>
        <v>-</v>
      </c>
      <c r="N508" s="15">
        <f t="shared" si="164"/>
        <v>1.75</v>
      </c>
      <c r="O508" s="15" t="str">
        <f t="shared" si="165"/>
        <v>A50</v>
      </c>
      <c r="P508" s="15" t="str">
        <f t="shared" si="166"/>
        <v>Rassilon Ltd.</v>
      </c>
      <c r="Q508" s="15" t="str">
        <f t="shared" si="167"/>
        <v>82 Richard Mathews Road</v>
      </c>
      <c r="R508" s="3">
        <f>OrdersTable!C508</f>
        <v>44599</v>
      </c>
      <c r="S508" s="15">
        <f>OrdersTable!E508</f>
        <v>5</v>
      </c>
      <c r="T508" s="15">
        <f t="shared" si="168"/>
        <v>34.99</v>
      </c>
      <c r="U508" s="15">
        <f t="shared" si="169"/>
        <v>47.79</v>
      </c>
      <c r="V508" s="15">
        <f t="shared" si="170"/>
        <v>56.68</v>
      </c>
      <c r="W508" s="15">
        <f>IF(MarkupType="Store Markup",ROUND(V508+V508*StoreMarkup,2),IF(MarkupType="Supplier Markup",V508+V508*SupplierMarkup,"Error at finding value"))</f>
        <v>89.27</v>
      </c>
      <c r="X508" s="32" t="str">
        <f t="shared" si="172"/>
        <v>0.00</v>
      </c>
      <c r="Y508" s="15">
        <f t="shared" si="173"/>
        <v>283.39999999999998</v>
      </c>
      <c r="Z508" s="15">
        <f t="shared" si="174"/>
        <v>446.35</v>
      </c>
      <c r="AA508" s="15">
        <f>IF(FreightType="Lethbridge-Stewart Freight ",ROUND(2.99+IF(N508&gt;0.75,(N508-0.75)*2.25,0)*S508,2),IF(MarkupType="Supplier Markup",V508+V508*SupplierMarkup,"Error at finding value"))</f>
        <v>14.24</v>
      </c>
      <c r="AB508" s="15">
        <f t="shared" si="175"/>
        <v>0</v>
      </c>
    </row>
    <row r="509" spans="1:28" x14ac:dyDescent="0.25">
      <c r="A509" s="16">
        <f>OrdersTable!A509</f>
        <v>112</v>
      </c>
      <c r="B509" s="15" t="str">
        <f t="shared" si="155"/>
        <v>Mr</v>
      </c>
      <c r="C509" s="15" t="str">
        <f t="shared" si="176"/>
        <v>Dahal</v>
      </c>
      <c r="D509" s="15" t="str">
        <f t="shared" si="156"/>
        <v>Subash</v>
      </c>
      <c r="E509" s="15" t="str">
        <f t="shared" si="157"/>
        <v>121-127 Railway Pde, Granville, NSW 2142</v>
      </c>
      <c r="F509" s="15" t="str">
        <f t="shared" si="158"/>
        <v>Granville</v>
      </c>
      <c r="G509" s="15" t="str">
        <f t="shared" si="159"/>
        <v>NSW</v>
      </c>
      <c r="H509" s="15">
        <f t="shared" si="160"/>
        <v>2142</v>
      </c>
      <c r="I509" s="15">
        <f t="shared" si="171"/>
        <v>907</v>
      </c>
      <c r="J509" s="15">
        <f>OrdersTable!B509</f>
        <v>834</v>
      </c>
      <c r="K509" s="15" t="str">
        <f t="shared" si="161"/>
        <v>Statues and Busts</v>
      </c>
      <c r="L509" s="15" t="str">
        <f t="shared" si="162"/>
        <v>Doctor Who: Signature Edition Statue: Gallifrey Edition: Matt Smith</v>
      </c>
      <c r="M509" s="15" t="str">
        <f t="shared" si="163"/>
        <v>-</v>
      </c>
      <c r="N509" s="15">
        <f t="shared" si="164"/>
        <v>2.5</v>
      </c>
      <c r="O509" s="15" t="str">
        <f t="shared" si="165"/>
        <v>A30</v>
      </c>
      <c r="P509" s="15" t="str">
        <f t="shared" si="166"/>
        <v>Chesterton Enterprises</v>
      </c>
      <c r="Q509" s="15" t="str">
        <f t="shared" si="167"/>
        <v>41 William Russell Road</v>
      </c>
      <c r="R509" s="3">
        <f>OrdersTable!C509</f>
        <v>44599</v>
      </c>
      <c r="S509" s="15">
        <f>OrdersTable!E509</f>
        <v>2</v>
      </c>
      <c r="T509" s="15">
        <f t="shared" si="168"/>
        <v>49.99</v>
      </c>
      <c r="U509" s="15">
        <f t="shared" si="169"/>
        <v>68.52</v>
      </c>
      <c r="V509" s="15">
        <f t="shared" si="170"/>
        <v>80.98</v>
      </c>
      <c r="W509" s="15">
        <f>IF(MarkupType="Store Markup",ROUND(V509+V509*StoreMarkup,2),IF(MarkupType="Supplier Markup",V509+V509*SupplierMarkup,"Error at finding value"))</f>
        <v>127.54</v>
      </c>
      <c r="X509" s="32" t="str">
        <f t="shared" si="172"/>
        <v>0.00</v>
      </c>
      <c r="Y509" s="15">
        <f t="shared" si="173"/>
        <v>161.96</v>
      </c>
      <c r="Z509" s="15">
        <f t="shared" si="174"/>
        <v>255.08</v>
      </c>
      <c r="AA509" s="15">
        <f>IF(FreightType="Lethbridge-Stewart Freight ",ROUND(2.99+IF(N509&gt;0.75,(N509-0.75)*2.25,0)*S509,2),IF(MarkupType="Supplier Markup",V509+V509*SupplierMarkup,"Error at finding value"))</f>
        <v>10.87</v>
      </c>
      <c r="AB509" s="15">
        <f t="shared" si="175"/>
        <v>0</v>
      </c>
    </row>
    <row r="510" spans="1:28" x14ac:dyDescent="0.25">
      <c r="A510" s="16">
        <f>OrdersTable!A510</f>
        <v>141</v>
      </c>
      <c r="B510" s="15" t="str">
        <f t="shared" si="155"/>
        <v>Mr</v>
      </c>
      <c r="C510" s="15" t="str">
        <f t="shared" si="176"/>
        <v>Bergmann</v>
      </c>
      <c r="D510" s="15" t="str">
        <f t="shared" si="156"/>
        <v>Beau Jay</v>
      </c>
      <c r="E510" s="15" t="str">
        <f t="shared" si="157"/>
        <v>47 McCullough Circuit</v>
      </c>
      <c r="F510" s="15" t="str">
        <f t="shared" si="158"/>
        <v>Breakwater</v>
      </c>
      <c r="G510" s="15" t="str">
        <f t="shared" si="159"/>
        <v>VIC</v>
      </c>
      <c r="H510" s="15">
        <f t="shared" si="160"/>
        <v>3219</v>
      </c>
      <c r="I510" s="15">
        <f t="shared" si="171"/>
        <v>1596</v>
      </c>
      <c r="J510" s="15">
        <f>OrdersTable!B510</f>
        <v>177</v>
      </c>
      <c r="K510" s="15" t="str">
        <f t="shared" si="161"/>
        <v>Bobbleheads</v>
      </c>
      <c r="L510" s="15" t="str">
        <f t="shared" si="162"/>
        <v>Doctor Who: Bobblehead: TARDIS (With Sound)</v>
      </c>
      <c r="M510" s="15" t="str">
        <f t="shared" si="163"/>
        <v>-</v>
      </c>
      <c r="N510" s="15">
        <f t="shared" si="164"/>
        <v>1</v>
      </c>
      <c r="O510" s="15" t="str">
        <f t="shared" si="165"/>
        <v>A30</v>
      </c>
      <c r="P510" s="15" t="str">
        <f t="shared" si="166"/>
        <v>Chesterton Enterprises</v>
      </c>
      <c r="Q510" s="15" t="str">
        <f t="shared" si="167"/>
        <v>41 William Russell Road</v>
      </c>
      <c r="R510" s="3">
        <f>OrdersTable!C510</f>
        <v>44599</v>
      </c>
      <c r="S510" s="15">
        <f>OrdersTable!E510</f>
        <v>1</v>
      </c>
      <c r="T510" s="15">
        <f t="shared" si="168"/>
        <v>19.989999999999998</v>
      </c>
      <c r="U510" s="15">
        <f t="shared" si="169"/>
        <v>27.6</v>
      </c>
      <c r="V510" s="15">
        <f t="shared" si="170"/>
        <v>32.380000000000003</v>
      </c>
      <c r="W510" s="15">
        <f>IF(MarkupType="Store Markup",ROUND(V510+V510*StoreMarkup,2),IF(MarkupType="Supplier Markup",V510+V510*SupplierMarkup,"Error at finding value"))</f>
        <v>51</v>
      </c>
      <c r="X510" s="32" t="str">
        <f t="shared" si="172"/>
        <v>0.00</v>
      </c>
      <c r="Y510" s="15">
        <f t="shared" si="173"/>
        <v>32.380000000000003</v>
      </c>
      <c r="Z510" s="15">
        <f t="shared" si="174"/>
        <v>51</v>
      </c>
      <c r="AA510" s="15">
        <f>IF(FreightType="Lethbridge-Stewart Freight ",ROUND(2.99+IF(N510&gt;0.75,(N510-0.75)*2.25,0)*S510,2),IF(MarkupType="Supplier Markup",V510+V510*SupplierMarkup,"Error at finding value"))</f>
        <v>3.55</v>
      </c>
      <c r="AB510" s="15">
        <f t="shared" si="175"/>
        <v>0</v>
      </c>
    </row>
    <row r="511" spans="1:28" x14ac:dyDescent="0.25">
      <c r="A511" s="16">
        <f>OrdersTable!A511</f>
        <v>141</v>
      </c>
      <c r="B511" s="15" t="str">
        <f t="shared" si="155"/>
        <v>Mr</v>
      </c>
      <c r="C511" s="15" t="str">
        <f t="shared" si="176"/>
        <v>Bergmann</v>
      </c>
      <c r="D511" s="15" t="str">
        <f t="shared" si="156"/>
        <v>Beau Jay</v>
      </c>
      <c r="E511" s="15" t="str">
        <f t="shared" si="157"/>
        <v>47 McCullough Circuit</v>
      </c>
      <c r="F511" s="15" t="str">
        <f t="shared" si="158"/>
        <v>Breakwater</v>
      </c>
      <c r="G511" s="15" t="str">
        <f t="shared" si="159"/>
        <v>VIC</v>
      </c>
      <c r="H511" s="15">
        <f t="shared" si="160"/>
        <v>3219</v>
      </c>
      <c r="I511" s="15">
        <f t="shared" si="171"/>
        <v>1596</v>
      </c>
      <c r="J511" s="15">
        <f>OrdersTable!B511</f>
        <v>331</v>
      </c>
      <c r="K511" s="15" t="str">
        <f t="shared" si="161"/>
        <v>Clothing and Apparel</v>
      </c>
      <c r="L511" s="15" t="str">
        <f t="shared" si="162"/>
        <v xml:space="preserve">Doctor Who: T-Shirts: 4th Doctor Costume </v>
      </c>
      <c r="M511" s="15" t="str">
        <f t="shared" si="163"/>
        <v>L</v>
      </c>
      <c r="N511" s="15">
        <f t="shared" si="164"/>
        <v>0.8</v>
      </c>
      <c r="O511" s="15" t="str">
        <f t="shared" si="165"/>
        <v>A20</v>
      </c>
      <c r="P511" s="15" t="str">
        <f t="shared" si="166"/>
        <v>Morbius Inc.</v>
      </c>
      <c r="Q511" s="15" t="str">
        <f t="shared" si="167"/>
        <v>56 Michael Spice Hwy</v>
      </c>
      <c r="R511" s="3">
        <f>OrdersTable!C511</f>
        <v>44599</v>
      </c>
      <c r="S511" s="15">
        <f>OrdersTable!E511</f>
        <v>10</v>
      </c>
      <c r="T511" s="15">
        <f t="shared" si="168"/>
        <v>15.99</v>
      </c>
      <c r="U511" s="15">
        <f t="shared" si="169"/>
        <v>22.08</v>
      </c>
      <c r="V511" s="15">
        <f t="shared" si="170"/>
        <v>25.9</v>
      </c>
      <c r="W511" s="15">
        <f>IF(MarkupType="Store Markup",ROUND(V511+V511*StoreMarkup,2),IF(MarkupType="Supplier Markup",V511+V511*SupplierMarkup,"Error at finding value"))</f>
        <v>40.79</v>
      </c>
      <c r="X511" s="32" t="str">
        <f t="shared" si="172"/>
        <v>0.00</v>
      </c>
      <c r="Y511" s="15">
        <f t="shared" si="173"/>
        <v>259</v>
      </c>
      <c r="Z511" s="15">
        <f t="shared" si="174"/>
        <v>407.9</v>
      </c>
      <c r="AA511" s="15">
        <f>IF(FreightType="Lethbridge-Stewart Freight ",ROUND(2.99+IF(N511&gt;0.75,(N511-0.75)*2.25,0)*S511,2),IF(MarkupType="Supplier Markup",V511+V511*SupplierMarkup,"Error at finding value"))</f>
        <v>4.12</v>
      </c>
      <c r="AB511" s="15">
        <f t="shared" si="175"/>
        <v>0</v>
      </c>
    </row>
    <row r="512" spans="1:28" x14ac:dyDescent="0.25">
      <c r="A512" s="16">
        <f>OrdersTable!A512</f>
        <v>333</v>
      </c>
      <c r="B512" s="15" t="str">
        <f t="shared" si="155"/>
        <v>Mr</v>
      </c>
      <c r="C512" s="15" t="str">
        <f t="shared" si="176"/>
        <v>Martin</v>
      </c>
      <c r="D512" s="15" t="str">
        <f t="shared" si="156"/>
        <v>Damien Roger</v>
      </c>
      <c r="E512" s="15" t="str">
        <f t="shared" si="157"/>
        <v>23 Quennell Way</v>
      </c>
      <c r="F512" s="15" t="str">
        <f t="shared" si="158"/>
        <v>Aberfoyle</v>
      </c>
      <c r="G512" s="15" t="str">
        <f t="shared" si="159"/>
        <v>NSW</v>
      </c>
      <c r="H512" s="15">
        <f t="shared" si="160"/>
        <v>2350</v>
      </c>
      <c r="I512" s="15">
        <f t="shared" si="171"/>
        <v>363</v>
      </c>
      <c r="J512" s="15">
        <f>OrdersTable!B512</f>
        <v>583</v>
      </c>
      <c r="K512" s="15" t="str">
        <f t="shared" si="161"/>
        <v>iPhone Skins</v>
      </c>
      <c r="L512" s="15" t="str">
        <f t="shared" si="162"/>
        <v>Doctor Who: iPhone Skin: Cyberman Delete</v>
      </c>
      <c r="M512" s="15" t="str">
        <f t="shared" si="163"/>
        <v>-</v>
      </c>
      <c r="N512" s="15">
        <f t="shared" si="164"/>
        <v>0.3</v>
      </c>
      <c r="O512" s="15" t="str">
        <f t="shared" si="165"/>
        <v>A50</v>
      </c>
      <c r="P512" s="15" t="str">
        <f t="shared" si="166"/>
        <v>Rassilon Ltd.</v>
      </c>
      <c r="Q512" s="15" t="str">
        <f t="shared" si="167"/>
        <v>82 Richard Mathews Road</v>
      </c>
      <c r="R512" s="3">
        <f>OrdersTable!C512</f>
        <v>44599</v>
      </c>
      <c r="S512" s="15">
        <f>OrdersTable!E512</f>
        <v>9</v>
      </c>
      <c r="T512" s="15">
        <f t="shared" si="168"/>
        <v>5.99</v>
      </c>
      <c r="U512" s="15">
        <f t="shared" si="169"/>
        <v>8.23</v>
      </c>
      <c r="V512" s="15">
        <f t="shared" si="170"/>
        <v>9.6999999999999993</v>
      </c>
      <c r="W512" s="15">
        <f>IF(MarkupType="Store Markup",ROUND(V512+V512*StoreMarkup,2),IF(MarkupType="Supplier Markup",V512+V512*SupplierMarkup,"Error at finding value"))</f>
        <v>15.28</v>
      </c>
      <c r="X512" s="32" t="str">
        <f t="shared" si="172"/>
        <v>0.00</v>
      </c>
      <c r="Y512" s="15">
        <f t="shared" si="173"/>
        <v>87.3</v>
      </c>
      <c r="Z512" s="15">
        <f t="shared" si="174"/>
        <v>137.52000000000001</v>
      </c>
      <c r="AA512" s="15">
        <f>IF(FreightType="Lethbridge-Stewart Freight ",ROUND(2.99+IF(N512&gt;0.75,(N512-0.75)*2.25,0)*S512,2),IF(MarkupType="Supplier Markup",V512+V512*SupplierMarkup,"Error at finding value"))</f>
        <v>2.99</v>
      </c>
      <c r="AB512" s="15">
        <f t="shared" si="175"/>
        <v>0</v>
      </c>
    </row>
    <row r="513" spans="1:28" x14ac:dyDescent="0.25">
      <c r="A513" s="16">
        <f>OrdersTable!A513</f>
        <v>338</v>
      </c>
      <c r="B513" s="15" t="str">
        <f t="shared" si="155"/>
        <v>Miss</v>
      </c>
      <c r="C513" s="15" t="str">
        <f t="shared" si="176"/>
        <v>Pellegrino</v>
      </c>
      <c r="D513" s="15" t="str">
        <f t="shared" si="156"/>
        <v>Samantha</v>
      </c>
      <c r="E513" s="15" t="str">
        <f t="shared" si="157"/>
        <v>38 McKeown Street</v>
      </c>
      <c r="F513" s="15" t="str">
        <f t="shared" si="158"/>
        <v>Avon Plains</v>
      </c>
      <c r="G513" s="15" t="str">
        <f t="shared" si="159"/>
        <v>VIC</v>
      </c>
      <c r="H513" s="15">
        <f t="shared" si="160"/>
        <v>3477</v>
      </c>
      <c r="I513" s="15">
        <f t="shared" si="171"/>
        <v>1565</v>
      </c>
      <c r="J513" s="15">
        <f>OrdersTable!B513</f>
        <v>201</v>
      </c>
      <c r="K513" s="15" t="str">
        <f t="shared" si="161"/>
        <v>Clothing and Apparel</v>
      </c>
      <c r="L513" s="15" t="str">
        <f t="shared" si="162"/>
        <v>Doctor Who: Dalek Beanie</v>
      </c>
      <c r="M513" s="15" t="str">
        <f t="shared" si="163"/>
        <v>-</v>
      </c>
      <c r="N513" s="15">
        <f t="shared" si="164"/>
        <v>1.1399999999999999</v>
      </c>
      <c r="O513" s="15" t="str">
        <f t="shared" si="165"/>
        <v>A50</v>
      </c>
      <c r="P513" s="15" t="str">
        <f t="shared" si="166"/>
        <v>Rassilon Ltd.</v>
      </c>
      <c r="Q513" s="15" t="str">
        <f t="shared" si="167"/>
        <v>82 Richard Mathews Road</v>
      </c>
      <c r="R513" s="3">
        <f>OrdersTable!C513</f>
        <v>44599</v>
      </c>
      <c r="S513" s="15">
        <f>OrdersTable!E513</f>
        <v>4</v>
      </c>
      <c r="T513" s="15">
        <f t="shared" si="168"/>
        <v>22.75</v>
      </c>
      <c r="U513" s="15">
        <f t="shared" si="169"/>
        <v>31.26</v>
      </c>
      <c r="V513" s="15">
        <f t="shared" si="170"/>
        <v>36.86</v>
      </c>
      <c r="W513" s="15">
        <f>IF(MarkupType="Store Markup",ROUND(V513+V513*StoreMarkup,2),IF(MarkupType="Supplier Markup",V513+V513*SupplierMarkup,"Error at finding value"))</f>
        <v>58.05</v>
      </c>
      <c r="X513" s="32" t="str">
        <f t="shared" si="172"/>
        <v>0.00</v>
      </c>
      <c r="Y513" s="15">
        <f t="shared" si="173"/>
        <v>147.44</v>
      </c>
      <c r="Z513" s="15">
        <f t="shared" si="174"/>
        <v>232.2</v>
      </c>
      <c r="AA513" s="15">
        <f>IF(FreightType="Lethbridge-Stewart Freight ",ROUND(2.99+IF(N513&gt;0.75,(N513-0.75)*2.25,0)*S513,2),IF(MarkupType="Supplier Markup",V513+V513*SupplierMarkup,"Error at finding value"))</f>
        <v>6.5</v>
      </c>
      <c r="AB513" s="15">
        <f t="shared" si="175"/>
        <v>0</v>
      </c>
    </row>
    <row r="514" spans="1:28" x14ac:dyDescent="0.25">
      <c r="A514" s="16">
        <f>OrdersTable!A514</f>
        <v>416</v>
      </c>
      <c r="B514" s="15" t="str">
        <f t="shared" si="155"/>
        <v>Mr</v>
      </c>
      <c r="C514" s="15" t="str">
        <f t="shared" si="176"/>
        <v>Mohammed</v>
      </c>
      <c r="D514" s="15" t="str">
        <f t="shared" si="156"/>
        <v>Ahmed</v>
      </c>
      <c r="E514" s="15" t="str">
        <f t="shared" si="157"/>
        <v>35 Ridley Avenue</v>
      </c>
      <c r="F514" s="15" t="str">
        <f t="shared" si="158"/>
        <v>Iluka</v>
      </c>
      <c r="G514" s="15" t="str">
        <f t="shared" si="159"/>
        <v>NSW</v>
      </c>
      <c r="H514" s="15">
        <f t="shared" si="160"/>
        <v>2466</v>
      </c>
      <c r="I514" s="15">
        <f t="shared" si="171"/>
        <v>347</v>
      </c>
      <c r="J514" s="15">
        <f>OrdersTable!B514</f>
        <v>673</v>
      </c>
      <c r="K514" s="15" t="str">
        <f t="shared" si="161"/>
        <v>Mugs</v>
      </c>
      <c r="L514" s="15" t="str">
        <f t="shared" si="162"/>
        <v>Doctor Who: Mug: TARDIS With Lid</v>
      </c>
      <c r="M514" s="15" t="str">
        <f t="shared" si="163"/>
        <v>-</v>
      </c>
      <c r="N514" s="15">
        <f t="shared" si="164"/>
        <v>0.58499999999999996</v>
      </c>
      <c r="O514" s="15" t="str">
        <f t="shared" si="165"/>
        <v>A10</v>
      </c>
      <c r="P514" s="15" t="str">
        <f t="shared" si="166"/>
        <v>Gallifrey International</v>
      </c>
      <c r="Q514" s="15" t="str">
        <f t="shared" si="167"/>
        <v>181 Arcadia Street</v>
      </c>
      <c r="R514" s="3">
        <f>OrdersTable!C514</f>
        <v>44599</v>
      </c>
      <c r="S514" s="15">
        <f>OrdersTable!E514</f>
        <v>7</v>
      </c>
      <c r="T514" s="15">
        <f t="shared" si="168"/>
        <v>11.69</v>
      </c>
      <c r="U514" s="15">
        <f t="shared" si="169"/>
        <v>16.190000000000001</v>
      </c>
      <c r="V514" s="15">
        <f t="shared" si="170"/>
        <v>18.940000000000001</v>
      </c>
      <c r="W514" s="15">
        <f>IF(MarkupType="Store Markup",ROUND(V514+V514*StoreMarkup,2),IF(MarkupType="Supplier Markup",V514+V514*SupplierMarkup,"Error at finding value"))</f>
        <v>29.83</v>
      </c>
      <c r="X514" s="32" t="str">
        <f t="shared" si="172"/>
        <v>0.00</v>
      </c>
      <c r="Y514" s="15">
        <f t="shared" si="173"/>
        <v>132.58000000000001</v>
      </c>
      <c r="Z514" s="15">
        <f t="shared" si="174"/>
        <v>208.81</v>
      </c>
      <c r="AA514" s="15">
        <f>IF(FreightType="Lethbridge-Stewart Freight ",ROUND(2.99+IF(N514&gt;0.75,(N514-0.75)*2.25,0)*S514,2),IF(MarkupType="Supplier Markup",V514+V514*SupplierMarkup,"Error at finding value"))</f>
        <v>2.99</v>
      </c>
      <c r="AB514" s="15">
        <f t="shared" si="175"/>
        <v>0</v>
      </c>
    </row>
    <row r="515" spans="1:28" x14ac:dyDescent="0.25">
      <c r="A515" s="16">
        <f>OrdersTable!A515</f>
        <v>416</v>
      </c>
      <c r="B515" s="15" t="str">
        <f t="shared" si="155"/>
        <v>Mr</v>
      </c>
      <c r="C515" s="15" t="str">
        <f t="shared" si="176"/>
        <v>Mohammed</v>
      </c>
      <c r="D515" s="15" t="str">
        <f t="shared" si="156"/>
        <v>Ahmed</v>
      </c>
      <c r="E515" s="15" t="str">
        <f t="shared" si="157"/>
        <v>35 Ridley Avenue</v>
      </c>
      <c r="F515" s="15" t="str">
        <f t="shared" si="158"/>
        <v>Iluka</v>
      </c>
      <c r="G515" s="15" t="str">
        <f t="shared" si="159"/>
        <v>NSW</v>
      </c>
      <c r="H515" s="15">
        <f t="shared" si="160"/>
        <v>2466</v>
      </c>
      <c r="I515" s="15">
        <f t="shared" si="171"/>
        <v>347</v>
      </c>
      <c r="J515" s="15">
        <f>OrdersTable!B515</f>
        <v>817</v>
      </c>
      <c r="K515" s="15" t="str">
        <f t="shared" si="161"/>
        <v>Statues and Busts</v>
      </c>
      <c r="L515" s="15" t="str">
        <f t="shared" si="162"/>
        <v>Doctor Who: Masterpiece Collection Maxi Bust: Torchwood Captain Jack Harkness</v>
      </c>
      <c r="M515" s="15" t="str">
        <f t="shared" si="163"/>
        <v>-</v>
      </c>
      <c r="N515" s="15">
        <f t="shared" si="164"/>
        <v>2.5</v>
      </c>
      <c r="O515" s="15" t="str">
        <f t="shared" si="165"/>
        <v>A10</v>
      </c>
      <c r="P515" s="15" t="str">
        <f t="shared" si="166"/>
        <v>Gallifrey International</v>
      </c>
      <c r="Q515" s="15" t="str">
        <f t="shared" si="167"/>
        <v>181 Arcadia Street</v>
      </c>
      <c r="R515" s="3">
        <f>OrdersTable!C515</f>
        <v>44599</v>
      </c>
      <c r="S515" s="15">
        <f>OrdersTable!E515</f>
        <v>5</v>
      </c>
      <c r="T515" s="15">
        <f t="shared" si="168"/>
        <v>49.99</v>
      </c>
      <c r="U515" s="15">
        <f t="shared" si="169"/>
        <v>68.44</v>
      </c>
      <c r="V515" s="15">
        <f t="shared" si="170"/>
        <v>80.98</v>
      </c>
      <c r="W515" s="15">
        <f>IF(MarkupType="Store Markup",ROUND(V515+V515*StoreMarkup,2),IF(MarkupType="Supplier Markup",V515+V515*SupplierMarkup,"Error at finding value"))</f>
        <v>127.54</v>
      </c>
      <c r="X515" s="32">
        <f t="shared" si="172"/>
        <v>9.09</v>
      </c>
      <c r="Y515" s="15">
        <f t="shared" si="173"/>
        <v>404.9</v>
      </c>
      <c r="Z515" s="15">
        <f t="shared" si="174"/>
        <v>592.25</v>
      </c>
      <c r="AA515" s="15">
        <f>IF(FreightType="Lethbridge-Stewart Freight ",ROUND(2.99+IF(N515&gt;0.75,(N515-0.75)*2.25,0)*S515,2),IF(MarkupType="Supplier Markup",V515+V515*SupplierMarkup,"Error at finding value"))</f>
        <v>22.68</v>
      </c>
      <c r="AB515" s="15">
        <f t="shared" si="175"/>
        <v>45.45</v>
      </c>
    </row>
    <row r="516" spans="1:28" x14ac:dyDescent="0.25">
      <c r="A516" s="16">
        <f>OrdersTable!A516</f>
        <v>515</v>
      </c>
      <c r="B516" s="15" t="str">
        <f t="shared" ref="B516:B579" si="177">VLOOKUP($A516,Cust,2,0)</f>
        <v>Mr</v>
      </c>
      <c r="C516" s="15" t="str">
        <f t="shared" si="176"/>
        <v>Noffke</v>
      </c>
      <c r="D516" s="15" t="str">
        <f t="shared" ref="D516:D579" si="178">VLOOKUP($A516,Cust,4,0)</f>
        <v>William Thomas</v>
      </c>
      <c r="E516" s="15" t="str">
        <f t="shared" ref="E516:E579" si="179">VLOOKUP($A516,Cust,6,0)</f>
        <v>20 Tyler Drive</v>
      </c>
      <c r="F516" s="15" t="str">
        <f t="shared" ref="F516:F579" si="180">VLOOKUP($A516,Cust,7,0)</f>
        <v>Areegra</v>
      </c>
      <c r="G516" s="15" t="str">
        <f t="shared" ref="G516:G579" si="181">VLOOKUP($A516,Cust,8,0)</f>
        <v>VIC</v>
      </c>
      <c r="H516" s="15">
        <f t="shared" ref="H516:H579" si="182">VLOOKUP($A516,Cust,9,0)</f>
        <v>3480</v>
      </c>
      <c r="I516" s="15">
        <f t="shared" si="171"/>
        <v>1559</v>
      </c>
      <c r="J516" s="15">
        <f>OrdersTable!B516</f>
        <v>583</v>
      </c>
      <c r="K516" s="15" t="str">
        <f t="shared" ref="K516:K579" si="183">VLOOKUP($J516,Itms,2,0)</f>
        <v>iPhone Skins</v>
      </c>
      <c r="L516" s="15" t="str">
        <f t="shared" ref="L516:L579" si="184">VLOOKUP($J516,Itms,3,0)</f>
        <v>Doctor Who: iPhone Skin: Cyberman Delete</v>
      </c>
      <c r="M516" s="15" t="str">
        <f t="shared" ref="M516:M579" si="185">VLOOKUP($J516,Itms,4,0)</f>
        <v>-</v>
      </c>
      <c r="N516" s="15">
        <f t="shared" ref="N516:N579" si="186">VLOOKUP($J516,Itms,5,0)</f>
        <v>0.3</v>
      </c>
      <c r="O516" s="15" t="str">
        <f t="shared" ref="O516:O579" si="187">VLOOKUP($J516,Itms,6,0)</f>
        <v>A50</v>
      </c>
      <c r="P516" s="15" t="str">
        <f t="shared" ref="P516:P579" si="188">VLOOKUP($O516,Supp,2,0)</f>
        <v>Rassilon Ltd.</v>
      </c>
      <c r="Q516" s="15" t="str">
        <f t="shared" ref="Q516:Q579" si="189">VLOOKUP($O516,Supp,3,0)</f>
        <v>82 Richard Mathews Road</v>
      </c>
      <c r="R516" s="3">
        <f>OrdersTable!C516</f>
        <v>44599</v>
      </c>
      <c r="S516" s="15">
        <f>OrdersTable!E516</f>
        <v>2</v>
      </c>
      <c r="T516" s="15">
        <f t="shared" ref="T516:T579" si="190">VLOOKUP($J516,Itms,9,0)</f>
        <v>5.99</v>
      </c>
      <c r="U516" s="15">
        <f t="shared" ref="U516:U579" si="191">VLOOKUP($J516,Itms,10,0)</f>
        <v>8.23</v>
      </c>
      <c r="V516" s="15">
        <f t="shared" ref="V516:V579" si="192">IF(ExchRateType="IR",ROUND(T516*ExchRateIR,2),IF(ExchRateType="CA",ROUND(U516*ExchRateCA,2),"Error at finding value"))</f>
        <v>9.6999999999999993</v>
      </c>
      <c r="W516" s="15">
        <f>IF(MarkupType="Store Markup",ROUND(V516+V516*StoreMarkup,2),IF(MarkupType="Supplier Markup",V516+V516*SupplierMarkup,"Error at finding value"))</f>
        <v>15.28</v>
      </c>
      <c r="X516" s="32" t="str">
        <f t="shared" si="172"/>
        <v>0.00</v>
      </c>
      <c r="Y516" s="15">
        <f t="shared" si="173"/>
        <v>19.399999999999999</v>
      </c>
      <c r="Z516" s="15">
        <f t="shared" si="174"/>
        <v>30.56</v>
      </c>
      <c r="AA516" s="15">
        <f>IF(FreightType="Lethbridge-Stewart Freight ",ROUND(2.99+IF(N516&gt;0.75,(N516-0.75)*2.25,0)*S516,2),IF(MarkupType="Supplier Markup",V516+V516*SupplierMarkup,"Error at finding value"))</f>
        <v>2.99</v>
      </c>
      <c r="AB516" s="15">
        <f t="shared" si="175"/>
        <v>0</v>
      </c>
    </row>
    <row r="517" spans="1:28" x14ac:dyDescent="0.25">
      <c r="A517" s="16">
        <f>OrdersTable!A517</f>
        <v>546</v>
      </c>
      <c r="B517" s="15" t="str">
        <f t="shared" si="177"/>
        <v>Ms</v>
      </c>
      <c r="C517" s="15" t="str">
        <f t="shared" si="176"/>
        <v>Shortt</v>
      </c>
      <c r="D517" s="15" t="str">
        <f t="shared" si="178"/>
        <v>Rickylee Sidonia</v>
      </c>
      <c r="E517" s="15" t="str">
        <f t="shared" si="179"/>
        <v>4 Hughes Road</v>
      </c>
      <c r="F517" s="15" t="str">
        <f t="shared" si="180"/>
        <v>Glenfern</v>
      </c>
      <c r="G517" s="15" t="str">
        <f t="shared" si="181"/>
        <v>QLD</v>
      </c>
      <c r="H517" s="15">
        <f t="shared" si="182"/>
        <v>4515</v>
      </c>
      <c r="I517" s="15">
        <f t="shared" ref="I517:I580" si="193">VLOOKUP($A517,Cust,10,0)</f>
        <v>128</v>
      </c>
      <c r="J517" s="15">
        <f>OrdersTable!B517</f>
        <v>681</v>
      </c>
      <c r="K517" s="15" t="str">
        <f t="shared" si="183"/>
        <v>Mugs</v>
      </c>
      <c r="L517" s="15" t="str">
        <f t="shared" si="184"/>
        <v>Doctor Who: Mug: The First Doctor</v>
      </c>
      <c r="M517" s="15" t="str">
        <f t="shared" si="185"/>
        <v>-</v>
      </c>
      <c r="N517" s="15">
        <f t="shared" si="186"/>
        <v>0.45</v>
      </c>
      <c r="O517" s="15" t="str">
        <f t="shared" si="187"/>
        <v>A20</v>
      </c>
      <c r="P517" s="15" t="str">
        <f t="shared" si="188"/>
        <v>Morbius Inc.</v>
      </c>
      <c r="Q517" s="15" t="str">
        <f t="shared" si="189"/>
        <v>56 Michael Spice Hwy</v>
      </c>
      <c r="R517" s="3">
        <f>OrdersTable!C517</f>
        <v>44599</v>
      </c>
      <c r="S517" s="15">
        <f>OrdersTable!E517</f>
        <v>3</v>
      </c>
      <c r="T517" s="15">
        <f t="shared" si="190"/>
        <v>8.99</v>
      </c>
      <c r="U517" s="15">
        <f t="shared" si="191"/>
        <v>12.51</v>
      </c>
      <c r="V517" s="15">
        <f t="shared" si="192"/>
        <v>14.56</v>
      </c>
      <c r="W517" s="15">
        <f>IF(MarkupType="Store Markup",ROUND(V517+V517*StoreMarkup,2),IF(MarkupType="Supplier Markup",V517+V517*SupplierMarkup,"Error at finding value"))</f>
        <v>22.93</v>
      </c>
      <c r="X517" s="32" t="str">
        <f t="shared" ref="X517:X580" si="194">IF(AND(W517&gt;100,S517&gt;=3),ROUND(0.07125*W517,2),"0.00")</f>
        <v>0.00</v>
      </c>
      <c r="Y517" s="15">
        <f t="shared" ref="Y517:Y580" si="195">ROUND(V517*S517,2)</f>
        <v>43.68</v>
      </c>
      <c r="Z517" s="15">
        <f t="shared" ref="Z517:Z580" si="196">ROUND((W517-X517)*S517,2)</f>
        <v>68.790000000000006</v>
      </c>
      <c r="AA517" s="15">
        <f>IF(FreightType="Lethbridge-Stewart Freight ",ROUND(2.99+IF(N517&gt;0.75,(N517-0.75)*2.25,0)*S517,2),IF(MarkupType="Supplier Markup",V517+V517*SupplierMarkup,"Error at finding value"))</f>
        <v>2.99</v>
      </c>
      <c r="AB517" s="15">
        <f t="shared" ref="AB517:AB580" si="197">ROUND(X517*S517,2)</f>
        <v>0</v>
      </c>
    </row>
    <row r="518" spans="1:28" x14ac:dyDescent="0.25">
      <c r="A518" s="16">
        <f>OrdersTable!A518</f>
        <v>561</v>
      </c>
      <c r="B518" s="15" t="str">
        <f t="shared" si="177"/>
        <v>Ms</v>
      </c>
      <c r="C518" s="15" t="str">
        <f t="shared" si="176"/>
        <v>Mulcahy</v>
      </c>
      <c r="D518" s="15" t="str">
        <f t="shared" si="178"/>
        <v>Jodie Leigh</v>
      </c>
      <c r="E518" s="15" t="str">
        <f t="shared" si="179"/>
        <v>32 Scott Crescent</v>
      </c>
      <c r="F518" s="15" t="str">
        <f t="shared" si="180"/>
        <v>Bray Park</v>
      </c>
      <c r="G518" s="15" t="str">
        <f t="shared" si="181"/>
        <v>QLD</v>
      </c>
      <c r="H518" s="15">
        <f t="shared" si="182"/>
        <v>4500</v>
      </c>
      <c r="I518" s="15">
        <f t="shared" si="193"/>
        <v>139</v>
      </c>
      <c r="J518" s="15">
        <f>OrdersTable!B518</f>
        <v>259</v>
      </c>
      <c r="K518" s="15" t="str">
        <f t="shared" si="183"/>
        <v>Clothing and Apparel</v>
      </c>
      <c r="L518" s="15" t="str">
        <f t="shared" si="184"/>
        <v>Doctor Who: Men's Winter Pyjamas</v>
      </c>
      <c r="M518" s="15" t="str">
        <f t="shared" si="185"/>
        <v>XL</v>
      </c>
      <c r="N518" s="15">
        <f t="shared" si="186"/>
        <v>1.5</v>
      </c>
      <c r="O518" s="15" t="str">
        <f t="shared" si="187"/>
        <v>A50</v>
      </c>
      <c r="P518" s="15" t="str">
        <f t="shared" si="188"/>
        <v>Rassilon Ltd.</v>
      </c>
      <c r="Q518" s="15" t="str">
        <f t="shared" si="189"/>
        <v>82 Richard Mathews Road</v>
      </c>
      <c r="R518" s="3">
        <f>OrdersTable!C518</f>
        <v>44599</v>
      </c>
      <c r="S518" s="15">
        <f>OrdersTable!E518</f>
        <v>3</v>
      </c>
      <c r="T518" s="15">
        <f t="shared" si="190"/>
        <v>29.99</v>
      </c>
      <c r="U518" s="15">
        <f t="shared" si="191"/>
        <v>41.15</v>
      </c>
      <c r="V518" s="15">
        <f t="shared" si="192"/>
        <v>48.58</v>
      </c>
      <c r="W518" s="15">
        <f>IF(MarkupType="Store Markup",ROUND(V518+V518*StoreMarkup,2),IF(MarkupType="Supplier Markup",V518+V518*SupplierMarkup,"Error at finding value"))</f>
        <v>76.510000000000005</v>
      </c>
      <c r="X518" s="32" t="str">
        <f t="shared" si="194"/>
        <v>0.00</v>
      </c>
      <c r="Y518" s="15">
        <f t="shared" si="195"/>
        <v>145.74</v>
      </c>
      <c r="Z518" s="15">
        <f t="shared" si="196"/>
        <v>229.53</v>
      </c>
      <c r="AA518" s="15">
        <f>IF(FreightType="Lethbridge-Stewart Freight ",ROUND(2.99+IF(N518&gt;0.75,(N518-0.75)*2.25,0)*S518,2),IF(MarkupType="Supplier Markup",V518+V518*SupplierMarkup,"Error at finding value"))</f>
        <v>8.0500000000000007</v>
      </c>
      <c r="AB518" s="15">
        <f t="shared" si="197"/>
        <v>0</v>
      </c>
    </row>
    <row r="519" spans="1:28" x14ac:dyDescent="0.25">
      <c r="A519" s="16">
        <f>OrdersTable!A519</f>
        <v>802</v>
      </c>
      <c r="B519" s="15" t="str">
        <f t="shared" si="177"/>
        <v>Mr</v>
      </c>
      <c r="C519" s="15" t="str">
        <f t="shared" si="176"/>
        <v>Carlton</v>
      </c>
      <c r="D519" s="15" t="str">
        <f t="shared" si="178"/>
        <v>Lawrence</v>
      </c>
      <c r="E519" s="15" t="str">
        <f t="shared" si="179"/>
        <v>39 Walsh Way</v>
      </c>
      <c r="F519" s="15" t="str">
        <f t="shared" si="180"/>
        <v>Breakwater</v>
      </c>
      <c r="G519" s="15" t="str">
        <f t="shared" si="181"/>
        <v>VIC</v>
      </c>
      <c r="H519" s="15">
        <f t="shared" si="182"/>
        <v>3219</v>
      </c>
      <c r="I519" s="15">
        <f t="shared" si="193"/>
        <v>1596</v>
      </c>
      <c r="J519" s="15">
        <f>OrdersTable!B519</f>
        <v>719</v>
      </c>
      <c r="K519" s="15" t="str">
        <f t="shared" si="183"/>
        <v>Posters, Prints and Standees</v>
      </c>
      <c r="L519" s="15" t="str">
        <f t="shared" si="184"/>
        <v>Doctor Who: Standee: Supreme Dalek</v>
      </c>
      <c r="M519" s="15" t="str">
        <f t="shared" si="185"/>
        <v>-</v>
      </c>
      <c r="N519" s="15">
        <f t="shared" si="186"/>
        <v>1.125</v>
      </c>
      <c r="O519" s="15" t="str">
        <f t="shared" si="187"/>
        <v>A50</v>
      </c>
      <c r="P519" s="15" t="str">
        <f t="shared" si="188"/>
        <v>Rassilon Ltd.</v>
      </c>
      <c r="Q519" s="15" t="str">
        <f t="shared" si="189"/>
        <v>82 Richard Mathews Road</v>
      </c>
      <c r="R519" s="3">
        <f>OrdersTable!C519</f>
        <v>44599</v>
      </c>
      <c r="S519" s="15">
        <f>OrdersTable!E519</f>
        <v>10</v>
      </c>
      <c r="T519" s="15">
        <f t="shared" si="190"/>
        <v>22.49</v>
      </c>
      <c r="U519" s="15">
        <f t="shared" si="191"/>
        <v>30.76</v>
      </c>
      <c r="V519" s="15">
        <f t="shared" si="192"/>
        <v>36.43</v>
      </c>
      <c r="W519" s="15">
        <f>IF(MarkupType="Store Markup",ROUND(V519+V519*StoreMarkup,2),IF(MarkupType="Supplier Markup",V519+V519*SupplierMarkup,"Error at finding value"))</f>
        <v>57.38</v>
      </c>
      <c r="X519" s="32" t="str">
        <f t="shared" si="194"/>
        <v>0.00</v>
      </c>
      <c r="Y519" s="15">
        <f t="shared" si="195"/>
        <v>364.3</v>
      </c>
      <c r="Z519" s="15">
        <f t="shared" si="196"/>
        <v>573.79999999999995</v>
      </c>
      <c r="AA519" s="15">
        <f>IF(FreightType="Lethbridge-Stewart Freight ",ROUND(2.99+IF(N519&gt;0.75,(N519-0.75)*2.25,0)*S519,2),IF(MarkupType="Supplier Markup",V519+V519*SupplierMarkup,"Error at finding value"))</f>
        <v>11.43</v>
      </c>
      <c r="AB519" s="15">
        <f t="shared" si="197"/>
        <v>0</v>
      </c>
    </row>
    <row r="520" spans="1:28" x14ac:dyDescent="0.25">
      <c r="A520" s="16">
        <f>OrdersTable!A520</f>
        <v>802</v>
      </c>
      <c r="B520" s="15" t="str">
        <f t="shared" si="177"/>
        <v>Mr</v>
      </c>
      <c r="C520" s="15" t="str">
        <f t="shared" si="176"/>
        <v>Carlton</v>
      </c>
      <c r="D520" s="15" t="str">
        <f t="shared" si="178"/>
        <v>Lawrence</v>
      </c>
      <c r="E520" s="15" t="str">
        <f t="shared" si="179"/>
        <v>39 Walsh Way</v>
      </c>
      <c r="F520" s="15" t="str">
        <f t="shared" si="180"/>
        <v>Breakwater</v>
      </c>
      <c r="G520" s="15" t="str">
        <f t="shared" si="181"/>
        <v>VIC</v>
      </c>
      <c r="H520" s="15">
        <f t="shared" si="182"/>
        <v>3219</v>
      </c>
      <c r="I520" s="15">
        <f t="shared" si="193"/>
        <v>1596</v>
      </c>
      <c r="J520" s="15">
        <f>OrdersTable!B520</f>
        <v>745</v>
      </c>
      <c r="K520" s="15" t="str">
        <f t="shared" si="183"/>
        <v>Props and Replicas</v>
      </c>
      <c r="L520" s="15" t="str">
        <f t="shared" si="184"/>
        <v>Doctor Who: TARDIS Type 40 Plaque</v>
      </c>
      <c r="M520" s="15" t="str">
        <f t="shared" si="185"/>
        <v>-</v>
      </c>
      <c r="N520" s="15">
        <f t="shared" si="186"/>
        <v>1.75</v>
      </c>
      <c r="O520" s="15" t="str">
        <f t="shared" si="187"/>
        <v>A30</v>
      </c>
      <c r="P520" s="15" t="str">
        <f t="shared" si="188"/>
        <v>Chesterton Enterprises</v>
      </c>
      <c r="Q520" s="15" t="str">
        <f t="shared" si="189"/>
        <v>41 William Russell Road</v>
      </c>
      <c r="R520" s="3">
        <f>OrdersTable!C520</f>
        <v>44599</v>
      </c>
      <c r="S520" s="15">
        <f>OrdersTable!E520</f>
        <v>9</v>
      </c>
      <c r="T520" s="15">
        <f t="shared" si="190"/>
        <v>34.99</v>
      </c>
      <c r="U520" s="15">
        <f t="shared" si="191"/>
        <v>47.86</v>
      </c>
      <c r="V520" s="15">
        <f t="shared" si="192"/>
        <v>56.68</v>
      </c>
      <c r="W520" s="15">
        <f>IF(MarkupType="Store Markup",ROUND(V520+V520*StoreMarkup,2),IF(MarkupType="Supplier Markup",V520+V520*SupplierMarkup,"Error at finding value"))</f>
        <v>89.27</v>
      </c>
      <c r="X520" s="32" t="str">
        <f t="shared" si="194"/>
        <v>0.00</v>
      </c>
      <c r="Y520" s="15">
        <f t="shared" si="195"/>
        <v>510.12</v>
      </c>
      <c r="Z520" s="15">
        <f t="shared" si="196"/>
        <v>803.43</v>
      </c>
      <c r="AA520" s="15">
        <f>IF(FreightType="Lethbridge-Stewart Freight ",ROUND(2.99+IF(N520&gt;0.75,(N520-0.75)*2.25,0)*S520,2),IF(MarkupType="Supplier Markup",V520+V520*SupplierMarkup,"Error at finding value"))</f>
        <v>23.24</v>
      </c>
      <c r="AB520" s="15">
        <f t="shared" si="197"/>
        <v>0</v>
      </c>
    </row>
    <row r="521" spans="1:28" x14ac:dyDescent="0.25">
      <c r="A521" s="16">
        <f>OrdersTable!A521</f>
        <v>972</v>
      </c>
      <c r="B521" s="15" t="str">
        <f t="shared" si="177"/>
        <v>Miss</v>
      </c>
      <c r="C521" s="15" t="str">
        <f t="shared" si="176"/>
        <v>Walsh</v>
      </c>
      <c r="D521" s="15" t="str">
        <f t="shared" si="178"/>
        <v>Alana Jane</v>
      </c>
      <c r="E521" s="15" t="str">
        <f t="shared" si="179"/>
        <v>40 Betts Crescent</v>
      </c>
      <c r="F521" s="15" t="str">
        <f t="shared" si="180"/>
        <v>Alleena</v>
      </c>
      <c r="G521" s="15" t="str">
        <f t="shared" si="181"/>
        <v>NSW</v>
      </c>
      <c r="H521" s="15">
        <f t="shared" si="182"/>
        <v>2671</v>
      </c>
      <c r="I521" s="15">
        <f t="shared" si="193"/>
        <v>988</v>
      </c>
      <c r="J521" s="15">
        <f>OrdersTable!B521</f>
        <v>801</v>
      </c>
      <c r="K521" s="15" t="str">
        <f t="shared" si="183"/>
        <v>Statues and Busts</v>
      </c>
      <c r="L521" s="15" t="str">
        <f t="shared" si="184"/>
        <v>Doctor Who: Masterpiece Collection Maxi Bust: 4th Doctor</v>
      </c>
      <c r="M521" s="15" t="str">
        <f t="shared" si="185"/>
        <v>-</v>
      </c>
      <c r="N521" s="15">
        <f t="shared" si="186"/>
        <v>2.5</v>
      </c>
      <c r="O521" s="15" t="str">
        <f t="shared" si="187"/>
        <v>A30</v>
      </c>
      <c r="P521" s="15" t="str">
        <f t="shared" si="188"/>
        <v>Chesterton Enterprises</v>
      </c>
      <c r="Q521" s="15" t="str">
        <f t="shared" si="189"/>
        <v>41 William Russell Road</v>
      </c>
      <c r="R521" s="3">
        <f>OrdersTable!C521</f>
        <v>44599</v>
      </c>
      <c r="S521" s="15">
        <f>OrdersTable!E521</f>
        <v>10</v>
      </c>
      <c r="T521" s="15">
        <f t="shared" si="190"/>
        <v>49.99</v>
      </c>
      <c r="U521" s="15">
        <f t="shared" si="191"/>
        <v>68.180000000000007</v>
      </c>
      <c r="V521" s="15">
        <f t="shared" si="192"/>
        <v>80.98</v>
      </c>
      <c r="W521" s="15">
        <f>IF(MarkupType="Store Markup",ROUND(V521+V521*StoreMarkup,2),IF(MarkupType="Supplier Markup",V521+V521*SupplierMarkup,"Error at finding value"))</f>
        <v>127.54</v>
      </c>
      <c r="X521" s="32">
        <f t="shared" si="194"/>
        <v>9.09</v>
      </c>
      <c r="Y521" s="15">
        <f t="shared" si="195"/>
        <v>809.8</v>
      </c>
      <c r="Z521" s="15">
        <f t="shared" si="196"/>
        <v>1184.5</v>
      </c>
      <c r="AA521" s="15">
        <f>IF(FreightType="Lethbridge-Stewart Freight ",ROUND(2.99+IF(N521&gt;0.75,(N521-0.75)*2.25,0)*S521,2),IF(MarkupType="Supplier Markup",V521+V521*SupplierMarkup,"Error at finding value"))</f>
        <v>42.37</v>
      </c>
      <c r="AB521" s="15">
        <f t="shared" si="197"/>
        <v>90.9</v>
      </c>
    </row>
    <row r="522" spans="1:28" x14ac:dyDescent="0.25">
      <c r="A522" s="16">
        <f>OrdersTable!A522</f>
        <v>989</v>
      </c>
      <c r="B522" s="15" t="str">
        <f t="shared" si="177"/>
        <v>Miss</v>
      </c>
      <c r="C522" s="15" t="str">
        <f t="shared" si="176"/>
        <v>McInnes</v>
      </c>
      <c r="D522" s="15" t="str">
        <f t="shared" si="178"/>
        <v>Nina Marie</v>
      </c>
      <c r="E522" s="15" t="str">
        <f t="shared" si="179"/>
        <v>28 Caruss Road</v>
      </c>
      <c r="F522" s="15" t="str">
        <f t="shared" si="180"/>
        <v>Belford</v>
      </c>
      <c r="G522" s="15" t="str">
        <f t="shared" si="181"/>
        <v>NSW</v>
      </c>
      <c r="H522" s="15">
        <f t="shared" si="182"/>
        <v>2335</v>
      </c>
      <c r="I522" s="15">
        <f t="shared" si="193"/>
        <v>716</v>
      </c>
      <c r="J522" s="15">
        <f>OrdersTable!B522</f>
        <v>724</v>
      </c>
      <c r="K522" s="15" t="str">
        <f t="shared" si="183"/>
        <v>Posters, Prints and Standees</v>
      </c>
      <c r="L522" s="15" t="str">
        <f t="shared" si="184"/>
        <v>Doctor Who: Standee: The 10th Doctor</v>
      </c>
      <c r="M522" s="15" t="str">
        <f t="shared" si="185"/>
        <v>-</v>
      </c>
      <c r="N522" s="15">
        <f t="shared" si="186"/>
        <v>1.125</v>
      </c>
      <c r="O522" s="15" t="str">
        <f t="shared" si="187"/>
        <v>A50</v>
      </c>
      <c r="P522" s="15" t="str">
        <f t="shared" si="188"/>
        <v>Rassilon Ltd.</v>
      </c>
      <c r="Q522" s="15" t="str">
        <f t="shared" si="189"/>
        <v>82 Richard Mathews Road</v>
      </c>
      <c r="R522" s="3">
        <f>OrdersTable!C522</f>
        <v>44599</v>
      </c>
      <c r="S522" s="15">
        <f>OrdersTable!E522</f>
        <v>9</v>
      </c>
      <c r="T522" s="15">
        <f t="shared" si="190"/>
        <v>22.49</v>
      </c>
      <c r="U522" s="15">
        <f t="shared" si="191"/>
        <v>30.77</v>
      </c>
      <c r="V522" s="15">
        <f t="shared" si="192"/>
        <v>36.43</v>
      </c>
      <c r="W522" s="15">
        <f>IF(MarkupType="Store Markup",ROUND(V522+V522*StoreMarkup,2),IF(MarkupType="Supplier Markup",V522+V522*SupplierMarkup,"Error at finding value"))</f>
        <v>57.38</v>
      </c>
      <c r="X522" s="32" t="str">
        <f t="shared" si="194"/>
        <v>0.00</v>
      </c>
      <c r="Y522" s="15">
        <f t="shared" si="195"/>
        <v>327.87</v>
      </c>
      <c r="Z522" s="15">
        <f t="shared" si="196"/>
        <v>516.41999999999996</v>
      </c>
      <c r="AA522" s="15">
        <f>IF(FreightType="Lethbridge-Stewart Freight ",ROUND(2.99+IF(N522&gt;0.75,(N522-0.75)*2.25,0)*S522,2),IF(MarkupType="Supplier Markup",V522+V522*SupplierMarkup,"Error at finding value"))</f>
        <v>10.58</v>
      </c>
      <c r="AB522" s="15">
        <f t="shared" si="197"/>
        <v>0</v>
      </c>
    </row>
    <row r="523" spans="1:28" x14ac:dyDescent="0.25">
      <c r="A523" s="16">
        <f>OrdersTable!A523</f>
        <v>81</v>
      </c>
      <c r="B523" s="15" t="str">
        <f t="shared" si="177"/>
        <v>Ms</v>
      </c>
      <c r="C523" s="15" t="str">
        <f t="shared" ref="C523:C586" si="198">VLOOKUP($A523,Cust,3,0)</f>
        <v>Madsen</v>
      </c>
      <c r="D523" s="15" t="str">
        <f t="shared" si="178"/>
        <v>Kim Marie</v>
      </c>
      <c r="E523" s="15" t="str">
        <f t="shared" si="179"/>
        <v>42 Singh Drive</v>
      </c>
      <c r="F523" s="15" t="str">
        <f t="shared" si="180"/>
        <v>Caliph</v>
      </c>
      <c r="G523" s="15" t="str">
        <f t="shared" si="181"/>
        <v>SA</v>
      </c>
      <c r="H523" s="15">
        <f t="shared" si="182"/>
        <v>5310</v>
      </c>
      <c r="I523" s="15">
        <f t="shared" si="193"/>
        <v>1720</v>
      </c>
      <c r="J523" s="15">
        <f>OrdersTable!B523</f>
        <v>668</v>
      </c>
      <c r="K523" s="15" t="str">
        <f t="shared" si="183"/>
        <v>Mugs</v>
      </c>
      <c r="L523" s="15" t="str">
        <f t="shared" si="184"/>
        <v>Doctor Who: Mug: Silver TARDIS</v>
      </c>
      <c r="M523" s="15" t="str">
        <f t="shared" si="185"/>
        <v>-</v>
      </c>
      <c r="N523" s="15">
        <f t="shared" si="186"/>
        <v>1.1499999999999999</v>
      </c>
      <c r="O523" s="15" t="str">
        <f t="shared" si="187"/>
        <v>A50</v>
      </c>
      <c r="P523" s="15" t="str">
        <f t="shared" si="188"/>
        <v>Rassilon Ltd.</v>
      </c>
      <c r="Q523" s="15" t="str">
        <f t="shared" si="189"/>
        <v>82 Richard Mathews Road</v>
      </c>
      <c r="R523" s="3">
        <f>OrdersTable!C523</f>
        <v>44600</v>
      </c>
      <c r="S523" s="15">
        <f>OrdersTable!E523</f>
        <v>3</v>
      </c>
      <c r="T523" s="15">
        <f t="shared" si="190"/>
        <v>22.99</v>
      </c>
      <c r="U523" s="15">
        <f t="shared" si="191"/>
        <v>31.53</v>
      </c>
      <c r="V523" s="15">
        <f t="shared" si="192"/>
        <v>37.24</v>
      </c>
      <c r="W523" s="15">
        <f>IF(MarkupType="Store Markup",ROUND(V523+V523*StoreMarkup,2),IF(MarkupType="Supplier Markup",V523+V523*SupplierMarkup,"Error at finding value"))</f>
        <v>58.65</v>
      </c>
      <c r="X523" s="32" t="str">
        <f t="shared" si="194"/>
        <v>0.00</v>
      </c>
      <c r="Y523" s="15">
        <f t="shared" si="195"/>
        <v>111.72</v>
      </c>
      <c r="Z523" s="15">
        <f t="shared" si="196"/>
        <v>175.95</v>
      </c>
      <c r="AA523" s="15">
        <f>IF(FreightType="Lethbridge-Stewart Freight ",ROUND(2.99+IF(N523&gt;0.75,(N523-0.75)*2.25,0)*S523,2),IF(MarkupType="Supplier Markup",V523+V523*SupplierMarkup,"Error at finding value"))</f>
        <v>5.69</v>
      </c>
      <c r="AB523" s="15">
        <f t="shared" si="197"/>
        <v>0</v>
      </c>
    </row>
    <row r="524" spans="1:28" x14ac:dyDescent="0.25">
      <c r="A524" s="16">
        <f>OrdersTable!A524</f>
        <v>150</v>
      </c>
      <c r="B524" s="15" t="str">
        <f t="shared" si="177"/>
        <v>Dr</v>
      </c>
      <c r="C524" s="15" t="str">
        <f t="shared" si="198"/>
        <v>Taumalolo</v>
      </c>
      <c r="D524" s="15" t="str">
        <f t="shared" si="178"/>
        <v>Latai Fono-Ki-Moana</v>
      </c>
      <c r="E524" s="15" t="str">
        <f t="shared" si="179"/>
        <v>13 Taylor Way</v>
      </c>
      <c r="F524" s="15" t="str">
        <f t="shared" si="180"/>
        <v>Bamboo</v>
      </c>
      <c r="G524" s="15" t="str">
        <f t="shared" si="181"/>
        <v>QLD</v>
      </c>
      <c r="H524" s="15">
        <f t="shared" si="182"/>
        <v>4873</v>
      </c>
      <c r="I524" s="15">
        <f t="shared" si="193"/>
        <v>1741</v>
      </c>
      <c r="J524" s="15">
        <f>OrdersTable!B524</f>
        <v>810</v>
      </c>
      <c r="K524" s="15" t="str">
        <f t="shared" si="183"/>
        <v>Statues and Busts</v>
      </c>
      <c r="L524" s="15" t="str">
        <f t="shared" si="184"/>
        <v>Doctor Who: Masterpiece Collection Maxi Bust: Amy Pond</v>
      </c>
      <c r="M524" s="15" t="str">
        <f t="shared" si="185"/>
        <v>-</v>
      </c>
      <c r="N524" s="15">
        <f t="shared" si="186"/>
        <v>2.5</v>
      </c>
      <c r="O524" s="15" t="str">
        <f t="shared" si="187"/>
        <v>A50</v>
      </c>
      <c r="P524" s="15" t="str">
        <f t="shared" si="188"/>
        <v>Rassilon Ltd.</v>
      </c>
      <c r="Q524" s="15" t="str">
        <f t="shared" si="189"/>
        <v>82 Richard Mathews Road</v>
      </c>
      <c r="R524" s="3">
        <f>OrdersTable!C524</f>
        <v>44600</v>
      </c>
      <c r="S524" s="15">
        <f>OrdersTable!E524</f>
        <v>4</v>
      </c>
      <c r="T524" s="15">
        <f t="shared" si="190"/>
        <v>49.99</v>
      </c>
      <c r="U524" s="15">
        <f t="shared" si="191"/>
        <v>68.260000000000005</v>
      </c>
      <c r="V524" s="15">
        <f t="shared" si="192"/>
        <v>80.98</v>
      </c>
      <c r="W524" s="15">
        <f>IF(MarkupType="Store Markup",ROUND(V524+V524*StoreMarkup,2),IF(MarkupType="Supplier Markup",V524+V524*SupplierMarkup,"Error at finding value"))</f>
        <v>127.54</v>
      </c>
      <c r="X524" s="32">
        <f t="shared" si="194"/>
        <v>9.09</v>
      </c>
      <c r="Y524" s="15">
        <f t="shared" si="195"/>
        <v>323.92</v>
      </c>
      <c r="Z524" s="15">
        <f t="shared" si="196"/>
        <v>473.8</v>
      </c>
      <c r="AA524" s="15">
        <f>IF(FreightType="Lethbridge-Stewart Freight ",ROUND(2.99+IF(N524&gt;0.75,(N524-0.75)*2.25,0)*S524,2),IF(MarkupType="Supplier Markup",V524+V524*SupplierMarkup,"Error at finding value"))</f>
        <v>18.739999999999998</v>
      </c>
      <c r="AB524" s="15">
        <f t="shared" si="197"/>
        <v>36.36</v>
      </c>
    </row>
    <row r="525" spans="1:28" x14ac:dyDescent="0.25">
      <c r="A525" s="16">
        <f>OrdersTable!A525</f>
        <v>200</v>
      </c>
      <c r="B525" s="15" t="str">
        <f t="shared" si="177"/>
        <v>Ms</v>
      </c>
      <c r="C525" s="15" t="str">
        <f t="shared" si="198"/>
        <v>Barton</v>
      </c>
      <c r="D525" s="15" t="str">
        <f t="shared" si="178"/>
        <v>Kimberley</v>
      </c>
      <c r="E525" s="15" t="str">
        <f t="shared" si="179"/>
        <v>9 Decuyper Road</v>
      </c>
      <c r="F525" s="15" t="str">
        <f t="shared" si="180"/>
        <v>Ashford</v>
      </c>
      <c r="G525" s="15" t="str">
        <f t="shared" si="181"/>
        <v>SA</v>
      </c>
      <c r="H525" s="15">
        <f t="shared" si="182"/>
        <v>5035</v>
      </c>
      <c r="I525" s="15">
        <f t="shared" si="193"/>
        <v>1877</v>
      </c>
      <c r="J525" s="15">
        <f>OrdersTable!B525</f>
        <v>358</v>
      </c>
      <c r="K525" s="15" t="str">
        <f t="shared" si="183"/>
        <v>Clothing and Apparel</v>
      </c>
      <c r="L525" s="15" t="str">
        <f t="shared" si="184"/>
        <v xml:space="preserve">Doctor Who: T-Shirts: 5th Doctor Costume </v>
      </c>
      <c r="M525" s="15" t="str">
        <f t="shared" si="185"/>
        <v>M</v>
      </c>
      <c r="N525" s="15">
        <f t="shared" si="186"/>
        <v>0.8</v>
      </c>
      <c r="O525" s="15" t="str">
        <f t="shared" si="187"/>
        <v>A30</v>
      </c>
      <c r="P525" s="15" t="str">
        <f t="shared" si="188"/>
        <v>Chesterton Enterprises</v>
      </c>
      <c r="Q525" s="15" t="str">
        <f t="shared" si="189"/>
        <v>41 William Russell Road</v>
      </c>
      <c r="R525" s="3">
        <f>OrdersTable!C525</f>
        <v>44600</v>
      </c>
      <c r="S525" s="15">
        <f>OrdersTable!E525</f>
        <v>3</v>
      </c>
      <c r="T525" s="15">
        <f t="shared" si="190"/>
        <v>15.99</v>
      </c>
      <c r="U525" s="15">
        <f t="shared" si="191"/>
        <v>21.96</v>
      </c>
      <c r="V525" s="15">
        <f t="shared" si="192"/>
        <v>25.9</v>
      </c>
      <c r="W525" s="15">
        <f>IF(MarkupType="Store Markup",ROUND(V525+V525*StoreMarkup,2),IF(MarkupType="Supplier Markup",V525+V525*SupplierMarkup,"Error at finding value"))</f>
        <v>40.79</v>
      </c>
      <c r="X525" s="32" t="str">
        <f t="shared" si="194"/>
        <v>0.00</v>
      </c>
      <c r="Y525" s="15">
        <f t="shared" si="195"/>
        <v>77.7</v>
      </c>
      <c r="Z525" s="15">
        <f t="shared" si="196"/>
        <v>122.37</v>
      </c>
      <c r="AA525" s="15">
        <f>IF(FreightType="Lethbridge-Stewart Freight ",ROUND(2.99+IF(N525&gt;0.75,(N525-0.75)*2.25,0)*S525,2),IF(MarkupType="Supplier Markup",V525+V525*SupplierMarkup,"Error at finding value"))</f>
        <v>3.33</v>
      </c>
      <c r="AB525" s="15">
        <f t="shared" si="197"/>
        <v>0</v>
      </c>
    </row>
    <row r="526" spans="1:28" x14ac:dyDescent="0.25">
      <c r="A526" s="16">
        <f>OrdersTable!A526</f>
        <v>200</v>
      </c>
      <c r="B526" s="15" t="str">
        <f t="shared" si="177"/>
        <v>Ms</v>
      </c>
      <c r="C526" s="15" t="str">
        <f t="shared" si="198"/>
        <v>Barton</v>
      </c>
      <c r="D526" s="15" t="str">
        <f t="shared" si="178"/>
        <v>Kimberley</v>
      </c>
      <c r="E526" s="15" t="str">
        <f t="shared" si="179"/>
        <v>9 Decuyper Road</v>
      </c>
      <c r="F526" s="15" t="str">
        <f t="shared" si="180"/>
        <v>Ashford</v>
      </c>
      <c r="G526" s="15" t="str">
        <f t="shared" si="181"/>
        <v>SA</v>
      </c>
      <c r="H526" s="15">
        <f t="shared" si="182"/>
        <v>5035</v>
      </c>
      <c r="I526" s="15">
        <f t="shared" si="193"/>
        <v>1877</v>
      </c>
      <c r="J526" s="15">
        <f>OrdersTable!B526</f>
        <v>862</v>
      </c>
      <c r="K526" s="15" t="str">
        <f t="shared" si="183"/>
        <v>Statues and Busts</v>
      </c>
      <c r="L526" s="15" t="str">
        <f t="shared" si="184"/>
        <v>Doctor Who: TITANS: The 10th Doctor</v>
      </c>
      <c r="M526" s="15" t="str">
        <f t="shared" si="185"/>
        <v>-</v>
      </c>
      <c r="N526" s="15">
        <f t="shared" si="186"/>
        <v>0.4</v>
      </c>
      <c r="O526" s="15" t="str">
        <f t="shared" si="187"/>
        <v>A40</v>
      </c>
      <c r="P526" s="15" t="str">
        <f t="shared" si="188"/>
        <v>Romana Imports</v>
      </c>
      <c r="Q526" s="15" t="str">
        <f t="shared" si="189"/>
        <v>17 Lalla Ward Road</v>
      </c>
      <c r="R526" s="3">
        <f>OrdersTable!C526</f>
        <v>44600</v>
      </c>
      <c r="S526" s="15">
        <f>OrdersTable!E526</f>
        <v>5</v>
      </c>
      <c r="T526" s="15">
        <f t="shared" si="190"/>
        <v>7.99</v>
      </c>
      <c r="U526" s="15">
        <f t="shared" si="191"/>
        <v>11.01</v>
      </c>
      <c r="V526" s="15">
        <f t="shared" si="192"/>
        <v>12.94</v>
      </c>
      <c r="W526" s="15">
        <f>IF(MarkupType="Store Markup",ROUND(V526+V526*StoreMarkup,2),IF(MarkupType="Supplier Markup",V526+V526*SupplierMarkup,"Error at finding value"))</f>
        <v>20.38</v>
      </c>
      <c r="X526" s="32" t="str">
        <f t="shared" si="194"/>
        <v>0.00</v>
      </c>
      <c r="Y526" s="15">
        <f t="shared" si="195"/>
        <v>64.7</v>
      </c>
      <c r="Z526" s="15">
        <f t="shared" si="196"/>
        <v>101.9</v>
      </c>
      <c r="AA526" s="15">
        <f>IF(FreightType="Lethbridge-Stewart Freight ",ROUND(2.99+IF(N526&gt;0.75,(N526-0.75)*2.25,0)*S526,2),IF(MarkupType="Supplier Markup",V526+V526*SupplierMarkup,"Error at finding value"))</f>
        <v>2.99</v>
      </c>
      <c r="AB526" s="15">
        <f t="shared" si="197"/>
        <v>0</v>
      </c>
    </row>
    <row r="527" spans="1:28" x14ac:dyDescent="0.25">
      <c r="A527" s="16">
        <f>OrdersTable!A527</f>
        <v>302</v>
      </c>
      <c r="B527" s="15" t="str">
        <f t="shared" si="177"/>
        <v>Ms</v>
      </c>
      <c r="C527" s="15" t="str">
        <f t="shared" si="198"/>
        <v>Lamshed</v>
      </c>
      <c r="D527" s="15" t="str">
        <f t="shared" si="178"/>
        <v>Laura Clare</v>
      </c>
      <c r="E527" s="15" t="str">
        <f t="shared" si="179"/>
        <v>22 Edser Drive</v>
      </c>
      <c r="F527" s="15" t="str">
        <f t="shared" si="180"/>
        <v>Caliph</v>
      </c>
      <c r="G527" s="15" t="str">
        <f t="shared" si="181"/>
        <v>SA</v>
      </c>
      <c r="H527" s="15">
        <f t="shared" si="182"/>
        <v>5310</v>
      </c>
      <c r="I527" s="15">
        <f t="shared" si="193"/>
        <v>1720</v>
      </c>
      <c r="J527" s="15">
        <f>OrdersTable!B527</f>
        <v>792</v>
      </c>
      <c r="K527" s="15" t="str">
        <f t="shared" si="183"/>
        <v>Statues and Busts</v>
      </c>
      <c r="L527" s="15" t="str">
        <f t="shared" si="184"/>
        <v>Doctor Who: Masterpiece Collection Maxi Bust: 3rd Doctor</v>
      </c>
      <c r="M527" s="15" t="str">
        <f t="shared" si="185"/>
        <v>-</v>
      </c>
      <c r="N527" s="15">
        <f t="shared" si="186"/>
        <v>2.5</v>
      </c>
      <c r="O527" s="15" t="str">
        <f t="shared" si="187"/>
        <v>A20</v>
      </c>
      <c r="P527" s="15" t="str">
        <f t="shared" si="188"/>
        <v>Morbius Inc.</v>
      </c>
      <c r="Q527" s="15" t="str">
        <f t="shared" si="189"/>
        <v>56 Michael Spice Hwy</v>
      </c>
      <c r="R527" s="3">
        <f>OrdersTable!C527</f>
        <v>44600</v>
      </c>
      <c r="S527" s="15">
        <f>OrdersTable!E527</f>
        <v>3</v>
      </c>
      <c r="T527" s="15">
        <f t="shared" si="190"/>
        <v>49.99</v>
      </c>
      <c r="U527" s="15">
        <f t="shared" si="191"/>
        <v>68.39</v>
      </c>
      <c r="V527" s="15">
        <f t="shared" si="192"/>
        <v>80.98</v>
      </c>
      <c r="W527" s="15">
        <f>IF(MarkupType="Store Markup",ROUND(V527+V527*StoreMarkup,2),IF(MarkupType="Supplier Markup",V527+V527*SupplierMarkup,"Error at finding value"))</f>
        <v>127.54</v>
      </c>
      <c r="X527" s="32">
        <f t="shared" si="194"/>
        <v>9.09</v>
      </c>
      <c r="Y527" s="15">
        <f t="shared" si="195"/>
        <v>242.94</v>
      </c>
      <c r="Z527" s="15">
        <f t="shared" si="196"/>
        <v>355.35</v>
      </c>
      <c r="AA527" s="15">
        <f>IF(FreightType="Lethbridge-Stewart Freight ",ROUND(2.99+IF(N527&gt;0.75,(N527-0.75)*2.25,0)*S527,2),IF(MarkupType="Supplier Markup",V527+V527*SupplierMarkup,"Error at finding value"))</f>
        <v>14.8</v>
      </c>
      <c r="AB527" s="15">
        <f t="shared" si="197"/>
        <v>27.27</v>
      </c>
    </row>
    <row r="528" spans="1:28" x14ac:dyDescent="0.25">
      <c r="A528" s="16">
        <f>OrdersTable!A528</f>
        <v>302</v>
      </c>
      <c r="B528" s="15" t="str">
        <f t="shared" si="177"/>
        <v>Ms</v>
      </c>
      <c r="C528" s="15" t="str">
        <f t="shared" si="198"/>
        <v>Lamshed</v>
      </c>
      <c r="D528" s="15" t="str">
        <f t="shared" si="178"/>
        <v>Laura Clare</v>
      </c>
      <c r="E528" s="15" t="str">
        <f t="shared" si="179"/>
        <v>22 Edser Drive</v>
      </c>
      <c r="F528" s="15" t="str">
        <f t="shared" si="180"/>
        <v>Caliph</v>
      </c>
      <c r="G528" s="15" t="str">
        <f t="shared" si="181"/>
        <v>SA</v>
      </c>
      <c r="H528" s="15">
        <f t="shared" si="182"/>
        <v>5310</v>
      </c>
      <c r="I528" s="15">
        <f t="shared" si="193"/>
        <v>1720</v>
      </c>
      <c r="J528" s="15">
        <f>OrdersTable!B528</f>
        <v>834</v>
      </c>
      <c r="K528" s="15" t="str">
        <f t="shared" si="183"/>
        <v>Statues and Busts</v>
      </c>
      <c r="L528" s="15" t="str">
        <f t="shared" si="184"/>
        <v>Doctor Who: Signature Edition Statue: Gallifrey Edition: Matt Smith</v>
      </c>
      <c r="M528" s="15" t="str">
        <f t="shared" si="185"/>
        <v>-</v>
      </c>
      <c r="N528" s="15">
        <f t="shared" si="186"/>
        <v>2.5</v>
      </c>
      <c r="O528" s="15" t="str">
        <f t="shared" si="187"/>
        <v>A30</v>
      </c>
      <c r="P528" s="15" t="str">
        <f t="shared" si="188"/>
        <v>Chesterton Enterprises</v>
      </c>
      <c r="Q528" s="15" t="str">
        <f t="shared" si="189"/>
        <v>41 William Russell Road</v>
      </c>
      <c r="R528" s="3">
        <f>OrdersTable!C528</f>
        <v>44600</v>
      </c>
      <c r="S528" s="15">
        <f>OrdersTable!E528</f>
        <v>5</v>
      </c>
      <c r="T528" s="15">
        <f t="shared" si="190"/>
        <v>49.99</v>
      </c>
      <c r="U528" s="15">
        <f t="shared" si="191"/>
        <v>68.52</v>
      </c>
      <c r="V528" s="15">
        <f t="shared" si="192"/>
        <v>80.98</v>
      </c>
      <c r="W528" s="15">
        <f>IF(MarkupType="Store Markup",ROUND(V528+V528*StoreMarkup,2),IF(MarkupType="Supplier Markup",V528+V528*SupplierMarkup,"Error at finding value"))</f>
        <v>127.54</v>
      </c>
      <c r="X528" s="32">
        <f t="shared" si="194"/>
        <v>9.09</v>
      </c>
      <c r="Y528" s="15">
        <f t="shared" si="195"/>
        <v>404.9</v>
      </c>
      <c r="Z528" s="15">
        <f t="shared" si="196"/>
        <v>592.25</v>
      </c>
      <c r="AA528" s="15">
        <f>IF(FreightType="Lethbridge-Stewart Freight ",ROUND(2.99+IF(N528&gt;0.75,(N528-0.75)*2.25,0)*S528,2),IF(MarkupType="Supplier Markup",V528+V528*SupplierMarkup,"Error at finding value"))</f>
        <v>22.68</v>
      </c>
      <c r="AB528" s="15">
        <f t="shared" si="197"/>
        <v>45.45</v>
      </c>
    </row>
    <row r="529" spans="1:28" x14ac:dyDescent="0.25">
      <c r="A529" s="16">
        <f>OrdersTable!A529</f>
        <v>330</v>
      </c>
      <c r="B529" s="15" t="str">
        <f t="shared" si="177"/>
        <v>Mr</v>
      </c>
      <c r="C529" s="15" t="str">
        <f t="shared" si="198"/>
        <v>Liesegang</v>
      </c>
      <c r="D529" s="15" t="str">
        <f t="shared" si="178"/>
        <v>Darcey Michelle</v>
      </c>
      <c r="E529" s="15" t="str">
        <f t="shared" si="179"/>
        <v>50 McCann Drive</v>
      </c>
      <c r="F529" s="15" t="str">
        <f t="shared" si="180"/>
        <v>Binduli</v>
      </c>
      <c r="G529" s="15" t="str">
        <f t="shared" si="181"/>
        <v>WA</v>
      </c>
      <c r="H529" s="15">
        <f t="shared" si="182"/>
        <v>6430</v>
      </c>
      <c r="I529" s="15">
        <f t="shared" si="193"/>
        <v>3543</v>
      </c>
      <c r="J529" s="15">
        <f>OrdersTable!B529</f>
        <v>541</v>
      </c>
      <c r="K529" s="15" t="str">
        <f t="shared" si="183"/>
        <v>Giftware</v>
      </c>
      <c r="L529" s="15" t="str">
        <f t="shared" si="184"/>
        <v>Doctor Who: Salt and Pepper Shakers: TARDIS</v>
      </c>
      <c r="M529" s="15" t="str">
        <f t="shared" si="185"/>
        <v>-</v>
      </c>
      <c r="N529" s="15">
        <f t="shared" si="186"/>
        <v>0.6</v>
      </c>
      <c r="O529" s="15" t="str">
        <f t="shared" si="187"/>
        <v>A10</v>
      </c>
      <c r="P529" s="15" t="str">
        <f t="shared" si="188"/>
        <v>Gallifrey International</v>
      </c>
      <c r="Q529" s="15" t="str">
        <f t="shared" si="189"/>
        <v>181 Arcadia Street</v>
      </c>
      <c r="R529" s="3">
        <f>OrdersTable!C529</f>
        <v>44600</v>
      </c>
      <c r="S529" s="15">
        <f>OrdersTable!E529</f>
        <v>1</v>
      </c>
      <c r="T529" s="15">
        <f t="shared" si="190"/>
        <v>11.99</v>
      </c>
      <c r="U529" s="15">
        <f t="shared" si="191"/>
        <v>16.62</v>
      </c>
      <c r="V529" s="15">
        <f t="shared" si="192"/>
        <v>19.420000000000002</v>
      </c>
      <c r="W529" s="15">
        <f>IF(MarkupType="Store Markup",ROUND(V529+V529*StoreMarkup,2),IF(MarkupType="Supplier Markup",V529+V529*SupplierMarkup,"Error at finding value"))</f>
        <v>30.59</v>
      </c>
      <c r="X529" s="32" t="str">
        <f t="shared" si="194"/>
        <v>0.00</v>
      </c>
      <c r="Y529" s="15">
        <f t="shared" si="195"/>
        <v>19.420000000000002</v>
      </c>
      <c r="Z529" s="15">
        <f t="shared" si="196"/>
        <v>30.59</v>
      </c>
      <c r="AA529" s="15">
        <f>IF(FreightType="Lethbridge-Stewart Freight ",ROUND(2.99+IF(N529&gt;0.75,(N529-0.75)*2.25,0)*S529,2),IF(MarkupType="Supplier Markup",V529+V529*SupplierMarkup,"Error at finding value"))</f>
        <v>2.99</v>
      </c>
      <c r="AB529" s="15">
        <f t="shared" si="197"/>
        <v>0</v>
      </c>
    </row>
    <row r="530" spans="1:28" x14ac:dyDescent="0.25">
      <c r="A530" s="16">
        <f>OrdersTable!A530</f>
        <v>330</v>
      </c>
      <c r="B530" s="15" t="str">
        <f t="shared" si="177"/>
        <v>Mr</v>
      </c>
      <c r="C530" s="15" t="str">
        <f t="shared" si="198"/>
        <v>Liesegang</v>
      </c>
      <c r="D530" s="15" t="str">
        <f t="shared" si="178"/>
        <v>Darcey Michelle</v>
      </c>
      <c r="E530" s="15" t="str">
        <f t="shared" si="179"/>
        <v>50 McCann Drive</v>
      </c>
      <c r="F530" s="15" t="str">
        <f t="shared" si="180"/>
        <v>Binduli</v>
      </c>
      <c r="G530" s="15" t="str">
        <f t="shared" si="181"/>
        <v>WA</v>
      </c>
      <c r="H530" s="15">
        <f t="shared" si="182"/>
        <v>6430</v>
      </c>
      <c r="I530" s="15">
        <f t="shared" si="193"/>
        <v>3543</v>
      </c>
      <c r="J530" s="15">
        <f>OrdersTable!B530</f>
        <v>810</v>
      </c>
      <c r="K530" s="15" t="str">
        <f t="shared" si="183"/>
        <v>Statues and Busts</v>
      </c>
      <c r="L530" s="15" t="str">
        <f t="shared" si="184"/>
        <v>Doctor Who: Masterpiece Collection Maxi Bust: Amy Pond</v>
      </c>
      <c r="M530" s="15" t="str">
        <f t="shared" si="185"/>
        <v>-</v>
      </c>
      <c r="N530" s="15">
        <f t="shared" si="186"/>
        <v>2.5</v>
      </c>
      <c r="O530" s="15" t="str">
        <f t="shared" si="187"/>
        <v>A50</v>
      </c>
      <c r="P530" s="15" t="str">
        <f t="shared" si="188"/>
        <v>Rassilon Ltd.</v>
      </c>
      <c r="Q530" s="15" t="str">
        <f t="shared" si="189"/>
        <v>82 Richard Mathews Road</v>
      </c>
      <c r="R530" s="3">
        <f>OrdersTable!C530</f>
        <v>44600</v>
      </c>
      <c r="S530" s="15">
        <f>OrdersTable!E530</f>
        <v>6</v>
      </c>
      <c r="T530" s="15">
        <f t="shared" si="190"/>
        <v>49.99</v>
      </c>
      <c r="U530" s="15">
        <f t="shared" si="191"/>
        <v>68.260000000000005</v>
      </c>
      <c r="V530" s="15">
        <f t="shared" si="192"/>
        <v>80.98</v>
      </c>
      <c r="W530" s="15">
        <f>IF(MarkupType="Store Markup",ROUND(V530+V530*StoreMarkup,2),IF(MarkupType="Supplier Markup",V530+V530*SupplierMarkup,"Error at finding value"))</f>
        <v>127.54</v>
      </c>
      <c r="X530" s="32">
        <f t="shared" si="194"/>
        <v>9.09</v>
      </c>
      <c r="Y530" s="15">
        <f t="shared" si="195"/>
        <v>485.88</v>
      </c>
      <c r="Z530" s="15">
        <f t="shared" si="196"/>
        <v>710.7</v>
      </c>
      <c r="AA530" s="15">
        <f>IF(FreightType="Lethbridge-Stewart Freight ",ROUND(2.99+IF(N530&gt;0.75,(N530-0.75)*2.25,0)*S530,2),IF(MarkupType="Supplier Markup",V530+V530*SupplierMarkup,"Error at finding value"))</f>
        <v>26.62</v>
      </c>
      <c r="AB530" s="15">
        <f t="shared" si="197"/>
        <v>54.54</v>
      </c>
    </row>
    <row r="531" spans="1:28" x14ac:dyDescent="0.25">
      <c r="A531" s="16">
        <f>OrdersTable!A531</f>
        <v>362</v>
      </c>
      <c r="B531" s="15" t="str">
        <f t="shared" si="177"/>
        <v>Mr</v>
      </c>
      <c r="C531" s="15" t="str">
        <f t="shared" si="198"/>
        <v>Hurst</v>
      </c>
      <c r="D531" s="15" t="str">
        <f t="shared" si="178"/>
        <v>Ralph Gregory</v>
      </c>
      <c r="E531" s="15" t="str">
        <f t="shared" si="179"/>
        <v>45 Blakeney Road</v>
      </c>
      <c r="F531" s="15" t="str">
        <f t="shared" si="180"/>
        <v>Iluka</v>
      </c>
      <c r="G531" s="15" t="str">
        <f t="shared" si="181"/>
        <v>NSW</v>
      </c>
      <c r="H531" s="15">
        <f t="shared" si="182"/>
        <v>2466</v>
      </c>
      <c r="I531" s="15">
        <f t="shared" si="193"/>
        <v>347</v>
      </c>
      <c r="J531" s="15">
        <f>OrdersTable!B531</f>
        <v>725</v>
      </c>
      <c r="K531" s="15" t="str">
        <f t="shared" si="183"/>
        <v>Props and Replicas</v>
      </c>
      <c r="L531" s="15" t="str">
        <f t="shared" si="184"/>
        <v>Doctor Who: Captain Jack Sonic Blaster</v>
      </c>
      <c r="M531" s="15" t="str">
        <f t="shared" si="185"/>
        <v>-</v>
      </c>
      <c r="N531" s="15">
        <f t="shared" si="186"/>
        <v>14.8</v>
      </c>
      <c r="O531" s="15" t="str">
        <f t="shared" si="187"/>
        <v>A30</v>
      </c>
      <c r="P531" s="15" t="str">
        <f t="shared" si="188"/>
        <v>Chesterton Enterprises</v>
      </c>
      <c r="Q531" s="15" t="str">
        <f t="shared" si="189"/>
        <v>41 William Russell Road</v>
      </c>
      <c r="R531" s="3">
        <f>OrdersTable!C531</f>
        <v>44600</v>
      </c>
      <c r="S531" s="15">
        <f>OrdersTable!E531</f>
        <v>7</v>
      </c>
      <c r="T531" s="15">
        <f t="shared" si="190"/>
        <v>295.99</v>
      </c>
      <c r="U531" s="15">
        <f t="shared" si="191"/>
        <v>403.88</v>
      </c>
      <c r="V531" s="15">
        <f t="shared" si="192"/>
        <v>479.5</v>
      </c>
      <c r="W531" s="15">
        <f>IF(MarkupType="Store Markup",ROUND(V531+V531*StoreMarkup,2),IF(MarkupType="Supplier Markup",V531+V531*SupplierMarkup,"Error at finding value"))</f>
        <v>755.21</v>
      </c>
      <c r="X531" s="32">
        <f t="shared" si="194"/>
        <v>53.81</v>
      </c>
      <c r="Y531" s="15">
        <f t="shared" si="195"/>
        <v>3356.5</v>
      </c>
      <c r="Z531" s="15">
        <f t="shared" si="196"/>
        <v>4909.8</v>
      </c>
      <c r="AA531" s="15">
        <f>IF(FreightType="Lethbridge-Stewart Freight ",ROUND(2.99+IF(N531&gt;0.75,(N531-0.75)*2.25,0)*S531,2),IF(MarkupType="Supplier Markup",V531+V531*SupplierMarkup,"Error at finding value"))</f>
        <v>224.28</v>
      </c>
      <c r="AB531" s="15">
        <f t="shared" si="197"/>
        <v>376.67</v>
      </c>
    </row>
    <row r="532" spans="1:28" x14ac:dyDescent="0.25">
      <c r="A532" s="16">
        <f>OrdersTable!A532</f>
        <v>467</v>
      </c>
      <c r="B532" s="15" t="str">
        <f t="shared" si="177"/>
        <v>Mrs</v>
      </c>
      <c r="C532" s="15" t="str">
        <f t="shared" si="198"/>
        <v>Daniell</v>
      </c>
      <c r="D532" s="15" t="str">
        <f t="shared" si="178"/>
        <v>Bronte Eliza</v>
      </c>
      <c r="E532" s="15" t="str">
        <f t="shared" si="179"/>
        <v>41 Wilson Boulevard</v>
      </c>
      <c r="F532" s="15" t="str">
        <f t="shared" si="180"/>
        <v>Aberfoyle</v>
      </c>
      <c r="G532" s="15" t="str">
        <f t="shared" si="181"/>
        <v>NSW</v>
      </c>
      <c r="H532" s="15">
        <f t="shared" si="182"/>
        <v>2350</v>
      </c>
      <c r="I532" s="15">
        <f t="shared" si="193"/>
        <v>363</v>
      </c>
      <c r="J532" s="15">
        <f>OrdersTable!B532</f>
        <v>358</v>
      </c>
      <c r="K532" s="15" t="str">
        <f t="shared" si="183"/>
        <v>Clothing and Apparel</v>
      </c>
      <c r="L532" s="15" t="str">
        <f t="shared" si="184"/>
        <v xml:space="preserve">Doctor Who: T-Shirts: 5th Doctor Costume </v>
      </c>
      <c r="M532" s="15" t="str">
        <f t="shared" si="185"/>
        <v>M</v>
      </c>
      <c r="N532" s="15">
        <f t="shared" si="186"/>
        <v>0.8</v>
      </c>
      <c r="O532" s="15" t="str">
        <f t="shared" si="187"/>
        <v>A30</v>
      </c>
      <c r="P532" s="15" t="str">
        <f t="shared" si="188"/>
        <v>Chesterton Enterprises</v>
      </c>
      <c r="Q532" s="15" t="str">
        <f t="shared" si="189"/>
        <v>41 William Russell Road</v>
      </c>
      <c r="R532" s="3">
        <f>OrdersTable!C532</f>
        <v>44600</v>
      </c>
      <c r="S532" s="15">
        <f>OrdersTable!E532</f>
        <v>2</v>
      </c>
      <c r="T532" s="15">
        <f t="shared" si="190"/>
        <v>15.99</v>
      </c>
      <c r="U532" s="15">
        <f t="shared" si="191"/>
        <v>21.96</v>
      </c>
      <c r="V532" s="15">
        <f t="shared" si="192"/>
        <v>25.9</v>
      </c>
      <c r="W532" s="15">
        <f>IF(MarkupType="Store Markup",ROUND(V532+V532*StoreMarkup,2),IF(MarkupType="Supplier Markup",V532+V532*SupplierMarkup,"Error at finding value"))</f>
        <v>40.79</v>
      </c>
      <c r="X532" s="32" t="str">
        <f t="shared" si="194"/>
        <v>0.00</v>
      </c>
      <c r="Y532" s="15">
        <f t="shared" si="195"/>
        <v>51.8</v>
      </c>
      <c r="Z532" s="15">
        <f t="shared" si="196"/>
        <v>81.58</v>
      </c>
      <c r="AA532" s="15">
        <f>IF(FreightType="Lethbridge-Stewart Freight ",ROUND(2.99+IF(N532&gt;0.75,(N532-0.75)*2.25,0)*S532,2),IF(MarkupType="Supplier Markup",V532+V532*SupplierMarkup,"Error at finding value"))</f>
        <v>3.22</v>
      </c>
      <c r="AB532" s="15">
        <f t="shared" si="197"/>
        <v>0</v>
      </c>
    </row>
    <row r="533" spans="1:28" x14ac:dyDescent="0.25">
      <c r="A533" s="16">
        <f>OrdersTable!A533</f>
        <v>544</v>
      </c>
      <c r="B533" s="15" t="str">
        <f t="shared" si="177"/>
        <v>Mr</v>
      </c>
      <c r="C533" s="15" t="str">
        <f t="shared" si="198"/>
        <v>Sullivan</v>
      </c>
      <c r="D533" s="15" t="str">
        <f t="shared" si="178"/>
        <v>Lawrence Bernard</v>
      </c>
      <c r="E533" s="15" t="str">
        <f t="shared" si="179"/>
        <v>11 Haydon Boulevard</v>
      </c>
      <c r="F533" s="15" t="str">
        <f t="shared" si="180"/>
        <v>Breakwater</v>
      </c>
      <c r="G533" s="15" t="str">
        <f t="shared" si="181"/>
        <v>VIC</v>
      </c>
      <c r="H533" s="15">
        <f t="shared" si="182"/>
        <v>3219</v>
      </c>
      <c r="I533" s="15">
        <f t="shared" si="193"/>
        <v>1596</v>
      </c>
      <c r="J533" s="15">
        <f>OrdersTable!B533</f>
        <v>853</v>
      </c>
      <c r="K533" s="15" t="str">
        <f t="shared" si="183"/>
        <v>Statues and Busts</v>
      </c>
      <c r="L533" s="15" t="str">
        <f t="shared" si="184"/>
        <v>Doctor Who: Statue: The Master And Auton</v>
      </c>
      <c r="M533" s="15" t="str">
        <f t="shared" si="185"/>
        <v>-</v>
      </c>
      <c r="N533" s="15">
        <f t="shared" si="186"/>
        <v>3.5</v>
      </c>
      <c r="O533" s="15" t="str">
        <f t="shared" si="187"/>
        <v>A50</v>
      </c>
      <c r="P533" s="15" t="str">
        <f t="shared" si="188"/>
        <v>Rassilon Ltd.</v>
      </c>
      <c r="Q533" s="15" t="str">
        <f t="shared" si="189"/>
        <v>82 Richard Mathews Road</v>
      </c>
      <c r="R533" s="3">
        <f>OrdersTable!C533</f>
        <v>44600</v>
      </c>
      <c r="S533" s="15">
        <f>OrdersTable!E533</f>
        <v>4</v>
      </c>
      <c r="T533" s="15">
        <f t="shared" si="190"/>
        <v>69.989999999999995</v>
      </c>
      <c r="U533" s="15">
        <f t="shared" si="191"/>
        <v>95.51</v>
      </c>
      <c r="V533" s="15">
        <f t="shared" si="192"/>
        <v>113.38</v>
      </c>
      <c r="W533" s="15">
        <f>IF(MarkupType="Store Markup",ROUND(V533+V533*StoreMarkup,2),IF(MarkupType="Supplier Markup",V533+V533*SupplierMarkup,"Error at finding value"))</f>
        <v>178.57</v>
      </c>
      <c r="X533" s="32">
        <f t="shared" si="194"/>
        <v>12.72</v>
      </c>
      <c r="Y533" s="15">
        <f t="shared" si="195"/>
        <v>453.52</v>
      </c>
      <c r="Z533" s="15">
        <f t="shared" si="196"/>
        <v>663.4</v>
      </c>
      <c r="AA533" s="15">
        <f>IF(FreightType="Lethbridge-Stewart Freight ",ROUND(2.99+IF(N533&gt;0.75,(N533-0.75)*2.25,0)*S533,2),IF(MarkupType="Supplier Markup",V533+V533*SupplierMarkup,"Error at finding value"))</f>
        <v>27.74</v>
      </c>
      <c r="AB533" s="15">
        <f t="shared" si="197"/>
        <v>50.88</v>
      </c>
    </row>
    <row r="534" spans="1:28" x14ac:dyDescent="0.25">
      <c r="A534" s="16">
        <f>OrdersTable!A534</f>
        <v>567</v>
      </c>
      <c r="B534" s="15" t="str">
        <f t="shared" si="177"/>
        <v>Ms</v>
      </c>
      <c r="C534" s="15" t="str">
        <f t="shared" si="198"/>
        <v>Perkins</v>
      </c>
      <c r="D534" s="15" t="str">
        <f t="shared" si="178"/>
        <v>Sarah</v>
      </c>
      <c r="E534" s="15" t="str">
        <f t="shared" si="179"/>
        <v>7 Tengdahl Road</v>
      </c>
      <c r="F534" s="15" t="str">
        <f t="shared" si="180"/>
        <v>Areegra</v>
      </c>
      <c r="G534" s="15" t="str">
        <f t="shared" si="181"/>
        <v>VIC</v>
      </c>
      <c r="H534" s="15">
        <f t="shared" si="182"/>
        <v>3480</v>
      </c>
      <c r="I534" s="15">
        <f t="shared" si="193"/>
        <v>1559</v>
      </c>
      <c r="J534" s="15">
        <f>OrdersTable!B534</f>
        <v>849</v>
      </c>
      <c r="K534" s="15" t="str">
        <f t="shared" si="183"/>
        <v>Statues and Busts</v>
      </c>
      <c r="L534" s="15" t="str">
        <f t="shared" si="184"/>
        <v>Doctor Who: Statue: Cyber Controller</v>
      </c>
      <c r="M534" s="15" t="str">
        <f t="shared" si="185"/>
        <v>-</v>
      </c>
      <c r="N534" s="15">
        <f t="shared" si="186"/>
        <v>5</v>
      </c>
      <c r="O534" s="15" t="str">
        <f t="shared" si="187"/>
        <v>A10</v>
      </c>
      <c r="P534" s="15" t="str">
        <f t="shared" si="188"/>
        <v>Gallifrey International</v>
      </c>
      <c r="Q534" s="15" t="str">
        <f t="shared" si="189"/>
        <v>181 Arcadia Street</v>
      </c>
      <c r="R534" s="3">
        <f>OrdersTable!C534</f>
        <v>44600</v>
      </c>
      <c r="S534" s="15">
        <f>OrdersTable!E534</f>
        <v>9</v>
      </c>
      <c r="T534" s="15">
        <f t="shared" si="190"/>
        <v>99.99</v>
      </c>
      <c r="U534" s="15">
        <f t="shared" si="191"/>
        <v>136.41</v>
      </c>
      <c r="V534" s="15">
        <f t="shared" si="192"/>
        <v>161.97999999999999</v>
      </c>
      <c r="W534" s="15">
        <f>IF(MarkupType="Store Markup",ROUND(V534+V534*StoreMarkup,2),IF(MarkupType="Supplier Markup",V534+V534*SupplierMarkup,"Error at finding value"))</f>
        <v>255.12</v>
      </c>
      <c r="X534" s="32">
        <f t="shared" si="194"/>
        <v>18.18</v>
      </c>
      <c r="Y534" s="15">
        <f t="shared" si="195"/>
        <v>1457.82</v>
      </c>
      <c r="Z534" s="15">
        <f t="shared" si="196"/>
        <v>2132.46</v>
      </c>
      <c r="AA534" s="15">
        <f>IF(FreightType="Lethbridge-Stewart Freight ",ROUND(2.99+IF(N534&gt;0.75,(N534-0.75)*2.25,0)*S534,2),IF(MarkupType="Supplier Markup",V534+V534*SupplierMarkup,"Error at finding value"))</f>
        <v>89.05</v>
      </c>
      <c r="AB534" s="15">
        <f t="shared" si="197"/>
        <v>163.62</v>
      </c>
    </row>
    <row r="535" spans="1:28" x14ac:dyDescent="0.25">
      <c r="A535" s="16">
        <f>OrdersTable!A535</f>
        <v>600</v>
      </c>
      <c r="B535" s="15" t="str">
        <f t="shared" si="177"/>
        <v>Dr</v>
      </c>
      <c r="C535" s="15" t="str">
        <f t="shared" si="198"/>
        <v>McConnell</v>
      </c>
      <c r="D535" s="15" t="str">
        <f t="shared" si="178"/>
        <v>Hannah Clair</v>
      </c>
      <c r="E535" s="15" t="str">
        <f t="shared" si="179"/>
        <v>27 Mccarthy Circuit</v>
      </c>
      <c r="F535" s="15" t="str">
        <f t="shared" si="180"/>
        <v>Ashford</v>
      </c>
      <c r="G535" s="15" t="str">
        <f t="shared" si="181"/>
        <v>SA</v>
      </c>
      <c r="H535" s="15">
        <f t="shared" si="182"/>
        <v>5035</v>
      </c>
      <c r="I535" s="15">
        <f t="shared" si="193"/>
        <v>1877</v>
      </c>
      <c r="J535" s="15">
        <f>OrdersTable!B535</f>
        <v>374</v>
      </c>
      <c r="K535" s="15" t="str">
        <f t="shared" si="183"/>
        <v>Clothing and Apparel</v>
      </c>
      <c r="L535" s="15" t="str">
        <f t="shared" si="184"/>
        <v xml:space="preserve">Doctor Who: T-Shirts: 5th Doctor Costume </v>
      </c>
      <c r="M535" s="15" t="str">
        <f t="shared" si="185"/>
        <v>XL</v>
      </c>
      <c r="N535" s="15">
        <f t="shared" si="186"/>
        <v>0.8</v>
      </c>
      <c r="O535" s="15" t="str">
        <f t="shared" si="187"/>
        <v>A50</v>
      </c>
      <c r="P535" s="15" t="str">
        <f t="shared" si="188"/>
        <v>Rassilon Ltd.</v>
      </c>
      <c r="Q535" s="15" t="str">
        <f t="shared" si="189"/>
        <v>82 Richard Mathews Road</v>
      </c>
      <c r="R535" s="3">
        <f>OrdersTable!C535</f>
        <v>44600</v>
      </c>
      <c r="S535" s="15">
        <f>OrdersTable!E535</f>
        <v>1</v>
      </c>
      <c r="T535" s="15">
        <f t="shared" si="190"/>
        <v>15.99</v>
      </c>
      <c r="U535" s="15">
        <f t="shared" si="191"/>
        <v>21.97</v>
      </c>
      <c r="V535" s="15">
        <f t="shared" si="192"/>
        <v>25.9</v>
      </c>
      <c r="W535" s="15">
        <f>IF(MarkupType="Store Markup",ROUND(V535+V535*StoreMarkup,2),IF(MarkupType="Supplier Markup",V535+V535*SupplierMarkup,"Error at finding value"))</f>
        <v>40.79</v>
      </c>
      <c r="X535" s="32" t="str">
        <f t="shared" si="194"/>
        <v>0.00</v>
      </c>
      <c r="Y535" s="15">
        <f t="shared" si="195"/>
        <v>25.9</v>
      </c>
      <c r="Z535" s="15">
        <f t="shared" si="196"/>
        <v>40.79</v>
      </c>
      <c r="AA535" s="15">
        <f>IF(FreightType="Lethbridge-Stewart Freight ",ROUND(2.99+IF(N535&gt;0.75,(N535-0.75)*2.25,0)*S535,2),IF(MarkupType="Supplier Markup",V535+V535*SupplierMarkup,"Error at finding value"))</f>
        <v>3.1</v>
      </c>
      <c r="AB535" s="15">
        <f t="shared" si="197"/>
        <v>0</v>
      </c>
    </row>
    <row r="536" spans="1:28" x14ac:dyDescent="0.25">
      <c r="A536" s="16">
        <f>OrdersTable!A536</f>
        <v>609</v>
      </c>
      <c r="B536" s="15" t="str">
        <f t="shared" si="177"/>
        <v>Ms</v>
      </c>
      <c r="C536" s="15" t="str">
        <f t="shared" si="198"/>
        <v>Ashley</v>
      </c>
      <c r="D536" s="15" t="str">
        <f t="shared" si="178"/>
        <v>Matthew</v>
      </c>
      <c r="E536" s="15" t="str">
        <f t="shared" si="179"/>
        <v>3 Wagener Crescent</v>
      </c>
      <c r="F536" s="15" t="str">
        <f t="shared" si="180"/>
        <v>Aberfoyle</v>
      </c>
      <c r="G536" s="15" t="str">
        <f t="shared" si="181"/>
        <v>NSW</v>
      </c>
      <c r="H536" s="15">
        <f t="shared" si="182"/>
        <v>2350</v>
      </c>
      <c r="I536" s="15">
        <f t="shared" si="193"/>
        <v>363</v>
      </c>
      <c r="J536" s="15">
        <f>OrdersTable!B536</f>
        <v>196</v>
      </c>
      <c r="K536" s="15" t="str">
        <f t="shared" si="183"/>
        <v>Clothing and Apparel</v>
      </c>
      <c r="L536" s="15" t="str">
        <f t="shared" si="184"/>
        <v>Doctor Who: 12 Foot Tom Baker Scarf</v>
      </c>
      <c r="M536" s="15" t="str">
        <f t="shared" si="185"/>
        <v>-</v>
      </c>
      <c r="N536" s="15">
        <f t="shared" si="186"/>
        <v>2.5</v>
      </c>
      <c r="O536" s="15" t="str">
        <f t="shared" si="187"/>
        <v>A40</v>
      </c>
      <c r="P536" s="15" t="str">
        <f t="shared" si="188"/>
        <v>Romana Imports</v>
      </c>
      <c r="Q536" s="15" t="str">
        <f t="shared" si="189"/>
        <v>17 Lalla Ward Road</v>
      </c>
      <c r="R536" s="3">
        <f>OrdersTable!C536</f>
        <v>44600</v>
      </c>
      <c r="S536" s="15">
        <f>OrdersTable!E536</f>
        <v>2</v>
      </c>
      <c r="T536" s="15">
        <f t="shared" si="190"/>
        <v>49.99</v>
      </c>
      <c r="U536" s="15">
        <f t="shared" si="191"/>
        <v>68.28</v>
      </c>
      <c r="V536" s="15">
        <f t="shared" si="192"/>
        <v>80.98</v>
      </c>
      <c r="W536" s="15">
        <f>IF(MarkupType="Store Markup",ROUND(V536+V536*StoreMarkup,2),IF(MarkupType="Supplier Markup",V536+V536*SupplierMarkup,"Error at finding value"))</f>
        <v>127.54</v>
      </c>
      <c r="X536" s="32" t="str">
        <f t="shared" si="194"/>
        <v>0.00</v>
      </c>
      <c r="Y536" s="15">
        <f t="shared" si="195"/>
        <v>161.96</v>
      </c>
      <c r="Z536" s="15">
        <f t="shared" si="196"/>
        <v>255.08</v>
      </c>
      <c r="AA536" s="15">
        <f>IF(FreightType="Lethbridge-Stewart Freight ",ROUND(2.99+IF(N536&gt;0.75,(N536-0.75)*2.25,0)*S536,2),IF(MarkupType="Supplier Markup",V536+V536*SupplierMarkup,"Error at finding value"))</f>
        <v>10.87</v>
      </c>
      <c r="AB536" s="15">
        <f t="shared" si="197"/>
        <v>0</v>
      </c>
    </row>
    <row r="537" spans="1:28" x14ac:dyDescent="0.25">
      <c r="A537" s="16">
        <f>OrdersTable!A537</f>
        <v>611</v>
      </c>
      <c r="B537" s="15" t="str">
        <f t="shared" si="177"/>
        <v>Mr</v>
      </c>
      <c r="C537" s="15" t="str">
        <f t="shared" si="198"/>
        <v>Wittman</v>
      </c>
      <c r="D537" s="15" t="str">
        <f t="shared" si="178"/>
        <v>Nicholas Jackson</v>
      </c>
      <c r="E537" s="15" t="str">
        <f t="shared" si="179"/>
        <v>48 Sheppard-Kadel Way</v>
      </c>
      <c r="F537" s="15" t="str">
        <f t="shared" si="180"/>
        <v>Nayook</v>
      </c>
      <c r="G537" s="15" t="str">
        <f t="shared" si="181"/>
        <v>VIC</v>
      </c>
      <c r="H537" s="15">
        <f t="shared" si="182"/>
        <v>3832</v>
      </c>
      <c r="I537" s="15">
        <f t="shared" si="193"/>
        <v>1552</v>
      </c>
      <c r="J537" s="15">
        <f>OrdersTable!B537</f>
        <v>331</v>
      </c>
      <c r="K537" s="15" t="str">
        <f t="shared" si="183"/>
        <v>Clothing and Apparel</v>
      </c>
      <c r="L537" s="15" t="str">
        <f t="shared" si="184"/>
        <v xml:space="preserve">Doctor Who: T-Shirts: 4th Doctor Costume </v>
      </c>
      <c r="M537" s="15" t="str">
        <f t="shared" si="185"/>
        <v>L</v>
      </c>
      <c r="N537" s="15">
        <f t="shared" si="186"/>
        <v>0.8</v>
      </c>
      <c r="O537" s="15" t="str">
        <f t="shared" si="187"/>
        <v>A20</v>
      </c>
      <c r="P537" s="15" t="str">
        <f t="shared" si="188"/>
        <v>Morbius Inc.</v>
      </c>
      <c r="Q537" s="15" t="str">
        <f t="shared" si="189"/>
        <v>56 Michael Spice Hwy</v>
      </c>
      <c r="R537" s="3">
        <f>OrdersTable!C537</f>
        <v>44600</v>
      </c>
      <c r="S537" s="15">
        <f>OrdersTable!E537</f>
        <v>8</v>
      </c>
      <c r="T537" s="15">
        <f t="shared" si="190"/>
        <v>15.99</v>
      </c>
      <c r="U537" s="15">
        <f t="shared" si="191"/>
        <v>22.08</v>
      </c>
      <c r="V537" s="15">
        <f t="shared" si="192"/>
        <v>25.9</v>
      </c>
      <c r="W537" s="15">
        <f>IF(MarkupType="Store Markup",ROUND(V537+V537*StoreMarkup,2),IF(MarkupType="Supplier Markup",V537+V537*SupplierMarkup,"Error at finding value"))</f>
        <v>40.79</v>
      </c>
      <c r="X537" s="32" t="str">
        <f t="shared" si="194"/>
        <v>0.00</v>
      </c>
      <c r="Y537" s="15">
        <f t="shared" si="195"/>
        <v>207.2</v>
      </c>
      <c r="Z537" s="15">
        <f t="shared" si="196"/>
        <v>326.32</v>
      </c>
      <c r="AA537" s="15">
        <f>IF(FreightType="Lethbridge-Stewart Freight ",ROUND(2.99+IF(N537&gt;0.75,(N537-0.75)*2.25,0)*S537,2),IF(MarkupType="Supplier Markup",V537+V537*SupplierMarkup,"Error at finding value"))</f>
        <v>3.89</v>
      </c>
      <c r="AB537" s="15">
        <f t="shared" si="197"/>
        <v>0</v>
      </c>
    </row>
    <row r="538" spans="1:28" x14ac:dyDescent="0.25">
      <c r="A538" s="16">
        <f>OrdersTable!A538</f>
        <v>643</v>
      </c>
      <c r="B538" s="15" t="str">
        <f t="shared" si="177"/>
        <v>Ms</v>
      </c>
      <c r="C538" s="15" t="str">
        <f t="shared" si="198"/>
        <v>Crispin-Purcell</v>
      </c>
      <c r="D538" s="15" t="str">
        <f t="shared" si="178"/>
        <v>Gabriellen Elizabeth</v>
      </c>
      <c r="E538" s="15" t="str">
        <f t="shared" si="179"/>
        <v>12 Williams Road</v>
      </c>
      <c r="F538" s="15" t="str">
        <f t="shared" si="180"/>
        <v>Appletree Flat</v>
      </c>
      <c r="G538" s="15" t="str">
        <f t="shared" si="181"/>
        <v>NSW</v>
      </c>
      <c r="H538" s="15">
        <f t="shared" si="182"/>
        <v>2330</v>
      </c>
      <c r="I538" s="15">
        <f t="shared" si="193"/>
        <v>691</v>
      </c>
      <c r="J538" s="15">
        <f>OrdersTable!B538</f>
        <v>671</v>
      </c>
      <c r="K538" s="15" t="str">
        <f t="shared" si="183"/>
        <v>Mugs</v>
      </c>
      <c r="L538" s="15" t="str">
        <f t="shared" si="184"/>
        <v>Doctor Who: Mug: TARDIS Inside</v>
      </c>
      <c r="M538" s="15" t="str">
        <f t="shared" si="185"/>
        <v>-</v>
      </c>
      <c r="N538" s="15">
        <f t="shared" si="186"/>
        <v>0.6</v>
      </c>
      <c r="O538" s="15" t="str">
        <f t="shared" si="187"/>
        <v>A30</v>
      </c>
      <c r="P538" s="15" t="str">
        <f t="shared" si="188"/>
        <v>Chesterton Enterprises</v>
      </c>
      <c r="Q538" s="15" t="str">
        <f t="shared" si="189"/>
        <v>41 William Russell Road</v>
      </c>
      <c r="R538" s="3">
        <f>OrdersTable!C538</f>
        <v>44600</v>
      </c>
      <c r="S538" s="15">
        <f>OrdersTable!E538</f>
        <v>5</v>
      </c>
      <c r="T538" s="15">
        <f t="shared" si="190"/>
        <v>11.99</v>
      </c>
      <c r="U538" s="15">
        <f t="shared" si="191"/>
        <v>16.690000000000001</v>
      </c>
      <c r="V538" s="15">
        <f t="shared" si="192"/>
        <v>19.420000000000002</v>
      </c>
      <c r="W538" s="15">
        <f>IF(MarkupType="Store Markup",ROUND(V538+V538*StoreMarkup,2),IF(MarkupType="Supplier Markup",V538+V538*SupplierMarkup,"Error at finding value"))</f>
        <v>30.59</v>
      </c>
      <c r="X538" s="32" t="str">
        <f t="shared" si="194"/>
        <v>0.00</v>
      </c>
      <c r="Y538" s="15">
        <f t="shared" si="195"/>
        <v>97.1</v>
      </c>
      <c r="Z538" s="15">
        <f t="shared" si="196"/>
        <v>152.94999999999999</v>
      </c>
      <c r="AA538" s="15">
        <f>IF(FreightType="Lethbridge-Stewart Freight ",ROUND(2.99+IF(N538&gt;0.75,(N538-0.75)*2.25,0)*S538,2),IF(MarkupType="Supplier Markup",V538+V538*SupplierMarkup,"Error at finding value"))</f>
        <v>2.99</v>
      </c>
      <c r="AB538" s="15">
        <f t="shared" si="197"/>
        <v>0</v>
      </c>
    </row>
    <row r="539" spans="1:28" x14ac:dyDescent="0.25">
      <c r="A539" s="16">
        <f>OrdersTable!A539</f>
        <v>843</v>
      </c>
      <c r="B539" s="15" t="str">
        <f t="shared" si="177"/>
        <v>Mr</v>
      </c>
      <c r="C539" s="15" t="str">
        <f t="shared" si="198"/>
        <v>Goodwin</v>
      </c>
      <c r="D539" s="15" t="str">
        <f t="shared" si="178"/>
        <v>Damon Joel</v>
      </c>
      <c r="E539" s="15" t="str">
        <f t="shared" si="179"/>
        <v>40 Powell Boulevard</v>
      </c>
      <c r="F539" s="15" t="str">
        <f t="shared" si="180"/>
        <v>Abington</v>
      </c>
      <c r="G539" s="15" t="str">
        <f t="shared" si="181"/>
        <v>QLD</v>
      </c>
      <c r="H539" s="15">
        <f t="shared" si="182"/>
        <v>4660</v>
      </c>
      <c r="I539" s="15">
        <f t="shared" si="193"/>
        <v>336</v>
      </c>
      <c r="J539" s="15">
        <f>OrdersTable!B539</f>
        <v>585</v>
      </c>
      <c r="K539" s="15" t="str">
        <f t="shared" si="183"/>
        <v>iPhone Skins</v>
      </c>
      <c r="L539" s="15" t="str">
        <f t="shared" si="184"/>
        <v>Doctor Who: iPhone Skin: Dalek To Victory</v>
      </c>
      <c r="M539" s="15" t="str">
        <f t="shared" si="185"/>
        <v>-</v>
      </c>
      <c r="N539" s="15">
        <f t="shared" si="186"/>
        <v>0.5</v>
      </c>
      <c r="O539" s="15" t="str">
        <f t="shared" si="187"/>
        <v>A10</v>
      </c>
      <c r="P539" s="15" t="str">
        <f t="shared" si="188"/>
        <v>Gallifrey International</v>
      </c>
      <c r="Q539" s="15" t="str">
        <f t="shared" si="189"/>
        <v>181 Arcadia Street</v>
      </c>
      <c r="R539" s="3">
        <f>OrdersTable!C539</f>
        <v>44600</v>
      </c>
      <c r="S539" s="15">
        <f>OrdersTable!E539</f>
        <v>3</v>
      </c>
      <c r="T539" s="15">
        <f t="shared" si="190"/>
        <v>9.99</v>
      </c>
      <c r="U539" s="15">
        <f t="shared" si="191"/>
        <v>13.7</v>
      </c>
      <c r="V539" s="15">
        <f t="shared" si="192"/>
        <v>16.18</v>
      </c>
      <c r="W539" s="15">
        <f>IF(MarkupType="Store Markup",ROUND(V539+V539*StoreMarkup,2),IF(MarkupType="Supplier Markup",V539+V539*SupplierMarkup,"Error at finding value"))</f>
        <v>25.48</v>
      </c>
      <c r="X539" s="32" t="str">
        <f t="shared" si="194"/>
        <v>0.00</v>
      </c>
      <c r="Y539" s="15">
        <f t="shared" si="195"/>
        <v>48.54</v>
      </c>
      <c r="Z539" s="15">
        <f t="shared" si="196"/>
        <v>76.44</v>
      </c>
      <c r="AA539" s="15">
        <f>IF(FreightType="Lethbridge-Stewart Freight ",ROUND(2.99+IF(N539&gt;0.75,(N539-0.75)*2.25,0)*S539,2),IF(MarkupType="Supplier Markup",V539+V539*SupplierMarkup,"Error at finding value"))</f>
        <v>2.99</v>
      </c>
      <c r="AB539" s="15">
        <f t="shared" si="197"/>
        <v>0</v>
      </c>
    </row>
    <row r="540" spans="1:28" x14ac:dyDescent="0.25">
      <c r="A540" s="16">
        <f>OrdersTable!A540</f>
        <v>22</v>
      </c>
      <c r="B540" s="15" t="str">
        <f t="shared" si="177"/>
        <v>Mr</v>
      </c>
      <c r="C540" s="15" t="str">
        <f t="shared" si="198"/>
        <v>Tyrrell</v>
      </c>
      <c r="D540" s="15" t="str">
        <f t="shared" si="178"/>
        <v>Timothy James</v>
      </c>
      <c r="E540" s="15" t="str">
        <f t="shared" si="179"/>
        <v>48 Lambourne Crescent</v>
      </c>
      <c r="F540" s="15" t="str">
        <f t="shared" si="180"/>
        <v>Belford</v>
      </c>
      <c r="G540" s="15" t="str">
        <f t="shared" si="181"/>
        <v>NSW</v>
      </c>
      <c r="H540" s="15">
        <f t="shared" si="182"/>
        <v>2335</v>
      </c>
      <c r="I540" s="15">
        <f t="shared" si="193"/>
        <v>716</v>
      </c>
      <c r="J540" s="15">
        <f>OrdersTable!B540</f>
        <v>643</v>
      </c>
      <c r="K540" s="15" t="str">
        <f t="shared" si="183"/>
        <v>Mugs</v>
      </c>
      <c r="L540" s="15" t="str">
        <f t="shared" si="184"/>
        <v>Doctor Who: Giant Mug: Logo</v>
      </c>
      <c r="M540" s="15" t="str">
        <f t="shared" si="185"/>
        <v>-</v>
      </c>
      <c r="N540" s="15">
        <f t="shared" si="186"/>
        <v>0.44500000000000001</v>
      </c>
      <c r="O540" s="15" t="str">
        <f t="shared" si="187"/>
        <v>A10</v>
      </c>
      <c r="P540" s="15" t="str">
        <f t="shared" si="188"/>
        <v>Gallifrey International</v>
      </c>
      <c r="Q540" s="15" t="str">
        <f t="shared" si="189"/>
        <v>181 Arcadia Street</v>
      </c>
      <c r="R540" s="3">
        <f>OrdersTable!C540</f>
        <v>44601</v>
      </c>
      <c r="S540" s="15">
        <f>OrdersTable!E540</f>
        <v>2</v>
      </c>
      <c r="T540" s="15">
        <f t="shared" si="190"/>
        <v>8.89</v>
      </c>
      <c r="U540" s="15">
        <f t="shared" si="191"/>
        <v>12.19</v>
      </c>
      <c r="V540" s="15">
        <f t="shared" si="192"/>
        <v>14.4</v>
      </c>
      <c r="W540" s="15">
        <f>IF(MarkupType="Store Markup",ROUND(V540+V540*StoreMarkup,2),IF(MarkupType="Supplier Markup",V540+V540*SupplierMarkup,"Error at finding value"))</f>
        <v>22.68</v>
      </c>
      <c r="X540" s="32" t="str">
        <f t="shared" si="194"/>
        <v>0.00</v>
      </c>
      <c r="Y540" s="15">
        <f t="shared" si="195"/>
        <v>28.8</v>
      </c>
      <c r="Z540" s="15">
        <f t="shared" si="196"/>
        <v>45.36</v>
      </c>
      <c r="AA540" s="15">
        <f>IF(FreightType="Lethbridge-Stewart Freight ",ROUND(2.99+IF(N540&gt;0.75,(N540-0.75)*2.25,0)*S540,2),IF(MarkupType="Supplier Markup",V540+V540*SupplierMarkup,"Error at finding value"))</f>
        <v>2.99</v>
      </c>
      <c r="AB540" s="15">
        <f t="shared" si="197"/>
        <v>0</v>
      </c>
    </row>
    <row r="541" spans="1:28" x14ac:dyDescent="0.25">
      <c r="A541" s="16">
        <f>OrdersTable!A541</f>
        <v>139</v>
      </c>
      <c r="B541" s="15" t="str">
        <f t="shared" si="177"/>
        <v>Mrs</v>
      </c>
      <c r="C541" s="15" t="str">
        <f t="shared" si="198"/>
        <v>Atkinson</v>
      </c>
      <c r="D541" s="15" t="str">
        <f t="shared" si="178"/>
        <v>Leanne</v>
      </c>
      <c r="E541" s="15" t="str">
        <f t="shared" si="179"/>
        <v>45 Maloney Boulevard</v>
      </c>
      <c r="F541" s="15" t="str">
        <f t="shared" si="180"/>
        <v>Avon Plains</v>
      </c>
      <c r="G541" s="15" t="str">
        <f t="shared" si="181"/>
        <v>VIC</v>
      </c>
      <c r="H541" s="15">
        <f t="shared" si="182"/>
        <v>3477</v>
      </c>
      <c r="I541" s="15">
        <f t="shared" si="193"/>
        <v>1565</v>
      </c>
      <c r="J541" s="15">
        <f>OrdersTable!B541</f>
        <v>692</v>
      </c>
      <c r="K541" s="15" t="str">
        <f t="shared" si="183"/>
        <v>Posters, Prints and Standees</v>
      </c>
      <c r="L541" s="15" t="str">
        <f t="shared" si="184"/>
        <v>Doctor Who: 16'x12' Framed Print: Exploding TARDIS</v>
      </c>
      <c r="M541" s="15" t="str">
        <f t="shared" si="185"/>
        <v>-</v>
      </c>
      <c r="N541" s="15">
        <f t="shared" si="186"/>
        <v>0.75</v>
      </c>
      <c r="O541" s="15" t="str">
        <f t="shared" si="187"/>
        <v>A30</v>
      </c>
      <c r="P541" s="15" t="str">
        <f t="shared" si="188"/>
        <v>Chesterton Enterprises</v>
      </c>
      <c r="Q541" s="15" t="str">
        <f t="shared" si="189"/>
        <v>41 William Russell Road</v>
      </c>
      <c r="R541" s="3">
        <f>OrdersTable!C541</f>
        <v>44601</v>
      </c>
      <c r="S541" s="15">
        <f>OrdersTable!E541</f>
        <v>5</v>
      </c>
      <c r="T541" s="15">
        <f t="shared" si="190"/>
        <v>14.99</v>
      </c>
      <c r="U541" s="15">
        <f t="shared" si="191"/>
        <v>20.54</v>
      </c>
      <c r="V541" s="15">
        <f t="shared" si="192"/>
        <v>24.28</v>
      </c>
      <c r="W541" s="15">
        <f>IF(MarkupType="Store Markup",ROUND(V541+V541*StoreMarkup,2),IF(MarkupType="Supplier Markup",V541+V541*SupplierMarkup,"Error at finding value"))</f>
        <v>38.24</v>
      </c>
      <c r="X541" s="32" t="str">
        <f t="shared" si="194"/>
        <v>0.00</v>
      </c>
      <c r="Y541" s="15">
        <f t="shared" si="195"/>
        <v>121.4</v>
      </c>
      <c r="Z541" s="15">
        <f t="shared" si="196"/>
        <v>191.2</v>
      </c>
      <c r="AA541" s="15">
        <f>IF(FreightType="Lethbridge-Stewart Freight ",ROUND(2.99+IF(N541&gt;0.75,(N541-0.75)*2.25,0)*S541,2),IF(MarkupType="Supplier Markup",V541+V541*SupplierMarkup,"Error at finding value"))</f>
        <v>2.99</v>
      </c>
      <c r="AB541" s="15">
        <f t="shared" si="197"/>
        <v>0</v>
      </c>
    </row>
    <row r="542" spans="1:28" x14ac:dyDescent="0.25">
      <c r="A542" s="16">
        <f>OrdersTable!A542</f>
        <v>180</v>
      </c>
      <c r="B542" s="15" t="str">
        <f t="shared" si="177"/>
        <v>Mrs</v>
      </c>
      <c r="C542" s="15" t="str">
        <f t="shared" si="198"/>
        <v>Feeney</v>
      </c>
      <c r="D542" s="15" t="str">
        <f t="shared" si="178"/>
        <v>Jennifer Ruth</v>
      </c>
      <c r="E542" s="15" t="str">
        <f t="shared" si="179"/>
        <v>18 Cook Avenue</v>
      </c>
      <c r="F542" s="15" t="str">
        <f t="shared" si="180"/>
        <v>Nayook</v>
      </c>
      <c r="G542" s="15" t="str">
        <f t="shared" si="181"/>
        <v>VIC</v>
      </c>
      <c r="H542" s="15">
        <f t="shared" si="182"/>
        <v>3832</v>
      </c>
      <c r="I542" s="15">
        <f t="shared" si="193"/>
        <v>1552</v>
      </c>
      <c r="J542" s="15">
        <f>OrdersTable!B542</f>
        <v>732</v>
      </c>
      <c r="K542" s="15" t="str">
        <f t="shared" si="183"/>
        <v>Props and Replicas</v>
      </c>
      <c r="L542" s="15" t="str">
        <f t="shared" si="184"/>
        <v>Doctor Who: Eleventh Doctor's Sonic Screwdriver</v>
      </c>
      <c r="M542" s="15" t="str">
        <f t="shared" si="185"/>
        <v>-</v>
      </c>
      <c r="N542" s="15">
        <f t="shared" si="186"/>
        <v>3</v>
      </c>
      <c r="O542" s="15" t="str">
        <f t="shared" si="187"/>
        <v>A40</v>
      </c>
      <c r="P542" s="15" t="str">
        <f t="shared" si="188"/>
        <v>Romana Imports</v>
      </c>
      <c r="Q542" s="15" t="str">
        <f t="shared" si="189"/>
        <v>17 Lalla Ward Road</v>
      </c>
      <c r="R542" s="3">
        <f>OrdersTable!C542</f>
        <v>44601</v>
      </c>
      <c r="S542" s="15">
        <f>OrdersTable!E542</f>
        <v>6</v>
      </c>
      <c r="T542" s="15">
        <f t="shared" si="190"/>
        <v>59.99</v>
      </c>
      <c r="U542" s="15">
        <f t="shared" si="191"/>
        <v>81.83</v>
      </c>
      <c r="V542" s="15">
        <f t="shared" si="192"/>
        <v>97.18</v>
      </c>
      <c r="W542" s="15">
        <f>IF(MarkupType="Store Markup",ROUND(V542+V542*StoreMarkup,2),IF(MarkupType="Supplier Markup",V542+V542*SupplierMarkup,"Error at finding value"))</f>
        <v>153.06</v>
      </c>
      <c r="X542" s="32">
        <f t="shared" si="194"/>
        <v>10.91</v>
      </c>
      <c r="Y542" s="15">
        <f t="shared" si="195"/>
        <v>583.08000000000004</v>
      </c>
      <c r="Z542" s="15">
        <f t="shared" si="196"/>
        <v>852.9</v>
      </c>
      <c r="AA542" s="15">
        <f>IF(FreightType="Lethbridge-Stewart Freight ",ROUND(2.99+IF(N542&gt;0.75,(N542-0.75)*2.25,0)*S542,2),IF(MarkupType="Supplier Markup",V542+V542*SupplierMarkup,"Error at finding value"))</f>
        <v>33.369999999999997</v>
      </c>
      <c r="AB542" s="15">
        <f t="shared" si="197"/>
        <v>65.459999999999994</v>
      </c>
    </row>
    <row r="543" spans="1:28" x14ac:dyDescent="0.25">
      <c r="A543" s="16">
        <f>OrdersTable!A543</f>
        <v>302</v>
      </c>
      <c r="B543" s="15" t="str">
        <f t="shared" si="177"/>
        <v>Ms</v>
      </c>
      <c r="C543" s="15" t="str">
        <f t="shared" si="198"/>
        <v>Lamshed</v>
      </c>
      <c r="D543" s="15" t="str">
        <f t="shared" si="178"/>
        <v>Laura Clare</v>
      </c>
      <c r="E543" s="15" t="str">
        <f t="shared" si="179"/>
        <v>22 Edser Drive</v>
      </c>
      <c r="F543" s="15" t="str">
        <f t="shared" si="180"/>
        <v>Caliph</v>
      </c>
      <c r="G543" s="15" t="str">
        <f t="shared" si="181"/>
        <v>SA</v>
      </c>
      <c r="H543" s="15">
        <f t="shared" si="182"/>
        <v>5310</v>
      </c>
      <c r="I543" s="15">
        <f t="shared" si="193"/>
        <v>1720</v>
      </c>
      <c r="J543" s="15">
        <f>OrdersTable!B543</f>
        <v>681</v>
      </c>
      <c r="K543" s="15" t="str">
        <f t="shared" si="183"/>
        <v>Mugs</v>
      </c>
      <c r="L543" s="15" t="str">
        <f t="shared" si="184"/>
        <v>Doctor Who: Mug: The First Doctor</v>
      </c>
      <c r="M543" s="15" t="str">
        <f t="shared" si="185"/>
        <v>-</v>
      </c>
      <c r="N543" s="15">
        <f t="shared" si="186"/>
        <v>0.45</v>
      </c>
      <c r="O543" s="15" t="str">
        <f t="shared" si="187"/>
        <v>A20</v>
      </c>
      <c r="P543" s="15" t="str">
        <f t="shared" si="188"/>
        <v>Morbius Inc.</v>
      </c>
      <c r="Q543" s="15" t="str">
        <f t="shared" si="189"/>
        <v>56 Michael Spice Hwy</v>
      </c>
      <c r="R543" s="3">
        <f>OrdersTable!C543</f>
        <v>44601</v>
      </c>
      <c r="S543" s="15">
        <f>OrdersTable!E543</f>
        <v>8</v>
      </c>
      <c r="T543" s="15">
        <f t="shared" si="190"/>
        <v>8.99</v>
      </c>
      <c r="U543" s="15">
        <f t="shared" si="191"/>
        <v>12.51</v>
      </c>
      <c r="V543" s="15">
        <f t="shared" si="192"/>
        <v>14.56</v>
      </c>
      <c r="W543" s="15">
        <f>IF(MarkupType="Store Markup",ROUND(V543+V543*StoreMarkup,2),IF(MarkupType="Supplier Markup",V543+V543*SupplierMarkup,"Error at finding value"))</f>
        <v>22.93</v>
      </c>
      <c r="X543" s="32" t="str">
        <f t="shared" si="194"/>
        <v>0.00</v>
      </c>
      <c r="Y543" s="15">
        <f t="shared" si="195"/>
        <v>116.48</v>
      </c>
      <c r="Z543" s="15">
        <f t="shared" si="196"/>
        <v>183.44</v>
      </c>
      <c r="AA543" s="15">
        <f>IF(FreightType="Lethbridge-Stewart Freight ",ROUND(2.99+IF(N543&gt;0.75,(N543-0.75)*2.25,0)*S543,2),IF(MarkupType="Supplier Markup",V543+V543*SupplierMarkup,"Error at finding value"))</f>
        <v>2.99</v>
      </c>
      <c r="AB543" s="15">
        <f t="shared" si="197"/>
        <v>0</v>
      </c>
    </row>
    <row r="544" spans="1:28" x14ac:dyDescent="0.25">
      <c r="A544" s="16">
        <f>OrdersTable!A544</f>
        <v>308</v>
      </c>
      <c r="B544" s="15" t="str">
        <f t="shared" si="177"/>
        <v>Dr</v>
      </c>
      <c r="C544" s="15" t="str">
        <f t="shared" si="198"/>
        <v>Azar</v>
      </c>
      <c r="D544" s="15" t="str">
        <f t="shared" si="178"/>
        <v>Mariam</v>
      </c>
      <c r="E544" s="15" t="str">
        <f t="shared" si="179"/>
        <v>26 Osmond Road</v>
      </c>
      <c r="F544" s="15" t="str">
        <f t="shared" si="180"/>
        <v>Boston</v>
      </c>
      <c r="G544" s="15" t="str">
        <f t="shared" si="181"/>
        <v>SA</v>
      </c>
      <c r="H544" s="15">
        <f t="shared" si="182"/>
        <v>5607</v>
      </c>
      <c r="I544" s="15">
        <f t="shared" si="193"/>
        <v>2076</v>
      </c>
      <c r="J544" s="15">
        <f>OrdersTable!B544</f>
        <v>436</v>
      </c>
      <c r="K544" s="15" t="str">
        <f t="shared" si="183"/>
        <v>Giftware</v>
      </c>
      <c r="L544" s="15" t="str">
        <f t="shared" si="184"/>
        <v>Doctor Who: Adult Watch: TARDIS</v>
      </c>
      <c r="M544" s="15" t="str">
        <f t="shared" si="185"/>
        <v>-</v>
      </c>
      <c r="N544" s="15">
        <f t="shared" si="186"/>
        <v>1.5</v>
      </c>
      <c r="O544" s="15" t="str">
        <f t="shared" si="187"/>
        <v>A20</v>
      </c>
      <c r="P544" s="15" t="str">
        <f t="shared" si="188"/>
        <v>Morbius Inc.</v>
      </c>
      <c r="Q544" s="15" t="str">
        <f t="shared" si="189"/>
        <v>56 Michael Spice Hwy</v>
      </c>
      <c r="R544" s="3">
        <f>OrdersTable!C544</f>
        <v>44601</v>
      </c>
      <c r="S544" s="15">
        <f>OrdersTable!E544</f>
        <v>2</v>
      </c>
      <c r="T544" s="15">
        <f t="shared" si="190"/>
        <v>29.99</v>
      </c>
      <c r="U544" s="15">
        <f t="shared" si="191"/>
        <v>40.96</v>
      </c>
      <c r="V544" s="15">
        <f t="shared" si="192"/>
        <v>48.58</v>
      </c>
      <c r="W544" s="15">
        <f>IF(MarkupType="Store Markup",ROUND(V544+V544*StoreMarkup,2),IF(MarkupType="Supplier Markup",V544+V544*SupplierMarkup,"Error at finding value"))</f>
        <v>76.510000000000005</v>
      </c>
      <c r="X544" s="32" t="str">
        <f t="shared" si="194"/>
        <v>0.00</v>
      </c>
      <c r="Y544" s="15">
        <f t="shared" si="195"/>
        <v>97.16</v>
      </c>
      <c r="Z544" s="15">
        <f t="shared" si="196"/>
        <v>153.02000000000001</v>
      </c>
      <c r="AA544" s="15">
        <f>IF(FreightType="Lethbridge-Stewart Freight ",ROUND(2.99+IF(N544&gt;0.75,(N544-0.75)*2.25,0)*S544,2),IF(MarkupType="Supplier Markup",V544+V544*SupplierMarkup,"Error at finding value"))</f>
        <v>6.37</v>
      </c>
      <c r="AB544" s="15">
        <f t="shared" si="197"/>
        <v>0</v>
      </c>
    </row>
    <row r="545" spans="1:28" x14ac:dyDescent="0.25">
      <c r="A545" s="16">
        <f>OrdersTable!A545</f>
        <v>331</v>
      </c>
      <c r="B545" s="15" t="str">
        <f t="shared" si="177"/>
        <v>Mrs</v>
      </c>
      <c r="C545" s="15" t="str">
        <f t="shared" si="198"/>
        <v>McKenzie</v>
      </c>
      <c r="D545" s="15" t="str">
        <f t="shared" si="178"/>
        <v>Melinda Kate</v>
      </c>
      <c r="E545" s="15" t="str">
        <f t="shared" si="179"/>
        <v>49 McKay Way</v>
      </c>
      <c r="F545" s="15" t="str">
        <f t="shared" si="180"/>
        <v>Black Hills</v>
      </c>
      <c r="G545" s="15" t="str">
        <f t="shared" si="181"/>
        <v>TAS</v>
      </c>
      <c r="H545" s="15">
        <f t="shared" si="182"/>
        <v>7140</v>
      </c>
      <c r="I545" s="15">
        <f t="shared" si="193"/>
        <v>2191</v>
      </c>
      <c r="J545" s="15">
        <f>OrdersTable!B545</f>
        <v>692</v>
      </c>
      <c r="K545" s="15" t="str">
        <f t="shared" si="183"/>
        <v>Posters, Prints and Standees</v>
      </c>
      <c r="L545" s="15" t="str">
        <f t="shared" si="184"/>
        <v>Doctor Who: 16'x12' Framed Print: Exploding TARDIS</v>
      </c>
      <c r="M545" s="15" t="str">
        <f t="shared" si="185"/>
        <v>-</v>
      </c>
      <c r="N545" s="15">
        <f t="shared" si="186"/>
        <v>0.75</v>
      </c>
      <c r="O545" s="15" t="str">
        <f t="shared" si="187"/>
        <v>A30</v>
      </c>
      <c r="P545" s="15" t="str">
        <f t="shared" si="188"/>
        <v>Chesterton Enterprises</v>
      </c>
      <c r="Q545" s="15" t="str">
        <f t="shared" si="189"/>
        <v>41 William Russell Road</v>
      </c>
      <c r="R545" s="3">
        <f>OrdersTable!C545</f>
        <v>44601</v>
      </c>
      <c r="S545" s="15">
        <f>OrdersTable!E545</f>
        <v>5</v>
      </c>
      <c r="T545" s="15">
        <f t="shared" si="190"/>
        <v>14.99</v>
      </c>
      <c r="U545" s="15">
        <f t="shared" si="191"/>
        <v>20.54</v>
      </c>
      <c r="V545" s="15">
        <f t="shared" si="192"/>
        <v>24.28</v>
      </c>
      <c r="W545" s="15">
        <f>IF(MarkupType="Store Markup",ROUND(V545+V545*StoreMarkup,2),IF(MarkupType="Supplier Markup",V545+V545*SupplierMarkup,"Error at finding value"))</f>
        <v>38.24</v>
      </c>
      <c r="X545" s="32" t="str">
        <f t="shared" si="194"/>
        <v>0.00</v>
      </c>
      <c r="Y545" s="15">
        <f t="shared" si="195"/>
        <v>121.4</v>
      </c>
      <c r="Z545" s="15">
        <f t="shared" si="196"/>
        <v>191.2</v>
      </c>
      <c r="AA545" s="15">
        <f>IF(FreightType="Lethbridge-Stewart Freight ",ROUND(2.99+IF(N545&gt;0.75,(N545-0.75)*2.25,0)*S545,2),IF(MarkupType="Supplier Markup",V545+V545*SupplierMarkup,"Error at finding value"))</f>
        <v>2.99</v>
      </c>
      <c r="AB545" s="15">
        <f t="shared" si="197"/>
        <v>0</v>
      </c>
    </row>
    <row r="546" spans="1:28" x14ac:dyDescent="0.25">
      <c r="A546" s="16">
        <f>OrdersTable!A546</f>
        <v>362</v>
      </c>
      <c r="B546" s="15" t="str">
        <f t="shared" si="177"/>
        <v>Mr</v>
      </c>
      <c r="C546" s="15" t="str">
        <f t="shared" si="198"/>
        <v>Hurst</v>
      </c>
      <c r="D546" s="15" t="str">
        <f t="shared" si="178"/>
        <v>Ralph Gregory</v>
      </c>
      <c r="E546" s="15" t="str">
        <f t="shared" si="179"/>
        <v>45 Blakeney Road</v>
      </c>
      <c r="F546" s="15" t="str">
        <f t="shared" si="180"/>
        <v>Iluka</v>
      </c>
      <c r="G546" s="15" t="str">
        <f t="shared" si="181"/>
        <v>NSW</v>
      </c>
      <c r="H546" s="15">
        <f t="shared" si="182"/>
        <v>2466</v>
      </c>
      <c r="I546" s="15">
        <f t="shared" si="193"/>
        <v>347</v>
      </c>
      <c r="J546" s="15">
        <f>OrdersTable!B546</f>
        <v>436</v>
      </c>
      <c r="K546" s="15" t="str">
        <f t="shared" si="183"/>
        <v>Giftware</v>
      </c>
      <c r="L546" s="15" t="str">
        <f t="shared" si="184"/>
        <v>Doctor Who: Adult Watch: TARDIS</v>
      </c>
      <c r="M546" s="15" t="str">
        <f t="shared" si="185"/>
        <v>-</v>
      </c>
      <c r="N546" s="15">
        <f t="shared" si="186"/>
        <v>1.5</v>
      </c>
      <c r="O546" s="15" t="str">
        <f t="shared" si="187"/>
        <v>A20</v>
      </c>
      <c r="P546" s="15" t="str">
        <f t="shared" si="188"/>
        <v>Morbius Inc.</v>
      </c>
      <c r="Q546" s="15" t="str">
        <f t="shared" si="189"/>
        <v>56 Michael Spice Hwy</v>
      </c>
      <c r="R546" s="3">
        <f>OrdersTable!C546</f>
        <v>44601</v>
      </c>
      <c r="S546" s="15">
        <f>OrdersTable!E546</f>
        <v>7</v>
      </c>
      <c r="T546" s="15">
        <f t="shared" si="190"/>
        <v>29.99</v>
      </c>
      <c r="U546" s="15">
        <f t="shared" si="191"/>
        <v>40.96</v>
      </c>
      <c r="V546" s="15">
        <f t="shared" si="192"/>
        <v>48.58</v>
      </c>
      <c r="W546" s="15">
        <f>IF(MarkupType="Store Markup",ROUND(V546+V546*StoreMarkup,2),IF(MarkupType="Supplier Markup",V546+V546*SupplierMarkup,"Error at finding value"))</f>
        <v>76.510000000000005</v>
      </c>
      <c r="X546" s="32" t="str">
        <f t="shared" si="194"/>
        <v>0.00</v>
      </c>
      <c r="Y546" s="15">
        <f t="shared" si="195"/>
        <v>340.06</v>
      </c>
      <c r="Z546" s="15">
        <f t="shared" si="196"/>
        <v>535.57000000000005</v>
      </c>
      <c r="AA546" s="15">
        <f>IF(FreightType="Lethbridge-Stewart Freight ",ROUND(2.99+IF(N546&gt;0.75,(N546-0.75)*2.25,0)*S546,2),IF(MarkupType="Supplier Markup",V546+V546*SupplierMarkup,"Error at finding value"))</f>
        <v>14.8</v>
      </c>
      <c r="AB546" s="15">
        <f t="shared" si="197"/>
        <v>0</v>
      </c>
    </row>
    <row r="547" spans="1:28" x14ac:dyDescent="0.25">
      <c r="A547" s="16">
        <f>OrdersTable!A547</f>
        <v>489</v>
      </c>
      <c r="B547" s="15" t="str">
        <f t="shared" si="177"/>
        <v>Mr</v>
      </c>
      <c r="C547" s="15" t="str">
        <f t="shared" si="198"/>
        <v>Edwards</v>
      </c>
      <c r="D547" s="15" t="str">
        <f t="shared" si="178"/>
        <v>Luke Russell</v>
      </c>
      <c r="E547" s="15" t="str">
        <f t="shared" si="179"/>
        <v>43 Valusaga Court</v>
      </c>
      <c r="F547" s="15" t="str">
        <f t="shared" si="180"/>
        <v>Alfredtown</v>
      </c>
      <c r="G547" s="15" t="str">
        <f t="shared" si="181"/>
        <v>NSW</v>
      </c>
      <c r="H547" s="15">
        <f t="shared" si="182"/>
        <v>2650</v>
      </c>
      <c r="I547" s="15">
        <f t="shared" si="193"/>
        <v>1124</v>
      </c>
      <c r="J547" s="15">
        <f>OrdersTable!B547</f>
        <v>689</v>
      </c>
      <c r="K547" s="15" t="str">
        <f t="shared" si="183"/>
        <v>Posters, Prints and Standees</v>
      </c>
      <c r="L547" s="15" t="str">
        <f t="shared" si="184"/>
        <v>Doctor Who: 16'x12' Framed Print: Cold War</v>
      </c>
      <c r="M547" s="15" t="str">
        <f t="shared" si="185"/>
        <v>-</v>
      </c>
      <c r="N547" s="15">
        <f t="shared" si="186"/>
        <v>0.75</v>
      </c>
      <c r="O547" s="15" t="str">
        <f t="shared" si="187"/>
        <v>A50</v>
      </c>
      <c r="P547" s="15" t="str">
        <f t="shared" si="188"/>
        <v>Rassilon Ltd.</v>
      </c>
      <c r="Q547" s="15" t="str">
        <f t="shared" si="189"/>
        <v>82 Richard Mathews Road</v>
      </c>
      <c r="R547" s="3">
        <f>OrdersTable!C547</f>
        <v>44601</v>
      </c>
      <c r="S547" s="15">
        <f>OrdersTable!E547</f>
        <v>8</v>
      </c>
      <c r="T547" s="15">
        <f t="shared" si="190"/>
        <v>14.99</v>
      </c>
      <c r="U547" s="15">
        <f t="shared" si="191"/>
        <v>20.77</v>
      </c>
      <c r="V547" s="15">
        <f t="shared" si="192"/>
        <v>24.28</v>
      </c>
      <c r="W547" s="15">
        <f>IF(MarkupType="Store Markup",ROUND(V547+V547*StoreMarkup,2),IF(MarkupType="Supplier Markup",V547+V547*SupplierMarkup,"Error at finding value"))</f>
        <v>38.24</v>
      </c>
      <c r="X547" s="32" t="str">
        <f t="shared" si="194"/>
        <v>0.00</v>
      </c>
      <c r="Y547" s="15">
        <f t="shared" si="195"/>
        <v>194.24</v>
      </c>
      <c r="Z547" s="15">
        <f t="shared" si="196"/>
        <v>305.92</v>
      </c>
      <c r="AA547" s="15">
        <f>IF(FreightType="Lethbridge-Stewart Freight ",ROUND(2.99+IF(N547&gt;0.75,(N547-0.75)*2.25,0)*S547,2),IF(MarkupType="Supplier Markup",V547+V547*SupplierMarkup,"Error at finding value"))</f>
        <v>2.99</v>
      </c>
      <c r="AB547" s="15">
        <f t="shared" si="197"/>
        <v>0</v>
      </c>
    </row>
    <row r="548" spans="1:28" x14ac:dyDescent="0.25">
      <c r="A548" s="16">
        <f>OrdersTable!A548</f>
        <v>501</v>
      </c>
      <c r="B548" s="15" t="str">
        <f t="shared" si="177"/>
        <v>Miss</v>
      </c>
      <c r="C548" s="15" t="str">
        <f t="shared" si="198"/>
        <v>Tharenou</v>
      </c>
      <c r="D548" s="15" t="str">
        <f t="shared" si="178"/>
        <v>Kimberley Jacinta</v>
      </c>
      <c r="E548" s="15" t="str">
        <f t="shared" si="179"/>
        <v>49 Moncada Circuit</v>
      </c>
      <c r="F548" s="15" t="str">
        <f t="shared" si="180"/>
        <v>Belford</v>
      </c>
      <c r="G548" s="15" t="str">
        <f t="shared" si="181"/>
        <v>NSW</v>
      </c>
      <c r="H548" s="15">
        <f t="shared" si="182"/>
        <v>2335</v>
      </c>
      <c r="I548" s="15">
        <f t="shared" si="193"/>
        <v>716</v>
      </c>
      <c r="J548" s="15">
        <f>OrdersTable!B548</f>
        <v>787</v>
      </c>
      <c r="K548" s="15" t="str">
        <f t="shared" si="183"/>
        <v>Statues and Busts</v>
      </c>
      <c r="L548" s="15" t="str">
        <f t="shared" si="184"/>
        <v>Doctor Who: Masterpiece Collection Maxi Bust: 1st Doctor</v>
      </c>
      <c r="M548" s="15" t="str">
        <f t="shared" si="185"/>
        <v>-</v>
      </c>
      <c r="N548" s="15">
        <f t="shared" si="186"/>
        <v>2.5</v>
      </c>
      <c r="O548" s="15" t="str">
        <f t="shared" si="187"/>
        <v>A10</v>
      </c>
      <c r="P548" s="15" t="str">
        <f t="shared" si="188"/>
        <v>Gallifrey International</v>
      </c>
      <c r="Q548" s="15" t="str">
        <f t="shared" si="189"/>
        <v>181 Arcadia Street</v>
      </c>
      <c r="R548" s="3">
        <f>OrdersTable!C548</f>
        <v>44601</v>
      </c>
      <c r="S548" s="15">
        <f>OrdersTable!E548</f>
        <v>6</v>
      </c>
      <c r="T548" s="15">
        <f t="shared" si="190"/>
        <v>49.99</v>
      </c>
      <c r="U548" s="15">
        <f t="shared" si="191"/>
        <v>68.290000000000006</v>
      </c>
      <c r="V548" s="15">
        <f t="shared" si="192"/>
        <v>80.98</v>
      </c>
      <c r="W548" s="15">
        <f>IF(MarkupType="Store Markup",ROUND(V548+V548*StoreMarkup,2),IF(MarkupType="Supplier Markup",V548+V548*SupplierMarkup,"Error at finding value"))</f>
        <v>127.54</v>
      </c>
      <c r="X548" s="32">
        <f t="shared" si="194"/>
        <v>9.09</v>
      </c>
      <c r="Y548" s="15">
        <f t="shared" si="195"/>
        <v>485.88</v>
      </c>
      <c r="Z548" s="15">
        <f t="shared" si="196"/>
        <v>710.7</v>
      </c>
      <c r="AA548" s="15">
        <f>IF(FreightType="Lethbridge-Stewart Freight ",ROUND(2.99+IF(N548&gt;0.75,(N548-0.75)*2.25,0)*S548,2),IF(MarkupType="Supplier Markup",V548+V548*SupplierMarkup,"Error at finding value"))</f>
        <v>26.62</v>
      </c>
      <c r="AB548" s="15">
        <f t="shared" si="197"/>
        <v>54.54</v>
      </c>
    </row>
    <row r="549" spans="1:28" x14ac:dyDescent="0.25">
      <c r="A549" s="16">
        <f>OrdersTable!A549</f>
        <v>544</v>
      </c>
      <c r="B549" s="15" t="str">
        <f t="shared" si="177"/>
        <v>Mr</v>
      </c>
      <c r="C549" s="15" t="str">
        <f t="shared" si="198"/>
        <v>Sullivan</v>
      </c>
      <c r="D549" s="15" t="str">
        <f t="shared" si="178"/>
        <v>Lawrence Bernard</v>
      </c>
      <c r="E549" s="15" t="str">
        <f t="shared" si="179"/>
        <v>11 Haydon Boulevard</v>
      </c>
      <c r="F549" s="15" t="str">
        <f t="shared" si="180"/>
        <v>Breakwater</v>
      </c>
      <c r="G549" s="15" t="str">
        <f t="shared" si="181"/>
        <v>VIC</v>
      </c>
      <c r="H549" s="15">
        <f t="shared" si="182"/>
        <v>3219</v>
      </c>
      <c r="I549" s="15">
        <f t="shared" si="193"/>
        <v>1596</v>
      </c>
      <c r="J549" s="15">
        <f>OrdersTable!B549</f>
        <v>330</v>
      </c>
      <c r="K549" s="15" t="str">
        <f t="shared" si="183"/>
        <v>Clothing and Apparel</v>
      </c>
      <c r="L549" s="15" t="str">
        <f t="shared" si="184"/>
        <v xml:space="preserve">Doctor Who: T-Shirts: 4th Doctor Costume </v>
      </c>
      <c r="M549" s="15" t="str">
        <f t="shared" si="185"/>
        <v>M</v>
      </c>
      <c r="N549" s="15">
        <f t="shared" si="186"/>
        <v>0.8</v>
      </c>
      <c r="O549" s="15" t="str">
        <f t="shared" si="187"/>
        <v>A20</v>
      </c>
      <c r="P549" s="15" t="str">
        <f t="shared" si="188"/>
        <v>Morbius Inc.</v>
      </c>
      <c r="Q549" s="15" t="str">
        <f t="shared" si="189"/>
        <v>56 Michael Spice Hwy</v>
      </c>
      <c r="R549" s="3">
        <f>OrdersTable!C549</f>
        <v>44601</v>
      </c>
      <c r="S549" s="15">
        <f>OrdersTable!E549</f>
        <v>6</v>
      </c>
      <c r="T549" s="15">
        <f t="shared" si="190"/>
        <v>15.99</v>
      </c>
      <c r="U549" s="15">
        <f t="shared" si="191"/>
        <v>22.03</v>
      </c>
      <c r="V549" s="15">
        <f t="shared" si="192"/>
        <v>25.9</v>
      </c>
      <c r="W549" s="15">
        <f>IF(MarkupType="Store Markup",ROUND(V549+V549*StoreMarkup,2),IF(MarkupType="Supplier Markup",V549+V549*SupplierMarkup,"Error at finding value"))</f>
        <v>40.79</v>
      </c>
      <c r="X549" s="32" t="str">
        <f t="shared" si="194"/>
        <v>0.00</v>
      </c>
      <c r="Y549" s="15">
        <f t="shared" si="195"/>
        <v>155.4</v>
      </c>
      <c r="Z549" s="15">
        <f t="shared" si="196"/>
        <v>244.74</v>
      </c>
      <c r="AA549" s="15">
        <f>IF(FreightType="Lethbridge-Stewart Freight ",ROUND(2.99+IF(N549&gt;0.75,(N549-0.75)*2.25,0)*S549,2),IF(MarkupType="Supplier Markup",V549+V549*SupplierMarkup,"Error at finding value"))</f>
        <v>3.67</v>
      </c>
      <c r="AB549" s="15">
        <f t="shared" si="197"/>
        <v>0</v>
      </c>
    </row>
    <row r="550" spans="1:28" x14ac:dyDescent="0.25">
      <c r="A550" s="16">
        <f>OrdersTable!A550</f>
        <v>657</v>
      </c>
      <c r="B550" s="15" t="str">
        <f t="shared" si="177"/>
        <v>Mr</v>
      </c>
      <c r="C550" s="15" t="str">
        <f t="shared" si="198"/>
        <v>Poljak</v>
      </c>
      <c r="D550" s="15" t="str">
        <f t="shared" si="178"/>
        <v>Anthony</v>
      </c>
      <c r="E550" s="15" t="str">
        <f t="shared" si="179"/>
        <v>45 Robertson Boulevard</v>
      </c>
      <c r="F550" s="15" t="str">
        <f t="shared" si="180"/>
        <v>Iluka</v>
      </c>
      <c r="G550" s="15" t="str">
        <f t="shared" si="181"/>
        <v>NSW</v>
      </c>
      <c r="H550" s="15">
        <f t="shared" si="182"/>
        <v>2466</v>
      </c>
      <c r="I550" s="15">
        <f t="shared" si="193"/>
        <v>347</v>
      </c>
      <c r="J550" s="15">
        <f>OrdersTable!B550</f>
        <v>801</v>
      </c>
      <c r="K550" s="15" t="str">
        <f t="shared" si="183"/>
        <v>Statues and Busts</v>
      </c>
      <c r="L550" s="15" t="str">
        <f t="shared" si="184"/>
        <v>Doctor Who: Masterpiece Collection Maxi Bust: 4th Doctor</v>
      </c>
      <c r="M550" s="15" t="str">
        <f t="shared" si="185"/>
        <v>-</v>
      </c>
      <c r="N550" s="15">
        <f t="shared" si="186"/>
        <v>2.5</v>
      </c>
      <c r="O550" s="15" t="str">
        <f t="shared" si="187"/>
        <v>A30</v>
      </c>
      <c r="P550" s="15" t="str">
        <f t="shared" si="188"/>
        <v>Chesterton Enterprises</v>
      </c>
      <c r="Q550" s="15" t="str">
        <f t="shared" si="189"/>
        <v>41 William Russell Road</v>
      </c>
      <c r="R550" s="3">
        <f>OrdersTable!C550</f>
        <v>44601</v>
      </c>
      <c r="S550" s="15">
        <f>OrdersTable!E550</f>
        <v>3</v>
      </c>
      <c r="T550" s="15">
        <f t="shared" si="190"/>
        <v>49.99</v>
      </c>
      <c r="U550" s="15">
        <f t="shared" si="191"/>
        <v>68.180000000000007</v>
      </c>
      <c r="V550" s="15">
        <f t="shared" si="192"/>
        <v>80.98</v>
      </c>
      <c r="W550" s="15">
        <f>IF(MarkupType="Store Markup",ROUND(V550+V550*StoreMarkup,2),IF(MarkupType="Supplier Markup",V550+V550*SupplierMarkup,"Error at finding value"))</f>
        <v>127.54</v>
      </c>
      <c r="X550" s="32">
        <f t="shared" si="194"/>
        <v>9.09</v>
      </c>
      <c r="Y550" s="15">
        <f t="shared" si="195"/>
        <v>242.94</v>
      </c>
      <c r="Z550" s="15">
        <f t="shared" si="196"/>
        <v>355.35</v>
      </c>
      <c r="AA550" s="15">
        <f>IF(FreightType="Lethbridge-Stewart Freight ",ROUND(2.99+IF(N550&gt;0.75,(N550-0.75)*2.25,0)*S550,2),IF(MarkupType="Supplier Markup",V550+V550*SupplierMarkup,"Error at finding value"))</f>
        <v>14.8</v>
      </c>
      <c r="AB550" s="15">
        <f t="shared" si="197"/>
        <v>27.27</v>
      </c>
    </row>
    <row r="551" spans="1:28" x14ac:dyDescent="0.25">
      <c r="A551" s="16">
        <f>OrdersTable!A551</f>
        <v>659</v>
      </c>
      <c r="B551" s="15" t="str">
        <f t="shared" si="177"/>
        <v>Mr</v>
      </c>
      <c r="C551" s="15" t="str">
        <f t="shared" si="198"/>
        <v>Douglas</v>
      </c>
      <c r="D551" s="15" t="str">
        <f t="shared" si="178"/>
        <v>Jason Richard</v>
      </c>
      <c r="E551" s="15" t="str">
        <f t="shared" si="179"/>
        <v>14 Young Crescent</v>
      </c>
      <c r="F551" s="15" t="str">
        <f t="shared" si="180"/>
        <v>Caliph</v>
      </c>
      <c r="G551" s="15" t="str">
        <f t="shared" si="181"/>
        <v>SA</v>
      </c>
      <c r="H551" s="15">
        <f t="shared" si="182"/>
        <v>5310</v>
      </c>
      <c r="I551" s="15">
        <f t="shared" si="193"/>
        <v>1720</v>
      </c>
      <c r="J551" s="15">
        <f>OrdersTable!B551</f>
        <v>282</v>
      </c>
      <c r="K551" s="15" t="str">
        <f t="shared" si="183"/>
        <v>Clothing and Apparel</v>
      </c>
      <c r="L551" s="15" t="str">
        <f t="shared" si="184"/>
        <v>Doctor Who: Tardis Laplander Hat</v>
      </c>
      <c r="M551" s="15" t="str">
        <f t="shared" si="185"/>
        <v>-</v>
      </c>
      <c r="N551" s="15">
        <f t="shared" si="186"/>
        <v>0.97499999999999998</v>
      </c>
      <c r="O551" s="15" t="str">
        <f t="shared" si="187"/>
        <v>A10</v>
      </c>
      <c r="P551" s="15" t="str">
        <f t="shared" si="188"/>
        <v>Gallifrey International</v>
      </c>
      <c r="Q551" s="15" t="str">
        <f t="shared" si="189"/>
        <v>181 Arcadia Street</v>
      </c>
      <c r="R551" s="3">
        <f>OrdersTable!C551</f>
        <v>44601</v>
      </c>
      <c r="S551" s="15">
        <f>OrdersTable!E551</f>
        <v>9</v>
      </c>
      <c r="T551" s="15">
        <f t="shared" si="190"/>
        <v>19.5</v>
      </c>
      <c r="U551" s="15">
        <f t="shared" si="191"/>
        <v>26.93</v>
      </c>
      <c r="V551" s="15">
        <f t="shared" si="192"/>
        <v>31.59</v>
      </c>
      <c r="W551" s="15">
        <f>IF(MarkupType="Store Markup",ROUND(V551+V551*StoreMarkup,2),IF(MarkupType="Supplier Markup",V551+V551*SupplierMarkup,"Error at finding value"))</f>
        <v>49.75</v>
      </c>
      <c r="X551" s="32" t="str">
        <f t="shared" si="194"/>
        <v>0.00</v>
      </c>
      <c r="Y551" s="15">
        <f t="shared" si="195"/>
        <v>284.31</v>
      </c>
      <c r="Z551" s="15">
        <f t="shared" si="196"/>
        <v>447.75</v>
      </c>
      <c r="AA551" s="15">
        <f>IF(FreightType="Lethbridge-Stewart Freight ",ROUND(2.99+IF(N551&gt;0.75,(N551-0.75)*2.25,0)*S551,2),IF(MarkupType="Supplier Markup",V551+V551*SupplierMarkup,"Error at finding value"))</f>
        <v>7.55</v>
      </c>
      <c r="AB551" s="15">
        <f t="shared" si="197"/>
        <v>0</v>
      </c>
    </row>
    <row r="552" spans="1:28" x14ac:dyDescent="0.25">
      <c r="A552" s="16">
        <f>OrdersTable!A552</f>
        <v>823</v>
      </c>
      <c r="B552" s="15" t="str">
        <f t="shared" si="177"/>
        <v>Mrs</v>
      </c>
      <c r="C552" s="15" t="str">
        <f t="shared" si="198"/>
        <v>Riordan</v>
      </c>
      <c r="D552" s="15" t="str">
        <f t="shared" si="178"/>
        <v>Brianna Leigh</v>
      </c>
      <c r="E552" s="15" t="str">
        <f t="shared" si="179"/>
        <v>7 Boyd Crescent</v>
      </c>
      <c r="F552" s="15" t="str">
        <f t="shared" si="180"/>
        <v>Bamboo</v>
      </c>
      <c r="G552" s="15" t="str">
        <f t="shared" si="181"/>
        <v>QLD</v>
      </c>
      <c r="H552" s="15">
        <f t="shared" si="182"/>
        <v>4873</v>
      </c>
      <c r="I552" s="15">
        <f t="shared" si="193"/>
        <v>1741</v>
      </c>
      <c r="J552" s="15">
        <f>OrdersTable!B552</f>
        <v>787</v>
      </c>
      <c r="K552" s="15" t="str">
        <f t="shared" si="183"/>
        <v>Statues and Busts</v>
      </c>
      <c r="L552" s="15" t="str">
        <f t="shared" si="184"/>
        <v>Doctor Who: Masterpiece Collection Maxi Bust: 1st Doctor</v>
      </c>
      <c r="M552" s="15" t="str">
        <f t="shared" si="185"/>
        <v>-</v>
      </c>
      <c r="N552" s="15">
        <f t="shared" si="186"/>
        <v>2.5</v>
      </c>
      <c r="O552" s="15" t="str">
        <f t="shared" si="187"/>
        <v>A10</v>
      </c>
      <c r="P552" s="15" t="str">
        <f t="shared" si="188"/>
        <v>Gallifrey International</v>
      </c>
      <c r="Q552" s="15" t="str">
        <f t="shared" si="189"/>
        <v>181 Arcadia Street</v>
      </c>
      <c r="R552" s="3">
        <f>OrdersTable!C552</f>
        <v>44601</v>
      </c>
      <c r="S552" s="15">
        <f>OrdersTable!E552</f>
        <v>5</v>
      </c>
      <c r="T552" s="15">
        <f t="shared" si="190"/>
        <v>49.99</v>
      </c>
      <c r="U552" s="15">
        <f t="shared" si="191"/>
        <v>68.290000000000006</v>
      </c>
      <c r="V552" s="15">
        <f t="shared" si="192"/>
        <v>80.98</v>
      </c>
      <c r="W552" s="15">
        <f>IF(MarkupType="Store Markup",ROUND(V552+V552*StoreMarkup,2),IF(MarkupType="Supplier Markup",V552+V552*SupplierMarkup,"Error at finding value"))</f>
        <v>127.54</v>
      </c>
      <c r="X552" s="32">
        <f t="shared" si="194"/>
        <v>9.09</v>
      </c>
      <c r="Y552" s="15">
        <f t="shared" si="195"/>
        <v>404.9</v>
      </c>
      <c r="Z552" s="15">
        <f t="shared" si="196"/>
        <v>592.25</v>
      </c>
      <c r="AA552" s="15">
        <f>IF(FreightType="Lethbridge-Stewart Freight ",ROUND(2.99+IF(N552&gt;0.75,(N552-0.75)*2.25,0)*S552,2),IF(MarkupType="Supplier Markup",V552+V552*SupplierMarkup,"Error at finding value"))</f>
        <v>22.68</v>
      </c>
      <c r="AB552" s="15">
        <f t="shared" si="197"/>
        <v>45.45</v>
      </c>
    </row>
    <row r="553" spans="1:28" x14ac:dyDescent="0.25">
      <c r="A553" s="16">
        <f>OrdersTable!A553</f>
        <v>983</v>
      </c>
      <c r="B553" s="15" t="str">
        <f t="shared" si="177"/>
        <v>Mrs</v>
      </c>
      <c r="C553" s="15" t="str">
        <f t="shared" si="198"/>
        <v>Bennett</v>
      </c>
      <c r="D553" s="15" t="str">
        <f t="shared" si="178"/>
        <v>Mikayla Elizabeth</v>
      </c>
      <c r="E553" s="15" t="str">
        <f t="shared" si="179"/>
        <v>35 Khanal Crescent</v>
      </c>
      <c r="F553" s="15" t="str">
        <f t="shared" si="180"/>
        <v>Bamboo</v>
      </c>
      <c r="G553" s="15" t="str">
        <f t="shared" si="181"/>
        <v>QLD</v>
      </c>
      <c r="H553" s="15">
        <f t="shared" si="182"/>
        <v>4873</v>
      </c>
      <c r="I553" s="15">
        <f t="shared" si="193"/>
        <v>1741</v>
      </c>
      <c r="J553" s="15">
        <f>OrdersTable!B553</f>
        <v>453</v>
      </c>
      <c r="K553" s="15" t="str">
        <f t="shared" si="183"/>
        <v>Giftware</v>
      </c>
      <c r="L553" s="15" t="str">
        <f t="shared" si="184"/>
        <v>Doctor Who: Ceramic Cookie Jar: TARDIS</v>
      </c>
      <c r="M553" s="15" t="str">
        <f t="shared" si="185"/>
        <v>-</v>
      </c>
      <c r="N553" s="15">
        <f t="shared" si="186"/>
        <v>1.35</v>
      </c>
      <c r="O553" s="15" t="str">
        <f t="shared" si="187"/>
        <v>A40</v>
      </c>
      <c r="P553" s="15" t="str">
        <f t="shared" si="188"/>
        <v>Romana Imports</v>
      </c>
      <c r="Q553" s="15" t="str">
        <f t="shared" si="189"/>
        <v>17 Lalla Ward Road</v>
      </c>
      <c r="R553" s="3">
        <f>OrdersTable!C553</f>
        <v>44601</v>
      </c>
      <c r="S553" s="15">
        <f>OrdersTable!E553</f>
        <v>8</v>
      </c>
      <c r="T553" s="15">
        <f t="shared" si="190"/>
        <v>26.99</v>
      </c>
      <c r="U553" s="15">
        <f t="shared" si="191"/>
        <v>37.119999999999997</v>
      </c>
      <c r="V553" s="15">
        <f t="shared" si="192"/>
        <v>43.72</v>
      </c>
      <c r="W553" s="15">
        <f>IF(MarkupType="Store Markup",ROUND(V553+V553*StoreMarkup,2),IF(MarkupType="Supplier Markup",V553+V553*SupplierMarkup,"Error at finding value"))</f>
        <v>68.86</v>
      </c>
      <c r="X553" s="32" t="str">
        <f t="shared" si="194"/>
        <v>0.00</v>
      </c>
      <c r="Y553" s="15">
        <f t="shared" si="195"/>
        <v>349.76</v>
      </c>
      <c r="Z553" s="15">
        <f t="shared" si="196"/>
        <v>550.88</v>
      </c>
      <c r="AA553" s="15">
        <f>IF(FreightType="Lethbridge-Stewart Freight ",ROUND(2.99+IF(N553&gt;0.75,(N553-0.75)*2.25,0)*S553,2),IF(MarkupType="Supplier Markup",V553+V553*SupplierMarkup,"Error at finding value"))</f>
        <v>13.79</v>
      </c>
      <c r="AB553" s="15">
        <f t="shared" si="197"/>
        <v>0</v>
      </c>
    </row>
    <row r="554" spans="1:28" x14ac:dyDescent="0.25">
      <c r="A554" s="16">
        <f>OrdersTable!A554</f>
        <v>66</v>
      </c>
      <c r="B554" s="15" t="str">
        <f t="shared" si="177"/>
        <v>Mr</v>
      </c>
      <c r="C554" s="15" t="str">
        <f t="shared" si="198"/>
        <v>Bachmann</v>
      </c>
      <c r="D554" s="15" t="str">
        <f t="shared" si="178"/>
        <v>Aaron</v>
      </c>
      <c r="E554" s="15" t="str">
        <f t="shared" si="179"/>
        <v>3 Csabai Avenue</v>
      </c>
      <c r="F554" s="15" t="str">
        <f t="shared" si="180"/>
        <v>Bridgewater</v>
      </c>
      <c r="G554" s="15" t="str">
        <f t="shared" si="181"/>
        <v>VIC</v>
      </c>
      <c r="H554" s="15">
        <f t="shared" si="182"/>
        <v>3516</v>
      </c>
      <c r="I554" s="15">
        <f t="shared" si="193"/>
        <v>1486</v>
      </c>
      <c r="J554" s="15">
        <f>OrdersTable!B554</f>
        <v>585</v>
      </c>
      <c r="K554" s="15" t="str">
        <f t="shared" si="183"/>
        <v>iPhone Skins</v>
      </c>
      <c r="L554" s="15" t="str">
        <f t="shared" si="184"/>
        <v>Doctor Who: iPhone Skin: Dalek To Victory</v>
      </c>
      <c r="M554" s="15" t="str">
        <f t="shared" si="185"/>
        <v>-</v>
      </c>
      <c r="N554" s="15">
        <f t="shared" si="186"/>
        <v>0.5</v>
      </c>
      <c r="O554" s="15" t="str">
        <f t="shared" si="187"/>
        <v>A10</v>
      </c>
      <c r="P554" s="15" t="str">
        <f t="shared" si="188"/>
        <v>Gallifrey International</v>
      </c>
      <c r="Q554" s="15" t="str">
        <f t="shared" si="189"/>
        <v>181 Arcadia Street</v>
      </c>
      <c r="R554" s="3">
        <f>OrdersTable!C554</f>
        <v>44602</v>
      </c>
      <c r="S554" s="15">
        <f>OrdersTable!E554</f>
        <v>3</v>
      </c>
      <c r="T554" s="15">
        <f t="shared" si="190"/>
        <v>9.99</v>
      </c>
      <c r="U554" s="15">
        <f t="shared" si="191"/>
        <v>13.7</v>
      </c>
      <c r="V554" s="15">
        <f t="shared" si="192"/>
        <v>16.18</v>
      </c>
      <c r="W554" s="15">
        <f>IF(MarkupType="Store Markup",ROUND(V554+V554*StoreMarkup,2),IF(MarkupType="Supplier Markup",V554+V554*SupplierMarkup,"Error at finding value"))</f>
        <v>25.48</v>
      </c>
      <c r="X554" s="32" t="str">
        <f t="shared" si="194"/>
        <v>0.00</v>
      </c>
      <c r="Y554" s="15">
        <f t="shared" si="195"/>
        <v>48.54</v>
      </c>
      <c r="Z554" s="15">
        <f t="shared" si="196"/>
        <v>76.44</v>
      </c>
      <c r="AA554" s="15">
        <f>IF(FreightType="Lethbridge-Stewart Freight ",ROUND(2.99+IF(N554&gt;0.75,(N554-0.75)*2.25,0)*S554,2),IF(MarkupType="Supplier Markup",V554+V554*SupplierMarkup,"Error at finding value"))</f>
        <v>2.99</v>
      </c>
      <c r="AB554" s="15">
        <f t="shared" si="197"/>
        <v>0</v>
      </c>
    </row>
    <row r="555" spans="1:28" x14ac:dyDescent="0.25">
      <c r="A555" s="16">
        <f>OrdersTable!A555</f>
        <v>66</v>
      </c>
      <c r="B555" s="15" t="str">
        <f t="shared" si="177"/>
        <v>Mr</v>
      </c>
      <c r="C555" s="15" t="str">
        <f t="shared" si="198"/>
        <v>Bachmann</v>
      </c>
      <c r="D555" s="15" t="str">
        <f t="shared" si="178"/>
        <v>Aaron</v>
      </c>
      <c r="E555" s="15" t="str">
        <f t="shared" si="179"/>
        <v>3 Csabai Avenue</v>
      </c>
      <c r="F555" s="15" t="str">
        <f t="shared" si="180"/>
        <v>Bridgewater</v>
      </c>
      <c r="G555" s="15" t="str">
        <f t="shared" si="181"/>
        <v>VIC</v>
      </c>
      <c r="H555" s="15">
        <f t="shared" si="182"/>
        <v>3516</v>
      </c>
      <c r="I555" s="15">
        <f t="shared" si="193"/>
        <v>1486</v>
      </c>
      <c r="J555" s="15">
        <f>OrdersTable!B555</f>
        <v>762</v>
      </c>
      <c r="K555" s="15" t="str">
        <f t="shared" si="183"/>
        <v>Statues and Busts</v>
      </c>
      <c r="L555" s="15" t="str">
        <f t="shared" si="184"/>
        <v>Doctor Who: Legends Forever Bust: Patrick Troughton</v>
      </c>
      <c r="M555" s="15" t="str">
        <f t="shared" si="185"/>
        <v>-</v>
      </c>
      <c r="N555" s="15">
        <f t="shared" si="186"/>
        <v>1.375</v>
      </c>
      <c r="O555" s="15" t="str">
        <f t="shared" si="187"/>
        <v>A40</v>
      </c>
      <c r="P555" s="15" t="str">
        <f t="shared" si="188"/>
        <v>Romana Imports</v>
      </c>
      <c r="Q555" s="15" t="str">
        <f t="shared" si="189"/>
        <v>17 Lalla Ward Road</v>
      </c>
      <c r="R555" s="3">
        <f>OrdersTable!C555</f>
        <v>44602</v>
      </c>
      <c r="S555" s="15">
        <f>OrdersTable!E555</f>
        <v>1</v>
      </c>
      <c r="T555" s="15">
        <f t="shared" si="190"/>
        <v>27.5</v>
      </c>
      <c r="U555" s="15">
        <f t="shared" si="191"/>
        <v>37.799999999999997</v>
      </c>
      <c r="V555" s="15">
        <f t="shared" si="192"/>
        <v>44.55</v>
      </c>
      <c r="W555" s="15">
        <f>IF(MarkupType="Store Markup",ROUND(V555+V555*StoreMarkup,2),IF(MarkupType="Supplier Markup",V555+V555*SupplierMarkup,"Error at finding value"))</f>
        <v>70.17</v>
      </c>
      <c r="X555" s="32" t="str">
        <f t="shared" si="194"/>
        <v>0.00</v>
      </c>
      <c r="Y555" s="15">
        <f t="shared" si="195"/>
        <v>44.55</v>
      </c>
      <c r="Z555" s="15">
        <f t="shared" si="196"/>
        <v>70.17</v>
      </c>
      <c r="AA555" s="15">
        <f>IF(FreightType="Lethbridge-Stewart Freight ",ROUND(2.99+IF(N555&gt;0.75,(N555-0.75)*2.25,0)*S555,2),IF(MarkupType="Supplier Markup",V555+V555*SupplierMarkup,"Error at finding value"))</f>
        <v>4.4000000000000004</v>
      </c>
      <c r="AB555" s="15">
        <f t="shared" si="197"/>
        <v>0</v>
      </c>
    </row>
    <row r="556" spans="1:28" x14ac:dyDescent="0.25">
      <c r="A556" s="16">
        <f>OrdersTable!A556</f>
        <v>139</v>
      </c>
      <c r="B556" s="15" t="str">
        <f t="shared" si="177"/>
        <v>Mrs</v>
      </c>
      <c r="C556" s="15" t="str">
        <f t="shared" si="198"/>
        <v>Atkinson</v>
      </c>
      <c r="D556" s="15" t="str">
        <f t="shared" si="178"/>
        <v>Leanne</v>
      </c>
      <c r="E556" s="15" t="str">
        <f t="shared" si="179"/>
        <v>45 Maloney Boulevard</v>
      </c>
      <c r="F556" s="15" t="str">
        <f t="shared" si="180"/>
        <v>Avon Plains</v>
      </c>
      <c r="G556" s="15" t="str">
        <f t="shared" si="181"/>
        <v>VIC</v>
      </c>
      <c r="H556" s="15">
        <f t="shared" si="182"/>
        <v>3477</v>
      </c>
      <c r="I556" s="15">
        <f t="shared" si="193"/>
        <v>1565</v>
      </c>
      <c r="J556" s="15">
        <f>OrdersTable!B556</f>
        <v>701</v>
      </c>
      <c r="K556" s="15" t="str">
        <f t="shared" si="183"/>
        <v>Posters, Prints and Standees</v>
      </c>
      <c r="L556" s="15" t="str">
        <f t="shared" si="184"/>
        <v>Doctor Who: Half Sized Standee: The TARDIS</v>
      </c>
      <c r="M556" s="15" t="str">
        <f t="shared" si="185"/>
        <v>-</v>
      </c>
      <c r="N556" s="15">
        <f t="shared" si="186"/>
        <v>0.5</v>
      </c>
      <c r="O556" s="15" t="str">
        <f t="shared" si="187"/>
        <v>A40</v>
      </c>
      <c r="P556" s="15" t="str">
        <f t="shared" si="188"/>
        <v>Romana Imports</v>
      </c>
      <c r="Q556" s="15" t="str">
        <f t="shared" si="189"/>
        <v>17 Lalla Ward Road</v>
      </c>
      <c r="R556" s="3">
        <f>OrdersTable!C556</f>
        <v>44602</v>
      </c>
      <c r="S556" s="15">
        <f>OrdersTable!E556</f>
        <v>10</v>
      </c>
      <c r="T556" s="15">
        <f t="shared" si="190"/>
        <v>9.99</v>
      </c>
      <c r="U556" s="15">
        <f t="shared" si="191"/>
        <v>13.83</v>
      </c>
      <c r="V556" s="15">
        <f t="shared" si="192"/>
        <v>16.18</v>
      </c>
      <c r="W556" s="15">
        <f>IF(MarkupType="Store Markup",ROUND(V556+V556*StoreMarkup,2),IF(MarkupType="Supplier Markup",V556+V556*SupplierMarkup,"Error at finding value"))</f>
        <v>25.48</v>
      </c>
      <c r="X556" s="32" t="str">
        <f t="shared" si="194"/>
        <v>0.00</v>
      </c>
      <c r="Y556" s="15">
        <f t="shared" si="195"/>
        <v>161.80000000000001</v>
      </c>
      <c r="Z556" s="15">
        <f t="shared" si="196"/>
        <v>254.8</v>
      </c>
      <c r="AA556" s="15">
        <f>IF(FreightType="Lethbridge-Stewart Freight ",ROUND(2.99+IF(N556&gt;0.75,(N556-0.75)*2.25,0)*S556,2),IF(MarkupType="Supplier Markup",V556+V556*SupplierMarkup,"Error at finding value"))</f>
        <v>2.99</v>
      </c>
      <c r="AB556" s="15">
        <f t="shared" si="197"/>
        <v>0</v>
      </c>
    </row>
    <row r="557" spans="1:28" x14ac:dyDescent="0.25">
      <c r="A557" s="16">
        <f>OrdersTable!A557</f>
        <v>232</v>
      </c>
      <c r="B557" s="15" t="str">
        <f t="shared" si="177"/>
        <v>Mrs</v>
      </c>
      <c r="C557" s="15" t="str">
        <f t="shared" si="198"/>
        <v>Bishop</v>
      </c>
      <c r="D557" s="15" t="str">
        <f t="shared" si="178"/>
        <v>Katherine Marie</v>
      </c>
      <c r="E557" s="15" t="str">
        <f t="shared" si="179"/>
        <v>19 Whitehorn Circuit</v>
      </c>
      <c r="F557" s="15" t="str">
        <f t="shared" si="180"/>
        <v>Black Hills</v>
      </c>
      <c r="G557" s="15" t="str">
        <f t="shared" si="181"/>
        <v>TAS</v>
      </c>
      <c r="H557" s="15">
        <f t="shared" si="182"/>
        <v>7140</v>
      </c>
      <c r="I557" s="15">
        <f t="shared" si="193"/>
        <v>2191</v>
      </c>
      <c r="J557" s="15">
        <f>OrdersTable!B557</f>
        <v>692</v>
      </c>
      <c r="K557" s="15" t="str">
        <f t="shared" si="183"/>
        <v>Posters, Prints and Standees</v>
      </c>
      <c r="L557" s="15" t="str">
        <f t="shared" si="184"/>
        <v>Doctor Who: 16'x12' Framed Print: Exploding TARDIS</v>
      </c>
      <c r="M557" s="15" t="str">
        <f t="shared" si="185"/>
        <v>-</v>
      </c>
      <c r="N557" s="15">
        <f t="shared" si="186"/>
        <v>0.75</v>
      </c>
      <c r="O557" s="15" t="str">
        <f t="shared" si="187"/>
        <v>A30</v>
      </c>
      <c r="P557" s="15" t="str">
        <f t="shared" si="188"/>
        <v>Chesterton Enterprises</v>
      </c>
      <c r="Q557" s="15" t="str">
        <f t="shared" si="189"/>
        <v>41 William Russell Road</v>
      </c>
      <c r="R557" s="3">
        <f>OrdersTable!C557</f>
        <v>44602</v>
      </c>
      <c r="S557" s="15">
        <f>OrdersTable!E557</f>
        <v>2</v>
      </c>
      <c r="T557" s="15">
        <f t="shared" si="190"/>
        <v>14.99</v>
      </c>
      <c r="U557" s="15">
        <f t="shared" si="191"/>
        <v>20.54</v>
      </c>
      <c r="V557" s="15">
        <f t="shared" si="192"/>
        <v>24.28</v>
      </c>
      <c r="W557" s="15">
        <f>IF(MarkupType="Store Markup",ROUND(V557+V557*StoreMarkup,2),IF(MarkupType="Supplier Markup",V557+V557*SupplierMarkup,"Error at finding value"))</f>
        <v>38.24</v>
      </c>
      <c r="X557" s="32" t="str">
        <f t="shared" si="194"/>
        <v>0.00</v>
      </c>
      <c r="Y557" s="15">
        <f t="shared" si="195"/>
        <v>48.56</v>
      </c>
      <c r="Z557" s="15">
        <f t="shared" si="196"/>
        <v>76.48</v>
      </c>
      <c r="AA557" s="15">
        <f>IF(FreightType="Lethbridge-Stewart Freight ",ROUND(2.99+IF(N557&gt;0.75,(N557-0.75)*2.25,0)*S557,2),IF(MarkupType="Supplier Markup",V557+V557*SupplierMarkup,"Error at finding value"))</f>
        <v>2.99</v>
      </c>
      <c r="AB557" s="15">
        <f t="shared" si="197"/>
        <v>0</v>
      </c>
    </row>
    <row r="558" spans="1:28" x14ac:dyDescent="0.25">
      <c r="A558" s="16">
        <f>OrdersTable!A558</f>
        <v>284</v>
      </c>
      <c r="B558" s="15" t="str">
        <f t="shared" si="177"/>
        <v>Mr</v>
      </c>
      <c r="C558" s="15" t="str">
        <f t="shared" si="198"/>
        <v>Aitcheson</v>
      </c>
      <c r="D558" s="15" t="str">
        <f t="shared" si="178"/>
        <v>Ben James</v>
      </c>
      <c r="E558" s="15" t="str">
        <f t="shared" si="179"/>
        <v>32 Evans Avenue</v>
      </c>
      <c r="F558" s="15" t="str">
        <f t="shared" si="180"/>
        <v>Batlow</v>
      </c>
      <c r="G558" s="15" t="str">
        <f t="shared" si="181"/>
        <v>NSW</v>
      </c>
      <c r="H558" s="15">
        <f t="shared" si="182"/>
        <v>2730</v>
      </c>
      <c r="I558" s="15">
        <f t="shared" si="193"/>
        <v>1138</v>
      </c>
      <c r="J558" s="15">
        <f>OrdersTable!B558</f>
        <v>376</v>
      </c>
      <c r="K558" s="15" t="str">
        <f t="shared" si="183"/>
        <v>Clothing and Apparel</v>
      </c>
      <c r="L558" s="15" t="str">
        <f t="shared" si="184"/>
        <v xml:space="preserve">Doctor Who: T-Shirts: 7th Doctor Costume </v>
      </c>
      <c r="M558" s="15" t="str">
        <f t="shared" si="185"/>
        <v>S</v>
      </c>
      <c r="N558" s="15">
        <f t="shared" si="186"/>
        <v>0.8</v>
      </c>
      <c r="O558" s="15" t="str">
        <f t="shared" si="187"/>
        <v>A10</v>
      </c>
      <c r="P558" s="15" t="str">
        <f t="shared" si="188"/>
        <v>Gallifrey International</v>
      </c>
      <c r="Q558" s="15" t="str">
        <f t="shared" si="189"/>
        <v>181 Arcadia Street</v>
      </c>
      <c r="R558" s="3">
        <f>OrdersTable!C558</f>
        <v>44602</v>
      </c>
      <c r="S558" s="15">
        <f>OrdersTable!E558</f>
        <v>1</v>
      </c>
      <c r="T558" s="15">
        <f t="shared" si="190"/>
        <v>15.99</v>
      </c>
      <c r="U558" s="15">
        <f t="shared" si="191"/>
        <v>21.83</v>
      </c>
      <c r="V558" s="15">
        <f t="shared" si="192"/>
        <v>25.9</v>
      </c>
      <c r="W558" s="15">
        <f>IF(MarkupType="Store Markup",ROUND(V558+V558*StoreMarkup,2),IF(MarkupType="Supplier Markup",V558+V558*SupplierMarkup,"Error at finding value"))</f>
        <v>40.79</v>
      </c>
      <c r="X558" s="32" t="str">
        <f t="shared" si="194"/>
        <v>0.00</v>
      </c>
      <c r="Y558" s="15">
        <f t="shared" si="195"/>
        <v>25.9</v>
      </c>
      <c r="Z558" s="15">
        <f t="shared" si="196"/>
        <v>40.79</v>
      </c>
      <c r="AA558" s="15">
        <f>IF(FreightType="Lethbridge-Stewart Freight ",ROUND(2.99+IF(N558&gt;0.75,(N558-0.75)*2.25,0)*S558,2),IF(MarkupType="Supplier Markup",V558+V558*SupplierMarkup,"Error at finding value"))</f>
        <v>3.1</v>
      </c>
      <c r="AB558" s="15">
        <f t="shared" si="197"/>
        <v>0</v>
      </c>
    </row>
    <row r="559" spans="1:28" x14ac:dyDescent="0.25">
      <c r="A559" s="16">
        <f>OrdersTable!A559</f>
        <v>285</v>
      </c>
      <c r="B559" s="15" t="str">
        <f t="shared" si="177"/>
        <v>Mr</v>
      </c>
      <c r="C559" s="15" t="str">
        <f t="shared" si="198"/>
        <v>Temple Morgan</v>
      </c>
      <c r="D559" s="15" t="str">
        <f t="shared" si="178"/>
        <v>Mathew Peter</v>
      </c>
      <c r="E559" s="15" t="str">
        <f t="shared" si="179"/>
        <v>19 Tansky Court</v>
      </c>
      <c r="F559" s="15" t="str">
        <f t="shared" si="180"/>
        <v>Belford</v>
      </c>
      <c r="G559" s="15" t="str">
        <f t="shared" si="181"/>
        <v>NSW</v>
      </c>
      <c r="H559" s="15">
        <f t="shared" si="182"/>
        <v>2335</v>
      </c>
      <c r="I559" s="15">
        <f t="shared" si="193"/>
        <v>716</v>
      </c>
      <c r="J559" s="15">
        <f>OrdersTable!B559</f>
        <v>395</v>
      </c>
      <c r="K559" s="15" t="str">
        <f t="shared" si="183"/>
        <v>Clothing and Apparel</v>
      </c>
      <c r="L559" s="15" t="str">
        <f t="shared" si="184"/>
        <v xml:space="preserve">Doctor Who: T-Shirts: 7th Doctor Costume </v>
      </c>
      <c r="M559" s="15" t="str">
        <f t="shared" si="185"/>
        <v>L</v>
      </c>
      <c r="N559" s="15">
        <f t="shared" si="186"/>
        <v>0.8</v>
      </c>
      <c r="O559" s="15" t="str">
        <f t="shared" si="187"/>
        <v>A10</v>
      </c>
      <c r="P559" s="15" t="str">
        <f t="shared" si="188"/>
        <v>Gallifrey International</v>
      </c>
      <c r="Q559" s="15" t="str">
        <f t="shared" si="189"/>
        <v>181 Arcadia Street</v>
      </c>
      <c r="R559" s="3">
        <f>OrdersTable!C559</f>
        <v>44602</v>
      </c>
      <c r="S559" s="15">
        <f>OrdersTable!E559</f>
        <v>7</v>
      </c>
      <c r="T559" s="15">
        <f t="shared" si="190"/>
        <v>15.99</v>
      </c>
      <c r="U559" s="15">
        <f t="shared" si="191"/>
        <v>22.07</v>
      </c>
      <c r="V559" s="15">
        <f t="shared" si="192"/>
        <v>25.9</v>
      </c>
      <c r="W559" s="15">
        <f>IF(MarkupType="Store Markup",ROUND(V559+V559*StoreMarkup,2),IF(MarkupType="Supplier Markup",V559+V559*SupplierMarkup,"Error at finding value"))</f>
        <v>40.79</v>
      </c>
      <c r="X559" s="32" t="str">
        <f t="shared" si="194"/>
        <v>0.00</v>
      </c>
      <c r="Y559" s="15">
        <f t="shared" si="195"/>
        <v>181.3</v>
      </c>
      <c r="Z559" s="15">
        <f t="shared" si="196"/>
        <v>285.52999999999997</v>
      </c>
      <c r="AA559" s="15">
        <f>IF(FreightType="Lethbridge-Stewart Freight ",ROUND(2.99+IF(N559&gt;0.75,(N559-0.75)*2.25,0)*S559,2),IF(MarkupType="Supplier Markup",V559+V559*SupplierMarkup,"Error at finding value"))</f>
        <v>3.78</v>
      </c>
      <c r="AB559" s="15">
        <f t="shared" si="197"/>
        <v>0</v>
      </c>
    </row>
    <row r="560" spans="1:28" x14ac:dyDescent="0.25">
      <c r="A560" s="16">
        <f>OrdersTable!A560</f>
        <v>332</v>
      </c>
      <c r="B560" s="15" t="str">
        <f t="shared" si="177"/>
        <v>Mr</v>
      </c>
      <c r="C560" s="15" t="str">
        <f t="shared" si="198"/>
        <v>Selman</v>
      </c>
      <c r="D560" s="15" t="str">
        <f t="shared" si="178"/>
        <v>Jack Ryan</v>
      </c>
      <c r="E560" s="15" t="str">
        <f t="shared" si="179"/>
        <v>17 Van Essen Street</v>
      </c>
      <c r="F560" s="15" t="str">
        <f t="shared" si="180"/>
        <v>Airly</v>
      </c>
      <c r="G560" s="15" t="str">
        <f t="shared" si="181"/>
        <v>VIC</v>
      </c>
      <c r="H560" s="15">
        <f t="shared" si="182"/>
        <v>3851</v>
      </c>
      <c r="I560" s="15">
        <f t="shared" si="193"/>
        <v>1583</v>
      </c>
      <c r="J560" s="15">
        <f>OrdersTable!B560</f>
        <v>769</v>
      </c>
      <c r="K560" s="15" t="str">
        <f t="shared" si="183"/>
        <v>Statues and Busts</v>
      </c>
      <c r="L560" s="15" t="str">
        <f t="shared" si="184"/>
        <v>Doctor Who: Legends Forever Bust: Tom Baker</v>
      </c>
      <c r="M560" s="15" t="str">
        <f t="shared" si="185"/>
        <v>-</v>
      </c>
      <c r="N560" s="15">
        <f t="shared" si="186"/>
        <v>1.375</v>
      </c>
      <c r="O560" s="15" t="str">
        <f t="shared" si="187"/>
        <v>A30</v>
      </c>
      <c r="P560" s="15" t="str">
        <f t="shared" si="188"/>
        <v>Chesterton Enterprises</v>
      </c>
      <c r="Q560" s="15" t="str">
        <f t="shared" si="189"/>
        <v>41 William Russell Road</v>
      </c>
      <c r="R560" s="3">
        <f>OrdersTable!C560</f>
        <v>44602</v>
      </c>
      <c r="S560" s="15">
        <f>OrdersTable!E560</f>
        <v>3</v>
      </c>
      <c r="T560" s="15">
        <f t="shared" si="190"/>
        <v>27.5</v>
      </c>
      <c r="U560" s="15">
        <f t="shared" si="191"/>
        <v>37.76</v>
      </c>
      <c r="V560" s="15">
        <f t="shared" si="192"/>
        <v>44.55</v>
      </c>
      <c r="W560" s="15">
        <f>IF(MarkupType="Store Markup",ROUND(V560+V560*StoreMarkup,2),IF(MarkupType="Supplier Markup",V560+V560*SupplierMarkup,"Error at finding value"))</f>
        <v>70.17</v>
      </c>
      <c r="X560" s="32" t="str">
        <f t="shared" si="194"/>
        <v>0.00</v>
      </c>
      <c r="Y560" s="15">
        <f t="shared" si="195"/>
        <v>133.65</v>
      </c>
      <c r="Z560" s="15">
        <f t="shared" si="196"/>
        <v>210.51</v>
      </c>
      <c r="AA560" s="15">
        <f>IF(FreightType="Lethbridge-Stewart Freight ",ROUND(2.99+IF(N560&gt;0.75,(N560-0.75)*2.25,0)*S560,2),IF(MarkupType="Supplier Markup",V560+V560*SupplierMarkup,"Error at finding value"))</f>
        <v>7.21</v>
      </c>
      <c r="AB560" s="15">
        <f t="shared" si="197"/>
        <v>0</v>
      </c>
    </row>
    <row r="561" spans="1:28" x14ac:dyDescent="0.25">
      <c r="A561" s="16">
        <f>OrdersTable!A561</f>
        <v>496</v>
      </c>
      <c r="B561" s="15" t="str">
        <f t="shared" si="177"/>
        <v>Dr</v>
      </c>
      <c r="C561" s="15" t="str">
        <f t="shared" si="198"/>
        <v>Johnston</v>
      </c>
      <c r="D561" s="15" t="str">
        <f t="shared" si="178"/>
        <v>Karrina</v>
      </c>
      <c r="E561" s="15" t="str">
        <f t="shared" si="179"/>
        <v>11 Bishop Drive</v>
      </c>
      <c r="F561" s="15" t="str">
        <f t="shared" si="180"/>
        <v>Belford</v>
      </c>
      <c r="G561" s="15" t="str">
        <f t="shared" si="181"/>
        <v>NSW</v>
      </c>
      <c r="H561" s="15">
        <f t="shared" si="182"/>
        <v>2335</v>
      </c>
      <c r="I561" s="15">
        <f t="shared" si="193"/>
        <v>716</v>
      </c>
      <c r="J561" s="15">
        <f>OrdersTable!B561</f>
        <v>668</v>
      </c>
      <c r="K561" s="15" t="str">
        <f t="shared" si="183"/>
        <v>Mugs</v>
      </c>
      <c r="L561" s="15" t="str">
        <f t="shared" si="184"/>
        <v>Doctor Who: Mug: Silver TARDIS</v>
      </c>
      <c r="M561" s="15" t="str">
        <f t="shared" si="185"/>
        <v>-</v>
      </c>
      <c r="N561" s="15">
        <f t="shared" si="186"/>
        <v>1.1499999999999999</v>
      </c>
      <c r="O561" s="15" t="str">
        <f t="shared" si="187"/>
        <v>A50</v>
      </c>
      <c r="P561" s="15" t="str">
        <f t="shared" si="188"/>
        <v>Rassilon Ltd.</v>
      </c>
      <c r="Q561" s="15" t="str">
        <f t="shared" si="189"/>
        <v>82 Richard Mathews Road</v>
      </c>
      <c r="R561" s="3">
        <f>OrdersTable!C561</f>
        <v>44602</v>
      </c>
      <c r="S561" s="15">
        <f>OrdersTable!E561</f>
        <v>8</v>
      </c>
      <c r="T561" s="15">
        <f t="shared" si="190"/>
        <v>22.99</v>
      </c>
      <c r="U561" s="15">
        <f t="shared" si="191"/>
        <v>31.53</v>
      </c>
      <c r="V561" s="15">
        <f t="shared" si="192"/>
        <v>37.24</v>
      </c>
      <c r="W561" s="15">
        <f>IF(MarkupType="Store Markup",ROUND(V561+V561*StoreMarkup,2),IF(MarkupType="Supplier Markup",V561+V561*SupplierMarkup,"Error at finding value"))</f>
        <v>58.65</v>
      </c>
      <c r="X561" s="32" t="str">
        <f t="shared" si="194"/>
        <v>0.00</v>
      </c>
      <c r="Y561" s="15">
        <f t="shared" si="195"/>
        <v>297.92</v>
      </c>
      <c r="Z561" s="15">
        <f t="shared" si="196"/>
        <v>469.2</v>
      </c>
      <c r="AA561" s="15">
        <f>IF(FreightType="Lethbridge-Stewart Freight ",ROUND(2.99+IF(N561&gt;0.75,(N561-0.75)*2.25,0)*S561,2),IF(MarkupType="Supplier Markup",V561+V561*SupplierMarkup,"Error at finding value"))</f>
        <v>10.19</v>
      </c>
      <c r="AB561" s="15">
        <f t="shared" si="197"/>
        <v>0</v>
      </c>
    </row>
    <row r="562" spans="1:28" x14ac:dyDescent="0.25">
      <c r="A562" s="16">
        <f>OrdersTable!A562</f>
        <v>496</v>
      </c>
      <c r="B562" s="15" t="str">
        <f t="shared" si="177"/>
        <v>Dr</v>
      </c>
      <c r="C562" s="15" t="str">
        <f t="shared" si="198"/>
        <v>Johnston</v>
      </c>
      <c r="D562" s="15" t="str">
        <f t="shared" si="178"/>
        <v>Karrina</v>
      </c>
      <c r="E562" s="15" t="str">
        <f t="shared" si="179"/>
        <v>11 Bishop Drive</v>
      </c>
      <c r="F562" s="15" t="str">
        <f t="shared" si="180"/>
        <v>Belford</v>
      </c>
      <c r="G562" s="15" t="str">
        <f t="shared" si="181"/>
        <v>NSW</v>
      </c>
      <c r="H562" s="15">
        <f t="shared" si="182"/>
        <v>2335</v>
      </c>
      <c r="I562" s="15">
        <f t="shared" si="193"/>
        <v>716</v>
      </c>
      <c r="J562" s="15">
        <f>OrdersTable!B562</f>
        <v>692</v>
      </c>
      <c r="K562" s="15" t="str">
        <f t="shared" si="183"/>
        <v>Posters, Prints and Standees</v>
      </c>
      <c r="L562" s="15" t="str">
        <f t="shared" si="184"/>
        <v>Doctor Who: 16'x12' Framed Print: Exploding TARDIS</v>
      </c>
      <c r="M562" s="15" t="str">
        <f t="shared" si="185"/>
        <v>-</v>
      </c>
      <c r="N562" s="15">
        <f t="shared" si="186"/>
        <v>0.75</v>
      </c>
      <c r="O562" s="15" t="str">
        <f t="shared" si="187"/>
        <v>A30</v>
      </c>
      <c r="P562" s="15" t="str">
        <f t="shared" si="188"/>
        <v>Chesterton Enterprises</v>
      </c>
      <c r="Q562" s="15" t="str">
        <f t="shared" si="189"/>
        <v>41 William Russell Road</v>
      </c>
      <c r="R562" s="3">
        <f>OrdersTable!C562</f>
        <v>44602</v>
      </c>
      <c r="S562" s="15">
        <f>OrdersTable!E562</f>
        <v>2</v>
      </c>
      <c r="T562" s="15">
        <f t="shared" si="190"/>
        <v>14.99</v>
      </c>
      <c r="U562" s="15">
        <f t="shared" si="191"/>
        <v>20.54</v>
      </c>
      <c r="V562" s="15">
        <f t="shared" si="192"/>
        <v>24.28</v>
      </c>
      <c r="W562" s="15">
        <f>IF(MarkupType="Store Markup",ROUND(V562+V562*StoreMarkup,2),IF(MarkupType="Supplier Markup",V562+V562*SupplierMarkup,"Error at finding value"))</f>
        <v>38.24</v>
      </c>
      <c r="X562" s="32" t="str">
        <f t="shared" si="194"/>
        <v>0.00</v>
      </c>
      <c r="Y562" s="15">
        <f t="shared" si="195"/>
        <v>48.56</v>
      </c>
      <c r="Z562" s="15">
        <f t="shared" si="196"/>
        <v>76.48</v>
      </c>
      <c r="AA562" s="15">
        <f>IF(FreightType="Lethbridge-Stewart Freight ",ROUND(2.99+IF(N562&gt;0.75,(N562-0.75)*2.25,0)*S562,2),IF(MarkupType="Supplier Markup",V562+V562*SupplierMarkup,"Error at finding value"))</f>
        <v>2.99</v>
      </c>
      <c r="AB562" s="15">
        <f t="shared" si="197"/>
        <v>0</v>
      </c>
    </row>
    <row r="563" spans="1:28" x14ac:dyDescent="0.25">
      <c r="A563" s="16">
        <f>OrdersTable!A563</f>
        <v>501</v>
      </c>
      <c r="B563" s="15" t="str">
        <f t="shared" si="177"/>
        <v>Miss</v>
      </c>
      <c r="C563" s="15" t="str">
        <f t="shared" si="198"/>
        <v>Tharenou</v>
      </c>
      <c r="D563" s="15" t="str">
        <f t="shared" si="178"/>
        <v>Kimberley Jacinta</v>
      </c>
      <c r="E563" s="15" t="str">
        <f t="shared" si="179"/>
        <v>49 Moncada Circuit</v>
      </c>
      <c r="F563" s="15" t="str">
        <f t="shared" si="180"/>
        <v>Belford</v>
      </c>
      <c r="G563" s="15" t="str">
        <f t="shared" si="181"/>
        <v>NSW</v>
      </c>
      <c r="H563" s="15">
        <f t="shared" si="182"/>
        <v>2335</v>
      </c>
      <c r="I563" s="15">
        <f t="shared" si="193"/>
        <v>716</v>
      </c>
      <c r="J563" s="15">
        <f>OrdersTable!B563</f>
        <v>563</v>
      </c>
      <c r="K563" s="15" t="str">
        <f t="shared" si="183"/>
        <v>Giftware</v>
      </c>
      <c r="L563" s="15" t="str">
        <f t="shared" si="184"/>
        <v>Doctor Who: TARDIS Jewellery Box</v>
      </c>
      <c r="M563" s="15" t="str">
        <f t="shared" si="185"/>
        <v>-</v>
      </c>
      <c r="N563" s="15">
        <f t="shared" si="186"/>
        <v>1.1499999999999999</v>
      </c>
      <c r="O563" s="15" t="str">
        <f t="shared" si="187"/>
        <v>A50</v>
      </c>
      <c r="P563" s="15" t="str">
        <f t="shared" si="188"/>
        <v>Rassilon Ltd.</v>
      </c>
      <c r="Q563" s="15" t="str">
        <f t="shared" si="189"/>
        <v>82 Richard Mathews Road</v>
      </c>
      <c r="R563" s="3">
        <f>OrdersTable!C563</f>
        <v>44602</v>
      </c>
      <c r="S563" s="15">
        <f>OrdersTable!E563</f>
        <v>7</v>
      </c>
      <c r="T563" s="15">
        <f t="shared" si="190"/>
        <v>22.99</v>
      </c>
      <c r="U563" s="15">
        <f t="shared" si="191"/>
        <v>31.63</v>
      </c>
      <c r="V563" s="15">
        <f t="shared" si="192"/>
        <v>37.24</v>
      </c>
      <c r="W563" s="15">
        <f>IF(MarkupType="Store Markup",ROUND(V563+V563*StoreMarkup,2),IF(MarkupType="Supplier Markup",V563+V563*SupplierMarkup,"Error at finding value"))</f>
        <v>58.65</v>
      </c>
      <c r="X563" s="32" t="str">
        <f t="shared" si="194"/>
        <v>0.00</v>
      </c>
      <c r="Y563" s="15">
        <f t="shared" si="195"/>
        <v>260.68</v>
      </c>
      <c r="Z563" s="15">
        <f t="shared" si="196"/>
        <v>410.55</v>
      </c>
      <c r="AA563" s="15">
        <f>IF(FreightType="Lethbridge-Stewart Freight ",ROUND(2.99+IF(N563&gt;0.75,(N563-0.75)*2.25,0)*S563,2),IF(MarkupType="Supplier Markup",V563+V563*SupplierMarkup,"Error at finding value"))</f>
        <v>9.2899999999999991</v>
      </c>
      <c r="AB563" s="15">
        <f t="shared" si="197"/>
        <v>0</v>
      </c>
    </row>
    <row r="564" spans="1:28" x14ac:dyDescent="0.25">
      <c r="A564" s="16">
        <f>OrdersTable!A564</f>
        <v>570</v>
      </c>
      <c r="B564" s="15" t="str">
        <f t="shared" si="177"/>
        <v>Mr</v>
      </c>
      <c r="C564" s="15" t="str">
        <f t="shared" si="198"/>
        <v>Adams</v>
      </c>
      <c r="D564" s="15" t="str">
        <f t="shared" si="178"/>
        <v>Matthew</v>
      </c>
      <c r="E564" s="15" t="str">
        <f t="shared" si="179"/>
        <v>36 Fenech Avenue</v>
      </c>
      <c r="F564" s="15" t="str">
        <f t="shared" si="180"/>
        <v>Bray Park</v>
      </c>
      <c r="G564" s="15" t="str">
        <f t="shared" si="181"/>
        <v>QLD</v>
      </c>
      <c r="H564" s="15">
        <f t="shared" si="182"/>
        <v>4500</v>
      </c>
      <c r="I564" s="15">
        <f t="shared" si="193"/>
        <v>139</v>
      </c>
      <c r="J564" s="15">
        <f>OrdersTable!B564</f>
        <v>395</v>
      </c>
      <c r="K564" s="15" t="str">
        <f t="shared" si="183"/>
        <v>Clothing and Apparel</v>
      </c>
      <c r="L564" s="15" t="str">
        <f t="shared" si="184"/>
        <v xml:space="preserve">Doctor Who: T-Shirts: 7th Doctor Costume </v>
      </c>
      <c r="M564" s="15" t="str">
        <f t="shared" si="185"/>
        <v>L</v>
      </c>
      <c r="N564" s="15">
        <f t="shared" si="186"/>
        <v>0.8</v>
      </c>
      <c r="O564" s="15" t="str">
        <f t="shared" si="187"/>
        <v>A10</v>
      </c>
      <c r="P564" s="15" t="str">
        <f t="shared" si="188"/>
        <v>Gallifrey International</v>
      </c>
      <c r="Q564" s="15" t="str">
        <f t="shared" si="189"/>
        <v>181 Arcadia Street</v>
      </c>
      <c r="R564" s="3">
        <f>OrdersTable!C564</f>
        <v>44602</v>
      </c>
      <c r="S564" s="15">
        <f>OrdersTable!E564</f>
        <v>9</v>
      </c>
      <c r="T564" s="15">
        <f t="shared" si="190"/>
        <v>15.99</v>
      </c>
      <c r="U564" s="15">
        <f t="shared" si="191"/>
        <v>22.07</v>
      </c>
      <c r="V564" s="15">
        <f t="shared" si="192"/>
        <v>25.9</v>
      </c>
      <c r="W564" s="15">
        <f>IF(MarkupType="Store Markup",ROUND(V564+V564*StoreMarkup,2),IF(MarkupType="Supplier Markup",V564+V564*SupplierMarkup,"Error at finding value"))</f>
        <v>40.79</v>
      </c>
      <c r="X564" s="32" t="str">
        <f t="shared" si="194"/>
        <v>0.00</v>
      </c>
      <c r="Y564" s="15">
        <f t="shared" si="195"/>
        <v>233.1</v>
      </c>
      <c r="Z564" s="15">
        <f t="shared" si="196"/>
        <v>367.11</v>
      </c>
      <c r="AA564" s="15">
        <f>IF(FreightType="Lethbridge-Stewart Freight ",ROUND(2.99+IF(N564&gt;0.75,(N564-0.75)*2.25,0)*S564,2),IF(MarkupType="Supplier Markup",V564+V564*SupplierMarkup,"Error at finding value"))</f>
        <v>4</v>
      </c>
      <c r="AB564" s="15">
        <f t="shared" si="197"/>
        <v>0</v>
      </c>
    </row>
    <row r="565" spans="1:28" x14ac:dyDescent="0.25">
      <c r="A565" s="16">
        <f>OrdersTable!A565</f>
        <v>580</v>
      </c>
      <c r="B565" s="15" t="str">
        <f t="shared" si="177"/>
        <v>Mr</v>
      </c>
      <c r="C565" s="15" t="str">
        <f t="shared" si="198"/>
        <v>Faatoafe</v>
      </c>
      <c r="D565" s="15" t="str">
        <f t="shared" si="178"/>
        <v>Jasson Iosefa</v>
      </c>
      <c r="E565" s="15" t="str">
        <f t="shared" si="179"/>
        <v>29 Schaffer Boulevard</v>
      </c>
      <c r="F565" s="15" t="str">
        <f t="shared" si="180"/>
        <v>Binduli</v>
      </c>
      <c r="G565" s="15" t="str">
        <f t="shared" si="181"/>
        <v>WA</v>
      </c>
      <c r="H565" s="15">
        <f t="shared" si="182"/>
        <v>6430</v>
      </c>
      <c r="I565" s="15">
        <f t="shared" si="193"/>
        <v>3543</v>
      </c>
      <c r="J565" s="15">
        <f>OrdersTable!B565</f>
        <v>358</v>
      </c>
      <c r="K565" s="15" t="str">
        <f t="shared" si="183"/>
        <v>Clothing and Apparel</v>
      </c>
      <c r="L565" s="15" t="str">
        <f t="shared" si="184"/>
        <v xml:space="preserve">Doctor Who: T-Shirts: 5th Doctor Costume </v>
      </c>
      <c r="M565" s="15" t="str">
        <f t="shared" si="185"/>
        <v>M</v>
      </c>
      <c r="N565" s="15">
        <f t="shared" si="186"/>
        <v>0.8</v>
      </c>
      <c r="O565" s="15" t="str">
        <f t="shared" si="187"/>
        <v>A30</v>
      </c>
      <c r="P565" s="15" t="str">
        <f t="shared" si="188"/>
        <v>Chesterton Enterprises</v>
      </c>
      <c r="Q565" s="15" t="str">
        <f t="shared" si="189"/>
        <v>41 William Russell Road</v>
      </c>
      <c r="R565" s="3">
        <f>OrdersTable!C565</f>
        <v>44602</v>
      </c>
      <c r="S565" s="15">
        <f>OrdersTable!E565</f>
        <v>2</v>
      </c>
      <c r="T565" s="15">
        <f t="shared" si="190"/>
        <v>15.99</v>
      </c>
      <c r="U565" s="15">
        <f t="shared" si="191"/>
        <v>21.96</v>
      </c>
      <c r="V565" s="15">
        <f t="shared" si="192"/>
        <v>25.9</v>
      </c>
      <c r="W565" s="15">
        <f>IF(MarkupType="Store Markup",ROUND(V565+V565*StoreMarkup,2),IF(MarkupType="Supplier Markup",V565+V565*SupplierMarkup,"Error at finding value"))</f>
        <v>40.79</v>
      </c>
      <c r="X565" s="32" t="str">
        <f t="shared" si="194"/>
        <v>0.00</v>
      </c>
      <c r="Y565" s="15">
        <f t="shared" si="195"/>
        <v>51.8</v>
      </c>
      <c r="Z565" s="15">
        <f t="shared" si="196"/>
        <v>81.58</v>
      </c>
      <c r="AA565" s="15">
        <f>IF(FreightType="Lethbridge-Stewart Freight ",ROUND(2.99+IF(N565&gt;0.75,(N565-0.75)*2.25,0)*S565,2),IF(MarkupType="Supplier Markup",V565+V565*SupplierMarkup,"Error at finding value"))</f>
        <v>3.22</v>
      </c>
      <c r="AB565" s="15">
        <f t="shared" si="197"/>
        <v>0</v>
      </c>
    </row>
    <row r="566" spans="1:28" x14ac:dyDescent="0.25">
      <c r="A566" s="16">
        <f>OrdersTable!A566</f>
        <v>784</v>
      </c>
      <c r="B566" s="15" t="str">
        <f t="shared" si="177"/>
        <v>Ms</v>
      </c>
      <c r="C566" s="15" t="str">
        <f t="shared" si="198"/>
        <v>Hansen</v>
      </c>
      <c r="D566" s="15" t="str">
        <f t="shared" si="178"/>
        <v>Courtney Michelle</v>
      </c>
      <c r="E566" s="15" t="str">
        <f t="shared" si="179"/>
        <v>22 Elliot Crescent</v>
      </c>
      <c r="F566" s="15" t="str">
        <f t="shared" si="180"/>
        <v>Alfredtown</v>
      </c>
      <c r="G566" s="15" t="str">
        <f t="shared" si="181"/>
        <v>NSW</v>
      </c>
      <c r="H566" s="15">
        <f t="shared" si="182"/>
        <v>2650</v>
      </c>
      <c r="I566" s="15">
        <f t="shared" si="193"/>
        <v>1124</v>
      </c>
      <c r="J566" s="15">
        <f>OrdersTable!B566</f>
        <v>685</v>
      </c>
      <c r="K566" s="15" t="str">
        <f t="shared" si="183"/>
        <v>Mugs</v>
      </c>
      <c r="L566" s="15" t="str">
        <f t="shared" si="184"/>
        <v>Doctor Who: Teapot: Sliver TARDIS</v>
      </c>
      <c r="M566" s="15" t="str">
        <f t="shared" si="185"/>
        <v>-</v>
      </c>
      <c r="N566" s="15">
        <f t="shared" si="186"/>
        <v>1.35</v>
      </c>
      <c r="O566" s="15" t="str">
        <f t="shared" si="187"/>
        <v>A30</v>
      </c>
      <c r="P566" s="15" t="str">
        <f t="shared" si="188"/>
        <v>Chesterton Enterprises</v>
      </c>
      <c r="Q566" s="15" t="str">
        <f t="shared" si="189"/>
        <v>41 William Russell Road</v>
      </c>
      <c r="R566" s="3">
        <f>OrdersTable!C566</f>
        <v>44602</v>
      </c>
      <c r="S566" s="15">
        <f>OrdersTable!E566</f>
        <v>3</v>
      </c>
      <c r="T566" s="15">
        <f t="shared" si="190"/>
        <v>26.99</v>
      </c>
      <c r="U566" s="15">
        <f t="shared" si="191"/>
        <v>36.869999999999997</v>
      </c>
      <c r="V566" s="15">
        <f t="shared" si="192"/>
        <v>43.72</v>
      </c>
      <c r="W566" s="15">
        <f>IF(MarkupType="Store Markup",ROUND(V566+V566*StoreMarkup,2),IF(MarkupType="Supplier Markup",V566+V566*SupplierMarkup,"Error at finding value"))</f>
        <v>68.86</v>
      </c>
      <c r="X566" s="32" t="str">
        <f t="shared" si="194"/>
        <v>0.00</v>
      </c>
      <c r="Y566" s="15">
        <f t="shared" si="195"/>
        <v>131.16</v>
      </c>
      <c r="Z566" s="15">
        <f t="shared" si="196"/>
        <v>206.58</v>
      </c>
      <c r="AA566" s="15">
        <f>IF(FreightType="Lethbridge-Stewart Freight ",ROUND(2.99+IF(N566&gt;0.75,(N566-0.75)*2.25,0)*S566,2),IF(MarkupType="Supplier Markup",V566+V566*SupplierMarkup,"Error at finding value"))</f>
        <v>7.04</v>
      </c>
      <c r="AB566" s="15">
        <f t="shared" si="197"/>
        <v>0</v>
      </c>
    </row>
    <row r="567" spans="1:28" x14ac:dyDescent="0.25">
      <c r="A567" s="16">
        <f>OrdersTable!A567</f>
        <v>884</v>
      </c>
      <c r="B567" s="15" t="str">
        <f t="shared" si="177"/>
        <v>Mr</v>
      </c>
      <c r="C567" s="15" t="str">
        <f t="shared" si="198"/>
        <v>Smy</v>
      </c>
      <c r="D567" s="15" t="str">
        <f t="shared" si="178"/>
        <v>Corey Alexander</v>
      </c>
      <c r="E567" s="15" t="str">
        <f t="shared" si="179"/>
        <v>47 Lindsay Circuit</v>
      </c>
      <c r="F567" s="15" t="str">
        <f t="shared" si="180"/>
        <v>Boston</v>
      </c>
      <c r="G567" s="15" t="str">
        <f t="shared" si="181"/>
        <v>SA</v>
      </c>
      <c r="H567" s="15">
        <f t="shared" si="182"/>
        <v>5607</v>
      </c>
      <c r="I567" s="15">
        <f t="shared" si="193"/>
        <v>2076</v>
      </c>
      <c r="J567" s="15">
        <f>OrdersTable!B567</f>
        <v>395</v>
      </c>
      <c r="K567" s="15" t="str">
        <f t="shared" si="183"/>
        <v>Clothing and Apparel</v>
      </c>
      <c r="L567" s="15" t="str">
        <f t="shared" si="184"/>
        <v xml:space="preserve">Doctor Who: T-Shirts: 7th Doctor Costume </v>
      </c>
      <c r="M567" s="15" t="str">
        <f t="shared" si="185"/>
        <v>L</v>
      </c>
      <c r="N567" s="15">
        <f t="shared" si="186"/>
        <v>0.8</v>
      </c>
      <c r="O567" s="15" t="str">
        <f t="shared" si="187"/>
        <v>A10</v>
      </c>
      <c r="P567" s="15" t="str">
        <f t="shared" si="188"/>
        <v>Gallifrey International</v>
      </c>
      <c r="Q567" s="15" t="str">
        <f t="shared" si="189"/>
        <v>181 Arcadia Street</v>
      </c>
      <c r="R567" s="3">
        <f>OrdersTable!C567</f>
        <v>44602</v>
      </c>
      <c r="S567" s="15">
        <f>OrdersTable!E567</f>
        <v>2</v>
      </c>
      <c r="T567" s="15">
        <f t="shared" si="190"/>
        <v>15.99</v>
      </c>
      <c r="U567" s="15">
        <f t="shared" si="191"/>
        <v>22.07</v>
      </c>
      <c r="V567" s="15">
        <f t="shared" si="192"/>
        <v>25.9</v>
      </c>
      <c r="W567" s="15">
        <f>IF(MarkupType="Store Markup",ROUND(V567+V567*StoreMarkup,2),IF(MarkupType="Supplier Markup",V567+V567*SupplierMarkup,"Error at finding value"))</f>
        <v>40.79</v>
      </c>
      <c r="X567" s="32" t="str">
        <f t="shared" si="194"/>
        <v>0.00</v>
      </c>
      <c r="Y567" s="15">
        <f t="shared" si="195"/>
        <v>51.8</v>
      </c>
      <c r="Z567" s="15">
        <f t="shared" si="196"/>
        <v>81.58</v>
      </c>
      <c r="AA567" s="15">
        <f>IF(FreightType="Lethbridge-Stewart Freight ",ROUND(2.99+IF(N567&gt;0.75,(N567-0.75)*2.25,0)*S567,2),IF(MarkupType="Supplier Markup",V567+V567*SupplierMarkup,"Error at finding value"))</f>
        <v>3.22</v>
      </c>
      <c r="AB567" s="15">
        <f t="shared" si="197"/>
        <v>0</v>
      </c>
    </row>
    <row r="568" spans="1:28" x14ac:dyDescent="0.25">
      <c r="A568" s="16">
        <f>OrdersTable!A568</f>
        <v>923</v>
      </c>
      <c r="B568" s="15" t="str">
        <f t="shared" si="177"/>
        <v>Ms</v>
      </c>
      <c r="C568" s="15" t="str">
        <f t="shared" si="198"/>
        <v>Savage</v>
      </c>
      <c r="D568" s="15" t="str">
        <f t="shared" si="178"/>
        <v>Eliza Margaret</v>
      </c>
      <c r="E568" s="15" t="str">
        <f t="shared" si="179"/>
        <v>28 Whisson Crescent</v>
      </c>
      <c r="F568" s="15" t="str">
        <f t="shared" si="180"/>
        <v>Belconnen</v>
      </c>
      <c r="G568" s="15" t="str">
        <f t="shared" si="181"/>
        <v>ACT</v>
      </c>
      <c r="H568" s="15">
        <f t="shared" si="182"/>
        <v>2617</v>
      </c>
      <c r="I568" s="15">
        <f t="shared" si="193"/>
        <v>1194</v>
      </c>
      <c r="J568" s="15">
        <f>OrdersTable!B568</f>
        <v>398</v>
      </c>
      <c r="K568" s="15" t="str">
        <f t="shared" si="183"/>
        <v>Clothing and Apparel</v>
      </c>
      <c r="L568" s="15" t="str">
        <f t="shared" si="184"/>
        <v>Doctor Who: Women's Winter Pyjamas</v>
      </c>
      <c r="M568" s="15" t="str">
        <f t="shared" si="185"/>
        <v>S</v>
      </c>
      <c r="N568" s="15">
        <f t="shared" si="186"/>
        <v>1.5</v>
      </c>
      <c r="O568" s="15" t="str">
        <f t="shared" si="187"/>
        <v>A40</v>
      </c>
      <c r="P568" s="15" t="str">
        <f t="shared" si="188"/>
        <v>Romana Imports</v>
      </c>
      <c r="Q568" s="15" t="str">
        <f t="shared" si="189"/>
        <v>17 Lalla Ward Road</v>
      </c>
      <c r="R568" s="3">
        <f>OrdersTable!C568</f>
        <v>44602</v>
      </c>
      <c r="S568" s="15">
        <f>OrdersTable!E568</f>
        <v>7</v>
      </c>
      <c r="T568" s="15">
        <f t="shared" si="190"/>
        <v>29.99</v>
      </c>
      <c r="U568" s="15">
        <f t="shared" si="191"/>
        <v>41.07</v>
      </c>
      <c r="V568" s="15">
        <f t="shared" si="192"/>
        <v>48.58</v>
      </c>
      <c r="W568" s="15">
        <f>IF(MarkupType="Store Markup",ROUND(V568+V568*StoreMarkup,2),IF(MarkupType="Supplier Markup",V568+V568*SupplierMarkup,"Error at finding value"))</f>
        <v>76.510000000000005</v>
      </c>
      <c r="X568" s="32" t="str">
        <f t="shared" si="194"/>
        <v>0.00</v>
      </c>
      <c r="Y568" s="15">
        <f t="shared" si="195"/>
        <v>340.06</v>
      </c>
      <c r="Z568" s="15">
        <f t="shared" si="196"/>
        <v>535.57000000000005</v>
      </c>
      <c r="AA568" s="15">
        <f>IF(FreightType="Lethbridge-Stewart Freight ",ROUND(2.99+IF(N568&gt;0.75,(N568-0.75)*2.25,0)*S568,2),IF(MarkupType="Supplier Markup",V568+V568*SupplierMarkup,"Error at finding value"))</f>
        <v>14.8</v>
      </c>
      <c r="AB568" s="15">
        <f t="shared" si="197"/>
        <v>0</v>
      </c>
    </row>
    <row r="569" spans="1:28" x14ac:dyDescent="0.25">
      <c r="A569" s="16">
        <f>OrdersTable!A569</f>
        <v>983</v>
      </c>
      <c r="B569" s="15" t="str">
        <f t="shared" si="177"/>
        <v>Mrs</v>
      </c>
      <c r="C569" s="15" t="str">
        <f t="shared" si="198"/>
        <v>Bennett</v>
      </c>
      <c r="D569" s="15" t="str">
        <f t="shared" si="178"/>
        <v>Mikayla Elizabeth</v>
      </c>
      <c r="E569" s="15" t="str">
        <f t="shared" si="179"/>
        <v>35 Khanal Crescent</v>
      </c>
      <c r="F569" s="15" t="str">
        <f t="shared" si="180"/>
        <v>Bamboo</v>
      </c>
      <c r="G569" s="15" t="str">
        <f t="shared" si="181"/>
        <v>QLD</v>
      </c>
      <c r="H569" s="15">
        <f t="shared" si="182"/>
        <v>4873</v>
      </c>
      <c r="I569" s="15">
        <f t="shared" si="193"/>
        <v>1741</v>
      </c>
      <c r="J569" s="15">
        <f>OrdersTable!B569</f>
        <v>563</v>
      </c>
      <c r="K569" s="15" t="str">
        <f t="shared" si="183"/>
        <v>Giftware</v>
      </c>
      <c r="L569" s="15" t="str">
        <f t="shared" si="184"/>
        <v>Doctor Who: TARDIS Jewellery Box</v>
      </c>
      <c r="M569" s="15" t="str">
        <f t="shared" si="185"/>
        <v>-</v>
      </c>
      <c r="N569" s="15">
        <f t="shared" si="186"/>
        <v>1.1499999999999999</v>
      </c>
      <c r="O569" s="15" t="str">
        <f t="shared" si="187"/>
        <v>A50</v>
      </c>
      <c r="P569" s="15" t="str">
        <f t="shared" si="188"/>
        <v>Rassilon Ltd.</v>
      </c>
      <c r="Q569" s="15" t="str">
        <f t="shared" si="189"/>
        <v>82 Richard Mathews Road</v>
      </c>
      <c r="R569" s="3">
        <f>OrdersTable!C569</f>
        <v>44602</v>
      </c>
      <c r="S569" s="15">
        <f>OrdersTable!E569</f>
        <v>10</v>
      </c>
      <c r="T569" s="15">
        <f t="shared" si="190"/>
        <v>22.99</v>
      </c>
      <c r="U569" s="15">
        <f t="shared" si="191"/>
        <v>31.63</v>
      </c>
      <c r="V569" s="15">
        <f t="shared" si="192"/>
        <v>37.24</v>
      </c>
      <c r="W569" s="15">
        <f>IF(MarkupType="Store Markup",ROUND(V569+V569*StoreMarkup,2),IF(MarkupType="Supplier Markup",V569+V569*SupplierMarkup,"Error at finding value"))</f>
        <v>58.65</v>
      </c>
      <c r="X569" s="32" t="str">
        <f t="shared" si="194"/>
        <v>0.00</v>
      </c>
      <c r="Y569" s="15">
        <f t="shared" si="195"/>
        <v>372.4</v>
      </c>
      <c r="Z569" s="15">
        <f t="shared" si="196"/>
        <v>586.5</v>
      </c>
      <c r="AA569" s="15">
        <f>IF(FreightType="Lethbridge-Stewart Freight ",ROUND(2.99+IF(N569&gt;0.75,(N569-0.75)*2.25,0)*S569,2),IF(MarkupType="Supplier Markup",V569+V569*SupplierMarkup,"Error at finding value"))</f>
        <v>11.99</v>
      </c>
      <c r="AB569" s="15">
        <f t="shared" si="197"/>
        <v>0</v>
      </c>
    </row>
    <row r="570" spans="1:28" x14ac:dyDescent="0.25">
      <c r="A570" s="16">
        <f>OrdersTable!A570</f>
        <v>112</v>
      </c>
      <c r="B570" s="15" t="str">
        <f t="shared" si="177"/>
        <v>Mr</v>
      </c>
      <c r="C570" s="15" t="str">
        <f t="shared" si="198"/>
        <v>Dahal</v>
      </c>
      <c r="D570" s="15" t="str">
        <f t="shared" si="178"/>
        <v>Subash</v>
      </c>
      <c r="E570" s="15" t="str">
        <f t="shared" si="179"/>
        <v>121-127 Railway Pde, Granville, NSW 2142</v>
      </c>
      <c r="F570" s="15" t="str">
        <f t="shared" si="180"/>
        <v>Granville</v>
      </c>
      <c r="G570" s="15" t="str">
        <f t="shared" si="181"/>
        <v>NSW</v>
      </c>
      <c r="H570" s="15">
        <f t="shared" si="182"/>
        <v>2142</v>
      </c>
      <c r="I570" s="15">
        <f t="shared" si="193"/>
        <v>907</v>
      </c>
      <c r="J570" s="15">
        <f>OrdersTable!B570</f>
        <v>541</v>
      </c>
      <c r="K570" s="15" t="str">
        <f t="shared" si="183"/>
        <v>Giftware</v>
      </c>
      <c r="L570" s="15" t="str">
        <f t="shared" si="184"/>
        <v>Doctor Who: Salt and Pepper Shakers: TARDIS</v>
      </c>
      <c r="M570" s="15" t="str">
        <f t="shared" si="185"/>
        <v>-</v>
      </c>
      <c r="N570" s="15">
        <f t="shared" si="186"/>
        <v>0.6</v>
      </c>
      <c r="O570" s="15" t="str">
        <f t="shared" si="187"/>
        <v>A10</v>
      </c>
      <c r="P570" s="15" t="str">
        <f t="shared" si="188"/>
        <v>Gallifrey International</v>
      </c>
      <c r="Q570" s="15" t="str">
        <f t="shared" si="189"/>
        <v>181 Arcadia Street</v>
      </c>
      <c r="R570" s="3">
        <f>OrdersTable!C570</f>
        <v>44603</v>
      </c>
      <c r="S570" s="15">
        <f>OrdersTable!E570</f>
        <v>9</v>
      </c>
      <c r="T570" s="15">
        <f t="shared" si="190"/>
        <v>11.99</v>
      </c>
      <c r="U570" s="15">
        <f t="shared" si="191"/>
        <v>16.62</v>
      </c>
      <c r="V570" s="15">
        <f t="shared" si="192"/>
        <v>19.420000000000002</v>
      </c>
      <c r="W570" s="15">
        <f>IF(MarkupType="Store Markup",ROUND(V570+V570*StoreMarkup,2),IF(MarkupType="Supplier Markup",V570+V570*SupplierMarkup,"Error at finding value"))</f>
        <v>30.59</v>
      </c>
      <c r="X570" s="32" t="str">
        <f t="shared" si="194"/>
        <v>0.00</v>
      </c>
      <c r="Y570" s="15">
        <f t="shared" si="195"/>
        <v>174.78</v>
      </c>
      <c r="Z570" s="15">
        <f t="shared" si="196"/>
        <v>275.31</v>
      </c>
      <c r="AA570" s="15">
        <f>IF(FreightType="Lethbridge-Stewart Freight ",ROUND(2.99+IF(N570&gt;0.75,(N570-0.75)*2.25,0)*S570,2),IF(MarkupType="Supplier Markup",V570+V570*SupplierMarkup,"Error at finding value"))</f>
        <v>2.99</v>
      </c>
      <c r="AB570" s="15">
        <f t="shared" si="197"/>
        <v>0</v>
      </c>
    </row>
    <row r="571" spans="1:28" x14ac:dyDescent="0.25">
      <c r="A571" s="16">
        <f>OrdersTable!A571</f>
        <v>146</v>
      </c>
      <c r="B571" s="15" t="str">
        <f t="shared" si="177"/>
        <v>Miss</v>
      </c>
      <c r="C571" s="15" t="str">
        <f t="shared" si="198"/>
        <v>Brown</v>
      </c>
      <c r="D571" s="15" t="str">
        <f t="shared" si="178"/>
        <v>Sarah Danielle</v>
      </c>
      <c r="E571" s="15" t="str">
        <f t="shared" si="179"/>
        <v>50 Brieschke Court</v>
      </c>
      <c r="F571" s="15" t="str">
        <f t="shared" si="180"/>
        <v>Bray Park</v>
      </c>
      <c r="G571" s="15" t="str">
        <f t="shared" si="181"/>
        <v>QLD</v>
      </c>
      <c r="H571" s="15">
        <f t="shared" si="182"/>
        <v>4500</v>
      </c>
      <c r="I571" s="15">
        <f t="shared" si="193"/>
        <v>139</v>
      </c>
      <c r="J571" s="15">
        <f>OrdersTable!B571</f>
        <v>652</v>
      </c>
      <c r="K571" s="15" t="str">
        <f t="shared" si="183"/>
        <v>Mugs</v>
      </c>
      <c r="L571" s="15" t="str">
        <f t="shared" si="184"/>
        <v>Doctor Who: Mug: Dalek 2D</v>
      </c>
      <c r="M571" s="15" t="str">
        <f t="shared" si="185"/>
        <v>-</v>
      </c>
      <c r="N571" s="15">
        <f t="shared" si="186"/>
        <v>0.35</v>
      </c>
      <c r="O571" s="15" t="str">
        <f t="shared" si="187"/>
        <v>A10</v>
      </c>
      <c r="P571" s="15" t="str">
        <f t="shared" si="188"/>
        <v>Gallifrey International</v>
      </c>
      <c r="Q571" s="15" t="str">
        <f t="shared" si="189"/>
        <v>181 Arcadia Street</v>
      </c>
      <c r="R571" s="3">
        <f>OrdersTable!C571</f>
        <v>44603</v>
      </c>
      <c r="S571" s="15">
        <f>OrdersTable!E571</f>
        <v>6</v>
      </c>
      <c r="T571" s="15">
        <f t="shared" si="190"/>
        <v>6.99</v>
      </c>
      <c r="U571" s="15">
        <f t="shared" si="191"/>
        <v>9.8800000000000008</v>
      </c>
      <c r="V571" s="15">
        <f t="shared" si="192"/>
        <v>11.32</v>
      </c>
      <c r="W571" s="15">
        <f>IF(MarkupType="Store Markup",ROUND(V571+V571*StoreMarkup,2),IF(MarkupType="Supplier Markup",V571+V571*SupplierMarkup,"Error at finding value"))</f>
        <v>17.829999999999998</v>
      </c>
      <c r="X571" s="32" t="str">
        <f t="shared" si="194"/>
        <v>0.00</v>
      </c>
      <c r="Y571" s="15">
        <f t="shared" si="195"/>
        <v>67.92</v>
      </c>
      <c r="Z571" s="15">
        <f t="shared" si="196"/>
        <v>106.98</v>
      </c>
      <c r="AA571" s="15">
        <f>IF(FreightType="Lethbridge-Stewart Freight ",ROUND(2.99+IF(N571&gt;0.75,(N571-0.75)*2.25,0)*S571,2),IF(MarkupType="Supplier Markup",V571+V571*SupplierMarkup,"Error at finding value"))</f>
        <v>2.99</v>
      </c>
      <c r="AB571" s="15">
        <f t="shared" si="197"/>
        <v>0</v>
      </c>
    </row>
    <row r="572" spans="1:28" x14ac:dyDescent="0.25">
      <c r="A572" s="16">
        <f>OrdersTable!A572</f>
        <v>249</v>
      </c>
      <c r="B572" s="15" t="str">
        <f t="shared" si="177"/>
        <v>Mr</v>
      </c>
      <c r="C572" s="15" t="str">
        <f t="shared" si="198"/>
        <v>Sinclair</v>
      </c>
      <c r="D572" s="15" t="str">
        <f t="shared" si="178"/>
        <v>Travis James Foord</v>
      </c>
      <c r="E572" s="15" t="str">
        <f t="shared" si="179"/>
        <v>25 Leunen Avenue</v>
      </c>
      <c r="F572" s="15" t="str">
        <f t="shared" si="180"/>
        <v>Batlow</v>
      </c>
      <c r="G572" s="15" t="str">
        <f t="shared" si="181"/>
        <v>NSW</v>
      </c>
      <c r="H572" s="15">
        <f t="shared" si="182"/>
        <v>2730</v>
      </c>
      <c r="I572" s="15">
        <f t="shared" si="193"/>
        <v>1138</v>
      </c>
      <c r="J572" s="15">
        <f>OrdersTable!B572</f>
        <v>696</v>
      </c>
      <c r="K572" s="15" t="str">
        <f t="shared" si="183"/>
        <v>Posters, Prints and Standees</v>
      </c>
      <c r="L572" s="15" t="str">
        <f t="shared" si="184"/>
        <v xml:space="preserve">Doctor Who: 50th Anniversary: Poster: To Victory </v>
      </c>
      <c r="M572" s="15" t="str">
        <f t="shared" si="185"/>
        <v>-</v>
      </c>
      <c r="N572" s="15">
        <f t="shared" si="186"/>
        <v>0.2</v>
      </c>
      <c r="O572" s="15" t="str">
        <f t="shared" si="187"/>
        <v>A40</v>
      </c>
      <c r="P572" s="15" t="str">
        <f t="shared" si="188"/>
        <v>Romana Imports</v>
      </c>
      <c r="Q572" s="15" t="str">
        <f t="shared" si="189"/>
        <v>17 Lalla Ward Road</v>
      </c>
      <c r="R572" s="3">
        <f>OrdersTable!C572</f>
        <v>44603</v>
      </c>
      <c r="S572" s="15">
        <f>OrdersTable!E572</f>
        <v>5</v>
      </c>
      <c r="T572" s="15">
        <f t="shared" si="190"/>
        <v>3.99</v>
      </c>
      <c r="U572" s="15">
        <f t="shared" si="191"/>
        <v>5.6</v>
      </c>
      <c r="V572" s="15">
        <f t="shared" si="192"/>
        <v>6.46</v>
      </c>
      <c r="W572" s="15">
        <f>IF(MarkupType="Store Markup",ROUND(V572+V572*StoreMarkup,2),IF(MarkupType="Supplier Markup",V572+V572*SupplierMarkup,"Error at finding value"))</f>
        <v>10.17</v>
      </c>
      <c r="X572" s="32" t="str">
        <f t="shared" si="194"/>
        <v>0.00</v>
      </c>
      <c r="Y572" s="15">
        <f t="shared" si="195"/>
        <v>32.299999999999997</v>
      </c>
      <c r="Z572" s="15">
        <f t="shared" si="196"/>
        <v>50.85</v>
      </c>
      <c r="AA572" s="15">
        <f>IF(FreightType="Lethbridge-Stewart Freight ",ROUND(2.99+IF(N572&gt;0.75,(N572-0.75)*2.25,0)*S572,2),IF(MarkupType="Supplier Markup",V572+V572*SupplierMarkup,"Error at finding value"))</f>
        <v>2.99</v>
      </c>
      <c r="AB572" s="15">
        <f t="shared" si="197"/>
        <v>0</v>
      </c>
    </row>
    <row r="573" spans="1:28" x14ac:dyDescent="0.25">
      <c r="A573" s="16">
        <f>OrdersTable!A573</f>
        <v>370</v>
      </c>
      <c r="B573" s="15" t="str">
        <f t="shared" si="177"/>
        <v>Mr</v>
      </c>
      <c r="C573" s="15" t="str">
        <f t="shared" si="198"/>
        <v>Kennedy</v>
      </c>
      <c r="D573" s="15" t="str">
        <f t="shared" si="178"/>
        <v>Joseph Dominic</v>
      </c>
      <c r="E573" s="15" t="str">
        <f t="shared" si="179"/>
        <v>43 Barton Road</v>
      </c>
      <c r="F573" s="15" t="str">
        <f t="shared" si="180"/>
        <v>Boston</v>
      </c>
      <c r="G573" s="15" t="str">
        <f t="shared" si="181"/>
        <v>SA</v>
      </c>
      <c r="H573" s="15">
        <f t="shared" si="182"/>
        <v>5607</v>
      </c>
      <c r="I573" s="15">
        <f t="shared" si="193"/>
        <v>2076</v>
      </c>
      <c r="J573" s="15">
        <f>OrdersTable!B573</f>
        <v>689</v>
      </c>
      <c r="K573" s="15" t="str">
        <f t="shared" si="183"/>
        <v>Posters, Prints and Standees</v>
      </c>
      <c r="L573" s="15" t="str">
        <f t="shared" si="184"/>
        <v>Doctor Who: 16'x12' Framed Print: Cold War</v>
      </c>
      <c r="M573" s="15" t="str">
        <f t="shared" si="185"/>
        <v>-</v>
      </c>
      <c r="N573" s="15">
        <f t="shared" si="186"/>
        <v>0.75</v>
      </c>
      <c r="O573" s="15" t="str">
        <f t="shared" si="187"/>
        <v>A50</v>
      </c>
      <c r="P573" s="15" t="str">
        <f t="shared" si="188"/>
        <v>Rassilon Ltd.</v>
      </c>
      <c r="Q573" s="15" t="str">
        <f t="shared" si="189"/>
        <v>82 Richard Mathews Road</v>
      </c>
      <c r="R573" s="3">
        <f>OrdersTable!C573</f>
        <v>44603</v>
      </c>
      <c r="S573" s="15">
        <f>OrdersTable!E573</f>
        <v>5</v>
      </c>
      <c r="T573" s="15">
        <f t="shared" si="190"/>
        <v>14.99</v>
      </c>
      <c r="U573" s="15">
        <f t="shared" si="191"/>
        <v>20.77</v>
      </c>
      <c r="V573" s="15">
        <f t="shared" si="192"/>
        <v>24.28</v>
      </c>
      <c r="W573" s="15">
        <f>IF(MarkupType="Store Markup",ROUND(V573+V573*StoreMarkup,2),IF(MarkupType="Supplier Markup",V573+V573*SupplierMarkup,"Error at finding value"))</f>
        <v>38.24</v>
      </c>
      <c r="X573" s="32" t="str">
        <f t="shared" si="194"/>
        <v>0.00</v>
      </c>
      <c r="Y573" s="15">
        <f t="shared" si="195"/>
        <v>121.4</v>
      </c>
      <c r="Z573" s="15">
        <f t="shared" si="196"/>
        <v>191.2</v>
      </c>
      <c r="AA573" s="15">
        <f>IF(FreightType="Lethbridge-Stewart Freight ",ROUND(2.99+IF(N573&gt;0.75,(N573-0.75)*2.25,0)*S573,2),IF(MarkupType="Supplier Markup",V573+V573*SupplierMarkup,"Error at finding value"))</f>
        <v>2.99</v>
      </c>
      <c r="AB573" s="15">
        <f t="shared" si="197"/>
        <v>0</v>
      </c>
    </row>
    <row r="574" spans="1:28" x14ac:dyDescent="0.25">
      <c r="A574" s="16">
        <f>OrdersTable!A574</f>
        <v>412</v>
      </c>
      <c r="B574" s="15" t="str">
        <f t="shared" si="177"/>
        <v>Miss</v>
      </c>
      <c r="C574" s="15" t="str">
        <f t="shared" si="198"/>
        <v>Moraitis</v>
      </c>
      <c r="D574" s="15" t="str">
        <f t="shared" si="178"/>
        <v>Vikki Sue</v>
      </c>
      <c r="E574" s="15" t="str">
        <f t="shared" si="179"/>
        <v>11 Stuckings Boulevard</v>
      </c>
      <c r="F574" s="15" t="str">
        <f t="shared" si="180"/>
        <v>Airly</v>
      </c>
      <c r="G574" s="15" t="str">
        <f t="shared" si="181"/>
        <v>VIC</v>
      </c>
      <c r="H574" s="15">
        <f t="shared" si="182"/>
        <v>3851</v>
      </c>
      <c r="I574" s="15">
        <f t="shared" si="193"/>
        <v>1583</v>
      </c>
      <c r="J574" s="15">
        <f>OrdersTable!B574</f>
        <v>453</v>
      </c>
      <c r="K574" s="15" t="str">
        <f t="shared" si="183"/>
        <v>Giftware</v>
      </c>
      <c r="L574" s="15" t="str">
        <f t="shared" si="184"/>
        <v>Doctor Who: Ceramic Cookie Jar: TARDIS</v>
      </c>
      <c r="M574" s="15" t="str">
        <f t="shared" si="185"/>
        <v>-</v>
      </c>
      <c r="N574" s="15">
        <f t="shared" si="186"/>
        <v>1.35</v>
      </c>
      <c r="O574" s="15" t="str">
        <f t="shared" si="187"/>
        <v>A40</v>
      </c>
      <c r="P574" s="15" t="str">
        <f t="shared" si="188"/>
        <v>Romana Imports</v>
      </c>
      <c r="Q574" s="15" t="str">
        <f t="shared" si="189"/>
        <v>17 Lalla Ward Road</v>
      </c>
      <c r="R574" s="3">
        <f>OrdersTable!C574</f>
        <v>44603</v>
      </c>
      <c r="S574" s="15">
        <f>OrdersTable!E574</f>
        <v>9</v>
      </c>
      <c r="T574" s="15">
        <f t="shared" si="190"/>
        <v>26.99</v>
      </c>
      <c r="U574" s="15">
        <f t="shared" si="191"/>
        <v>37.119999999999997</v>
      </c>
      <c r="V574" s="15">
        <f t="shared" si="192"/>
        <v>43.72</v>
      </c>
      <c r="W574" s="15">
        <f>IF(MarkupType="Store Markup",ROUND(V574+V574*StoreMarkup,2),IF(MarkupType="Supplier Markup",V574+V574*SupplierMarkup,"Error at finding value"))</f>
        <v>68.86</v>
      </c>
      <c r="X574" s="32" t="str">
        <f t="shared" si="194"/>
        <v>0.00</v>
      </c>
      <c r="Y574" s="15">
        <f t="shared" si="195"/>
        <v>393.48</v>
      </c>
      <c r="Z574" s="15">
        <f t="shared" si="196"/>
        <v>619.74</v>
      </c>
      <c r="AA574" s="15">
        <f>IF(FreightType="Lethbridge-Stewart Freight ",ROUND(2.99+IF(N574&gt;0.75,(N574-0.75)*2.25,0)*S574,2),IF(MarkupType="Supplier Markup",V574+V574*SupplierMarkup,"Error at finding value"))</f>
        <v>15.14</v>
      </c>
      <c r="AB574" s="15">
        <f t="shared" si="197"/>
        <v>0</v>
      </c>
    </row>
    <row r="575" spans="1:28" x14ac:dyDescent="0.25">
      <c r="A575" s="16">
        <f>OrdersTable!A575</f>
        <v>489</v>
      </c>
      <c r="B575" s="15" t="str">
        <f t="shared" si="177"/>
        <v>Mr</v>
      </c>
      <c r="C575" s="15" t="str">
        <f t="shared" si="198"/>
        <v>Edwards</v>
      </c>
      <c r="D575" s="15" t="str">
        <f t="shared" si="178"/>
        <v>Luke Russell</v>
      </c>
      <c r="E575" s="15" t="str">
        <f t="shared" si="179"/>
        <v>43 Valusaga Court</v>
      </c>
      <c r="F575" s="15" t="str">
        <f t="shared" si="180"/>
        <v>Alfredtown</v>
      </c>
      <c r="G575" s="15" t="str">
        <f t="shared" si="181"/>
        <v>NSW</v>
      </c>
      <c r="H575" s="15">
        <f t="shared" si="182"/>
        <v>2650</v>
      </c>
      <c r="I575" s="15">
        <f t="shared" si="193"/>
        <v>1124</v>
      </c>
      <c r="J575" s="15">
        <f>OrdersTable!B575</f>
        <v>213</v>
      </c>
      <c r="K575" s="15" t="str">
        <f t="shared" si="183"/>
        <v>Clothing and Apparel</v>
      </c>
      <c r="L575" s="15" t="str">
        <f t="shared" si="184"/>
        <v>Doctor Who: Fez and Bow Tie</v>
      </c>
      <c r="M575" s="15" t="str">
        <f t="shared" si="185"/>
        <v>-</v>
      </c>
      <c r="N575" s="15">
        <f t="shared" si="186"/>
        <v>0.97499999999999998</v>
      </c>
      <c r="O575" s="15" t="str">
        <f t="shared" si="187"/>
        <v>A50</v>
      </c>
      <c r="P575" s="15" t="str">
        <f t="shared" si="188"/>
        <v>Rassilon Ltd.</v>
      </c>
      <c r="Q575" s="15" t="str">
        <f t="shared" si="189"/>
        <v>82 Richard Mathews Road</v>
      </c>
      <c r="R575" s="3">
        <f>OrdersTable!C575</f>
        <v>44603</v>
      </c>
      <c r="S575" s="15">
        <f>OrdersTable!E575</f>
        <v>1</v>
      </c>
      <c r="T575" s="15">
        <f t="shared" si="190"/>
        <v>19.5</v>
      </c>
      <c r="U575" s="15">
        <f t="shared" si="191"/>
        <v>26.88</v>
      </c>
      <c r="V575" s="15">
        <f t="shared" si="192"/>
        <v>31.59</v>
      </c>
      <c r="W575" s="15">
        <f>IF(MarkupType="Store Markup",ROUND(V575+V575*StoreMarkup,2),IF(MarkupType="Supplier Markup",V575+V575*SupplierMarkup,"Error at finding value"))</f>
        <v>49.75</v>
      </c>
      <c r="X575" s="32" t="str">
        <f t="shared" si="194"/>
        <v>0.00</v>
      </c>
      <c r="Y575" s="15">
        <f t="shared" si="195"/>
        <v>31.59</v>
      </c>
      <c r="Z575" s="15">
        <f t="shared" si="196"/>
        <v>49.75</v>
      </c>
      <c r="AA575" s="15">
        <f>IF(FreightType="Lethbridge-Stewart Freight ",ROUND(2.99+IF(N575&gt;0.75,(N575-0.75)*2.25,0)*S575,2),IF(MarkupType="Supplier Markup",V575+V575*SupplierMarkup,"Error at finding value"))</f>
        <v>3.5</v>
      </c>
      <c r="AB575" s="15">
        <f t="shared" si="197"/>
        <v>0</v>
      </c>
    </row>
    <row r="576" spans="1:28" x14ac:dyDescent="0.25">
      <c r="A576" s="16">
        <f>OrdersTable!A576</f>
        <v>500</v>
      </c>
      <c r="B576" s="15" t="str">
        <f t="shared" si="177"/>
        <v>Ms</v>
      </c>
      <c r="C576" s="15" t="str">
        <f t="shared" si="198"/>
        <v>Helmers</v>
      </c>
      <c r="D576" s="15" t="str">
        <f t="shared" si="178"/>
        <v>Kristy-Lee</v>
      </c>
      <c r="E576" s="15" t="str">
        <f t="shared" si="179"/>
        <v>43 Welthagen Court</v>
      </c>
      <c r="F576" s="15" t="str">
        <f t="shared" si="180"/>
        <v>Areegra</v>
      </c>
      <c r="G576" s="15" t="str">
        <f t="shared" si="181"/>
        <v>VIC</v>
      </c>
      <c r="H576" s="15">
        <f t="shared" si="182"/>
        <v>3480</v>
      </c>
      <c r="I576" s="15">
        <f t="shared" si="193"/>
        <v>1559</v>
      </c>
      <c r="J576" s="15">
        <f>OrdersTable!B576</f>
        <v>213</v>
      </c>
      <c r="K576" s="15" t="str">
        <f t="shared" si="183"/>
        <v>Clothing and Apparel</v>
      </c>
      <c r="L576" s="15" t="str">
        <f t="shared" si="184"/>
        <v>Doctor Who: Fez and Bow Tie</v>
      </c>
      <c r="M576" s="15" t="str">
        <f t="shared" si="185"/>
        <v>-</v>
      </c>
      <c r="N576" s="15">
        <f t="shared" si="186"/>
        <v>0.97499999999999998</v>
      </c>
      <c r="O576" s="15" t="str">
        <f t="shared" si="187"/>
        <v>A50</v>
      </c>
      <c r="P576" s="15" t="str">
        <f t="shared" si="188"/>
        <v>Rassilon Ltd.</v>
      </c>
      <c r="Q576" s="15" t="str">
        <f t="shared" si="189"/>
        <v>82 Richard Mathews Road</v>
      </c>
      <c r="R576" s="3">
        <f>OrdersTable!C576</f>
        <v>44603</v>
      </c>
      <c r="S576" s="15">
        <f>OrdersTable!E576</f>
        <v>7</v>
      </c>
      <c r="T576" s="15">
        <f t="shared" si="190"/>
        <v>19.5</v>
      </c>
      <c r="U576" s="15">
        <f t="shared" si="191"/>
        <v>26.88</v>
      </c>
      <c r="V576" s="15">
        <f t="shared" si="192"/>
        <v>31.59</v>
      </c>
      <c r="W576" s="15">
        <f>IF(MarkupType="Store Markup",ROUND(V576+V576*StoreMarkup,2),IF(MarkupType="Supplier Markup",V576+V576*SupplierMarkup,"Error at finding value"))</f>
        <v>49.75</v>
      </c>
      <c r="X576" s="32" t="str">
        <f t="shared" si="194"/>
        <v>0.00</v>
      </c>
      <c r="Y576" s="15">
        <f t="shared" si="195"/>
        <v>221.13</v>
      </c>
      <c r="Z576" s="15">
        <f t="shared" si="196"/>
        <v>348.25</v>
      </c>
      <c r="AA576" s="15">
        <f>IF(FreightType="Lethbridge-Stewart Freight ",ROUND(2.99+IF(N576&gt;0.75,(N576-0.75)*2.25,0)*S576,2),IF(MarkupType="Supplier Markup",V576+V576*SupplierMarkup,"Error at finding value"))</f>
        <v>6.53</v>
      </c>
      <c r="AB576" s="15">
        <f t="shared" si="197"/>
        <v>0</v>
      </c>
    </row>
    <row r="577" spans="1:28" x14ac:dyDescent="0.25">
      <c r="A577" s="16">
        <f>OrdersTable!A577</f>
        <v>526</v>
      </c>
      <c r="B577" s="15" t="str">
        <f t="shared" si="177"/>
        <v>Mrs</v>
      </c>
      <c r="C577" s="15" t="str">
        <f t="shared" si="198"/>
        <v>Bradford</v>
      </c>
      <c r="D577" s="15" t="str">
        <f t="shared" si="178"/>
        <v>Haleigh Renae Ann</v>
      </c>
      <c r="E577" s="15" t="str">
        <f t="shared" si="179"/>
        <v>31 Johnston Road</v>
      </c>
      <c r="F577" s="15" t="str">
        <f t="shared" si="180"/>
        <v>Ashford</v>
      </c>
      <c r="G577" s="15" t="str">
        <f t="shared" si="181"/>
        <v>SA</v>
      </c>
      <c r="H577" s="15">
        <f t="shared" si="182"/>
        <v>5035</v>
      </c>
      <c r="I577" s="15">
        <f t="shared" si="193"/>
        <v>1877</v>
      </c>
      <c r="J577" s="15">
        <f>OrdersTable!B577</f>
        <v>698</v>
      </c>
      <c r="K577" s="15" t="str">
        <f t="shared" si="183"/>
        <v>Posters, Prints and Standees</v>
      </c>
      <c r="L577" s="15" t="str">
        <f t="shared" si="184"/>
        <v>Doctor Who: Art Print: My Mysterious Doctor</v>
      </c>
      <c r="M577" s="15" t="str">
        <f t="shared" si="185"/>
        <v>-</v>
      </c>
      <c r="N577" s="15">
        <f t="shared" si="186"/>
        <v>0.75</v>
      </c>
      <c r="O577" s="15" t="str">
        <f t="shared" si="187"/>
        <v>A30</v>
      </c>
      <c r="P577" s="15" t="str">
        <f t="shared" si="188"/>
        <v>Chesterton Enterprises</v>
      </c>
      <c r="Q577" s="15" t="str">
        <f t="shared" si="189"/>
        <v>41 William Russell Road</v>
      </c>
      <c r="R577" s="3">
        <f>OrdersTable!C577</f>
        <v>44603</v>
      </c>
      <c r="S577" s="15">
        <f>OrdersTable!E577</f>
        <v>5</v>
      </c>
      <c r="T577" s="15">
        <f t="shared" si="190"/>
        <v>14.99</v>
      </c>
      <c r="U577" s="15">
        <f t="shared" si="191"/>
        <v>20.56</v>
      </c>
      <c r="V577" s="15">
        <f t="shared" si="192"/>
        <v>24.28</v>
      </c>
      <c r="W577" s="15">
        <f>IF(MarkupType="Store Markup",ROUND(V577+V577*StoreMarkup,2),IF(MarkupType="Supplier Markup",V577+V577*SupplierMarkup,"Error at finding value"))</f>
        <v>38.24</v>
      </c>
      <c r="X577" s="32" t="str">
        <f t="shared" si="194"/>
        <v>0.00</v>
      </c>
      <c r="Y577" s="15">
        <f t="shared" si="195"/>
        <v>121.4</v>
      </c>
      <c r="Z577" s="15">
        <f t="shared" si="196"/>
        <v>191.2</v>
      </c>
      <c r="AA577" s="15">
        <f>IF(FreightType="Lethbridge-Stewart Freight ",ROUND(2.99+IF(N577&gt;0.75,(N577-0.75)*2.25,0)*S577,2),IF(MarkupType="Supplier Markup",V577+V577*SupplierMarkup,"Error at finding value"))</f>
        <v>2.99</v>
      </c>
      <c r="AB577" s="15">
        <f t="shared" si="197"/>
        <v>0</v>
      </c>
    </row>
    <row r="578" spans="1:28" x14ac:dyDescent="0.25">
      <c r="A578" s="16">
        <f>OrdersTable!A578</f>
        <v>540</v>
      </c>
      <c r="B578" s="15" t="str">
        <f t="shared" si="177"/>
        <v>Dr</v>
      </c>
      <c r="C578" s="15" t="str">
        <f t="shared" si="198"/>
        <v>Hackett</v>
      </c>
      <c r="D578" s="15" t="str">
        <f t="shared" si="178"/>
        <v>Patrick</v>
      </c>
      <c r="E578" s="15" t="str">
        <f t="shared" si="179"/>
        <v>25 Sweet Drive</v>
      </c>
      <c r="F578" s="15" t="str">
        <f t="shared" si="180"/>
        <v>Bridgewater</v>
      </c>
      <c r="G578" s="15" t="str">
        <f t="shared" si="181"/>
        <v>VIC</v>
      </c>
      <c r="H578" s="15">
        <f t="shared" si="182"/>
        <v>3516</v>
      </c>
      <c r="I578" s="15">
        <f t="shared" si="193"/>
        <v>1486</v>
      </c>
      <c r="J578" s="15">
        <f>OrdersTable!B578</f>
        <v>585</v>
      </c>
      <c r="K578" s="15" t="str">
        <f t="shared" si="183"/>
        <v>iPhone Skins</v>
      </c>
      <c r="L578" s="15" t="str">
        <f t="shared" si="184"/>
        <v>Doctor Who: iPhone Skin: Dalek To Victory</v>
      </c>
      <c r="M578" s="15" t="str">
        <f t="shared" si="185"/>
        <v>-</v>
      </c>
      <c r="N578" s="15">
        <f t="shared" si="186"/>
        <v>0.5</v>
      </c>
      <c r="O578" s="15" t="str">
        <f t="shared" si="187"/>
        <v>A10</v>
      </c>
      <c r="P578" s="15" t="str">
        <f t="shared" si="188"/>
        <v>Gallifrey International</v>
      </c>
      <c r="Q578" s="15" t="str">
        <f t="shared" si="189"/>
        <v>181 Arcadia Street</v>
      </c>
      <c r="R578" s="3">
        <f>OrdersTable!C578</f>
        <v>44603</v>
      </c>
      <c r="S578" s="15">
        <f>OrdersTable!E578</f>
        <v>4</v>
      </c>
      <c r="T578" s="15">
        <f t="shared" si="190"/>
        <v>9.99</v>
      </c>
      <c r="U578" s="15">
        <f t="shared" si="191"/>
        <v>13.7</v>
      </c>
      <c r="V578" s="15">
        <f t="shared" si="192"/>
        <v>16.18</v>
      </c>
      <c r="W578" s="15">
        <f>IF(MarkupType="Store Markup",ROUND(V578+V578*StoreMarkup,2),IF(MarkupType="Supplier Markup",V578+V578*SupplierMarkup,"Error at finding value"))</f>
        <v>25.48</v>
      </c>
      <c r="X578" s="32" t="str">
        <f t="shared" si="194"/>
        <v>0.00</v>
      </c>
      <c r="Y578" s="15">
        <f t="shared" si="195"/>
        <v>64.72</v>
      </c>
      <c r="Z578" s="15">
        <f t="shared" si="196"/>
        <v>101.92</v>
      </c>
      <c r="AA578" s="15">
        <f>IF(FreightType="Lethbridge-Stewart Freight ",ROUND(2.99+IF(N578&gt;0.75,(N578-0.75)*2.25,0)*S578,2),IF(MarkupType="Supplier Markup",V578+V578*SupplierMarkup,"Error at finding value"))</f>
        <v>2.99</v>
      </c>
      <c r="AB578" s="15">
        <f t="shared" si="197"/>
        <v>0</v>
      </c>
    </row>
    <row r="579" spans="1:28" x14ac:dyDescent="0.25">
      <c r="A579" s="16">
        <f>OrdersTable!A579</f>
        <v>585</v>
      </c>
      <c r="B579" s="15" t="str">
        <f t="shared" si="177"/>
        <v>Miss</v>
      </c>
      <c r="C579" s="15" t="str">
        <f t="shared" si="198"/>
        <v>Long</v>
      </c>
      <c r="D579" s="15" t="str">
        <f t="shared" si="178"/>
        <v>Bellinda May</v>
      </c>
      <c r="E579" s="15" t="str">
        <f t="shared" si="179"/>
        <v>5 Hutcheson Avenue</v>
      </c>
      <c r="F579" s="15" t="str">
        <f t="shared" si="180"/>
        <v>Glenfern</v>
      </c>
      <c r="G579" s="15" t="str">
        <f t="shared" si="181"/>
        <v>QLD</v>
      </c>
      <c r="H579" s="15">
        <f t="shared" si="182"/>
        <v>4515</v>
      </c>
      <c r="I579" s="15">
        <f t="shared" si="193"/>
        <v>128</v>
      </c>
      <c r="J579" s="15">
        <f>OrdersTable!B579</f>
        <v>620</v>
      </c>
      <c r="K579" s="15" t="str">
        <f t="shared" si="183"/>
        <v>iPhone Skins</v>
      </c>
      <c r="L579" s="15" t="str">
        <f t="shared" si="184"/>
        <v>Doctor Who: iPhone Skin: TARDIS Water Colour</v>
      </c>
      <c r="M579" s="15" t="str">
        <f t="shared" si="185"/>
        <v>-</v>
      </c>
      <c r="N579" s="15">
        <f t="shared" si="186"/>
        <v>0.5</v>
      </c>
      <c r="O579" s="15" t="str">
        <f t="shared" si="187"/>
        <v>A30</v>
      </c>
      <c r="P579" s="15" t="str">
        <f t="shared" si="188"/>
        <v>Chesterton Enterprises</v>
      </c>
      <c r="Q579" s="15" t="str">
        <f t="shared" si="189"/>
        <v>41 William Russell Road</v>
      </c>
      <c r="R579" s="3">
        <f>OrdersTable!C579</f>
        <v>44603</v>
      </c>
      <c r="S579" s="15">
        <f>OrdersTable!E579</f>
        <v>10</v>
      </c>
      <c r="T579" s="15">
        <f t="shared" si="190"/>
        <v>9.99</v>
      </c>
      <c r="U579" s="15">
        <f t="shared" si="191"/>
        <v>13.81</v>
      </c>
      <c r="V579" s="15">
        <f t="shared" si="192"/>
        <v>16.18</v>
      </c>
      <c r="W579" s="15">
        <f>IF(MarkupType="Store Markup",ROUND(V579+V579*StoreMarkup,2),IF(MarkupType="Supplier Markup",V579+V579*SupplierMarkup,"Error at finding value"))</f>
        <v>25.48</v>
      </c>
      <c r="X579" s="32" t="str">
        <f t="shared" si="194"/>
        <v>0.00</v>
      </c>
      <c r="Y579" s="15">
        <f t="shared" si="195"/>
        <v>161.80000000000001</v>
      </c>
      <c r="Z579" s="15">
        <f t="shared" si="196"/>
        <v>254.8</v>
      </c>
      <c r="AA579" s="15">
        <f>IF(FreightType="Lethbridge-Stewart Freight ",ROUND(2.99+IF(N579&gt;0.75,(N579-0.75)*2.25,0)*S579,2),IF(MarkupType="Supplier Markup",V579+V579*SupplierMarkup,"Error at finding value"))</f>
        <v>2.99</v>
      </c>
      <c r="AB579" s="15">
        <f t="shared" si="197"/>
        <v>0</v>
      </c>
    </row>
    <row r="580" spans="1:28" x14ac:dyDescent="0.25">
      <c r="A580" s="16">
        <f>OrdersTable!A580</f>
        <v>594</v>
      </c>
      <c r="B580" s="15" t="str">
        <f t="shared" ref="B580:B643" si="199">VLOOKUP($A580,Cust,2,0)</f>
        <v>Mrs</v>
      </c>
      <c r="C580" s="15" t="str">
        <f t="shared" si="198"/>
        <v>Entriken</v>
      </c>
      <c r="D580" s="15" t="str">
        <f t="shared" ref="D580:D643" si="200">VLOOKUP($A580,Cust,4,0)</f>
        <v>Gwenda Dawn</v>
      </c>
      <c r="E580" s="15" t="str">
        <f t="shared" ref="E580:E643" si="201">VLOOKUP($A580,Cust,6,0)</f>
        <v>8 Miljkovic Drive</v>
      </c>
      <c r="F580" s="15" t="str">
        <f t="shared" ref="F580:F643" si="202">VLOOKUP($A580,Cust,7,0)</f>
        <v>Nayook</v>
      </c>
      <c r="G580" s="15" t="str">
        <f t="shared" ref="G580:G643" si="203">VLOOKUP($A580,Cust,8,0)</f>
        <v>VIC</v>
      </c>
      <c r="H580" s="15">
        <f t="shared" ref="H580:H643" si="204">VLOOKUP($A580,Cust,9,0)</f>
        <v>3832</v>
      </c>
      <c r="I580" s="15">
        <f t="shared" si="193"/>
        <v>1552</v>
      </c>
      <c r="J580" s="15">
        <f>OrdersTable!B580</f>
        <v>757</v>
      </c>
      <c r="K580" s="15" t="str">
        <f t="shared" ref="K580:K643" si="205">VLOOKUP($J580,Itms,2,0)</f>
        <v>Statues and Busts</v>
      </c>
      <c r="L580" s="15" t="str">
        <f t="shared" ref="L580:L643" si="206">VLOOKUP($J580,Itms,3,0)</f>
        <v>Doctor Who: Helmet: Ice Warrior</v>
      </c>
      <c r="M580" s="15" t="str">
        <f t="shared" ref="M580:M643" si="207">VLOOKUP($J580,Itms,4,0)</f>
        <v>-</v>
      </c>
      <c r="N580" s="15">
        <f t="shared" ref="N580:N643" si="208">VLOOKUP($J580,Itms,5,0)</f>
        <v>1.75</v>
      </c>
      <c r="O580" s="15" t="str">
        <f t="shared" ref="O580:O643" si="209">VLOOKUP($J580,Itms,6,0)</f>
        <v>A20</v>
      </c>
      <c r="P580" s="15" t="str">
        <f t="shared" ref="P580:P643" si="210">VLOOKUP($O580,Supp,2,0)</f>
        <v>Morbius Inc.</v>
      </c>
      <c r="Q580" s="15" t="str">
        <f t="shared" ref="Q580:Q643" si="211">VLOOKUP($O580,Supp,3,0)</f>
        <v>56 Michael Spice Hwy</v>
      </c>
      <c r="R580" s="3">
        <f>OrdersTable!C580</f>
        <v>44603</v>
      </c>
      <c r="S580" s="15">
        <f>OrdersTable!E580</f>
        <v>3</v>
      </c>
      <c r="T580" s="15">
        <f t="shared" ref="T580:T643" si="212">VLOOKUP($J580,Itms,9,0)</f>
        <v>34.99</v>
      </c>
      <c r="U580" s="15">
        <f t="shared" ref="U580:U643" si="213">VLOOKUP($J580,Itms,10,0)</f>
        <v>47.88</v>
      </c>
      <c r="V580" s="15">
        <f t="shared" ref="V580:V643" si="214">IF(ExchRateType="IR",ROUND(T580*ExchRateIR,2),IF(ExchRateType="CA",ROUND(U580*ExchRateCA,2),"Error at finding value"))</f>
        <v>56.68</v>
      </c>
      <c r="W580" s="15">
        <f>IF(MarkupType="Store Markup",ROUND(V580+V580*StoreMarkup,2),IF(MarkupType="Supplier Markup",V580+V580*SupplierMarkup,"Error at finding value"))</f>
        <v>89.27</v>
      </c>
      <c r="X580" s="32" t="str">
        <f t="shared" si="194"/>
        <v>0.00</v>
      </c>
      <c r="Y580" s="15">
        <f t="shared" si="195"/>
        <v>170.04</v>
      </c>
      <c r="Z580" s="15">
        <f t="shared" si="196"/>
        <v>267.81</v>
      </c>
      <c r="AA580" s="15">
        <f>IF(FreightType="Lethbridge-Stewart Freight ",ROUND(2.99+IF(N580&gt;0.75,(N580-0.75)*2.25,0)*S580,2),IF(MarkupType="Supplier Markup",V580+V580*SupplierMarkup,"Error at finding value"))</f>
        <v>9.74</v>
      </c>
      <c r="AB580" s="15">
        <f t="shared" si="197"/>
        <v>0</v>
      </c>
    </row>
    <row r="581" spans="1:28" x14ac:dyDescent="0.25">
      <c r="A581" s="16">
        <f>OrdersTable!A581</f>
        <v>827</v>
      </c>
      <c r="B581" s="15" t="str">
        <f t="shared" si="199"/>
        <v>Ms</v>
      </c>
      <c r="C581" s="15" t="str">
        <f t="shared" si="198"/>
        <v>Ottaway</v>
      </c>
      <c r="D581" s="15" t="str">
        <f t="shared" si="200"/>
        <v>Katherine</v>
      </c>
      <c r="E581" s="15" t="str">
        <f t="shared" si="201"/>
        <v>7 Morrison Street</v>
      </c>
      <c r="F581" s="15" t="str">
        <f t="shared" si="202"/>
        <v>Glenfern</v>
      </c>
      <c r="G581" s="15" t="str">
        <f t="shared" si="203"/>
        <v>QLD</v>
      </c>
      <c r="H581" s="15">
        <f t="shared" si="204"/>
        <v>4515</v>
      </c>
      <c r="I581" s="15">
        <f t="shared" ref="I581:I644" si="215">VLOOKUP($A581,Cust,10,0)</f>
        <v>128</v>
      </c>
      <c r="J581" s="15">
        <f>OrdersTable!B581</f>
        <v>164</v>
      </c>
      <c r="K581" s="15" t="str">
        <f t="shared" si="205"/>
        <v>Bobbleheads</v>
      </c>
      <c r="L581" s="15" t="str">
        <f t="shared" si="206"/>
        <v>Doctor Who: Bobblehead: Fourth Doctor</v>
      </c>
      <c r="M581" s="15" t="str">
        <f t="shared" si="207"/>
        <v>-</v>
      </c>
      <c r="N581" s="15">
        <f t="shared" si="208"/>
        <v>0.75</v>
      </c>
      <c r="O581" s="15" t="str">
        <f t="shared" si="209"/>
        <v>A40</v>
      </c>
      <c r="P581" s="15" t="str">
        <f t="shared" si="210"/>
        <v>Romana Imports</v>
      </c>
      <c r="Q581" s="15" t="str">
        <f t="shared" si="211"/>
        <v>17 Lalla Ward Road</v>
      </c>
      <c r="R581" s="3">
        <f>OrdersTable!C581</f>
        <v>44603</v>
      </c>
      <c r="S581" s="15">
        <f>OrdersTable!E581</f>
        <v>7</v>
      </c>
      <c r="T581" s="15">
        <f t="shared" si="212"/>
        <v>14.99</v>
      </c>
      <c r="U581" s="15">
        <f t="shared" si="213"/>
        <v>20.53</v>
      </c>
      <c r="V581" s="15">
        <f t="shared" si="214"/>
        <v>24.28</v>
      </c>
      <c r="W581" s="15">
        <f>IF(MarkupType="Store Markup",ROUND(V581+V581*StoreMarkup,2),IF(MarkupType="Supplier Markup",V581+V581*SupplierMarkup,"Error at finding value"))</f>
        <v>38.24</v>
      </c>
      <c r="X581" s="32" t="str">
        <f t="shared" ref="X581:X644" si="216">IF(AND(W581&gt;100,S581&gt;=3),ROUND(0.07125*W581,2),"0.00")</f>
        <v>0.00</v>
      </c>
      <c r="Y581" s="15">
        <f t="shared" ref="Y581:Y644" si="217">ROUND(V581*S581,2)</f>
        <v>169.96</v>
      </c>
      <c r="Z581" s="15">
        <f t="shared" ref="Z581:Z644" si="218">ROUND((W581-X581)*S581,2)</f>
        <v>267.68</v>
      </c>
      <c r="AA581" s="15">
        <f>IF(FreightType="Lethbridge-Stewart Freight ",ROUND(2.99+IF(N581&gt;0.75,(N581-0.75)*2.25,0)*S581,2),IF(MarkupType="Supplier Markup",V581+V581*SupplierMarkup,"Error at finding value"))</f>
        <v>2.99</v>
      </c>
      <c r="AB581" s="15">
        <f t="shared" ref="AB581:AB644" si="219">ROUND(X581*S581,2)</f>
        <v>0</v>
      </c>
    </row>
    <row r="582" spans="1:28" x14ac:dyDescent="0.25">
      <c r="A582" s="16">
        <f>OrdersTable!A582</f>
        <v>989</v>
      </c>
      <c r="B582" s="15" t="str">
        <f t="shared" si="199"/>
        <v>Miss</v>
      </c>
      <c r="C582" s="15" t="str">
        <f t="shared" si="198"/>
        <v>McInnes</v>
      </c>
      <c r="D582" s="15" t="str">
        <f t="shared" si="200"/>
        <v>Nina Marie</v>
      </c>
      <c r="E582" s="15" t="str">
        <f t="shared" si="201"/>
        <v>28 Caruss Road</v>
      </c>
      <c r="F582" s="15" t="str">
        <f t="shared" si="202"/>
        <v>Belford</v>
      </c>
      <c r="G582" s="15" t="str">
        <f t="shared" si="203"/>
        <v>NSW</v>
      </c>
      <c r="H582" s="15">
        <f t="shared" si="204"/>
        <v>2335</v>
      </c>
      <c r="I582" s="15">
        <f t="shared" si="215"/>
        <v>716</v>
      </c>
      <c r="J582" s="15">
        <f>OrdersTable!B582</f>
        <v>685</v>
      </c>
      <c r="K582" s="15" t="str">
        <f t="shared" si="205"/>
        <v>Mugs</v>
      </c>
      <c r="L582" s="15" t="str">
        <f t="shared" si="206"/>
        <v>Doctor Who: Teapot: Sliver TARDIS</v>
      </c>
      <c r="M582" s="15" t="str">
        <f t="shared" si="207"/>
        <v>-</v>
      </c>
      <c r="N582" s="15">
        <f t="shared" si="208"/>
        <v>1.35</v>
      </c>
      <c r="O582" s="15" t="str">
        <f t="shared" si="209"/>
        <v>A30</v>
      </c>
      <c r="P582" s="15" t="str">
        <f t="shared" si="210"/>
        <v>Chesterton Enterprises</v>
      </c>
      <c r="Q582" s="15" t="str">
        <f t="shared" si="211"/>
        <v>41 William Russell Road</v>
      </c>
      <c r="R582" s="3">
        <f>OrdersTable!C582</f>
        <v>44603</v>
      </c>
      <c r="S582" s="15">
        <f>OrdersTable!E582</f>
        <v>9</v>
      </c>
      <c r="T582" s="15">
        <f t="shared" si="212"/>
        <v>26.99</v>
      </c>
      <c r="U582" s="15">
        <f t="shared" si="213"/>
        <v>36.869999999999997</v>
      </c>
      <c r="V582" s="15">
        <f t="shared" si="214"/>
        <v>43.72</v>
      </c>
      <c r="W582" s="15">
        <f>IF(MarkupType="Store Markup",ROUND(V582+V582*StoreMarkup,2),IF(MarkupType="Supplier Markup",V582+V582*SupplierMarkup,"Error at finding value"))</f>
        <v>68.86</v>
      </c>
      <c r="X582" s="32" t="str">
        <f t="shared" si="216"/>
        <v>0.00</v>
      </c>
      <c r="Y582" s="15">
        <f t="shared" si="217"/>
        <v>393.48</v>
      </c>
      <c r="Z582" s="15">
        <f t="shared" si="218"/>
        <v>619.74</v>
      </c>
      <c r="AA582" s="15">
        <f>IF(FreightType="Lethbridge-Stewart Freight ",ROUND(2.99+IF(N582&gt;0.75,(N582-0.75)*2.25,0)*S582,2),IF(MarkupType="Supplier Markup",V582+V582*SupplierMarkup,"Error at finding value"))</f>
        <v>15.14</v>
      </c>
      <c r="AB582" s="15">
        <f t="shared" si="219"/>
        <v>0</v>
      </c>
    </row>
    <row r="583" spans="1:28" x14ac:dyDescent="0.25">
      <c r="A583" s="16">
        <f>OrdersTable!A583</f>
        <v>142</v>
      </c>
      <c r="B583" s="15" t="str">
        <f t="shared" si="199"/>
        <v>Miss</v>
      </c>
      <c r="C583" s="15" t="str">
        <f t="shared" si="198"/>
        <v>Western</v>
      </c>
      <c r="D583" s="15" t="str">
        <f t="shared" si="200"/>
        <v>Lee Reuben</v>
      </c>
      <c r="E583" s="15" t="str">
        <f t="shared" si="201"/>
        <v>14 Fields Road</v>
      </c>
      <c r="F583" s="15" t="str">
        <f t="shared" si="202"/>
        <v>Airly</v>
      </c>
      <c r="G583" s="15" t="str">
        <f t="shared" si="203"/>
        <v>VIC</v>
      </c>
      <c r="H583" s="15">
        <f t="shared" si="204"/>
        <v>3851</v>
      </c>
      <c r="I583" s="15">
        <f t="shared" si="215"/>
        <v>1583</v>
      </c>
      <c r="J583" s="15">
        <f>OrdersTable!B583</f>
        <v>594</v>
      </c>
      <c r="K583" s="15" t="str">
        <f t="shared" si="205"/>
        <v>iPhone Skins</v>
      </c>
      <c r="L583" s="15" t="str">
        <f t="shared" si="206"/>
        <v>Doctor Who: iPhone Skin: Keep Calm And Don't Blink</v>
      </c>
      <c r="M583" s="15" t="str">
        <f t="shared" si="207"/>
        <v>-</v>
      </c>
      <c r="N583" s="15">
        <f t="shared" si="208"/>
        <v>0.5</v>
      </c>
      <c r="O583" s="15" t="str">
        <f t="shared" si="209"/>
        <v>A20</v>
      </c>
      <c r="P583" s="15" t="str">
        <f t="shared" si="210"/>
        <v>Morbius Inc.</v>
      </c>
      <c r="Q583" s="15" t="str">
        <f t="shared" si="211"/>
        <v>56 Michael Spice Hwy</v>
      </c>
      <c r="R583" s="3">
        <f>OrdersTable!C583</f>
        <v>44604</v>
      </c>
      <c r="S583" s="15">
        <f>OrdersTable!E583</f>
        <v>9</v>
      </c>
      <c r="T583" s="15">
        <f t="shared" si="212"/>
        <v>9.99</v>
      </c>
      <c r="U583" s="15">
        <f t="shared" si="213"/>
        <v>13.88</v>
      </c>
      <c r="V583" s="15">
        <f t="shared" si="214"/>
        <v>16.18</v>
      </c>
      <c r="W583" s="15">
        <f>IF(MarkupType="Store Markup",ROUND(V583+V583*StoreMarkup,2),IF(MarkupType="Supplier Markup",V583+V583*SupplierMarkup,"Error at finding value"))</f>
        <v>25.48</v>
      </c>
      <c r="X583" s="32" t="str">
        <f t="shared" si="216"/>
        <v>0.00</v>
      </c>
      <c r="Y583" s="15">
        <f t="shared" si="217"/>
        <v>145.62</v>
      </c>
      <c r="Z583" s="15">
        <f t="shared" si="218"/>
        <v>229.32</v>
      </c>
      <c r="AA583" s="15">
        <f>IF(FreightType="Lethbridge-Stewart Freight ",ROUND(2.99+IF(N583&gt;0.75,(N583-0.75)*2.25,0)*S583,2),IF(MarkupType="Supplier Markup",V583+V583*SupplierMarkup,"Error at finding value"))</f>
        <v>2.99</v>
      </c>
      <c r="AB583" s="15">
        <f t="shared" si="219"/>
        <v>0</v>
      </c>
    </row>
    <row r="584" spans="1:28" x14ac:dyDescent="0.25">
      <c r="A584" s="16">
        <f>OrdersTable!A584</f>
        <v>249</v>
      </c>
      <c r="B584" s="15" t="str">
        <f t="shared" si="199"/>
        <v>Mr</v>
      </c>
      <c r="C584" s="15" t="str">
        <f t="shared" si="198"/>
        <v>Sinclair</v>
      </c>
      <c r="D584" s="15" t="str">
        <f t="shared" si="200"/>
        <v>Travis James Foord</v>
      </c>
      <c r="E584" s="15" t="str">
        <f t="shared" si="201"/>
        <v>25 Leunen Avenue</v>
      </c>
      <c r="F584" s="15" t="str">
        <f t="shared" si="202"/>
        <v>Batlow</v>
      </c>
      <c r="G584" s="15" t="str">
        <f t="shared" si="203"/>
        <v>NSW</v>
      </c>
      <c r="H584" s="15">
        <f t="shared" si="204"/>
        <v>2730</v>
      </c>
      <c r="I584" s="15">
        <f t="shared" si="215"/>
        <v>1138</v>
      </c>
      <c r="J584" s="15">
        <f>OrdersTable!B584</f>
        <v>689</v>
      </c>
      <c r="K584" s="15" t="str">
        <f t="shared" si="205"/>
        <v>Posters, Prints and Standees</v>
      </c>
      <c r="L584" s="15" t="str">
        <f t="shared" si="206"/>
        <v>Doctor Who: 16'x12' Framed Print: Cold War</v>
      </c>
      <c r="M584" s="15" t="str">
        <f t="shared" si="207"/>
        <v>-</v>
      </c>
      <c r="N584" s="15">
        <f t="shared" si="208"/>
        <v>0.75</v>
      </c>
      <c r="O584" s="15" t="str">
        <f t="shared" si="209"/>
        <v>A50</v>
      </c>
      <c r="P584" s="15" t="str">
        <f t="shared" si="210"/>
        <v>Rassilon Ltd.</v>
      </c>
      <c r="Q584" s="15" t="str">
        <f t="shared" si="211"/>
        <v>82 Richard Mathews Road</v>
      </c>
      <c r="R584" s="3">
        <f>OrdersTable!C584</f>
        <v>44604</v>
      </c>
      <c r="S584" s="15">
        <f>OrdersTable!E584</f>
        <v>7</v>
      </c>
      <c r="T584" s="15">
        <f t="shared" si="212"/>
        <v>14.99</v>
      </c>
      <c r="U584" s="15">
        <f t="shared" si="213"/>
        <v>20.77</v>
      </c>
      <c r="V584" s="15">
        <f t="shared" si="214"/>
        <v>24.28</v>
      </c>
      <c r="W584" s="15">
        <f>IF(MarkupType="Store Markup",ROUND(V584+V584*StoreMarkup,2),IF(MarkupType="Supplier Markup",V584+V584*SupplierMarkup,"Error at finding value"))</f>
        <v>38.24</v>
      </c>
      <c r="X584" s="32" t="str">
        <f t="shared" si="216"/>
        <v>0.00</v>
      </c>
      <c r="Y584" s="15">
        <f t="shared" si="217"/>
        <v>169.96</v>
      </c>
      <c r="Z584" s="15">
        <f t="shared" si="218"/>
        <v>267.68</v>
      </c>
      <c r="AA584" s="15">
        <f>IF(FreightType="Lethbridge-Stewart Freight ",ROUND(2.99+IF(N584&gt;0.75,(N584-0.75)*2.25,0)*S584,2),IF(MarkupType="Supplier Markup",V584+V584*SupplierMarkup,"Error at finding value"))</f>
        <v>2.99</v>
      </c>
      <c r="AB584" s="15">
        <f t="shared" si="219"/>
        <v>0</v>
      </c>
    </row>
    <row r="585" spans="1:28" x14ac:dyDescent="0.25">
      <c r="A585" s="16">
        <f>OrdersTable!A585</f>
        <v>296</v>
      </c>
      <c r="B585" s="15" t="str">
        <f t="shared" si="199"/>
        <v>Miss</v>
      </c>
      <c r="C585" s="15" t="str">
        <f t="shared" si="198"/>
        <v>Kussrow</v>
      </c>
      <c r="D585" s="15" t="str">
        <f t="shared" si="200"/>
        <v>Katherine Anne</v>
      </c>
      <c r="E585" s="15" t="str">
        <f t="shared" si="201"/>
        <v>10 Downes Street</v>
      </c>
      <c r="F585" s="15" t="str">
        <f t="shared" si="202"/>
        <v>Breakwater</v>
      </c>
      <c r="G585" s="15" t="str">
        <f t="shared" si="203"/>
        <v>VIC</v>
      </c>
      <c r="H585" s="15">
        <f t="shared" si="204"/>
        <v>3219</v>
      </c>
      <c r="I585" s="15">
        <f t="shared" si="215"/>
        <v>1596</v>
      </c>
      <c r="J585" s="15">
        <f>OrdersTable!B585</f>
        <v>692</v>
      </c>
      <c r="K585" s="15" t="str">
        <f t="shared" si="205"/>
        <v>Posters, Prints and Standees</v>
      </c>
      <c r="L585" s="15" t="str">
        <f t="shared" si="206"/>
        <v>Doctor Who: 16'x12' Framed Print: Exploding TARDIS</v>
      </c>
      <c r="M585" s="15" t="str">
        <f t="shared" si="207"/>
        <v>-</v>
      </c>
      <c r="N585" s="15">
        <f t="shared" si="208"/>
        <v>0.75</v>
      </c>
      <c r="O585" s="15" t="str">
        <f t="shared" si="209"/>
        <v>A30</v>
      </c>
      <c r="P585" s="15" t="str">
        <f t="shared" si="210"/>
        <v>Chesterton Enterprises</v>
      </c>
      <c r="Q585" s="15" t="str">
        <f t="shared" si="211"/>
        <v>41 William Russell Road</v>
      </c>
      <c r="R585" s="3">
        <f>OrdersTable!C585</f>
        <v>44604</v>
      </c>
      <c r="S585" s="15">
        <f>OrdersTable!E585</f>
        <v>10</v>
      </c>
      <c r="T585" s="15">
        <f t="shared" si="212"/>
        <v>14.99</v>
      </c>
      <c r="U585" s="15">
        <f t="shared" si="213"/>
        <v>20.54</v>
      </c>
      <c r="V585" s="15">
        <f t="shared" si="214"/>
        <v>24.28</v>
      </c>
      <c r="W585" s="15">
        <f>IF(MarkupType="Store Markup",ROUND(V585+V585*StoreMarkup,2),IF(MarkupType="Supplier Markup",V585+V585*SupplierMarkup,"Error at finding value"))</f>
        <v>38.24</v>
      </c>
      <c r="X585" s="32" t="str">
        <f t="shared" si="216"/>
        <v>0.00</v>
      </c>
      <c r="Y585" s="15">
        <f t="shared" si="217"/>
        <v>242.8</v>
      </c>
      <c r="Z585" s="15">
        <f t="shared" si="218"/>
        <v>382.4</v>
      </c>
      <c r="AA585" s="15">
        <f>IF(FreightType="Lethbridge-Stewart Freight ",ROUND(2.99+IF(N585&gt;0.75,(N585-0.75)*2.25,0)*S585,2),IF(MarkupType="Supplier Markup",V585+V585*SupplierMarkup,"Error at finding value"))</f>
        <v>2.99</v>
      </c>
      <c r="AB585" s="15">
        <f t="shared" si="219"/>
        <v>0</v>
      </c>
    </row>
    <row r="586" spans="1:28" x14ac:dyDescent="0.25">
      <c r="A586" s="16">
        <f>OrdersTable!A586</f>
        <v>364</v>
      </c>
      <c r="B586" s="15" t="str">
        <f t="shared" si="199"/>
        <v>Dr</v>
      </c>
      <c r="C586" s="15" t="str">
        <f t="shared" si="198"/>
        <v>Reibelt</v>
      </c>
      <c r="D586" s="15" t="str">
        <f t="shared" si="200"/>
        <v>Corey James</v>
      </c>
      <c r="E586" s="15" t="str">
        <f t="shared" si="201"/>
        <v>23 Burns Drive</v>
      </c>
      <c r="F586" s="15" t="str">
        <f t="shared" si="202"/>
        <v>Caliph</v>
      </c>
      <c r="G586" s="15" t="str">
        <f t="shared" si="203"/>
        <v>SA</v>
      </c>
      <c r="H586" s="15">
        <f t="shared" si="204"/>
        <v>5310</v>
      </c>
      <c r="I586" s="15">
        <f t="shared" si="215"/>
        <v>1720</v>
      </c>
      <c r="J586" s="15">
        <f>OrdersTable!B586</f>
        <v>699</v>
      </c>
      <c r="K586" s="15" t="str">
        <f t="shared" si="205"/>
        <v>Posters, Prints and Standees</v>
      </c>
      <c r="L586" s="15" t="str">
        <f t="shared" si="206"/>
        <v>Doctor Who: Half Sized Standee: The Master</v>
      </c>
      <c r="M586" s="15" t="str">
        <f t="shared" si="207"/>
        <v>-</v>
      </c>
      <c r="N586" s="15">
        <f t="shared" si="208"/>
        <v>0.5</v>
      </c>
      <c r="O586" s="15" t="str">
        <f t="shared" si="209"/>
        <v>A20</v>
      </c>
      <c r="P586" s="15" t="str">
        <f t="shared" si="210"/>
        <v>Morbius Inc.</v>
      </c>
      <c r="Q586" s="15" t="str">
        <f t="shared" si="211"/>
        <v>56 Michael Spice Hwy</v>
      </c>
      <c r="R586" s="3">
        <f>OrdersTable!C586</f>
        <v>44604</v>
      </c>
      <c r="S586" s="15">
        <f>OrdersTable!E586</f>
        <v>5</v>
      </c>
      <c r="T586" s="15">
        <f t="shared" si="212"/>
        <v>9.99</v>
      </c>
      <c r="U586" s="15">
        <f t="shared" si="213"/>
        <v>13.79</v>
      </c>
      <c r="V586" s="15">
        <f t="shared" si="214"/>
        <v>16.18</v>
      </c>
      <c r="W586" s="15">
        <f>IF(MarkupType="Store Markup",ROUND(V586+V586*StoreMarkup,2),IF(MarkupType="Supplier Markup",V586+V586*SupplierMarkup,"Error at finding value"))</f>
        <v>25.48</v>
      </c>
      <c r="X586" s="32" t="str">
        <f t="shared" si="216"/>
        <v>0.00</v>
      </c>
      <c r="Y586" s="15">
        <f t="shared" si="217"/>
        <v>80.900000000000006</v>
      </c>
      <c r="Z586" s="15">
        <f t="shared" si="218"/>
        <v>127.4</v>
      </c>
      <c r="AA586" s="15">
        <f>IF(FreightType="Lethbridge-Stewart Freight ",ROUND(2.99+IF(N586&gt;0.75,(N586-0.75)*2.25,0)*S586,2),IF(MarkupType="Supplier Markup",V586+V586*SupplierMarkup,"Error at finding value"))</f>
        <v>2.99</v>
      </c>
      <c r="AB586" s="15">
        <f t="shared" si="219"/>
        <v>0</v>
      </c>
    </row>
    <row r="587" spans="1:28" x14ac:dyDescent="0.25">
      <c r="A587" s="16">
        <f>OrdersTable!A587</f>
        <v>489</v>
      </c>
      <c r="B587" s="15" t="str">
        <f t="shared" si="199"/>
        <v>Mr</v>
      </c>
      <c r="C587" s="15" t="str">
        <f t="shared" ref="C587:C650" si="220">VLOOKUP($A587,Cust,3,0)</f>
        <v>Edwards</v>
      </c>
      <c r="D587" s="15" t="str">
        <f t="shared" si="200"/>
        <v>Luke Russell</v>
      </c>
      <c r="E587" s="15" t="str">
        <f t="shared" si="201"/>
        <v>43 Valusaga Court</v>
      </c>
      <c r="F587" s="15" t="str">
        <f t="shared" si="202"/>
        <v>Alfredtown</v>
      </c>
      <c r="G587" s="15" t="str">
        <f t="shared" si="203"/>
        <v>NSW</v>
      </c>
      <c r="H587" s="15">
        <f t="shared" si="204"/>
        <v>2650</v>
      </c>
      <c r="I587" s="15">
        <f t="shared" si="215"/>
        <v>1124</v>
      </c>
      <c r="J587" s="15">
        <f>OrdersTable!B587</f>
        <v>853</v>
      </c>
      <c r="K587" s="15" t="str">
        <f t="shared" si="205"/>
        <v>Statues and Busts</v>
      </c>
      <c r="L587" s="15" t="str">
        <f t="shared" si="206"/>
        <v>Doctor Who: Statue: The Master And Auton</v>
      </c>
      <c r="M587" s="15" t="str">
        <f t="shared" si="207"/>
        <v>-</v>
      </c>
      <c r="N587" s="15">
        <f t="shared" si="208"/>
        <v>3.5</v>
      </c>
      <c r="O587" s="15" t="str">
        <f t="shared" si="209"/>
        <v>A50</v>
      </c>
      <c r="P587" s="15" t="str">
        <f t="shared" si="210"/>
        <v>Rassilon Ltd.</v>
      </c>
      <c r="Q587" s="15" t="str">
        <f t="shared" si="211"/>
        <v>82 Richard Mathews Road</v>
      </c>
      <c r="R587" s="3">
        <f>OrdersTable!C587</f>
        <v>44604</v>
      </c>
      <c r="S587" s="15">
        <f>OrdersTable!E587</f>
        <v>4</v>
      </c>
      <c r="T587" s="15">
        <f t="shared" si="212"/>
        <v>69.989999999999995</v>
      </c>
      <c r="U587" s="15">
        <f t="shared" si="213"/>
        <v>95.51</v>
      </c>
      <c r="V587" s="15">
        <f t="shared" si="214"/>
        <v>113.38</v>
      </c>
      <c r="W587" s="15">
        <f>IF(MarkupType="Store Markup",ROUND(V587+V587*StoreMarkup,2),IF(MarkupType="Supplier Markup",V587+V587*SupplierMarkup,"Error at finding value"))</f>
        <v>178.57</v>
      </c>
      <c r="X587" s="32">
        <f t="shared" si="216"/>
        <v>12.72</v>
      </c>
      <c r="Y587" s="15">
        <f t="shared" si="217"/>
        <v>453.52</v>
      </c>
      <c r="Z587" s="15">
        <f t="shared" si="218"/>
        <v>663.4</v>
      </c>
      <c r="AA587" s="15">
        <f>IF(FreightType="Lethbridge-Stewart Freight ",ROUND(2.99+IF(N587&gt;0.75,(N587-0.75)*2.25,0)*S587,2),IF(MarkupType="Supplier Markup",V587+V587*SupplierMarkup,"Error at finding value"))</f>
        <v>27.74</v>
      </c>
      <c r="AB587" s="15">
        <f t="shared" si="219"/>
        <v>50.88</v>
      </c>
    </row>
    <row r="588" spans="1:28" x14ac:dyDescent="0.25">
      <c r="A588" s="16">
        <f>OrdersTable!A588</f>
        <v>496</v>
      </c>
      <c r="B588" s="15" t="str">
        <f t="shared" si="199"/>
        <v>Dr</v>
      </c>
      <c r="C588" s="15" t="str">
        <f t="shared" si="220"/>
        <v>Johnston</v>
      </c>
      <c r="D588" s="15" t="str">
        <f t="shared" si="200"/>
        <v>Karrina</v>
      </c>
      <c r="E588" s="15" t="str">
        <f t="shared" si="201"/>
        <v>11 Bishop Drive</v>
      </c>
      <c r="F588" s="15" t="str">
        <f t="shared" si="202"/>
        <v>Belford</v>
      </c>
      <c r="G588" s="15" t="str">
        <f t="shared" si="203"/>
        <v>NSW</v>
      </c>
      <c r="H588" s="15">
        <f t="shared" si="204"/>
        <v>2335</v>
      </c>
      <c r="I588" s="15">
        <f t="shared" si="215"/>
        <v>716</v>
      </c>
      <c r="J588" s="15">
        <f>OrdersTable!B588</f>
        <v>395</v>
      </c>
      <c r="K588" s="15" t="str">
        <f t="shared" si="205"/>
        <v>Clothing and Apparel</v>
      </c>
      <c r="L588" s="15" t="str">
        <f t="shared" si="206"/>
        <v xml:space="preserve">Doctor Who: T-Shirts: 7th Doctor Costume </v>
      </c>
      <c r="M588" s="15" t="str">
        <f t="shared" si="207"/>
        <v>L</v>
      </c>
      <c r="N588" s="15">
        <f t="shared" si="208"/>
        <v>0.8</v>
      </c>
      <c r="O588" s="15" t="str">
        <f t="shared" si="209"/>
        <v>A10</v>
      </c>
      <c r="P588" s="15" t="str">
        <f t="shared" si="210"/>
        <v>Gallifrey International</v>
      </c>
      <c r="Q588" s="15" t="str">
        <f t="shared" si="211"/>
        <v>181 Arcadia Street</v>
      </c>
      <c r="R588" s="3">
        <f>OrdersTable!C588</f>
        <v>44604</v>
      </c>
      <c r="S588" s="15">
        <f>OrdersTable!E588</f>
        <v>7</v>
      </c>
      <c r="T588" s="15">
        <f t="shared" si="212"/>
        <v>15.99</v>
      </c>
      <c r="U588" s="15">
        <f t="shared" si="213"/>
        <v>22.07</v>
      </c>
      <c r="V588" s="15">
        <f t="shared" si="214"/>
        <v>25.9</v>
      </c>
      <c r="W588" s="15">
        <f>IF(MarkupType="Store Markup",ROUND(V588+V588*StoreMarkup,2),IF(MarkupType="Supplier Markup",V588+V588*SupplierMarkup,"Error at finding value"))</f>
        <v>40.79</v>
      </c>
      <c r="X588" s="32" t="str">
        <f t="shared" si="216"/>
        <v>0.00</v>
      </c>
      <c r="Y588" s="15">
        <f t="shared" si="217"/>
        <v>181.3</v>
      </c>
      <c r="Z588" s="15">
        <f t="shared" si="218"/>
        <v>285.52999999999997</v>
      </c>
      <c r="AA588" s="15">
        <f>IF(FreightType="Lethbridge-Stewart Freight ",ROUND(2.99+IF(N588&gt;0.75,(N588-0.75)*2.25,0)*S588,2),IF(MarkupType="Supplier Markup",V588+V588*SupplierMarkup,"Error at finding value"))</f>
        <v>3.78</v>
      </c>
      <c r="AB588" s="15">
        <f t="shared" si="219"/>
        <v>0</v>
      </c>
    </row>
    <row r="589" spans="1:28" x14ac:dyDescent="0.25">
      <c r="A589" s="16">
        <f>OrdersTable!A589</f>
        <v>501</v>
      </c>
      <c r="B589" s="15" t="str">
        <f t="shared" si="199"/>
        <v>Miss</v>
      </c>
      <c r="C589" s="15" t="str">
        <f t="shared" si="220"/>
        <v>Tharenou</v>
      </c>
      <c r="D589" s="15" t="str">
        <f t="shared" si="200"/>
        <v>Kimberley Jacinta</v>
      </c>
      <c r="E589" s="15" t="str">
        <f t="shared" si="201"/>
        <v>49 Moncada Circuit</v>
      </c>
      <c r="F589" s="15" t="str">
        <f t="shared" si="202"/>
        <v>Belford</v>
      </c>
      <c r="G589" s="15" t="str">
        <f t="shared" si="203"/>
        <v>NSW</v>
      </c>
      <c r="H589" s="15">
        <f t="shared" si="204"/>
        <v>2335</v>
      </c>
      <c r="I589" s="15">
        <f t="shared" si="215"/>
        <v>716</v>
      </c>
      <c r="J589" s="15">
        <f>OrdersTable!B589</f>
        <v>759</v>
      </c>
      <c r="K589" s="15" t="str">
        <f t="shared" si="205"/>
        <v>Statues and Busts</v>
      </c>
      <c r="L589" s="15" t="str">
        <f t="shared" si="206"/>
        <v>Doctor Who: Legends Forever Bust: Jon Pertwee</v>
      </c>
      <c r="M589" s="15" t="str">
        <f t="shared" si="207"/>
        <v>-</v>
      </c>
      <c r="N589" s="15">
        <f t="shared" si="208"/>
        <v>1.375</v>
      </c>
      <c r="O589" s="15" t="str">
        <f t="shared" si="209"/>
        <v>A30</v>
      </c>
      <c r="P589" s="15" t="str">
        <f t="shared" si="210"/>
        <v>Chesterton Enterprises</v>
      </c>
      <c r="Q589" s="15" t="str">
        <f t="shared" si="211"/>
        <v>41 William Russell Road</v>
      </c>
      <c r="R589" s="3">
        <f>OrdersTable!C589</f>
        <v>44604</v>
      </c>
      <c r="S589" s="15">
        <f>OrdersTable!E589</f>
        <v>8</v>
      </c>
      <c r="T589" s="15">
        <f t="shared" si="212"/>
        <v>27.5</v>
      </c>
      <c r="U589" s="15">
        <f t="shared" si="213"/>
        <v>37.630000000000003</v>
      </c>
      <c r="V589" s="15">
        <f t="shared" si="214"/>
        <v>44.55</v>
      </c>
      <c r="W589" s="15">
        <f>IF(MarkupType="Store Markup",ROUND(V589+V589*StoreMarkup,2),IF(MarkupType="Supplier Markup",V589+V589*SupplierMarkup,"Error at finding value"))</f>
        <v>70.17</v>
      </c>
      <c r="X589" s="32" t="str">
        <f t="shared" si="216"/>
        <v>0.00</v>
      </c>
      <c r="Y589" s="15">
        <f t="shared" si="217"/>
        <v>356.4</v>
      </c>
      <c r="Z589" s="15">
        <f t="shared" si="218"/>
        <v>561.36</v>
      </c>
      <c r="AA589" s="15">
        <f>IF(FreightType="Lethbridge-Stewart Freight ",ROUND(2.99+IF(N589&gt;0.75,(N589-0.75)*2.25,0)*S589,2),IF(MarkupType="Supplier Markup",V589+V589*SupplierMarkup,"Error at finding value"))</f>
        <v>14.24</v>
      </c>
      <c r="AB589" s="15">
        <f t="shared" si="219"/>
        <v>0</v>
      </c>
    </row>
    <row r="590" spans="1:28" x14ac:dyDescent="0.25">
      <c r="A590" s="16">
        <f>OrdersTable!A590</f>
        <v>531</v>
      </c>
      <c r="B590" s="15" t="str">
        <f t="shared" si="199"/>
        <v>Ms</v>
      </c>
      <c r="C590" s="15" t="str">
        <f t="shared" si="220"/>
        <v>Stanton</v>
      </c>
      <c r="D590" s="15" t="str">
        <f t="shared" si="200"/>
        <v>Sharaze</v>
      </c>
      <c r="E590" s="15" t="str">
        <f t="shared" si="201"/>
        <v>1 Siddons Crescent</v>
      </c>
      <c r="F590" s="15" t="str">
        <f t="shared" si="202"/>
        <v>Alfredtown</v>
      </c>
      <c r="G590" s="15" t="str">
        <f t="shared" si="203"/>
        <v>NSW</v>
      </c>
      <c r="H590" s="15">
        <f t="shared" si="204"/>
        <v>2650</v>
      </c>
      <c r="I590" s="15">
        <f t="shared" si="215"/>
        <v>1124</v>
      </c>
      <c r="J590" s="15">
        <f>OrdersTable!B590</f>
        <v>752</v>
      </c>
      <c r="K590" s="15" t="str">
        <f t="shared" si="205"/>
        <v>Statues and Busts</v>
      </c>
      <c r="L590" s="15" t="str">
        <f t="shared" si="206"/>
        <v>Doctor Who: Helmet: Cyberman Leader</v>
      </c>
      <c r="M590" s="15" t="str">
        <f t="shared" si="207"/>
        <v>-</v>
      </c>
      <c r="N590" s="15">
        <f t="shared" si="208"/>
        <v>2</v>
      </c>
      <c r="O590" s="15" t="str">
        <f t="shared" si="209"/>
        <v>A30</v>
      </c>
      <c r="P590" s="15" t="str">
        <f t="shared" si="210"/>
        <v>Chesterton Enterprises</v>
      </c>
      <c r="Q590" s="15" t="str">
        <f t="shared" si="211"/>
        <v>41 William Russell Road</v>
      </c>
      <c r="R590" s="3">
        <f>OrdersTable!C590</f>
        <v>44604</v>
      </c>
      <c r="S590" s="15">
        <f>OrdersTable!E590</f>
        <v>1</v>
      </c>
      <c r="T590" s="15">
        <f t="shared" si="212"/>
        <v>39.99</v>
      </c>
      <c r="U590" s="15">
        <f t="shared" si="213"/>
        <v>54.85</v>
      </c>
      <c r="V590" s="15">
        <f t="shared" si="214"/>
        <v>64.78</v>
      </c>
      <c r="W590" s="15">
        <f>IF(MarkupType="Store Markup",ROUND(V590+V590*StoreMarkup,2),IF(MarkupType="Supplier Markup",V590+V590*SupplierMarkup,"Error at finding value"))</f>
        <v>102.03</v>
      </c>
      <c r="X590" s="32" t="str">
        <f t="shared" si="216"/>
        <v>0.00</v>
      </c>
      <c r="Y590" s="15">
        <f t="shared" si="217"/>
        <v>64.78</v>
      </c>
      <c r="Z590" s="15">
        <f t="shared" si="218"/>
        <v>102.03</v>
      </c>
      <c r="AA590" s="15">
        <f>IF(FreightType="Lethbridge-Stewart Freight ",ROUND(2.99+IF(N590&gt;0.75,(N590-0.75)*2.25,0)*S590,2),IF(MarkupType="Supplier Markup",V590+V590*SupplierMarkup,"Error at finding value"))</f>
        <v>5.8</v>
      </c>
      <c r="AB590" s="15">
        <f t="shared" si="219"/>
        <v>0</v>
      </c>
    </row>
    <row r="591" spans="1:28" x14ac:dyDescent="0.25">
      <c r="A591" s="16">
        <f>OrdersTable!A591</f>
        <v>573</v>
      </c>
      <c r="B591" s="15" t="str">
        <f t="shared" si="199"/>
        <v>Mrs</v>
      </c>
      <c r="C591" s="15" t="str">
        <f t="shared" si="220"/>
        <v>Hollonds</v>
      </c>
      <c r="D591" s="15" t="str">
        <f t="shared" si="200"/>
        <v>Suzan</v>
      </c>
      <c r="E591" s="15" t="str">
        <f t="shared" si="201"/>
        <v>49 Patel Way</v>
      </c>
      <c r="F591" s="15" t="str">
        <f t="shared" si="202"/>
        <v>Belconnen</v>
      </c>
      <c r="G591" s="15" t="str">
        <f t="shared" si="203"/>
        <v>ACT</v>
      </c>
      <c r="H591" s="15">
        <f t="shared" si="204"/>
        <v>2617</v>
      </c>
      <c r="I591" s="15">
        <f t="shared" si="215"/>
        <v>1194</v>
      </c>
      <c r="J591" s="15">
        <f>OrdersTable!B591</f>
        <v>849</v>
      </c>
      <c r="K591" s="15" t="str">
        <f t="shared" si="205"/>
        <v>Statues and Busts</v>
      </c>
      <c r="L591" s="15" t="str">
        <f t="shared" si="206"/>
        <v>Doctor Who: Statue: Cyber Controller</v>
      </c>
      <c r="M591" s="15" t="str">
        <f t="shared" si="207"/>
        <v>-</v>
      </c>
      <c r="N591" s="15">
        <f t="shared" si="208"/>
        <v>5</v>
      </c>
      <c r="O591" s="15" t="str">
        <f t="shared" si="209"/>
        <v>A10</v>
      </c>
      <c r="P591" s="15" t="str">
        <f t="shared" si="210"/>
        <v>Gallifrey International</v>
      </c>
      <c r="Q591" s="15" t="str">
        <f t="shared" si="211"/>
        <v>181 Arcadia Street</v>
      </c>
      <c r="R591" s="3">
        <f>OrdersTable!C591</f>
        <v>44604</v>
      </c>
      <c r="S591" s="15">
        <f>OrdersTable!E591</f>
        <v>4</v>
      </c>
      <c r="T591" s="15">
        <f t="shared" si="212"/>
        <v>99.99</v>
      </c>
      <c r="U591" s="15">
        <f t="shared" si="213"/>
        <v>136.41</v>
      </c>
      <c r="V591" s="15">
        <f t="shared" si="214"/>
        <v>161.97999999999999</v>
      </c>
      <c r="W591" s="15">
        <f>IF(MarkupType="Store Markup",ROUND(V591+V591*StoreMarkup,2),IF(MarkupType="Supplier Markup",V591+V591*SupplierMarkup,"Error at finding value"))</f>
        <v>255.12</v>
      </c>
      <c r="X591" s="32">
        <f t="shared" si="216"/>
        <v>18.18</v>
      </c>
      <c r="Y591" s="15">
        <f t="shared" si="217"/>
        <v>647.91999999999996</v>
      </c>
      <c r="Z591" s="15">
        <f t="shared" si="218"/>
        <v>947.76</v>
      </c>
      <c r="AA591" s="15">
        <f>IF(FreightType="Lethbridge-Stewart Freight ",ROUND(2.99+IF(N591&gt;0.75,(N591-0.75)*2.25,0)*S591,2),IF(MarkupType="Supplier Markup",V591+V591*SupplierMarkup,"Error at finding value"))</f>
        <v>41.24</v>
      </c>
      <c r="AB591" s="15">
        <f t="shared" si="219"/>
        <v>72.72</v>
      </c>
    </row>
    <row r="592" spans="1:28" x14ac:dyDescent="0.25">
      <c r="A592" s="16">
        <f>OrdersTable!A592</f>
        <v>580</v>
      </c>
      <c r="B592" s="15" t="str">
        <f t="shared" si="199"/>
        <v>Mr</v>
      </c>
      <c r="C592" s="15" t="str">
        <f t="shared" si="220"/>
        <v>Faatoafe</v>
      </c>
      <c r="D592" s="15" t="str">
        <f t="shared" si="200"/>
        <v>Jasson Iosefa</v>
      </c>
      <c r="E592" s="15" t="str">
        <f t="shared" si="201"/>
        <v>29 Schaffer Boulevard</v>
      </c>
      <c r="F592" s="15" t="str">
        <f t="shared" si="202"/>
        <v>Binduli</v>
      </c>
      <c r="G592" s="15" t="str">
        <f t="shared" si="203"/>
        <v>WA</v>
      </c>
      <c r="H592" s="15">
        <f t="shared" si="204"/>
        <v>6430</v>
      </c>
      <c r="I592" s="15">
        <f t="shared" si="215"/>
        <v>3543</v>
      </c>
      <c r="J592" s="15">
        <f>OrdersTable!B592</f>
        <v>652</v>
      </c>
      <c r="K592" s="15" t="str">
        <f t="shared" si="205"/>
        <v>Mugs</v>
      </c>
      <c r="L592" s="15" t="str">
        <f t="shared" si="206"/>
        <v>Doctor Who: Mug: Dalek 2D</v>
      </c>
      <c r="M592" s="15" t="str">
        <f t="shared" si="207"/>
        <v>-</v>
      </c>
      <c r="N592" s="15">
        <f t="shared" si="208"/>
        <v>0.35</v>
      </c>
      <c r="O592" s="15" t="str">
        <f t="shared" si="209"/>
        <v>A10</v>
      </c>
      <c r="P592" s="15" t="str">
        <f t="shared" si="210"/>
        <v>Gallifrey International</v>
      </c>
      <c r="Q592" s="15" t="str">
        <f t="shared" si="211"/>
        <v>181 Arcadia Street</v>
      </c>
      <c r="R592" s="3">
        <f>OrdersTable!C592</f>
        <v>44604</v>
      </c>
      <c r="S592" s="15">
        <f>OrdersTable!E592</f>
        <v>8</v>
      </c>
      <c r="T592" s="15">
        <f t="shared" si="212"/>
        <v>6.99</v>
      </c>
      <c r="U592" s="15">
        <f t="shared" si="213"/>
        <v>9.8800000000000008</v>
      </c>
      <c r="V592" s="15">
        <f t="shared" si="214"/>
        <v>11.32</v>
      </c>
      <c r="W592" s="15">
        <f>IF(MarkupType="Store Markup",ROUND(V592+V592*StoreMarkup,2),IF(MarkupType="Supplier Markup",V592+V592*SupplierMarkup,"Error at finding value"))</f>
        <v>17.829999999999998</v>
      </c>
      <c r="X592" s="32" t="str">
        <f t="shared" si="216"/>
        <v>0.00</v>
      </c>
      <c r="Y592" s="15">
        <f t="shared" si="217"/>
        <v>90.56</v>
      </c>
      <c r="Z592" s="15">
        <f t="shared" si="218"/>
        <v>142.63999999999999</v>
      </c>
      <c r="AA592" s="15">
        <f>IF(FreightType="Lethbridge-Stewart Freight ",ROUND(2.99+IF(N592&gt;0.75,(N592-0.75)*2.25,0)*S592,2),IF(MarkupType="Supplier Markup",V592+V592*SupplierMarkup,"Error at finding value"))</f>
        <v>2.99</v>
      </c>
      <c r="AB592" s="15">
        <f t="shared" si="219"/>
        <v>0</v>
      </c>
    </row>
    <row r="593" spans="1:28" x14ac:dyDescent="0.25">
      <c r="A593" s="16">
        <f>OrdersTable!A593</f>
        <v>747</v>
      </c>
      <c r="B593" s="15" t="str">
        <f t="shared" si="199"/>
        <v>Miss</v>
      </c>
      <c r="C593" s="15" t="str">
        <f t="shared" si="220"/>
        <v>Coom</v>
      </c>
      <c r="D593" s="15" t="str">
        <f t="shared" si="200"/>
        <v>Mackenzie Megan</v>
      </c>
      <c r="E593" s="15" t="str">
        <f t="shared" si="201"/>
        <v>2 Tsalikis Road</v>
      </c>
      <c r="F593" s="15" t="str">
        <f t="shared" si="202"/>
        <v>Aberfoyle</v>
      </c>
      <c r="G593" s="15" t="str">
        <f t="shared" si="203"/>
        <v>NSW</v>
      </c>
      <c r="H593" s="15">
        <f t="shared" si="204"/>
        <v>2350</v>
      </c>
      <c r="I593" s="15">
        <f t="shared" si="215"/>
        <v>363</v>
      </c>
      <c r="J593" s="15">
        <f>OrdersTable!B593</f>
        <v>711</v>
      </c>
      <c r="K593" s="15" t="str">
        <f t="shared" si="205"/>
        <v>Posters, Prints and Standees</v>
      </c>
      <c r="L593" s="15" t="str">
        <f t="shared" si="206"/>
        <v>Doctor Who: Poster: TARDIS Door Poster</v>
      </c>
      <c r="M593" s="15" t="str">
        <f t="shared" si="207"/>
        <v>-</v>
      </c>
      <c r="N593" s="15">
        <f t="shared" si="208"/>
        <v>0.3</v>
      </c>
      <c r="O593" s="15" t="str">
        <f t="shared" si="209"/>
        <v>A20</v>
      </c>
      <c r="P593" s="15" t="str">
        <f t="shared" si="210"/>
        <v>Morbius Inc.</v>
      </c>
      <c r="Q593" s="15" t="str">
        <f t="shared" si="211"/>
        <v>56 Michael Spice Hwy</v>
      </c>
      <c r="R593" s="3">
        <f>OrdersTable!C593</f>
        <v>44604</v>
      </c>
      <c r="S593" s="15">
        <f>OrdersTable!E593</f>
        <v>1</v>
      </c>
      <c r="T593" s="15">
        <f t="shared" si="212"/>
        <v>5.99</v>
      </c>
      <c r="U593" s="15">
        <f t="shared" si="213"/>
        <v>8.41</v>
      </c>
      <c r="V593" s="15">
        <f t="shared" si="214"/>
        <v>9.6999999999999993</v>
      </c>
      <c r="W593" s="15">
        <f>IF(MarkupType="Store Markup",ROUND(V593+V593*StoreMarkup,2),IF(MarkupType="Supplier Markup",V593+V593*SupplierMarkup,"Error at finding value"))</f>
        <v>15.28</v>
      </c>
      <c r="X593" s="32" t="str">
        <f t="shared" si="216"/>
        <v>0.00</v>
      </c>
      <c r="Y593" s="15">
        <f t="shared" si="217"/>
        <v>9.6999999999999993</v>
      </c>
      <c r="Z593" s="15">
        <f t="shared" si="218"/>
        <v>15.28</v>
      </c>
      <c r="AA593" s="15">
        <f>IF(FreightType="Lethbridge-Stewart Freight ",ROUND(2.99+IF(N593&gt;0.75,(N593-0.75)*2.25,0)*S593,2),IF(MarkupType="Supplier Markup",V593+V593*SupplierMarkup,"Error at finding value"))</f>
        <v>2.99</v>
      </c>
      <c r="AB593" s="15">
        <f t="shared" si="219"/>
        <v>0</v>
      </c>
    </row>
    <row r="594" spans="1:28" x14ac:dyDescent="0.25">
      <c r="A594" s="16">
        <f>OrdersTable!A594</f>
        <v>758</v>
      </c>
      <c r="B594" s="15" t="str">
        <f t="shared" si="199"/>
        <v>Mr</v>
      </c>
      <c r="C594" s="15" t="str">
        <f t="shared" si="220"/>
        <v>Whitehorn</v>
      </c>
      <c r="D594" s="15" t="str">
        <f t="shared" si="200"/>
        <v>James</v>
      </c>
      <c r="E594" s="15" t="str">
        <f t="shared" si="201"/>
        <v>32 Raubenheimer Circuit</v>
      </c>
      <c r="F594" s="15" t="str">
        <f t="shared" si="202"/>
        <v>Belconnen</v>
      </c>
      <c r="G594" s="15" t="str">
        <f t="shared" si="203"/>
        <v>ACT</v>
      </c>
      <c r="H594" s="15">
        <f t="shared" si="204"/>
        <v>2617</v>
      </c>
      <c r="I594" s="15">
        <f t="shared" si="215"/>
        <v>1194</v>
      </c>
      <c r="J594" s="15">
        <f>OrdersTable!B594</f>
        <v>464</v>
      </c>
      <c r="K594" s="15" t="str">
        <f t="shared" si="205"/>
        <v>Giftware</v>
      </c>
      <c r="L594" s="15" t="str">
        <f t="shared" si="206"/>
        <v>Doctor Who: Collectable License Plate: My Other Car Is A TARDIS</v>
      </c>
      <c r="M594" s="15" t="str">
        <f t="shared" si="207"/>
        <v>-</v>
      </c>
      <c r="N594" s="15">
        <f t="shared" si="208"/>
        <v>0.6</v>
      </c>
      <c r="O594" s="15" t="str">
        <f t="shared" si="209"/>
        <v>A50</v>
      </c>
      <c r="P594" s="15" t="str">
        <f t="shared" si="210"/>
        <v>Rassilon Ltd.</v>
      </c>
      <c r="Q594" s="15" t="str">
        <f t="shared" si="211"/>
        <v>82 Richard Mathews Road</v>
      </c>
      <c r="R594" s="3">
        <f>OrdersTable!C594</f>
        <v>44604</v>
      </c>
      <c r="S594" s="15">
        <f>OrdersTable!E594</f>
        <v>7</v>
      </c>
      <c r="T594" s="15">
        <f t="shared" si="212"/>
        <v>11.99</v>
      </c>
      <c r="U594" s="15">
        <f t="shared" si="213"/>
        <v>16.579999999999998</v>
      </c>
      <c r="V594" s="15">
        <f t="shared" si="214"/>
        <v>19.420000000000002</v>
      </c>
      <c r="W594" s="15">
        <f>IF(MarkupType="Store Markup",ROUND(V594+V594*StoreMarkup,2),IF(MarkupType="Supplier Markup",V594+V594*SupplierMarkup,"Error at finding value"))</f>
        <v>30.59</v>
      </c>
      <c r="X594" s="32" t="str">
        <f t="shared" si="216"/>
        <v>0.00</v>
      </c>
      <c r="Y594" s="15">
        <f t="shared" si="217"/>
        <v>135.94</v>
      </c>
      <c r="Z594" s="15">
        <f t="shared" si="218"/>
        <v>214.13</v>
      </c>
      <c r="AA594" s="15">
        <f>IF(FreightType="Lethbridge-Stewart Freight ",ROUND(2.99+IF(N594&gt;0.75,(N594-0.75)*2.25,0)*S594,2),IF(MarkupType="Supplier Markup",V594+V594*SupplierMarkup,"Error at finding value"))</f>
        <v>2.99</v>
      </c>
      <c r="AB594" s="15">
        <f t="shared" si="219"/>
        <v>0</v>
      </c>
    </row>
    <row r="595" spans="1:28" x14ac:dyDescent="0.25">
      <c r="A595" s="16">
        <f>OrdersTable!A595</f>
        <v>823</v>
      </c>
      <c r="B595" s="15" t="str">
        <f t="shared" si="199"/>
        <v>Mrs</v>
      </c>
      <c r="C595" s="15" t="str">
        <f t="shared" si="220"/>
        <v>Riordan</v>
      </c>
      <c r="D595" s="15" t="str">
        <f t="shared" si="200"/>
        <v>Brianna Leigh</v>
      </c>
      <c r="E595" s="15" t="str">
        <f t="shared" si="201"/>
        <v>7 Boyd Crescent</v>
      </c>
      <c r="F595" s="15" t="str">
        <f t="shared" si="202"/>
        <v>Bamboo</v>
      </c>
      <c r="G595" s="15" t="str">
        <f t="shared" si="203"/>
        <v>QLD</v>
      </c>
      <c r="H595" s="15">
        <f t="shared" si="204"/>
        <v>4873</v>
      </c>
      <c r="I595" s="15">
        <f t="shared" si="215"/>
        <v>1741</v>
      </c>
      <c r="J595" s="15">
        <f>OrdersTable!B595</f>
        <v>259</v>
      </c>
      <c r="K595" s="15" t="str">
        <f t="shared" si="205"/>
        <v>Clothing and Apparel</v>
      </c>
      <c r="L595" s="15" t="str">
        <f t="shared" si="206"/>
        <v>Doctor Who: Men's Winter Pyjamas</v>
      </c>
      <c r="M595" s="15" t="str">
        <f t="shared" si="207"/>
        <v>XL</v>
      </c>
      <c r="N595" s="15">
        <f t="shared" si="208"/>
        <v>1.5</v>
      </c>
      <c r="O595" s="15" t="str">
        <f t="shared" si="209"/>
        <v>A50</v>
      </c>
      <c r="P595" s="15" t="str">
        <f t="shared" si="210"/>
        <v>Rassilon Ltd.</v>
      </c>
      <c r="Q595" s="15" t="str">
        <f t="shared" si="211"/>
        <v>82 Richard Mathews Road</v>
      </c>
      <c r="R595" s="3">
        <f>OrdersTable!C595</f>
        <v>44604</v>
      </c>
      <c r="S595" s="15">
        <f>OrdersTable!E595</f>
        <v>3</v>
      </c>
      <c r="T595" s="15">
        <f t="shared" si="212"/>
        <v>29.99</v>
      </c>
      <c r="U595" s="15">
        <f t="shared" si="213"/>
        <v>41.15</v>
      </c>
      <c r="V595" s="15">
        <f t="shared" si="214"/>
        <v>48.58</v>
      </c>
      <c r="W595" s="15">
        <f>IF(MarkupType="Store Markup",ROUND(V595+V595*StoreMarkup,2),IF(MarkupType="Supplier Markup",V595+V595*SupplierMarkup,"Error at finding value"))</f>
        <v>76.510000000000005</v>
      </c>
      <c r="X595" s="32" t="str">
        <f t="shared" si="216"/>
        <v>0.00</v>
      </c>
      <c r="Y595" s="15">
        <f t="shared" si="217"/>
        <v>145.74</v>
      </c>
      <c r="Z595" s="15">
        <f t="shared" si="218"/>
        <v>229.53</v>
      </c>
      <c r="AA595" s="15">
        <f>IF(FreightType="Lethbridge-Stewart Freight ",ROUND(2.99+IF(N595&gt;0.75,(N595-0.75)*2.25,0)*S595,2),IF(MarkupType="Supplier Markup",V595+V595*SupplierMarkup,"Error at finding value"))</f>
        <v>8.0500000000000007</v>
      </c>
      <c r="AB595" s="15">
        <f t="shared" si="219"/>
        <v>0</v>
      </c>
    </row>
    <row r="596" spans="1:28" x14ac:dyDescent="0.25">
      <c r="A596" s="16">
        <f>OrdersTable!A596</f>
        <v>55</v>
      </c>
      <c r="B596" s="15" t="str">
        <f t="shared" si="199"/>
        <v>Mr</v>
      </c>
      <c r="C596" s="15" t="str">
        <f t="shared" si="220"/>
        <v>Myers</v>
      </c>
      <c r="D596" s="15" t="str">
        <f t="shared" si="200"/>
        <v>Luke Charles</v>
      </c>
      <c r="E596" s="15" t="str">
        <f t="shared" si="201"/>
        <v>25 Penrose Street</v>
      </c>
      <c r="F596" s="15" t="str">
        <f t="shared" si="202"/>
        <v>Black Hills</v>
      </c>
      <c r="G596" s="15" t="str">
        <f t="shared" si="203"/>
        <v>TAS</v>
      </c>
      <c r="H596" s="15">
        <f t="shared" si="204"/>
        <v>7140</v>
      </c>
      <c r="I596" s="15">
        <f t="shared" si="215"/>
        <v>2191</v>
      </c>
      <c r="J596" s="15">
        <f>OrdersTable!B596</f>
        <v>543</v>
      </c>
      <c r="K596" s="15" t="str">
        <f t="shared" si="205"/>
        <v>Giftware</v>
      </c>
      <c r="L596" s="15" t="str">
        <f t="shared" si="206"/>
        <v>Doctor Who: Sonic Screwdriver Pen</v>
      </c>
      <c r="M596" s="15" t="str">
        <f t="shared" si="207"/>
        <v>-</v>
      </c>
      <c r="N596" s="15">
        <f t="shared" si="208"/>
        <v>0.65</v>
      </c>
      <c r="O596" s="15" t="str">
        <f t="shared" si="209"/>
        <v>A20</v>
      </c>
      <c r="P596" s="15" t="str">
        <f t="shared" si="210"/>
        <v>Morbius Inc.</v>
      </c>
      <c r="Q596" s="15" t="str">
        <f t="shared" si="211"/>
        <v>56 Michael Spice Hwy</v>
      </c>
      <c r="R596" s="3">
        <f>OrdersTable!C596</f>
        <v>44605</v>
      </c>
      <c r="S596" s="15">
        <f>OrdersTable!E596</f>
        <v>10</v>
      </c>
      <c r="T596" s="15">
        <f t="shared" si="212"/>
        <v>12.99</v>
      </c>
      <c r="U596" s="15">
        <f t="shared" si="213"/>
        <v>18.02</v>
      </c>
      <c r="V596" s="15">
        <f t="shared" si="214"/>
        <v>21.04</v>
      </c>
      <c r="W596" s="15">
        <f>IF(MarkupType="Store Markup",ROUND(V596+V596*StoreMarkup,2),IF(MarkupType="Supplier Markup",V596+V596*SupplierMarkup,"Error at finding value"))</f>
        <v>33.14</v>
      </c>
      <c r="X596" s="32" t="str">
        <f t="shared" si="216"/>
        <v>0.00</v>
      </c>
      <c r="Y596" s="15">
        <f t="shared" si="217"/>
        <v>210.4</v>
      </c>
      <c r="Z596" s="15">
        <f t="shared" si="218"/>
        <v>331.4</v>
      </c>
      <c r="AA596" s="15">
        <f>IF(FreightType="Lethbridge-Stewart Freight ",ROUND(2.99+IF(N596&gt;0.75,(N596-0.75)*2.25,0)*S596,2),IF(MarkupType="Supplier Markup",V596+V596*SupplierMarkup,"Error at finding value"))</f>
        <v>2.99</v>
      </c>
      <c r="AB596" s="15">
        <f t="shared" si="219"/>
        <v>0</v>
      </c>
    </row>
    <row r="597" spans="1:28" x14ac:dyDescent="0.25">
      <c r="A597" s="16">
        <f>OrdersTable!A597</f>
        <v>81</v>
      </c>
      <c r="B597" s="15" t="str">
        <f t="shared" si="199"/>
        <v>Ms</v>
      </c>
      <c r="C597" s="15" t="str">
        <f t="shared" si="220"/>
        <v>Madsen</v>
      </c>
      <c r="D597" s="15" t="str">
        <f t="shared" si="200"/>
        <v>Kim Marie</v>
      </c>
      <c r="E597" s="15" t="str">
        <f t="shared" si="201"/>
        <v>42 Singh Drive</v>
      </c>
      <c r="F597" s="15" t="str">
        <f t="shared" si="202"/>
        <v>Caliph</v>
      </c>
      <c r="G597" s="15" t="str">
        <f t="shared" si="203"/>
        <v>SA</v>
      </c>
      <c r="H597" s="15">
        <f t="shared" si="204"/>
        <v>5310</v>
      </c>
      <c r="I597" s="15">
        <f t="shared" si="215"/>
        <v>1720</v>
      </c>
      <c r="J597" s="15">
        <f>OrdersTable!B597</f>
        <v>667</v>
      </c>
      <c r="K597" s="15" t="str">
        <f t="shared" si="205"/>
        <v>Mugs</v>
      </c>
      <c r="L597" s="15" t="str">
        <f t="shared" si="206"/>
        <v>Doctor Who: Mug: Keep Calm And Don't Blink</v>
      </c>
      <c r="M597" s="15" t="str">
        <f t="shared" si="207"/>
        <v>-</v>
      </c>
      <c r="N597" s="15">
        <f t="shared" si="208"/>
        <v>0.35</v>
      </c>
      <c r="O597" s="15" t="str">
        <f t="shared" si="209"/>
        <v>A10</v>
      </c>
      <c r="P597" s="15" t="str">
        <f t="shared" si="210"/>
        <v>Gallifrey International</v>
      </c>
      <c r="Q597" s="15" t="str">
        <f t="shared" si="211"/>
        <v>181 Arcadia Street</v>
      </c>
      <c r="R597" s="3">
        <f>OrdersTable!C597</f>
        <v>44605</v>
      </c>
      <c r="S597" s="15">
        <f>OrdersTable!E597</f>
        <v>8</v>
      </c>
      <c r="T597" s="15">
        <f t="shared" si="212"/>
        <v>6.99</v>
      </c>
      <c r="U597" s="15">
        <f t="shared" si="213"/>
        <v>9.84</v>
      </c>
      <c r="V597" s="15">
        <f t="shared" si="214"/>
        <v>11.32</v>
      </c>
      <c r="W597" s="15">
        <f>IF(MarkupType="Store Markup",ROUND(V597+V597*StoreMarkup,2),IF(MarkupType="Supplier Markup",V597+V597*SupplierMarkup,"Error at finding value"))</f>
        <v>17.829999999999998</v>
      </c>
      <c r="X597" s="32" t="str">
        <f t="shared" si="216"/>
        <v>0.00</v>
      </c>
      <c r="Y597" s="15">
        <f t="shared" si="217"/>
        <v>90.56</v>
      </c>
      <c r="Z597" s="15">
        <f t="shared" si="218"/>
        <v>142.63999999999999</v>
      </c>
      <c r="AA597" s="15">
        <f>IF(FreightType="Lethbridge-Stewart Freight ",ROUND(2.99+IF(N597&gt;0.75,(N597-0.75)*2.25,0)*S597,2),IF(MarkupType="Supplier Markup",V597+V597*SupplierMarkup,"Error at finding value"))</f>
        <v>2.99</v>
      </c>
      <c r="AB597" s="15">
        <f t="shared" si="219"/>
        <v>0</v>
      </c>
    </row>
    <row r="598" spans="1:28" x14ac:dyDescent="0.25">
      <c r="A598" s="16">
        <f>OrdersTable!A598</f>
        <v>139</v>
      </c>
      <c r="B598" s="15" t="str">
        <f t="shared" si="199"/>
        <v>Mrs</v>
      </c>
      <c r="C598" s="15" t="str">
        <f t="shared" si="220"/>
        <v>Atkinson</v>
      </c>
      <c r="D598" s="15" t="str">
        <f t="shared" si="200"/>
        <v>Leanne</v>
      </c>
      <c r="E598" s="15" t="str">
        <f t="shared" si="201"/>
        <v>45 Maloney Boulevard</v>
      </c>
      <c r="F598" s="15" t="str">
        <f t="shared" si="202"/>
        <v>Avon Plains</v>
      </c>
      <c r="G598" s="15" t="str">
        <f t="shared" si="203"/>
        <v>VIC</v>
      </c>
      <c r="H598" s="15">
        <f t="shared" si="204"/>
        <v>3477</v>
      </c>
      <c r="I598" s="15">
        <f t="shared" si="215"/>
        <v>1565</v>
      </c>
      <c r="J598" s="15">
        <f>OrdersTable!B598</f>
        <v>667</v>
      </c>
      <c r="K598" s="15" t="str">
        <f t="shared" si="205"/>
        <v>Mugs</v>
      </c>
      <c r="L598" s="15" t="str">
        <f t="shared" si="206"/>
        <v>Doctor Who: Mug: Keep Calm And Don't Blink</v>
      </c>
      <c r="M598" s="15" t="str">
        <f t="shared" si="207"/>
        <v>-</v>
      </c>
      <c r="N598" s="15">
        <f t="shared" si="208"/>
        <v>0.35</v>
      </c>
      <c r="O598" s="15" t="str">
        <f t="shared" si="209"/>
        <v>A10</v>
      </c>
      <c r="P598" s="15" t="str">
        <f t="shared" si="210"/>
        <v>Gallifrey International</v>
      </c>
      <c r="Q598" s="15" t="str">
        <f t="shared" si="211"/>
        <v>181 Arcadia Street</v>
      </c>
      <c r="R598" s="3">
        <f>OrdersTable!C598</f>
        <v>44605</v>
      </c>
      <c r="S598" s="15">
        <f>OrdersTable!E598</f>
        <v>4</v>
      </c>
      <c r="T598" s="15">
        <f t="shared" si="212"/>
        <v>6.99</v>
      </c>
      <c r="U598" s="15">
        <f t="shared" si="213"/>
        <v>9.84</v>
      </c>
      <c r="V598" s="15">
        <f t="shared" si="214"/>
        <v>11.32</v>
      </c>
      <c r="W598" s="15">
        <f>IF(MarkupType="Store Markup",ROUND(V598+V598*StoreMarkup,2),IF(MarkupType="Supplier Markup",V598+V598*SupplierMarkup,"Error at finding value"))</f>
        <v>17.829999999999998</v>
      </c>
      <c r="X598" s="32" t="str">
        <f t="shared" si="216"/>
        <v>0.00</v>
      </c>
      <c r="Y598" s="15">
        <f t="shared" si="217"/>
        <v>45.28</v>
      </c>
      <c r="Z598" s="15">
        <f t="shared" si="218"/>
        <v>71.319999999999993</v>
      </c>
      <c r="AA598" s="15">
        <f>IF(FreightType="Lethbridge-Stewart Freight ",ROUND(2.99+IF(N598&gt;0.75,(N598-0.75)*2.25,0)*S598,2),IF(MarkupType="Supplier Markup",V598+V598*SupplierMarkup,"Error at finding value"))</f>
        <v>2.99</v>
      </c>
      <c r="AB598" s="15">
        <f t="shared" si="219"/>
        <v>0</v>
      </c>
    </row>
    <row r="599" spans="1:28" x14ac:dyDescent="0.25">
      <c r="A599" s="16">
        <f>OrdersTable!A599</f>
        <v>226</v>
      </c>
      <c r="B599" s="15" t="str">
        <f t="shared" si="199"/>
        <v>Ms</v>
      </c>
      <c r="C599" s="15" t="str">
        <f t="shared" si="220"/>
        <v>Stewart</v>
      </c>
      <c r="D599" s="15" t="str">
        <f t="shared" si="200"/>
        <v>Jodi Louise</v>
      </c>
      <c r="E599" s="15" t="str">
        <f t="shared" si="201"/>
        <v>33 Abington Court</v>
      </c>
      <c r="F599" s="15" t="str">
        <f t="shared" si="202"/>
        <v>Iluka</v>
      </c>
      <c r="G599" s="15" t="str">
        <f t="shared" si="203"/>
        <v>NSW</v>
      </c>
      <c r="H599" s="15">
        <f t="shared" si="204"/>
        <v>2466</v>
      </c>
      <c r="I599" s="15">
        <f t="shared" si="215"/>
        <v>347</v>
      </c>
      <c r="J599" s="15">
        <f>OrdersTable!B599</f>
        <v>696</v>
      </c>
      <c r="K599" s="15" t="str">
        <f t="shared" si="205"/>
        <v>Posters, Prints and Standees</v>
      </c>
      <c r="L599" s="15" t="str">
        <f t="shared" si="206"/>
        <v xml:space="preserve">Doctor Who: 50th Anniversary: Poster: To Victory </v>
      </c>
      <c r="M599" s="15" t="str">
        <f t="shared" si="207"/>
        <v>-</v>
      </c>
      <c r="N599" s="15">
        <f t="shared" si="208"/>
        <v>0.2</v>
      </c>
      <c r="O599" s="15" t="str">
        <f t="shared" si="209"/>
        <v>A40</v>
      </c>
      <c r="P599" s="15" t="str">
        <f t="shared" si="210"/>
        <v>Romana Imports</v>
      </c>
      <c r="Q599" s="15" t="str">
        <f t="shared" si="211"/>
        <v>17 Lalla Ward Road</v>
      </c>
      <c r="R599" s="3">
        <f>OrdersTable!C599</f>
        <v>44605</v>
      </c>
      <c r="S599" s="15">
        <f>OrdersTable!E599</f>
        <v>10</v>
      </c>
      <c r="T599" s="15">
        <f t="shared" si="212"/>
        <v>3.99</v>
      </c>
      <c r="U599" s="15">
        <f t="shared" si="213"/>
        <v>5.6</v>
      </c>
      <c r="V599" s="15">
        <f t="shared" si="214"/>
        <v>6.46</v>
      </c>
      <c r="W599" s="15">
        <f>IF(MarkupType="Store Markup",ROUND(V599+V599*StoreMarkup,2),IF(MarkupType="Supplier Markup",V599+V599*SupplierMarkup,"Error at finding value"))</f>
        <v>10.17</v>
      </c>
      <c r="X599" s="32" t="str">
        <f t="shared" si="216"/>
        <v>0.00</v>
      </c>
      <c r="Y599" s="15">
        <f t="shared" si="217"/>
        <v>64.599999999999994</v>
      </c>
      <c r="Z599" s="15">
        <f t="shared" si="218"/>
        <v>101.7</v>
      </c>
      <c r="AA599" s="15">
        <f>IF(FreightType="Lethbridge-Stewart Freight ",ROUND(2.99+IF(N599&gt;0.75,(N599-0.75)*2.25,0)*S599,2),IF(MarkupType="Supplier Markup",V599+V599*SupplierMarkup,"Error at finding value"))</f>
        <v>2.99</v>
      </c>
      <c r="AB599" s="15">
        <f t="shared" si="219"/>
        <v>0</v>
      </c>
    </row>
    <row r="600" spans="1:28" x14ac:dyDescent="0.25">
      <c r="A600" s="16">
        <f>OrdersTable!A600</f>
        <v>328</v>
      </c>
      <c r="B600" s="15" t="str">
        <f t="shared" si="199"/>
        <v>Dr</v>
      </c>
      <c r="C600" s="15" t="str">
        <f t="shared" si="220"/>
        <v>Ward</v>
      </c>
      <c r="D600" s="15" t="str">
        <f t="shared" si="200"/>
        <v>Keiren Nicholas</v>
      </c>
      <c r="E600" s="15" t="str">
        <f t="shared" si="201"/>
        <v>13 Green Crescent</v>
      </c>
      <c r="F600" s="15" t="str">
        <f t="shared" si="202"/>
        <v>Breakwater</v>
      </c>
      <c r="G600" s="15" t="str">
        <f t="shared" si="203"/>
        <v>VIC</v>
      </c>
      <c r="H600" s="15">
        <f t="shared" si="204"/>
        <v>3219</v>
      </c>
      <c r="I600" s="15">
        <f t="shared" si="215"/>
        <v>1596</v>
      </c>
      <c r="J600" s="15">
        <f>OrdersTable!B600</f>
        <v>849</v>
      </c>
      <c r="K600" s="15" t="str">
        <f t="shared" si="205"/>
        <v>Statues and Busts</v>
      </c>
      <c r="L600" s="15" t="str">
        <f t="shared" si="206"/>
        <v>Doctor Who: Statue: Cyber Controller</v>
      </c>
      <c r="M600" s="15" t="str">
        <f t="shared" si="207"/>
        <v>-</v>
      </c>
      <c r="N600" s="15">
        <f t="shared" si="208"/>
        <v>5</v>
      </c>
      <c r="O600" s="15" t="str">
        <f t="shared" si="209"/>
        <v>A10</v>
      </c>
      <c r="P600" s="15" t="str">
        <f t="shared" si="210"/>
        <v>Gallifrey International</v>
      </c>
      <c r="Q600" s="15" t="str">
        <f t="shared" si="211"/>
        <v>181 Arcadia Street</v>
      </c>
      <c r="R600" s="3">
        <f>OrdersTable!C600</f>
        <v>44605</v>
      </c>
      <c r="S600" s="15">
        <f>OrdersTable!E600</f>
        <v>6</v>
      </c>
      <c r="T600" s="15">
        <f t="shared" si="212"/>
        <v>99.99</v>
      </c>
      <c r="U600" s="15">
        <f t="shared" si="213"/>
        <v>136.41</v>
      </c>
      <c r="V600" s="15">
        <f t="shared" si="214"/>
        <v>161.97999999999999</v>
      </c>
      <c r="W600" s="15">
        <f>IF(MarkupType="Store Markup",ROUND(V600+V600*StoreMarkup,2),IF(MarkupType="Supplier Markup",V600+V600*SupplierMarkup,"Error at finding value"))</f>
        <v>255.12</v>
      </c>
      <c r="X600" s="32">
        <f t="shared" si="216"/>
        <v>18.18</v>
      </c>
      <c r="Y600" s="15">
        <f t="shared" si="217"/>
        <v>971.88</v>
      </c>
      <c r="Z600" s="15">
        <f t="shared" si="218"/>
        <v>1421.64</v>
      </c>
      <c r="AA600" s="15">
        <f>IF(FreightType="Lethbridge-Stewart Freight ",ROUND(2.99+IF(N600&gt;0.75,(N600-0.75)*2.25,0)*S600,2),IF(MarkupType="Supplier Markup",V600+V600*SupplierMarkup,"Error at finding value"))</f>
        <v>60.37</v>
      </c>
      <c r="AB600" s="15">
        <f t="shared" si="219"/>
        <v>109.08</v>
      </c>
    </row>
    <row r="601" spans="1:28" x14ac:dyDescent="0.25">
      <c r="A601" s="16">
        <f>OrdersTable!A601</f>
        <v>331</v>
      </c>
      <c r="B601" s="15" t="str">
        <f t="shared" si="199"/>
        <v>Mrs</v>
      </c>
      <c r="C601" s="15" t="str">
        <f t="shared" si="220"/>
        <v>McKenzie</v>
      </c>
      <c r="D601" s="15" t="str">
        <f t="shared" si="200"/>
        <v>Melinda Kate</v>
      </c>
      <c r="E601" s="15" t="str">
        <f t="shared" si="201"/>
        <v>49 McKay Way</v>
      </c>
      <c r="F601" s="15" t="str">
        <f t="shared" si="202"/>
        <v>Black Hills</v>
      </c>
      <c r="G601" s="15" t="str">
        <f t="shared" si="203"/>
        <v>TAS</v>
      </c>
      <c r="H601" s="15">
        <f t="shared" si="204"/>
        <v>7140</v>
      </c>
      <c r="I601" s="15">
        <f t="shared" si="215"/>
        <v>2191</v>
      </c>
      <c r="J601" s="15">
        <f>OrdersTable!B601</f>
        <v>707</v>
      </c>
      <c r="K601" s="15" t="str">
        <f t="shared" si="205"/>
        <v>Posters, Prints and Standees</v>
      </c>
      <c r="L601" s="15" t="str">
        <f t="shared" si="206"/>
        <v>Doctor Who: Poster: Ironside Dalek Blueprint</v>
      </c>
      <c r="M601" s="15" t="str">
        <f t="shared" si="207"/>
        <v>-</v>
      </c>
      <c r="N601" s="15">
        <f t="shared" si="208"/>
        <v>0.2</v>
      </c>
      <c r="O601" s="15" t="str">
        <f t="shared" si="209"/>
        <v>A20</v>
      </c>
      <c r="P601" s="15" t="str">
        <f t="shared" si="210"/>
        <v>Morbius Inc.</v>
      </c>
      <c r="Q601" s="15" t="str">
        <f t="shared" si="211"/>
        <v>56 Michael Spice Hwy</v>
      </c>
      <c r="R601" s="3">
        <f>OrdersTable!C601</f>
        <v>44605</v>
      </c>
      <c r="S601" s="15">
        <f>OrdersTable!E601</f>
        <v>10</v>
      </c>
      <c r="T601" s="15">
        <f t="shared" si="212"/>
        <v>3.99</v>
      </c>
      <c r="U601" s="15">
        <f t="shared" si="213"/>
        <v>5.48</v>
      </c>
      <c r="V601" s="15">
        <f t="shared" si="214"/>
        <v>6.46</v>
      </c>
      <c r="W601" s="15">
        <f>IF(MarkupType="Store Markup",ROUND(V601+V601*StoreMarkup,2),IF(MarkupType="Supplier Markup",V601+V601*SupplierMarkup,"Error at finding value"))</f>
        <v>10.17</v>
      </c>
      <c r="X601" s="32" t="str">
        <f t="shared" si="216"/>
        <v>0.00</v>
      </c>
      <c r="Y601" s="15">
        <f t="shared" si="217"/>
        <v>64.599999999999994</v>
      </c>
      <c r="Z601" s="15">
        <f t="shared" si="218"/>
        <v>101.7</v>
      </c>
      <c r="AA601" s="15">
        <f>IF(FreightType="Lethbridge-Stewart Freight ",ROUND(2.99+IF(N601&gt;0.75,(N601-0.75)*2.25,0)*S601,2),IF(MarkupType="Supplier Markup",V601+V601*SupplierMarkup,"Error at finding value"))</f>
        <v>2.99</v>
      </c>
      <c r="AB601" s="15">
        <f t="shared" si="219"/>
        <v>0</v>
      </c>
    </row>
    <row r="602" spans="1:28" x14ac:dyDescent="0.25">
      <c r="A602" s="16">
        <f>OrdersTable!A602</f>
        <v>338</v>
      </c>
      <c r="B602" s="15" t="str">
        <f t="shared" si="199"/>
        <v>Miss</v>
      </c>
      <c r="C602" s="15" t="str">
        <f t="shared" si="220"/>
        <v>Pellegrino</v>
      </c>
      <c r="D602" s="15" t="str">
        <f t="shared" si="200"/>
        <v>Samantha</v>
      </c>
      <c r="E602" s="15" t="str">
        <f t="shared" si="201"/>
        <v>38 McKeown Street</v>
      </c>
      <c r="F602" s="15" t="str">
        <f t="shared" si="202"/>
        <v>Avon Plains</v>
      </c>
      <c r="G602" s="15" t="str">
        <f t="shared" si="203"/>
        <v>VIC</v>
      </c>
      <c r="H602" s="15">
        <f t="shared" si="204"/>
        <v>3477</v>
      </c>
      <c r="I602" s="15">
        <f t="shared" si="215"/>
        <v>1565</v>
      </c>
      <c r="J602" s="15">
        <f>OrdersTable!B602</f>
        <v>418</v>
      </c>
      <c r="K602" s="15" t="str">
        <f t="shared" si="205"/>
        <v>Clothing and Apparel</v>
      </c>
      <c r="L602" s="15" t="str">
        <f t="shared" si="206"/>
        <v>Doctor Who: Women's Winter Pyjamas</v>
      </c>
      <c r="M602" s="15" t="str">
        <f t="shared" si="207"/>
        <v>M</v>
      </c>
      <c r="N602" s="15">
        <f t="shared" si="208"/>
        <v>1.5</v>
      </c>
      <c r="O602" s="15" t="str">
        <f t="shared" si="209"/>
        <v>A30</v>
      </c>
      <c r="P602" s="15" t="str">
        <f t="shared" si="210"/>
        <v>Chesterton Enterprises</v>
      </c>
      <c r="Q602" s="15" t="str">
        <f t="shared" si="211"/>
        <v>41 William Russell Road</v>
      </c>
      <c r="R602" s="3">
        <f>OrdersTable!C602</f>
        <v>44605</v>
      </c>
      <c r="S602" s="15">
        <f>OrdersTable!E602</f>
        <v>6</v>
      </c>
      <c r="T602" s="15">
        <f t="shared" si="212"/>
        <v>29.99</v>
      </c>
      <c r="U602" s="15">
        <f t="shared" si="213"/>
        <v>40.96</v>
      </c>
      <c r="V602" s="15">
        <f t="shared" si="214"/>
        <v>48.58</v>
      </c>
      <c r="W602" s="15">
        <f>IF(MarkupType="Store Markup",ROUND(V602+V602*StoreMarkup,2),IF(MarkupType="Supplier Markup",V602+V602*SupplierMarkup,"Error at finding value"))</f>
        <v>76.510000000000005</v>
      </c>
      <c r="X602" s="32" t="str">
        <f t="shared" si="216"/>
        <v>0.00</v>
      </c>
      <c r="Y602" s="15">
        <f t="shared" si="217"/>
        <v>291.48</v>
      </c>
      <c r="Z602" s="15">
        <f t="shared" si="218"/>
        <v>459.06</v>
      </c>
      <c r="AA602" s="15">
        <f>IF(FreightType="Lethbridge-Stewart Freight ",ROUND(2.99+IF(N602&gt;0.75,(N602-0.75)*2.25,0)*S602,2),IF(MarkupType="Supplier Markup",V602+V602*SupplierMarkup,"Error at finding value"))</f>
        <v>13.12</v>
      </c>
      <c r="AB602" s="15">
        <f t="shared" si="219"/>
        <v>0</v>
      </c>
    </row>
    <row r="603" spans="1:28" x14ac:dyDescent="0.25">
      <c r="A603" s="16">
        <f>OrdersTable!A603</f>
        <v>544</v>
      </c>
      <c r="B603" s="15" t="str">
        <f t="shared" si="199"/>
        <v>Mr</v>
      </c>
      <c r="C603" s="15" t="str">
        <f t="shared" si="220"/>
        <v>Sullivan</v>
      </c>
      <c r="D603" s="15" t="str">
        <f t="shared" si="200"/>
        <v>Lawrence Bernard</v>
      </c>
      <c r="E603" s="15" t="str">
        <f t="shared" si="201"/>
        <v>11 Haydon Boulevard</v>
      </c>
      <c r="F603" s="15" t="str">
        <f t="shared" si="202"/>
        <v>Breakwater</v>
      </c>
      <c r="G603" s="15" t="str">
        <f t="shared" si="203"/>
        <v>VIC</v>
      </c>
      <c r="H603" s="15">
        <f t="shared" si="204"/>
        <v>3219</v>
      </c>
      <c r="I603" s="15">
        <f t="shared" si="215"/>
        <v>1596</v>
      </c>
      <c r="J603" s="15">
        <f>OrdersTable!B603</f>
        <v>330</v>
      </c>
      <c r="K603" s="15" t="str">
        <f t="shared" si="205"/>
        <v>Clothing and Apparel</v>
      </c>
      <c r="L603" s="15" t="str">
        <f t="shared" si="206"/>
        <v xml:space="preserve">Doctor Who: T-Shirts: 4th Doctor Costume </v>
      </c>
      <c r="M603" s="15" t="str">
        <f t="shared" si="207"/>
        <v>M</v>
      </c>
      <c r="N603" s="15">
        <f t="shared" si="208"/>
        <v>0.8</v>
      </c>
      <c r="O603" s="15" t="str">
        <f t="shared" si="209"/>
        <v>A20</v>
      </c>
      <c r="P603" s="15" t="str">
        <f t="shared" si="210"/>
        <v>Morbius Inc.</v>
      </c>
      <c r="Q603" s="15" t="str">
        <f t="shared" si="211"/>
        <v>56 Michael Spice Hwy</v>
      </c>
      <c r="R603" s="3">
        <f>OrdersTable!C603</f>
        <v>44605</v>
      </c>
      <c r="S603" s="15">
        <f>OrdersTable!E603</f>
        <v>1</v>
      </c>
      <c r="T603" s="15">
        <f t="shared" si="212"/>
        <v>15.99</v>
      </c>
      <c r="U603" s="15">
        <f t="shared" si="213"/>
        <v>22.03</v>
      </c>
      <c r="V603" s="15">
        <f t="shared" si="214"/>
        <v>25.9</v>
      </c>
      <c r="W603" s="15">
        <f>IF(MarkupType="Store Markup",ROUND(V603+V603*StoreMarkup,2),IF(MarkupType="Supplier Markup",V603+V603*SupplierMarkup,"Error at finding value"))</f>
        <v>40.79</v>
      </c>
      <c r="X603" s="32" t="str">
        <f t="shared" si="216"/>
        <v>0.00</v>
      </c>
      <c r="Y603" s="15">
        <f t="shared" si="217"/>
        <v>25.9</v>
      </c>
      <c r="Z603" s="15">
        <f t="shared" si="218"/>
        <v>40.79</v>
      </c>
      <c r="AA603" s="15">
        <f>IF(FreightType="Lethbridge-Stewart Freight ",ROUND(2.99+IF(N603&gt;0.75,(N603-0.75)*2.25,0)*S603,2),IF(MarkupType="Supplier Markup",V603+V603*SupplierMarkup,"Error at finding value"))</f>
        <v>3.1</v>
      </c>
      <c r="AB603" s="15">
        <f t="shared" si="219"/>
        <v>0</v>
      </c>
    </row>
    <row r="604" spans="1:28" x14ac:dyDescent="0.25">
      <c r="A604" s="16">
        <f>OrdersTable!A604</f>
        <v>634</v>
      </c>
      <c r="B604" s="15" t="str">
        <f t="shared" si="199"/>
        <v>Miss</v>
      </c>
      <c r="C604" s="15" t="str">
        <f t="shared" si="220"/>
        <v>Betts</v>
      </c>
      <c r="D604" s="15" t="str">
        <f t="shared" si="200"/>
        <v>Melissa Leigh</v>
      </c>
      <c r="E604" s="15" t="str">
        <f t="shared" si="201"/>
        <v>4 Aitcheson Drive</v>
      </c>
      <c r="F604" s="15" t="str">
        <f t="shared" si="202"/>
        <v>Bray Park</v>
      </c>
      <c r="G604" s="15" t="str">
        <f t="shared" si="203"/>
        <v>QLD</v>
      </c>
      <c r="H604" s="15">
        <f t="shared" si="204"/>
        <v>4500</v>
      </c>
      <c r="I604" s="15">
        <f t="shared" si="215"/>
        <v>139</v>
      </c>
      <c r="J604" s="15">
        <f>OrdersTable!B604</f>
        <v>862</v>
      </c>
      <c r="K604" s="15" t="str">
        <f t="shared" si="205"/>
        <v>Statues and Busts</v>
      </c>
      <c r="L604" s="15" t="str">
        <f t="shared" si="206"/>
        <v>Doctor Who: TITANS: The 10th Doctor</v>
      </c>
      <c r="M604" s="15" t="str">
        <f t="shared" si="207"/>
        <v>-</v>
      </c>
      <c r="N604" s="15">
        <f t="shared" si="208"/>
        <v>0.4</v>
      </c>
      <c r="O604" s="15" t="str">
        <f t="shared" si="209"/>
        <v>A40</v>
      </c>
      <c r="P604" s="15" t="str">
        <f t="shared" si="210"/>
        <v>Romana Imports</v>
      </c>
      <c r="Q604" s="15" t="str">
        <f t="shared" si="211"/>
        <v>17 Lalla Ward Road</v>
      </c>
      <c r="R604" s="3">
        <f>OrdersTable!C604</f>
        <v>44605</v>
      </c>
      <c r="S604" s="15">
        <f>OrdersTable!E604</f>
        <v>7</v>
      </c>
      <c r="T604" s="15">
        <f t="shared" si="212"/>
        <v>7.99</v>
      </c>
      <c r="U604" s="15">
        <f t="shared" si="213"/>
        <v>11.01</v>
      </c>
      <c r="V604" s="15">
        <f t="shared" si="214"/>
        <v>12.94</v>
      </c>
      <c r="W604" s="15">
        <f>IF(MarkupType="Store Markup",ROUND(V604+V604*StoreMarkup,2),IF(MarkupType="Supplier Markup",V604+V604*SupplierMarkup,"Error at finding value"))</f>
        <v>20.38</v>
      </c>
      <c r="X604" s="32" t="str">
        <f t="shared" si="216"/>
        <v>0.00</v>
      </c>
      <c r="Y604" s="15">
        <f t="shared" si="217"/>
        <v>90.58</v>
      </c>
      <c r="Z604" s="15">
        <f t="shared" si="218"/>
        <v>142.66</v>
      </c>
      <c r="AA604" s="15">
        <f>IF(FreightType="Lethbridge-Stewart Freight ",ROUND(2.99+IF(N604&gt;0.75,(N604-0.75)*2.25,0)*S604,2),IF(MarkupType="Supplier Markup",V604+V604*SupplierMarkup,"Error at finding value"))</f>
        <v>2.99</v>
      </c>
      <c r="AB604" s="15">
        <f t="shared" si="219"/>
        <v>0</v>
      </c>
    </row>
    <row r="605" spans="1:28" x14ac:dyDescent="0.25">
      <c r="A605" s="16">
        <f>OrdersTable!A605</f>
        <v>669</v>
      </c>
      <c r="B605" s="15" t="str">
        <f t="shared" si="199"/>
        <v>Dr</v>
      </c>
      <c r="C605" s="15" t="str">
        <f t="shared" si="220"/>
        <v>Ferjani</v>
      </c>
      <c r="D605" s="15" t="str">
        <f t="shared" si="200"/>
        <v>Rabah</v>
      </c>
      <c r="E605" s="15" t="str">
        <f t="shared" si="201"/>
        <v>2 Codrington Street</v>
      </c>
      <c r="F605" s="15" t="str">
        <f t="shared" si="202"/>
        <v>Belford</v>
      </c>
      <c r="G605" s="15" t="str">
        <f t="shared" si="203"/>
        <v>NSW</v>
      </c>
      <c r="H605" s="15">
        <f t="shared" si="204"/>
        <v>2335</v>
      </c>
      <c r="I605" s="15">
        <f t="shared" si="215"/>
        <v>716</v>
      </c>
      <c r="J605" s="15">
        <f>OrdersTable!B605</f>
        <v>376</v>
      </c>
      <c r="K605" s="15" t="str">
        <f t="shared" si="205"/>
        <v>Clothing and Apparel</v>
      </c>
      <c r="L605" s="15" t="str">
        <f t="shared" si="206"/>
        <v xml:space="preserve">Doctor Who: T-Shirts: 7th Doctor Costume </v>
      </c>
      <c r="M605" s="15" t="str">
        <f t="shared" si="207"/>
        <v>S</v>
      </c>
      <c r="N605" s="15">
        <f t="shared" si="208"/>
        <v>0.8</v>
      </c>
      <c r="O605" s="15" t="str">
        <f t="shared" si="209"/>
        <v>A10</v>
      </c>
      <c r="P605" s="15" t="str">
        <f t="shared" si="210"/>
        <v>Gallifrey International</v>
      </c>
      <c r="Q605" s="15" t="str">
        <f t="shared" si="211"/>
        <v>181 Arcadia Street</v>
      </c>
      <c r="R605" s="3">
        <f>OrdersTable!C605</f>
        <v>44605</v>
      </c>
      <c r="S605" s="15">
        <f>OrdersTable!E605</f>
        <v>7</v>
      </c>
      <c r="T605" s="15">
        <f t="shared" si="212"/>
        <v>15.99</v>
      </c>
      <c r="U605" s="15">
        <f t="shared" si="213"/>
        <v>21.83</v>
      </c>
      <c r="V605" s="15">
        <f t="shared" si="214"/>
        <v>25.9</v>
      </c>
      <c r="W605" s="15">
        <f>IF(MarkupType="Store Markup",ROUND(V605+V605*StoreMarkup,2),IF(MarkupType="Supplier Markup",V605+V605*SupplierMarkup,"Error at finding value"))</f>
        <v>40.79</v>
      </c>
      <c r="X605" s="32" t="str">
        <f t="shared" si="216"/>
        <v>0.00</v>
      </c>
      <c r="Y605" s="15">
        <f t="shared" si="217"/>
        <v>181.3</v>
      </c>
      <c r="Z605" s="15">
        <f t="shared" si="218"/>
        <v>285.52999999999997</v>
      </c>
      <c r="AA605" s="15">
        <f>IF(FreightType="Lethbridge-Stewart Freight ",ROUND(2.99+IF(N605&gt;0.75,(N605-0.75)*2.25,0)*S605,2),IF(MarkupType="Supplier Markup",V605+V605*SupplierMarkup,"Error at finding value"))</f>
        <v>3.78</v>
      </c>
      <c r="AB605" s="15">
        <f t="shared" si="219"/>
        <v>0</v>
      </c>
    </row>
    <row r="606" spans="1:28" x14ac:dyDescent="0.25">
      <c r="A606" s="16">
        <f>OrdersTable!A606</f>
        <v>669</v>
      </c>
      <c r="B606" s="15" t="str">
        <f t="shared" si="199"/>
        <v>Dr</v>
      </c>
      <c r="C606" s="15" t="str">
        <f t="shared" si="220"/>
        <v>Ferjani</v>
      </c>
      <c r="D606" s="15" t="str">
        <f t="shared" si="200"/>
        <v>Rabah</v>
      </c>
      <c r="E606" s="15" t="str">
        <f t="shared" si="201"/>
        <v>2 Codrington Street</v>
      </c>
      <c r="F606" s="15" t="str">
        <f t="shared" si="202"/>
        <v>Belford</v>
      </c>
      <c r="G606" s="15" t="str">
        <f t="shared" si="203"/>
        <v>NSW</v>
      </c>
      <c r="H606" s="15">
        <f t="shared" si="204"/>
        <v>2335</v>
      </c>
      <c r="I606" s="15">
        <f t="shared" si="215"/>
        <v>716</v>
      </c>
      <c r="J606" s="15">
        <f>OrdersTable!B606</f>
        <v>698</v>
      </c>
      <c r="K606" s="15" t="str">
        <f t="shared" si="205"/>
        <v>Posters, Prints and Standees</v>
      </c>
      <c r="L606" s="15" t="str">
        <f t="shared" si="206"/>
        <v>Doctor Who: Art Print: My Mysterious Doctor</v>
      </c>
      <c r="M606" s="15" t="str">
        <f t="shared" si="207"/>
        <v>-</v>
      </c>
      <c r="N606" s="15">
        <f t="shared" si="208"/>
        <v>0.75</v>
      </c>
      <c r="O606" s="15" t="str">
        <f t="shared" si="209"/>
        <v>A30</v>
      </c>
      <c r="P606" s="15" t="str">
        <f t="shared" si="210"/>
        <v>Chesterton Enterprises</v>
      </c>
      <c r="Q606" s="15" t="str">
        <f t="shared" si="211"/>
        <v>41 William Russell Road</v>
      </c>
      <c r="R606" s="3">
        <f>OrdersTable!C606</f>
        <v>44605</v>
      </c>
      <c r="S606" s="15">
        <f>OrdersTable!E606</f>
        <v>6</v>
      </c>
      <c r="T606" s="15">
        <f t="shared" si="212"/>
        <v>14.99</v>
      </c>
      <c r="U606" s="15">
        <f t="shared" si="213"/>
        <v>20.56</v>
      </c>
      <c r="V606" s="15">
        <f t="shared" si="214"/>
        <v>24.28</v>
      </c>
      <c r="W606" s="15">
        <f>IF(MarkupType="Store Markup",ROUND(V606+V606*StoreMarkup,2),IF(MarkupType="Supplier Markup",V606+V606*SupplierMarkup,"Error at finding value"))</f>
        <v>38.24</v>
      </c>
      <c r="X606" s="32" t="str">
        <f t="shared" si="216"/>
        <v>0.00</v>
      </c>
      <c r="Y606" s="15">
        <f t="shared" si="217"/>
        <v>145.68</v>
      </c>
      <c r="Z606" s="15">
        <f t="shared" si="218"/>
        <v>229.44</v>
      </c>
      <c r="AA606" s="15">
        <f>IF(FreightType="Lethbridge-Stewart Freight ",ROUND(2.99+IF(N606&gt;0.75,(N606-0.75)*2.25,0)*S606,2),IF(MarkupType="Supplier Markup",V606+V606*SupplierMarkup,"Error at finding value"))</f>
        <v>2.99</v>
      </c>
      <c r="AB606" s="15">
        <f t="shared" si="219"/>
        <v>0</v>
      </c>
    </row>
    <row r="607" spans="1:28" x14ac:dyDescent="0.25">
      <c r="A607" s="16">
        <f>OrdersTable!A607</f>
        <v>771</v>
      </c>
      <c r="B607" s="15" t="str">
        <f t="shared" si="199"/>
        <v>Dr</v>
      </c>
      <c r="C607" s="15" t="str">
        <f t="shared" si="220"/>
        <v>Virk</v>
      </c>
      <c r="D607" s="15" t="str">
        <f t="shared" si="200"/>
        <v>Balraj Singh</v>
      </c>
      <c r="E607" s="15" t="str">
        <f t="shared" si="201"/>
        <v>39 Napanje Drive</v>
      </c>
      <c r="F607" s="15" t="str">
        <f t="shared" si="202"/>
        <v>Abington</v>
      </c>
      <c r="G607" s="15" t="str">
        <f t="shared" si="203"/>
        <v>QLD</v>
      </c>
      <c r="H607" s="15">
        <f t="shared" si="204"/>
        <v>4660</v>
      </c>
      <c r="I607" s="15">
        <f t="shared" si="215"/>
        <v>336</v>
      </c>
      <c r="J607" s="15">
        <f>OrdersTable!B607</f>
        <v>358</v>
      </c>
      <c r="K607" s="15" t="str">
        <f t="shared" si="205"/>
        <v>Clothing and Apparel</v>
      </c>
      <c r="L607" s="15" t="str">
        <f t="shared" si="206"/>
        <v xml:space="preserve">Doctor Who: T-Shirts: 5th Doctor Costume </v>
      </c>
      <c r="M607" s="15" t="str">
        <f t="shared" si="207"/>
        <v>M</v>
      </c>
      <c r="N607" s="15">
        <f t="shared" si="208"/>
        <v>0.8</v>
      </c>
      <c r="O607" s="15" t="str">
        <f t="shared" si="209"/>
        <v>A30</v>
      </c>
      <c r="P607" s="15" t="str">
        <f t="shared" si="210"/>
        <v>Chesterton Enterprises</v>
      </c>
      <c r="Q607" s="15" t="str">
        <f t="shared" si="211"/>
        <v>41 William Russell Road</v>
      </c>
      <c r="R607" s="3">
        <f>OrdersTable!C607</f>
        <v>44605</v>
      </c>
      <c r="S607" s="15">
        <f>OrdersTable!E607</f>
        <v>10</v>
      </c>
      <c r="T607" s="15">
        <f t="shared" si="212"/>
        <v>15.99</v>
      </c>
      <c r="U607" s="15">
        <f t="shared" si="213"/>
        <v>21.96</v>
      </c>
      <c r="V607" s="15">
        <f t="shared" si="214"/>
        <v>25.9</v>
      </c>
      <c r="W607" s="15">
        <f>IF(MarkupType="Store Markup",ROUND(V607+V607*StoreMarkup,2),IF(MarkupType="Supplier Markup",V607+V607*SupplierMarkup,"Error at finding value"))</f>
        <v>40.79</v>
      </c>
      <c r="X607" s="32" t="str">
        <f t="shared" si="216"/>
        <v>0.00</v>
      </c>
      <c r="Y607" s="15">
        <f t="shared" si="217"/>
        <v>259</v>
      </c>
      <c r="Z607" s="15">
        <f t="shared" si="218"/>
        <v>407.9</v>
      </c>
      <c r="AA607" s="15">
        <f>IF(FreightType="Lethbridge-Stewart Freight ",ROUND(2.99+IF(N607&gt;0.75,(N607-0.75)*2.25,0)*S607,2),IF(MarkupType="Supplier Markup",V607+V607*SupplierMarkup,"Error at finding value"))</f>
        <v>4.12</v>
      </c>
      <c r="AB607" s="15">
        <f t="shared" si="219"/>
        <v>0</v>
      </c>
    </row>
    <row r="608" spans="1:28" x14ac:dyDescent="0.25">
      <c r="A608" s="16">
        <f>OrdersTable!A608</f>
        <v>823</v>
      </c>
      <c r="B608" s="15" t="str">
        <f t="shared" si="199"/>
        <v>Mrs</v>
      </c>
      <c r="C608" s="15" t="str">
        <f t="shared" si="220"/>
        <v>Riordan</v>
      </c>
      <c r="D608" s="15" t="str">
        <f t="shared" si="200"/>
        <v>Brianna Leigh</v>
      </c>
      <c r="E608" s="15" t="str">
        <f t="shared" si="201"/>
        <v>7 Boyd Crescent</v>
      </c>
      <c r="F608" s="15" t="str">
        <f t="shared" si="202"/>
        <v>Bamboo</v>
      </c>
      <c r="G608" s="15" t="str">
        <f t="shared" si="203"/>
        <v>QLD</v>
      </c>
      <c r="H608" s="15">
        <f t="shared" si="204"/>
        <v>4873</v>
      </c>
      <c r="I608" s="15">
        <f t="shared" si="215"/>
        <v>1741</v>
      </c>
      <c r="J608" s="15">
        <f>OrdersTable!B608</f>
        <v>817</v>
      </c>
      <c r="K608" s="15" t="str">
        <f t="shared" si="205"/>
        <v>Statues and Busts</v>
      </c>
      <c r="L608" s="15" t="str">
        <f t="shared" si="206"/>
        <v>Doctor Who: Masterpiece Collection Maxi Bust: Torchwood Captain Jack Harkness</v>
      </c>
      <c r="M608" s="15" t="str">
        <f t="shared" si="207"/>
        <v>-</v>
      </c>
      <c r="N608" s="15">
        <f t="shared" si="208"/>
        <v>2.5</v>
      </c>
      <c r="O608" s="15" t="str">
        <f t="shared" si="209"/>
        <v>A10</v>
      </c>
      <c r="P608" s="15" t="str">
        <f t="shared" si="210"/>
        <v>Gallifrey International</v>
      </c>
      <c r="Q608" s="15" t="str">
        <f t="shared" si="211"/>
        <v>181 Arcadia Street</v>
      </c>
      <c r="R608" s="3">
        <f>OrdersTable!C608</f>
        <v>44605</v>
      </c>
      <c r="S608" s="15">
        <f>OrdersTable!E608</f>
        <v>3</v>
      </c>
      <c r="T608" s="15">
        <f t="shared" si="212"/>
        <v>49.99</v>
      </c>
      <c r="U608" s="15">
        <f t="shared" si="213"/>
        <v>68.44</v>
      </c>
      <c r="V608" s="15">
        <f t="shared" si="214"/>
        <v>80.98</v>
      </c>
      <c r="W608" s="15">
        <f>IF(MarkupType="Store Markup",ROUND(V608+V608*StoreMarkup,2),IF(MarkupType="Supplier Markup",V608+V608*SupplierMarkup,"Error at finding value"))</f>
        <v>127.54</v>
      </c>
      <c r="X608" s="32">
        <f t="shared" si="216"/>
        <v>9.09</v>
      </c>
      <c r="Y608" s="15">
        <f t="shared" si="217"/>
        <v>242.94</v>
      </c>
      <c r="Z608" s="15">
        <f t="shared" si="218"/>
        <v>355.35</v>
      </c>
      <c r="AA608" s="15">
        <f>IF(FreightType="Lethbridge-Stewart Freight ",ROUND(2.99+IF(N608&gt;0.75,(N608-0.75)*2.25,0)*S608,2),IF(MarkupType="Supplier Markup",V608+V608*SupplierMarkup,"Error at finding value"))</f>
        <v>14.8</v>
      </c>
      <c r="AB608" s="15">
        <f t="shared" si="219"/>
        <v>27.27</v>
      </c>
    </row>
    <row r="609" spans="1:28" x14ac:dyDescent="0.25">
      <c r="A609" s="16">
        <f>OrdersTable!A609</f>
        <v>42</v>
      </c>
      <c r="B609" s="15" t="str">
        <f t="shared" si="199"/>
        <v>Mr</v>
      </c>
      <c r="C609" s="15" t="str">
        <f t="shared" si="220"/>
        <v>Ballantyne</v>
      </c>
      <c r="D609" s="15" t="str">
        <f t="shared" si="200"/>
        <v>Barry John</v>
      </c>
      <c r="E609" s="15" t="str">
        <f t="shared" si="201"/>
        <v>14 Bachmann Drive</v>
      </c>
      <c r="F609" s="15" t="str">
        <f t="shared" si="202"/>
        <v>Alleena</v>
      </c>
      <c r="G609" s="15" t="str">
        <f t="shared" si="203"/>
        <v>NSW</v>
      </c>
      <c r="H609" s="15">
        <f t="shared" si="204"/>
        <v>2671</v>
      </c>
      <c r="I609" s="15">
        <f t="shared" si="215"/>
        <v>988</v>
      </c>
      <c r="J609" s="15">
        <f>OrdersTable!B609</f>
        <v>330</v>
      </c>
      <c r="K609" s="15" t="str">
        <f t="shared" si="205"/>
        <v>Clothing and Apparel</v>
      </c>
      <c r="L609" s="15" t="str">
        <f t="shared" si="206"/>
        <v xml:space="preserve">Doctor Who: T-Shirts: 4th Doctor Costume </v>
      </c>
      <c r="M609" s="15" t="str">
        <f t="shared" si="207"/>
        <v>M</v>
      </c>
      <c r="N609" s="15">
        <f t="shared" si="208"/>
        <v>0.8</v>
      </c>
      <c r="O609" s="15" t="str">
        <f t="shared" si="209"/>
        <v>A20</v>
      </c>
      <c r="P609" s="15" t="str">
        <f t="shared" si="210"/>
        <v>Morbius Inc.</v>
      </c>
      <c r="Q609" s="15" t="str">
        <f t="shared" si="211"/>
        <v>56 Michael Spice Hwy</v>
      </c>
      <c r="R609" s="3">
        <f>OrdersTable!C609</f>
        <v>44606</v>
      </c>
      <c r="S609" s="15">
        <f>OrdersTable!E609</f>
        <v>5</v>
      </c>
      <c r="T609" s="15">
        <f t="shared" si="212"/>
        <v>15.99</v>
      </c>
      <c r="U609" s="15">
        <f t="shared" si="213"/>
        <v>22.03</v>
      </c>
      <c r="V609" s="15">
        <f t="shared" si="214"/>
        <v>25.9</v>
      </c>
      <c r="W609" s="15">
        <f>IF(MarkupType="Store Markup",ROUND(V609+V609*StoreMarkup,2),IF(MarkupType="Supplier Markup",V609+V609*SupplierMarkup,"Error at finding value"))</f>
        <v>40.79</v>
      </c>
      <c r="X609" s="32" t="str">
        <f t="shared" si="216"/>
        <v>0.00</v>
      </c>
      <c r="Y609" s="15">
        <f t="shared" si="217"/>
        <v>129.5</v>
      </c>
      <c r="Z609" s="15">
        <f t="shared" si="218"/>
        <v>203.95</v>
      </c>
      <c r="AA609" s="15">
        <f>IF(FreightType="Lethbridge-Stewart Freight ",ROUND(2.99+IF(N609&gt;0.75,(N609-0.75)*2.25,0)*S609,2),IF(MarkupType="Supplier Markup",V609+V609*SupplierMarkup,"Error at finding value"))</f>
        <v>3.55</v>
      </c>
      <c r="AB609" s="15">
        <f t="shared" si="219"/>
        <v>0</v>
      </c>
    </row>
    <row r="610" spans="1:28" x14ac:dyDescent="0.25">
      <c r="A610" s="16">
        <f>OrdersTable!A610</f>
        <v>46</v>
      </c>
      <c r="B610" s="15" t="str">
        <f t="shared" si="199"/>
        <v>Mrs</v>
      </c>
      <c r="C610" s="15" t="str">
        <f t="shared" si="220"/>
        <v>Dovey</v>
      </c>
      <c r="D610" s="15" t="str">
        <f t="shared" si="200"/>
        <v>Aisha Jade</v>
      </c>
      <c r="E610" s="15" t="str">
        <f t="shared" si="201"/>
        <v>43 Wilkes Circuit</v>
      </c>
      <c r="F610" s="15" t="str">
        <f t="shared" si="202"/>
        <v>Alfredtown</v>
      </c>
      <c r="G610" s="15" t="str">
        <f t="shared" si="203"/>
        <v>NSW</v>
      </c>
      <c r="H610" s="15">
        <f t="shared" si="204"/>
        <v>2650</v>
      </c>
      <c r="I610" s="15">
        <f t="shared" si="215"/>
        <v>1124</v>
      </c>
      <c r="J610" s="15">
        <f>OrdersTable!B610</f>
        <v>710</v>
      </c>
      <c r="K610" s="15" t="str">
        <f t="shared" si="205"/>
        <v>Posters, Prints and Standees</v>
      </c>
      <c r="L610" s="15" t="str">
        <f t="shared" si="206"/>
        <v>Doctor Who: Poster: Regenerate</v>
      </c>
      <c r="M610" s="15" t="str">
        <f t="shared" si="207"/>
        <v>-</v>
      </c>
      <c r="N610" s="15">
        <f t="shared" si="208"/>
        <v>0.2</v>
      </c>
      <c r="O610" s="15" t="str">
        <f t="shared" si="209"/>
        <v>A40</v>
      </c>
      <c r="P610" s="15" t="str">
        <f t="shared" si="210"/>
        <v>Romana Imports</v>
      </c>
      <c r="Q610" s="15" t="str">
        <f t="shared" si="211"/>
        <v>17 Lalla Ward Road</v>
      </c>
      <c r="R610" s="3">
        <f>OrdersTable!C610</f>
        <v>44606</v>
      </c>
      <c r="S610" s="15">
        <f>OrdersTable!E610</f>
        <v>2</v>
      </c>
      <c r="T610" s="15">
        <f t="shared" si="212"/>
        <v>3.99</v>
      </c>
      <c r="U610" s="15">
        <f t="shared" si="213"/>
        <v>5.5</v>
      </c>
      <c r="V610" s="15">
        <f t="shared" si="214"/>
        <v>6.46</v>
      </c>
      <c r="W610" s="15">
        <f>IF(MarkupType="Store Markup",ROUND(V610+V610*StoreMarkup,2),IF(MarkupType="Supplier Markup",V610+V610*SupplierMarkup,"Error at finding value"))</f>
        <v>10.17</v>
      </c>
      <c r="X610" s="32" t="str">
        <f t="shared" si="216"/>
        <v>0.00</v>
      </c>
      <c r="Y610" s="15">
        <f t="shared" si="217"/>
        <v>12.92</v>
      </c>
      <c r="Z610" s="15">
        <f t="shared" si="218"/>
        <v>20.34</v>
      </c>
      <c r="AA610" s="15">
        <f>IF(FreightType="Lethbridge-Stewart Freight ",ROUND(2.99+IF(N610&gt;0.75,(N610-0.75)*2.25,0)*S610,2),IF(MarkupType="Supplier Markup",V610+V610*SupplierMarkup,"Error at finding value"))</f>
        <v>2.99</v>
      </c>
      <c r="AB610" s="15">
        <f t="shared" si="219"/>
        <v>0</v>
      </c>
    </row>
    <row r="611" spans="1:28" x14ac:dyDescent="0.25">
      <c r="A611" s="16">
        <f>OrdersTable!A611</f>
        <v>296</v>
      </c>
      <c r="B611" s="15" t="str">
        <f t="shared" si="199"/>
        <v>Miss</v>
      </c>
      <c r="C611" s="15" t="str">
        <f t="shared" si="220"/>
        <v>Kussrow</v>
      </c>
      <c r="D611" s="15" t="str">
        <f t="shared" si="200"/>
        <v>Katherine Anne</v>
      </c>
      <c r="E611" s="15" t="str">
        <f t="shared" si="201"/>
        <v>10 Downes Street</v>
      </c>
      <c r="F611" s="15" t="str">
        <f t="shared" si="202"/>
        <v>Breakwater</v>
      </c>
      <c r="G611" s="15" t="str">
        <f t="shared" si="203"/>
        <v>VIC</v>
      </c>
      <c r="H611" s="15">
        <f t="shared" si="204"/>
        <v>3219</v>
      </c>
      <c r="I611" s="15">
        <f t="shared" si="215"/>
        <v>1596</v>
      </c>
      <c r="J611" s="15">
        <f>OrdersTable!B611</f>
        <v>543</v>
      </c>
      <c r="K611" s="15" t="str">
        <f t="shared" si="205"/>
        <v>Giftware</v>
      </c>
      <c r="L611" s="15" t="str">
        <f t="shared" si="206"/>
        <v>Doctor Who: Sonic Screwdriver Pen</v>
      </c>
      <c r="M611" s="15" t="str">
        <f t="shared" si="207"/>
        <v>-</v>
      </c>
      <c r="N611" s="15">
        <f t="shared" si="208"/>
        <v>0.65</v>
      </c>
      <c r="O611" s="15" t="str">
        <f t="shared" si="209"/>
        <v>A20</v>
      </c>
      <c r="P611" s="15" t="str">
        <f t="shared" si="210"/>
        <v>Morbius Inc.</v>
      </c>
      <c r="Q611" s="15" t="str">
        <f t="shared" si="211"/>
        <v>56 Michael Spice Hwy</v>
      </c>
      <c r="R611" s="3">
        <f>OrdersTable!C611</f>
        <v>44606</v>
      </c>
      <c r="S611" s="15">
        <f>OrdersTable!E611</f>
        <v>5</v>
      </c>
      <c r="T611" s="15">
        <f t="shared" si="212"/>
        <v>12.99</v>
      </c>
      <c r="U611" s="15">
        <f t="shared" si="213"/>
        <v>18.02</v>
      </c>
      <c r="V611" s="15">
        <f t="shared" si="214"/>
        <v>21.04</v>
      </c>
      <c r="W611" s="15">
        <f>IF(MarkupType="Store Markup",ROUND(V611+V611*StoreMarkup,2),IF(MarkupType="Supplier Markup",V611+V611*SupplierMarkup,"Error at finding value"))</f>
        <v>33.14</v>
      </c>
      <c r="X611" s="32" t="str">
        <f t="shared" si="216"/>
        <v>0.00</v>
      </c>
      <c r="Y611" s="15">
        <f t="shared" si="217"/>
        <v>105.2</v>
      </c>
      <c r="Z611" s="15">
        <f t="shared" si="218"/>
        <v>165.7</v>
      </c>
      <c r="AA611" s="15">
        <f>IF(FreightType="Lethbridge-Stewart Freight ",ROUND(2.99+IF(N611&gt;0.75,(N611-0.75)*2.25,0)*S611,2),IF(MarkupType="Supplier Markup",V611+V611*SupplierMarkup,"Error at finding value"))</f>
        <v>2.99</v>
      </c>
      <c r="AB611" s="15">
        <f t="shared" si="219"/>
        <v>0</v>
      </c>
    </row>
    <row r="612" spans="1:28" x14ac:dyDescent="0.25">
      <c r="A612" s="16">
        <f>OrdersTable!A612</f>
        <v>329</v>
      </c>
      <c r="B612" s="15" t="str">
        <f t="shared" si="199"/>
        <v>Ms</v>
      </c>
      <c r="C612" s="15" t="str">
        <f t="shared" si="220"/>
        <v>Hubbard</v>
      </c>
      <c r="D612" s="15" t="str">
        <f t="shared" si="200"/>
        <v>Sonya Marie</v>
      </c>
      <c r="E612" s="15" t="str">
        <f t="shared" si="201"/>
        <v>42 Keable Crescent</v>
      </c>
      <c r="F612" s="15" t="str">
        <f t="shared" si="202"/>
        <v>Boston</v>
      </c>
      <c r="G612" s="15" t="str">
        <f t="shared" si="203"/>
        <v>SA</v>
      </c>
      <c r="H612" s="15">
        <f t="shared" si="204"/>
        <v>5607</v>
      </c>
      <c r="I612" s="15">
        <f t="shared" si="215"/>
        <v>2076</v>
      </c>
      <c r="J612" s="15">
        <f>OrdersTable!B612</f>
        <v>826</v>
      </c>
      <c r="K612" s="15" t="str">
        <f t="shared" si="205"/>
        <v>Statues and Busts</v>
      </c>
      <c r="L612" s="15" t="str">
        <f t="shared" si="206"/>
        <v>Doctor Who: Mini Bust: Cyberman</v>
      </c>
      <c r="M612" s="15" t="str">
        <f t="shared" si="207"/>
        <v>-</v>
      </c>
      <c r="N612" s="15">
        <f t="shared" si="208"/>
        <v>1.8</v>
      </c>
      <c r="O612" s="15" t="str">
        <f t="shared" si="209"/>
        <v>A40</v>
      </c>
      <c r="P612" s="15" t="str">
        <f t="shared" si="210"/>
        <v>Romana Imports</v>
      </c>
      <c r="Q612" s="15" t="str">
        <f t="shared" si="211"/>
        <v>17 Lalla Ward Road</v>
      </c>
      <c r="R612" s="3">
        <f>OrdersTable!C612</f>
        <v>44606</v>
      </c>
      <c r="S612" s="15">
        <f>OrdersTable!E612</f>
        <v>1</v>
      </c>
      <c r="T612" s="15">
        <f t="shared" si="212"/>
        <v>35.99</v>
      </c>
      <c r="U612" s="15">
        <f t="shared" si="213"/>
        <v>49.13</v>
      </c>
      <c r="V612" s="15">
        <f t="shared" si="214"/>
        <v>58.3</v>
      </c>
      <c r="W612" s="15">
        <f>IF(MarkupType="Store Markup",ROUND(V612+V612*StoreMarkup,2),IF(MarkupType="Supplier Markup",V612+V612*SupplierMarkup,"Error at finding value"))</f>
        <v>91.82</v>
      </c>
      <c r="X612" s="32" t="str">
        <f t="shared" si="216"/>
        <v>0.00</v>
      </c>
      <c r="Y612" s="15">
        <f t="shared" si="217"/>
        <v>58.3</v>
      </c>
      <c r="Z612" s="15">
        <f t="shared" si="218"/>
        <v>91.82</v>
      </c>
      <c r="AA612" s="15">
        <f>IF(FreightType="Lethbridge-Stewart Freight ",ROUND(2.99+IF(N612&gt;0.75,(N612-0.75)*2.25,0)*S612,2),IF(MarkupType="Supplier Markup",V612+V612*SupplierMarkup,"Error at finding value"))</f>
        <v>5.35</v>
      </c>
      <c r="AB612" s="15">
        <f t="shared" si="219"/>
        <v>0</v>
      </c>
    </row>
    <row r="613" spans="1:28" x14ac:dyDescent="0.25">
      <c r="A613" s="16">
        <f>OrdersTable!A613</f>
        <v>332</v>
      </c>
      <c r="B613" s="15" t="str">
        <f t="shared" si="199"/>
        <v>Mr</v>
      </c>
      <c r="C613" s="15" t="str">
        <f t="shared" si="220"/>
        <v>Selman</v>
      </c>
      <c r="D613" s="15" t="str">
        <f t="shared" si="200"/>
        <v>Jack Ryan</v>
      </c>
      <c r="E613" s="15" t="str">
        <f t="shared" si="201"/>
        <v>17 Van Essen Street</v>
      </c>
      <c r="F613" s="15" t="str">
        <f t="shared" si="202"/>
        <v>Airly</v>
      </c>
      <c r="G613" s="15" t="str">
        <f t="shared" si="203"/>
        <v>VIC</v>
      </c>
      <c r="H613" s="15">
        <f t="shared" si="204"/>
        <v>3851</v>
      </c>
      <c r="I613" s="15">
        <f t="shared" si="215"/>
        <v>1583</v>
      </c>
      <c r="J613" s="15">
        <f>OrdersTable!B613</f>
        <v>607</v>
      </c>
      <c r="K613" s="15" t="str">
        <f t="shared" si="205"/>
        <v>iPhone Skins</v>
      </c>
      <c r="L613" s="15" t="str">
        <f t="shared" si="206"/>
        <v>Doctor Who: iPhone Skin: Keep Calm I'm The Doctor</v>
      </c>
      <c r="M613" s="15" t="str">
        <f t="shared" si="207"/>
        <v>-</v>
      </c>
      <c r="N613" s="15">
        <f t="shared" si="208"/>
        <v>0.5</v>
      </c>
      <c r="O613" s="15" t="str">
        <f t="shared" si="209"/>
        <v>A40</v>
      </c>
      <c r="P613" s="15" t="str">
        <f t="shared" si="210"/>
        <v>Romana Imports</v>
      </c>
      <c r="Q613" s="15" t="str">
        <f t="shared" si="211"/>
        <v>17 Lalla Ward Road</v>
      </c>
      <c r="R613" s="3">
        <f>OrdersTable!C613</f>
        <v>44606</v>
      </c>
      <c r="S613" s="15">
        <f>OrdersTable!E613</f>
        <v>10</v>
      </c>
      <c r="T613" s="15">
        <f t="shared" si="212"/>
        <v>9.99</v>
      </c>
      <c r="U613" s="15">
        <f t="shared" si="213"/>
        <v>13.81</v>
      </c>
      <c r="V613" s="15">
        <f t="shared" si="214"/>
        <v>16.18</v>
      </c>
      <c r="W613" s="15">
        <f>IF(MarkupType="Store Markup",ROUND(V613+V613*StoreMarkup,2),IF(MarkupType="Supplier Markup",V613+V613*SupplierMarkup,"Error at finding value"))</f>
        <v>25.48</v>
      </c>
      <c r="X613" s="32" t="str">
        <f t="shared" si="216"/>
        <v>0.00</v>
      </c>
      <c r="Y613" s="15">
        <f t="shared" si="217"/>
        <v>161.80000000000001</v>
      </c>
      <c r="Z613" s="15">
        <f t="shared" si="218"/>
        <v>254.8</v>
      </c>
      <c r="AA613" s="15">
        <f>IF(FreightType="Lethbridge-Stewart Freight ",ROUND(2.99+IF(N613&gt;0.75,(N613-0.75)*2.25,0)*S613,2),IF(MarkupType="Supplier Markup",V613+V613*SupplierMarkup,"Error at finding value"))</f>
        <v>2.99</v>
      </c>
      <c r="AB613" s="15">
        <f t="shared" si="219"/>
        <v>0</v>
      </c>
    </row>
    <row r="614" spans="1:28" x14ac:dyDescent="0.25">
      <c r="A614" s="16">
        <f>OrdersTable!A614</f>
        <v>334</v>
      </c>
      <c r="B614" s="15" t="str">
        <f t="shared" si="199"/>
        <v>Mrs</v>
      </c>
      <c r="C614" s="15" t="str">
        <f t="shared" si="220"/>
        <v>Wilson</v>
      </c>
      <c r="D614" s="15" t="str">
        <f t="shared" si="200"/>
        <v>Hayley Lauren</v>
      </c>
      <c r="E614" s="15" t="str">
        <f t="shared" si="201"/>
        <v>3 Ashley Crescent</v>
      </c>
      <c r="F614" s="15" t="str">
        <f t="shared" si="202"/>
        <v>Black Hills</v>
      </c>
      <c r="G614" s="15" t="str">
        <f t="shared" si="203"/>
        <v>TAS</v>
      </c>
      <c r="H614" s="15">
        <f t="shared" si="204"/>
        <v>7140</v>
      </c>
      <c r="I614" s="15">
        <f t="shared" si="215"/>
        <v>2191</v>
      </c>
      <c r="J614" s="15">
        <f>OrdersTable!B614</f>
        <v>418</v>
      </c>
      <c r="K614" s="15" t="str">
        <f t="shared" si="205"/>
        <v>Clothing and Apparel</v>
      </c>
      <c r="L614" s="15" t="str">
        <f t="shared" si="206"/>
        <v>Doctor Who: Women's Winter Pyjamas</v>
      </c>
      <c r="M614" s="15" t="str">
        <f t="shared" si="207"/>
        <v>M</v>
      </c>
      <c r="N614" s="15">
        <f t="shared" si="208"/>
        <v>1.5</v>
      </c>
      <c r="O614" s="15" t="str">
        <f t="shared" si="209"/>
        <v>A30</v>
      </c>
      <c r="P614" s="15" t="str">
        <f t="shared" si="210"/>
        <v>Chesterton Enterprises</v>
      </c>
      <c r="Q614" s="15" t="str">
        <f t="shared" si="211"/>
        <v>41 William Russell Road</v>
      </c>
      <c r="R614" s="3">
        <f>OrdersTable!C614</f>
        <v>44606</v>
      </c>
      <c r="S614" s="15">
        <f>OrdersTable!E614</f>
        <v>6</v>
      </c>
      <c r="T614" s="15">
        <f t="shared" si="212"/>
        <v>29.99</v>
      </c>
      <c r="U614" s="15">
        <f t="shared" si="213"/>
        <v>40.96</v>
      </c>
      <c r="V614" s="15">
        <f t="shared" si="214"/>
        <v>48.58</v>
      </c>
      <c r="W614" s="15">
        <f>IF(MarkupType="Store Markup",ROUND(V614+V614*StoreMarkup,2),IF(MarkupType="Supplier Markup",V614+V614*SupplierMarkup,"Error at finding value"))</f>
        <v>76.510000000000005</v>
      </c>
      <c r="X614" s="32" t="str">
        <f t="shared" si="216"/>
        <v>0.00</v>
      </c>
      <c r="Y614" s="15">
        <f t="shared" si="217"/>
        <v>291.48</v>
      </c>
      <c r="Z614" s="15">
        <f t="shared" si="218"/>
        <v>459.06</v>
      </c>
      <c r="AA614" s="15">
        <f>IF(FreightType="Lethbridge-Stewart Freight ",ROUND(2.99+IF(N614&gt;0.75,(N614-0.75)*2.25,0)*S614,2),IF(MarkupType="Supplier Markup",V614+V614*SupplierMarkup,"Error at finding value"))</f>
        <v>13.12</v>
      </c>
      <c r="AB614" s="15">
        <f t="shared" si="219"/>
        <v>0</v>
      </c>
    </row>
    <row r="615" spans="1:28" x14ac:dyDescent="0.25">
      <c r="A615" s="16">
        <f>OrdersTable!A615</f>
        <v>448</v>
      </c>
      <c r="B615" s="15" t="str">
        <f t="shared" si="199"/>
        <v>Mr</v>
      </c>
      <c r="C615" s="15" t="str">
        <f t="shared" si="220"/>
        <v>Earl</v>
      </c>
      <c r="D615" s="15" t="str">
        <f t="shared" si="200"/>
        <v>Benn Robert</v>
      </c>
      <c r="E615" s="15" t="str">
        <f t="shared" si="201"/>
        <v>31 Kae Drive</v>
      </c>
      <c r="F615" s="15" t="str">
        <f t="shared" si="202"/>
        <v>Belford</v>
      </c>
      <c r="G615" s="15" t="str">
        <f t="shared" si="203"/>
        <v>NSW</v>
      </c>
      <c r="H615" s="15">
        <f t="shared" si="204"/>
        <v>2335</v>
      </c>
      <c r="I615" s="15">
        <f t="shared" si="215"/>
        <v>716</v>
      </c>
      <c r="J615" s="15">
        <f>OrdersTable!B615</f>
        <v>843</v>
      </c>
      <c r="K615" s="15" t="str">
        <f t="shared" si="205"/>
        <v>Statues and Busts</v>
      </c>
      <c r="L615" s="15" t="str">
        <f t="shared" si="206"/>
        <v>Doctor Who: Signature Edition Statue: Gallifrey Edition: Tom Baker</v>
      </c>
      <c r="M615" s="15" t="str">
        <f t="shared" si="207"/>
        <v>-</v>
      </c>
      <c r="N615" s="15">
        <f t="shared" si="208"/>
        <v>2.5</v>
      </c>
      <c r="O615" s="15" t="str">
        <f t="shared" si="209"/>
        <v>A20</v>
      </c>
      <c r="P615" s="15" t="str">
        <f t="shared" si="210"/>
        <v>Morbius Inc.</v>
      </c>
      <c r="Q615" s="15" t="str">
        <f t="shared" si="211"/>
        <v>56 Michael Spice Hwy</v>
      </c>
      <c r="R615" s="3">
        <f>OrdersTable!C615</f>
        <v>44606</v>
      </c>
      <c r="S615" s="15">
        <f>OrdersTable!E615</f>
        <v>5</v>
      </c>
      <c r="T615" s="15">
        <f t="shared" si="212"/>
        <v>49.99</v>
      </c>
      <c r="U615" s="15">
        <f t="shared" si="213"/>
        <v>68.33</v>
      </c>
      <c r="V615" s="15">
        <f t="shared" si="214"/>
        <v>80.98</v>
      </c>
      <c r="W615" s="15">
        <f>IF(MarkupType="Store Markup",ROUND(V615+V615*StoreMarkup,2),IF(MarkupType="Supplier Markup",V615+V615*SupplierMarkup,"Error at finding value"))</f>
        <v>127.54</v>
      </c>
      <c r="X615" s="32">
        <f t="shared" si="216"/>
        <v>9.09</v>
      </c>
      <c r="Y615" s="15">
        <f t="shared" si="217"/>
        <v>404.9</v>
      </c>
      <c r="Z615" s="15">
        <f t="shared" si="218"/>
        <v>592.25</v>
      </c>
      <c r="AA615" s="15">
        <f>IF(FreightType="Lethbridge-Stewart Freight ",ROUND(2.99+IF(N615&gt;0.75,(N615-0.75)*2.25,0)*S615,2),IF(MarkupType="Supplier Markup",V615+V615*SupplierMarkup,"Error at finding value"))</f>
        <v>22.68</v>
      </c>
      <c r="AB615" s="15">
        <f t="shared" si="219"/>
        <v>45.45</v>
      </c>
    </row>
    <row r="616" spans="1:28" x14ac:dyDescent="0.25">
      <c r="A616" s="16">
        <f>OrdersTable!A616</f>
        <v>489</v>
      </c>
      <c r="B616" s="15" t="str">
        <f t="shared" si="199"/>
        <v>Mr</v>
      </c>
      <c r="C616" s="15" t="str">
        <f t="shared" si="220"/>
        <v>Edwards</v>
      </c>
      <c r="D616" s="15" t="str">
        <f t="shared" si="200"/>
        <v>Luke Russell</v>
      </c>
      <c r="E616" s="15" t="str">
        <f t="shared" si="201"/>
        <v>43 Valusaga Court</v>
      </c>
      <c r="F616" s="15" t="str">
        <f t="shared" si="202"/>
        <v>Alfredtown</v>
      </c>
      <c r="G616" s="15" t="str">
        <f t="shared" si="203"/>
        <v>NSW</v>
      </c>
      <c r="H616" s="15">
        <f t="shared" si="204"/>
        <v>2650</v>
      </c>
      <c r="I616" s="15">
        <f t="shared" si="215"/>
        <v>1124</v>
      </c>
      <c r="J616" s="15">
        <f>OrdersTable!B616</f>
        <v>757</v>
      </c>
      <c r="K616" s="15" t="str">
        <f t="shared" si="205"/>
        <v>Statues and Busts</v>
      </c>
      <c r="L616" s="15" t="str">
        <f t="shared" si="206"/>
        <v>Doctor Who: Helmet: Ice Warrior</v>
      </c>
      <c r="M616" s="15" t="str">
        <f t="shared" si="207"/>
        <v>-</v>
      </c>
      <c r="N616" s="15">
        <f t="shared" si="208"/>
        <v>1.75</v>
      </c>
      <c r="O616" s="15" t="str">
        <f t="shared" si="209"/>
        <v>A20</v>
      </c>
      <c r="P616" s="15" t="str">
        <f t="shared" si="210"/>
        <v>Morbius Inc.</v>
      </c>
      <c r="Q616" s="15" t="str">
        <f t="shared" si="211"/>
        <v>56 Michael Spice Hwy</v>
      </c>
      <c r="R616" s="3">
        <f>OrdersTable!C616</f>
        <v>44606</v>
      </c>
      <c r="S616" s="15">
        <f>OrdersTable!E616</f>
        <v>10</v>
      </c>
      <c r="T616" s="15">
        <f t="shared" si="212"/>
        <v>34.99</v>
      </c>
      <c r="U616" s="15">
        <f t="shared" si="213"/>
        <v>47.88</v>
      </c>
      <c r="V616" s="15">
        <f t="shared" si="214"/>
        <v>56.68</v>
      </c>
      <c r="W616" s="15">
        <f>IF(MarkupType="Store Markup",ROUND(V616+V616*StoreMarkup,2),IF(MarkupType="Supplier Markup",V616+V616*SupplierMarkup,"Error at finding value"))</f>
        <v>89.27</v>
      </c>
      <c r="X616" s="32" t="str">
        <f t="shared" si="216"/>
        <v>0.00</v>
      </c>
      <c r="Y616" s="15">
        <f t="shared" si="217"/>
        <v>566.79999999999995</v>
      </c>
      <c r="Z616" s="15">
        <f t="shared" si="218"/>
        <v>892.7</v>
      </c>
      <c r="AA616" s="15">
        <f>IF(FreightType="Lethbridge-Stewart Freight ",ROUND(2.99+IF(N616&gt;0.75,(N616-0.75)*2.25,0)*S616,2),IF(MarkupType="Supplier Markup",V616+V616*SupplierMarkup,"Error at finding value"))</f>
        <v>25.49</v>
      </c>
      <c r="AB616" s="15">
        <f t="shared" si="219"/>
        <v>0</v>
      </c>
    </row>
    <row r="617" spans="1:28" x14ac:dyDescent="0.25">
      <c r="A617" s="16">
        <f>OrdersTable!A617</f>
        <v>496</v>
      </c>
      <c r="B617" s="15" t="str">
        <f t="shared" si="199"/>
        <v>Dr</v>
      </c>
      <c r="C617" s="15" t="str">
        <f t="shared" si="220"/>
        <v>Johnston</v>
      </c>
      <c r="D617" s="15" t="str">
        <f t="shared" si="200"/>
        <v>Karrina</v>
      </c>
      <c r="E617" s="15" t="str">
        <f t="shared" si="201"/>
        <v>11 Bishop Drive</v>
      </c>
      <c r="F617" s="15" t="str">
        <f t="shared" si="202"/>
        <v>Belford</v>
      </c>
      <c r="G617" s="15" t="str">
        <f t="shared" si="203"/>
        <v>NSW</v>
      </c>
      <c r="H617" s="15">
        <f t="shared" si="204"/>
        <v>2335</v>
      </c>
      <c r="I617" s="15">
        <f t="shared" si="215"/>
        <v>716</v>
      </c>
      <c r="J617" s="15">
        <f>OrdersTable!B617</f>
        <v>668</v>
      </c>
      <c r="K617" s="15" t="str">
        <f t="shared" si="205"/>
        <v>Mugs</v>
      </c>
      <c r="L617" s="15" t="str">
        <f t="shared" si="206"/>
        <v>Doctor Who: Mug: Silver TARDIS</v>
      </c>
      <c r="M617" s="15" t="str">
        <f t="shared" si="207"/>
        <v>-</v>
      </c>
      <c r="N617" s="15">
        <f t="shared" si="208"/>
        <v>1.1499999999999999</v>
      </c>
      <c r="O617" s="15" t="str">
        <f t="shared" si="209"/>
        <v>A50</v>
      </c>
      <c r="P617" s="15" t="str">
        <f t="shared" si="210"/>
        <v>Rassilon Ltd.</v>
      </c>
      <c r="Q617" s="15" t="str">
        <f t="shared" si="211"/>
        <v>82 Richard Mathews Road</v>
      </c>
      <c r="R617" s="3">
        <f>OrdersTable!C617</f>
        <v>44606</v>
      </c>
      <c r="S617" s="15">
        <f>OrdersTable!E617</f>
        <v>8</v>
      </c>
      <c r="T617" s="15">
        <f t="shared" si="212"/>
        <v>22.99</v>
      </c>
      <c r="U617" s="15">
        <f t="shared" si="213"/>
        <v>31.53</v>
      </c>
      <c r="V617" s="15">
        <f t="shared" si="214"/>
        <v>37.24</v>
      </c>
      <c r="W617" s="15">
        <f>IF(MarkupType="Store Markup",ROUND(V617+V617*StoreMarkup,2),IF(MarkupType="Supplier Markup",V617+V617*SupplierMarkup,"Error at finding value"))</f>
        <v>58.65</v>
      </c>
      <c r="X617" s="32" t="str">
        <f t="shared" si="216"/>
        <v>0.00</v>
      </c>
      <c r="Y617" s="15">
        <f t="shared" si="217"/>
        <v>297.92</v>
      </c>
      <c r="Z617" s="15">
        <f t="shared" si="218"/>
        <v>469.2</v>
      </c>
      <c r="AA617" s="15">
        <f>IF(FreightType="Lethbridge-Stewart Freight ",ROUND(2.99+IF(N617&gt;0.75,(N617-0.75)*2.25,0)*S617,2),IF(MarkupType="Supplier Markup",V617+V617*SupplierMarkup,"Error at finding value"))</f>
        <v>10.19</v>
      </c>
      <c r="AB617" s="15">
        <f t="shared" si="219"/>
        <v>0</v>
      </c>
    </row>
    <row r="618" spans="1:28" x14ac:dyDescent="0.25">
      <c r="A618" s="16">
        <f>OrdersTable!A618</f>
        <v>568</v>
      </c>
      <c r="B618" s="15" t="str">
        <f t="shared" si="199"/>
        <v>Mr</v>
      </c>
      <c r="C618" s="15" t="str">
        <f t="shared" si="220"/>
        <v>Byrne</v>
      </c>
      <c r="D618" s="15" t="str">
        <f t="shared" si="200"/>
        <v>Gregory James</v>
      </c>
      <c r="E618" s="15" t="str">
        <f t="shared" si="201"/>
        <v>18 Doroshenko Crescent</v>
      </c>
      <c r="F618" s="15" t="str">
        <f t="shared" si="202"/>
        <v>Abington</v>
      </c>
      <c r="G618" s="15" t="str">
        <f t="shared" si="203"/>
        <v>QLD</v>
      </c>
      <c r="H618" s="15">
        <f t="shared" si="204"/>
        <v>4660</v>
      </c>
      <c r="I618" s="15">
        <f t="shared" si="215"/>
        <v>336</v>
      </c>
      <c r="J618" s="15">
        <f>OrdersTable!B618</f>
        <v>259</v>
      </c>
      <c r="K618" s="15" t="str">
        <f t="shared" si="205"/>
        <v>Clothing and Apparel</v>
      </c>
      <c r="L618" s="15" t="str">
        <f t="shared" si="206"/>
        <v>Doctor Who: Men's Winter Pyjamas</v>
      </c>
      <c r="M618" s="15" t="str">
        <f t="shared" si="207"/>
        <v>XL</v>
      </c>
      <c r="N618" s="15">
        <f t="shared" si="208"/>
        <v>1.5</v>
      </c>
      <c r="O618" s="15" t="str">
        <f t="shared" si="209"/>
        <v>A50</v>
      </c>
      <c r="P618" s="15" t="str">
        <f t="shared" si="210"/>
        <v>Rassilon Ltd.</v>
      </c>
      <c r="Q618" s="15" t="str">
        <f t="shared" si="211"/>
        <v>82 Richard Mathews Road</v>
      </c>
      <c r="R618" s="3">
        <f>OrdersTable!C618</f>
        <v>44606</v>
      </c>
      <c r="S618" s="15">
        <f>OrdersTable!E618</f>
        <v>8</v>
      </c>
      <c r="T618" s="15">
        <f t="shared" si="212"/>
        <v>29.99</v>
      </c>
      <c r="U618" s="15">
        <f t="shared" si="213"/>
        <v>41.15</v>
      </c>
      <c r="V618" s="15">
        <f t="shared" si="214"/>
        <v>48.58</v>
      </c>
      <c r="W618" s="15">
        <f>IF(MarkupType="Store Markup",ROUND(V618+V618*StoreMarkup,2),IF(MarkupType="Supplier Markup",V618+V618*SupplierMarkup,"Error at finding value"))</f>
        <v>76.510000000000005</v>
      </c>
      <c r="X618" s="32" t="str">
        <f t="shared" si="216"/>
        <v>0.00</v>
      </c>
      <c r="Y618" s="15">
        <f t="shared" si="217"/>
        <v>388.64</v>
      </c>
      <c r="Z618" s="15">
        <f t="shared" si="218"/>
        <v>612.08000000000004</v>
      </c>
      <c r="AA618" s="15">
        <f>IF(FreightType="Lethbridge-Stewart Freight ",ROUND(2.99+IF(N618&gt;0.75,(N618-0.75)*2.25,0)*S618,2),IF(MarkupType="Supplier Markup",V618+V618*SupplierMarkup,"Error at finding value"))</f>
        <v>16.489999999999998</v>
      </c>
      <c r="AB618" s="15">
        <f t="shared" si="219"/>
        <v>0</v>
      </c>
    </row>
    <row r="619" spans="1:28" x14ac:dyDescent="0.25">
      <c r="A619" s="16">
        <f>OrdersTable!A619</f>
        <v>730</v>
      </c>
      <c r="B619" s="15" t="str">
        <f t="shared" si="199"/>
        <v>Mr</v>
      </c>
      <c r="C619" s="15" t="str">
        <f t="shared" si="220"/>
        <v>Romer</v>
      </c>
      <c r="D619" s="15" t="str">
        <f t="shared" si="200"/>
        <v>Leo Alexander</v>
      </c>
      <c r="E619" s="15" t="str">
        <f t="shared" si="201"/>
        <v>47 Bennett Circuit</v>
      </c>
      <c r="F619" s="15" t="str">
        <f t="shared" si="202"/>
        <v>Caliph</v>
      </c>
      <c r="G619" s="15" t="str">
        <f t="shared" si="203"/>
        <v>SA</v>
      </c>
      <c r="H619" s="15">
        <f t="shared" si="204"/>
        <v>5310</v>
      </c>
      <c r="I619" s="15">
        <f t="shared" si="215"/>
        <v>1720</v>
      </c>
      <c r="J619" s="15">
        <f>OrdersTable!B619</f>
        <v>758</v>
      </c>
      <c r="K619" s="15" t="str">
        <f t="shared" si="205"/>
        <v>Statues and Busts</v>
      </c>
      <c r="L619" s="15" t="str">
        <f t="shared" si="206"/>
        <v>Doctor Who: Helmet: Sontaran Officer Linx</v>
      </c>
      <c r="M619" s="15" t="str">
        <f t="shared" si="207"/>
        <v>-</v>
      </c>
      <c r="N619" s="15">
        <f t="shared" si="208"/>
        <v>1.75</v>
      </c>
      <c r="O619" s="15" t="str">
        <f t="shared" si="209"/>
        <v>A50</v>
      </c>
      <c r="P619" s="15" t="str">
        <f t="shared" si="210"/>
        <v>Rassilon Ltd.</v>
      </c>
      <c r="Q619" s="15" t="str">
        <f t="shared" si="211"/>
        <v>82 Richard Mathews Road</v>
      </c>
      <c r="R619" s="3">
        <f>OrdersTable!C619</f>
        <v>44606</v>
      </c>
      <c r="S619" s="15">
        <f>OrdersTable!E619</f>
        <v>7</v>
      </c>
      <c r="T619" s="15">
        <f t="shared" si="212"/>
        <v>34.99</v>
      </c>
      <c r="U619" s="15">
        <f t="shared" si="213"/>
        <v>47.79</v>
      </c>
      <c r="V619" s="15">
        <f t="shared" si="214"/>
        <v>56.68</v>
      </c>
      <c r="W619" s="15">
        <f>IF(MarkupType="Store Markup",ROUND(V619+V619*StoreMarkup,2),IF(MarkupType="Supplier Markup",V619+V619*SupplierMarkup,"Error at finding value"))</f>
        <v>89.27</v>
      </c>
      <c r="X619" s="32" t="str">
        <f t="shared" si="216"/>
        <v>0.00</v>
      </c>
      <c r="Y619" s="15">
        <f t="shared" si="217"/>
        <v>396.76</v>
      </c>
      <c r="Z619" s="15">
        <f t="shared" si="218"/>
        <v>624.89</v>
      </c>
      <c r="AA619" s="15">
        <f>IF(FreightType="Lethbridge-Stewart Freight ",ROUND(2.99+IF(N619&gt;0.75,(N619-0.75)*2.25,0)*S619,2),IF(MarkupType="Supplier Markup",V619+V619*SupplierMarkup,"Error at finding value"))</f>
        <v>18.739999999999998</v>
      </c>
      <c r="AB619" s="15">
        <f t="shared" si="219"/>
        <v>0</v>
      </c>
    </row>
    <row r="620" spans="1:28" x14ac:dyDescent="0.25">
      <c r="A620" s="16">
        <f>OrdersTable!A620</f>
        <v>841</v>
      </c>
      <c r="B620" s="15" t="str">
        <f t="shared" si="199"/>
        <v>Miss</v>
      </c>
      <c r="C620" s="15" t="str">
        <f t="shared" si="220"/>
        <v>Donaghy</v>
      </c>
      <c r="D620" s="15" t="str">
        <f t="shared" si="200"/>
        <v>Elizabeth Mathilde Jane</v>
      </c>
      <c r="E620" s="15" t="str">
        <f t="shared" si="201"/>
        <v>31 Johnson Boulevard</v>
      </c>
      <c r="F620" s="15" t="str">
        <f t="shared" si="202"/>
        <v>Belford</v>
      </c>
      <c r="G620" s="15" t="str">
        <f t="shared" si="203"/>
        <v>NSW</v>
      </c>
      <c r="H620" s="15">
        <f t="shared" si="204"/>
        <v>2335</v>
      </c>
      <c r="I620" s="15">
        <f t="shared" si="215"/>
        <v>716</v>
      </c>
      <c r="J620" s="15">
        <f>OrdersTable!B620</f>
        <v>164</v>
      </c>
      <c r="K620" s="15" t="str">
        <f t="shared" si="205"/>
        <v>Bobbleheads</v>
      </c>
      <c r="L620" s="15" t="str">
        <f t="shared" si="206"/>
        <v>Doctor Who: Bobblehead: Fourth Doctor</v>
      </c>
      <c r="M620" s="15" t="str">
        <f t="shared" si="207"/>
        <v>-</v>
      </c>
      <c r="N620" s="15">
        <f t="shared" si="208"/>
        <v>0.75</v>
      </c>
      <c r="O620" s="15" t="str">
        <f t="shared" si="209"/>
        <v>A40</v>
      </c>
      <c r="P620" s="15" t="str">
        <f t="shared" si="210"/>
        <v>Romana Imports</v>
      </c>
      <c r="Q620" s="15" t="str">
        <f t="shared" si="211"/>
        <v>17 Lalla Ward Road</v>
      </c>
      <c r="R620" s="3">
        <f>OrdersTable!C620</f>
        <v>44606</v>
      </c>
      <c r="S620" s="15">
        <f>OrdersTable!E620</f>
        <v>5</v>
      </c>
      <c r="T620" s="15">
        <f t="shared" si="212"/>
        <v>14.99</v>
      </c>
      <c r="U620" s="15">
        <f t="shared" si="213"/>
        <v>20.53</v>
      </c>
      <c r="V620" s="15">
        <f t="shared" si="214"/>
        <v>24.28</v>
      </c>
      <c r="W620" s="15">
        <f>IF(MarkupType="Store Markup",ROUND(V620+V620*StoreMarkup,2),IF(MarkupType="Supplier Markup",V620+V620*SupplierMarkup,"Error at finding value"))</f>
        <v>38.24</v>
      </c>
      <c r="X620" s="32" t="str">
        <f t="shared" si="216"/>
        <v>0.00</v>
      </c>
      <c r="Y620" s="15">
        <f t="shared" si="217"/>
        <v>121.4</v>
      </c>
      <c r="Z620" s="15">
        <f t="shared" si="218"/>
        <v>191.2</v>
      </c>
      <c r="AA620" s="15">
        <f>IF(FreightType="Lethbridge-Stewart Freight ",ROUND(2.99+IF(N620&gt;0.75,(N620-0.75)*2.25,0)*S620,2),IF(MarkupType="Supplier Markup",V620+V620*SupplierMarkup,"Error at finding value"))</f>
        <v>2.99</v>
      </c>
      <c r="AB620" s="15">
        <f t="shared" si="219"/>
        <v>0</v>
      </c>
    </row>
    <row r="621" spans="1:28" x14ac:dyDescent="0.25">
      <c r="A621" s="16">
        <f>OrdersTable!A621</f>
        <v>923</v>
      </c>
      <c r="B621" s="15" t="str">
        <f t="shared" si="199"/>
        <v>Ms</v>
      </c>
      <c r="C621" s="15" t="str">
        <f t="shared" si="220"/>
        <v>Savage</v>
      </c>
      <c r="D621" s="15" t="str">
        <f t="shared" si="200"/>
        <v>Eliza Margaret</v>
      </c>
      <c r="E621" s="15" t="str">
        <f t="shared" si="201"/>
        <v>28 Whisson Crescent</v>
      </c>
      <c r="F621" s="15" t="str">
        <f t="shared" si="202"/>
        <v>Belconnen</v>
      </c>
      <c r="G621" s="15" t="str">
        <f t="shared" si="203"/>
        <v>ACT</v>
      </c>
      <c r="H621" s="15">
        <f t="shared" si="204"/>
        <v>2617</v>
      </c>
      <c r="I621" s="15">
        <f t="shared" si="215"/>
        <v>1194</v>
      </c>
      <c r="J621" s="15">
        <f>OrdersTable!B621</f>
        <v>213</v>
      </c>
      <c r="K621" s="15" t="str">
        <f t="shared" si="205"/>
        <v>Clothing and Apparel</v>
      </c>
      <c r="L621" s="15" t="str">
        <f t="shared" si="206"/>
        <v>Doctor Who: Fez and Bow Tie</v>
      </c>
      <c r="M621" s="15" t="str">
        <f t="shared" si="207"/>
        <v>-</v>
      </c>
      <c r="N621" s="15">
        <f t="shared" si="208"/>
        <v>0.97499999999999998</v>
      </c>
      <c r="O621" s="15" t="str">
        <f t="shared" si="209"/>
        <v>A50</v>
      </c>
      <c r="P621" s="15" t="str">
        <f t="shared" si="210"/>
        <v>Rassilon Ltd.</v>
      </c>
      <c r="Q621" s="15" t="str">
        <f t="shared" si="211"/>
        <v>82 Richard Mathews Road</v>
      </c>
      <c r="R621" s="3">
        <f>OrdersTable!C621</f>
        <v>44606</v>
      </c>
      <c r="S621" s="15">
        <f>OrdersTable!E621</f>
        <v>1</v>
      </c>
      <c r="T621" s="15">
        <f t="shared" si="212"/>
        <v>19.5</v>
      </c>
      <c r="U621" s="15">
        <f t="shared" si="213"/>
        <v>26.88</v>
      </c>
      <c r="V621" s="15">
        <f t="shared" si="214"/>
        <v>31.59</v>
      </c>
      <c r="W621" s="15">
        <f>IF(MarkupType="Store Markup",ROUND(V621+V621*StoreMarkup,2),IF(MarkupType="Supplier Markup",V621+V621*SupplierMarkup,"Error at finding value"))</f>
        <v>49.75</v>
      </c>
      <c r="X621" s="32" t="str">
        <f t="shared" si="216"/>
        <v>0.00</v>
      </c>
      <c r="Y621" s="15">
        <f t="shared" si="217"/>
        <v>31.59</v>
      </c>
      <c r="Z621" s="15">
        <f t="shared" si="218"/>
        <v>49.75</v>
      </c>
      <c r="AA621" s="15">
        <f>IF(FreightType="Lethbridge-Stewart Freight ",ROUND(2.99+IF(N621&gt;0.75,(N621-0.75)*2.25,0)*S621,2),IF(MarkupType="Supplier Markup",V621+V621*SupplierMarkup,"Error at finding value"))</f>
        <v>3.5</v>
      </c>
      <c r="AB621" s="15">
        <f t="shared" si="219"/>
        <v>0</v>
      </c>
    </row>
    <row r="622" spans="1:28" x14ac:dyDescent="0.25">
      <c r="A622" s="16">
        <f>OrdersTable!A622</f>
        <v>224</v>
      </c>
      <c r="B622" s="15" t="str">
        <f t="shared" si="199"/>
        <v>Miss</v>
      </c>
      <c r="C622" s="15" t="str">
        <f t="shared" si="220"/>
        <v>Baruwal</v>
      </c>
      <c r="D622" s="15" t="str">
        <f t="shared" si="200"/>
        <v>Pratikshya</v>
      </c>
      <c r="E622" s="15" t="str">
        <f t="shared" si="201"/>
        <v>43 Gilloway Street</v>
      </c>
      <c r="F622" s="15" t="str">
        <f t="shared" si="202"/>
        <v>Iluka</v>
      </c>
      <c r="G622" s="15" t="str">
        <f t="shared" si="203"/>
        <v>NSW</v>
      </c>
      <c r="H622" s="15">
        <f t="shared" si="204"/>
        <v>2466</v>
      </c>
      <c r="I622" s="15">
        <f t="shared" si="215"/>
        <v>347</v>
      </c>
      <c r="J622" s="15">
        <f>OrdersTable!B622</f>
        <v>196</v>
      </c>
      <c r="K622" s="15" t="str">
        <f t="shared" si="205"/>
        <v>Clothing and Apparel</v>
      </c>
      <c r="L622" s="15" t="str">
        <f t="shared" si="206"/>
        <v>Doctor Who: 12 Foot Tom Baker Scarf</v>
      </c>
      <c r="M622" s="15" t="str">
        <f t="shared" si="207"/>
        <v>-</v>
      </c>
      <c r="N622" s="15">
        <f t="shared" si="208"/>
        <v>2.5</v>
      </c>
      <c r="O622" s="15" t="str">
        <f t="shared" si="209"/>
        <v>A40</v>
      </c>
      <c r="P622" s="15" t="str">
        <f t="shared" si="210"/>
        <v>Romana Imports</v>
      </c>
      <c r="Q622" s="15" t="str">
        <f t="shared" si="211"/>
        <v>17 Lalla Ward Road</v>
      </c>
      <c r="R622" s="3">
        <f>OrdersTable!C622</f>
        <v>44607</v>
      </c>
      <c r="S622" s="15">
        <f>OrdersTable!E622</f>
        <v>8</v>
      </c>
      <c r="T622" s="15">
        <f t="shared" si="212"/>
        <v>49.99</v>
      </c>
      <c r="U622" s="15">
        <f t="shared" si="213"/>
        <v>68.28</v>
      </c>
      <c r="V622" s="15">
        <f t="shared" si="214"/>
        <v>80.98</v>
      </c>
      <c r="W622" s="15">
        <f>IF(MarkupType="Store Markup",ROUND(V622+V622*StoreMarkup,2),IF(MarkupType="Supplier Markup",V622+V622*SupplierMarkup,"Error at finding value"))</f>
        <v>127.54</v>
      </c>
      <c r="X622" s="32">
        <f t="shared" si="216"/>
        <v>9.09</v>
      </c>
      <c r="Y622" s="15">
        <f t="shared" si="217"/>
        <v>647.84</v>
      </c>
      <c r="Z622" s="15">
        <f t="shared" si="218"/>
        <v>947.6</v>
      </c>
      <c r="AA622" s="15">
        <f>IF(FreightType="Lethbridge-Stewart Freight ",ROUND(2.99+IF(N622&gt;0.75,(N622-0.75)*2.25,0)*S622,2),IF(MarkupType="Supplier Markup",V622+V622*SupplierMarkup,"Error at finding value"))</f>
        <v>34.49</v>
      </c>
      <c r="AB622" s="15">
        <f t="shared" si="219"/>
        <v>72.72</v>
      </c>
    </row>
    <row r="623" spans="1:28" x14ac:dyDescent="0.25">
      <c r="A623" s="16">
        <f>OrdersTable!A623</f>
        <v>226</v>
      </c>
      <c r="B623" s="15" t="str">
        <f t="shared" si="199"/>
        <v>Ms</v>
      </c>
      <c r="C623" s="15" t="str">
        <f t="shared" si="220"/>
        <v>Stewart</v>
      </c>
      <c r="D623" s="15" t="str">
        <f t="shared" si="200"/>
        <v>Jodi Louise</v>
      </c>
      <c r="E623" s="15" t="str">
        <f t="shared" si="201"/>
        <v>33 Abington Court</v>
      </c>
      <c r="F623" s="15" t="str">
        <f t="shared" si="202"/>
        <v>Iluka</v>
      </c>
      <c r="G623" s="15" t="str">
        <f t="shared" si="203"/>
        <v>NSW</v>
      </c>
      <c r="H623" s="15">
        <f t="shared" si="204"/>
        <v>2466</v>
      </c>
      <c r="I623" s="15">
        <f t="shared" si="215"/>
        <v>347</v>
      </c>
      <c r="J623" s="15">
        <f>OrdersTable!B623</f>
        <v>762</v>
      </c>
      <c r="K623" s="15" t="str">
        <f t="shared" si="205"/>
        <v>Statues and Busts</v>
      </c>
      <c r="L623" s="15" t="str">
        <f t="shared" si="206"/>
        <v>Doctor Who: Legends Forever Bust: Patrick Troughton</v>
      </c>
      <c r="M623" s="15" t="str">
        <f t="shared" si="207"/>
        <v>-</v>
      </c>
      <c r="N623" s="15">
        <f t="shared" si="208"/>
        <v>1.375</v>
      </c>
      <c r="O623" s="15" t="str">
        <f t="shared" si="209"/>
        <v>A40</v>
      </c>
      <c r="P623" s="15" t="str">
        <f t="shared" si="210"/>
        <v>Romana Imports</v>
      </c>
      <c r="Q623" s="15" t="str">
        <f t="shared" si="211"/>
        <v>17 Lalla Ward Road</v>
      </c>
      <c r="R623" s="3">
        <f>OrdersTable!C623</f>
        <v>44607</v>
      </c>
      <c r="S623" s="15">
        <f>OrdersTable!E623</f>
        <v>5</v>
      </c>
      <c r="T623" s="15">
        <f t="shared" si="212"/>
        <v>27.5</v>
      </c>
      <c r="U623" s="15">
        <f t="shared" si="213"/>
        <v>37.799999999999997</v>
      </c>
      <c r="V623" s="15">
        <f t="shared" si="214"/>
        <v>44.55</v>
      </c>
      <c r="W623" s="15">
        <f>IF(MarkupType="Store Markup",ROUND(V623+V623*StoreMarkup,2),IF(MarkupType="Supplier Markup",V623+V623*SupplierMarkup,"Error at finding value"))</f>
        <v>70.17</v>
      </c>
      <c r="X623" s="32" t="str">
        <f t="shared" si="216"/>
        <v>0.00</v>
      </c>
      <c r="Y623" s="15">
        <f t="shared" si="217"/>
        <v>222.75</v>
      </c>
      <c r="Z623" s="15">
        <f t="shared" si="218"/>
        <v>350.85</v>
      </c>
      <c r="AA623" s="15">
        <f>IF(FreightType="Lethbridge-Stewart Freight ",ROUND(2.99+IF(N623&gt;0.75,(N623-0.75)*2.25,0)*S623,2),IF(MarkupType="Supplier Markup",V623+V623*SupplierMarkup,"Error at finding value"))</f>
        <v>10.02</v>
      </c>
      <c r="AB623" s="15">
        <f t="shared" si="219"/>
        <v>0</v>
      </c>
    </row>
    <row r="624" spans="1:28" x14ac:dyDescent="0.25">
      <c r="A624" s="16">
        <f>OrdersTable!A624</f>
        <v>308</v>
      </c>
      <c r="B624" s="15" t="str">
        <f t="shared" si="199"/>
        <v>Dr</v>
      </c>
      <c r="C624" s="15" t="str">
        <f t="shared" si="220"/>
        <v>Azar</v>
      </c>
      <c r="D624" s="15" t="str">
        <f t="shared" si="200"/>
        <v>Mariam</v>
      </c>
      <c r="E624" s="15" t="str">
        <f t="shared" si="201"/>
        <v>26 Osmond Road</v>
      </c>
      <c r="F624" s="15" t="str">
        <f t="shared" si="202"/>
        <v>Boston</v>
      </c>
      <c r="G624" s="15" t="str">
        <f t="shared" si="203"/>
        <v>SA</v>
      </c>
      <c r="H624" s="15">
        <f t="shared" si="204"/>
        <v>5607</v>
      </c>
      <c r="I624" s="15">
        <f t="shared" si="215"/>
        <v>2076</v>
      </c>
      <c r="J624" s="15">
        <f>OrdersTable!B624</f>
        <v>867</v>
      </c>
      <c r="K624" s="15" t="str">
        <f t="shared" si="205"/>
        <v>Statues and Busts</v>
      </c>
      <c r="L624" s="15" t="str">
        <f t="shared" si="206"/>
        <v>Doctor Who: TITANS: The 11th Doctor</v>
      </c>
      <c r="M624" s="15" t="str">
        <f t="shared" si="207"/>
        <v>-</v>
      </c>
      <c r="N624" s="15">
        <f t="shared" si="208"/>
        <v>0.4</v>
      </c>
      <c r="O624" s="15" t="str">
        <f t="shared" si="209"/>
        <v>A20</v>
      </c>
      <c r="P624" s="15" t="str">
        <f t="shared" si="210"/>
        <v>Morbius Inc.</v>
      </c>
      <c r="Q624" s="15" t="str">
        <f t="shared" si="211"/>
        <v>56 Michael Spice Hwy</v>
      </c>
      <c r="R624" s="3">
        <f>OrdersTable!C624</f>
        <v>44607</v>
      </c>
      <c r="S624" s="15">
        <f>OrdersTable!E624</f>
        <v>6</v>
      </c>
      <c r="T624" s="15">
        <f t="shared" si="212"/>
        <v>7.99</v>
      </c>
      <c r="U624" s="15">
        <f t="shared" si="213"/>
        <v>11.1</v>
      </c>
      <c r="V624" s="15">
        <f t="shared" si="214"/>
        <v>12.94</v>
      </c>
      <c r="W624" s="15">
        <f>IF(MarkupType="Store Markup",ROUND(V624+V624*StoreMarkup,2),IF(MarkupType="Supplier Markup",V624+V624*SupplierMarkup,"Error at finding value"))</f>
        <v>20.38</v>
      </c>
      <c r="X624" s="32" t="str">
        <f t="shared" si="216"/>
        <v>0.00</v>
      </c>
      <c r="Y624" s="15">
        <f t="shared" si="217"/>
        <v>77.64</v>
      </c>
      <c r="Z624" s="15">
        <f t="shared" si="218"/>
        <v>122.28</v>
      </c>
      <c r="AA624" s="15">
        <f>IF(FreightType="Lethbridge-Stewart Freight ",ROUND(2.99+IF(N624&gt;0.75,(N624-0.75)*2.25,0)*S624,2),IF(MarkupType="Supplier Markup",V624+V624*SupplierMarkup,"Error at finding value"))</f>
        <v>2.99</v>
      </c>
      <c r="AB624" s="15">
        <f t="shared" si="219"/>
        <v>0</v>
      </c>
    </row>
    <row r="625" spans="1:28" x14ac:dyDescent="0.25">
      <c r="A625" s="16">
        <f>OrdersTable!A625</f>
        <v>312</v>
      </c>
      <c r="B625" s="15" t="str">
        <f t="shared" si="199"/>
        <v>Mr</v>
      </c>
      <c r="C625" s="15" t="str">
        <f t="shared" si="220"/>
        <v>Lloyd</v>
      </c>
      <c r="D625" s="15" t="str">
        <f t="shared" si="200"/>
        <v>Ben</v>
      </c>
      <c r="E625" s="15" t="str">
        <f t="shared" si="201"/>
        <v>13 Stark Avenue</v>
      </c>
      <c r="F625" s="15" t="str">
        <f t="shared" si="202"/>
        <v>Iluka</v>
      </c>
      <c r="G625" s="15" t="str">
        <f t="shared" si="203"/>
        <v>NSW</v>
      </c>
      <c r="H625" s="15">
        <f t="shared" si="204"/>
        <v>2466</v>
      </c>
      <c r="I625" s="15">
        <f t="shared" si="215"/>
        <v>347</v>
      </c>
      <c r="J625" s="15">
        <f>OrdersTable!B625</f>
        <v>213</v>
      </c>
      <c r="K625" s="15" t="str">
        <f t="shared" si="205"/>
        <v>Clothing and Apparel</v>
      </c>
      <c r="L625" s="15" t="str">
        <f t="shared" si="206"/>
        <v>Doctor Who: Fez and Bow Tie</v>
      </c>
      <c r="M625" s="15" t="str">
        <f t="shared" si="207"/>
        <v>-</v>
      </c>
      <c r="N625" s="15">
        <f t="shared" si="208"/>
        <v>0.97499999999999998</v>
      </c>
      <c r="O625" s="15" t="str">
        <f t="shared" si="209"/>
        <v>A50</v>
      </c>
      <c r="P625" s="15" t="str">
        <f t="shared" si="210"/>
        <v>Rassilon Ltd.</v>
      </c>
      <c r="Q625" s="15" t="str">
        <f t="shared" si="211"/>
        <v>82 Richard Mathews Road</v>
      </c>
      <c r="R625" s="3">
        <f>OrdersTable!C625</f>
        <v>44607</v>
      </c>
      <c r="S625" s="15">
        <f>OrdersTable!E625</f>
        <v>9</v>
      </c>
      <c r="T625" s="15">
        <f t="shared" si="212"/>
        <v>19.5</v>
      </c>
      <c r="U625" s="15">
        <f t="shared" si="213"/>
        <v>26.88</v>
      </c>
      <c r="V625" s="15">
        <f t="shared" si="214"/>
        <v>31.59</v>
      </c>
      <c r="W625" s="15">
        <f>IF(MarkupType="Store Markup",ROUND(V625+V625*StoreMarkup,2),IF(MarkupType="Supplier Markup",V625+V625*SupplierMarkup,"Error at finding value"))</f>
        <v>49.75</v>
      </c>
      <c r="X625" s="32" t="str">
        <f t="shared" si="216"/>
        <v>0.00</v>
      </c>
      <c r="Y625" s="15">
        <f t="shared" si="217"/>
        <v>284.31</v>
      </c>
      <c r="Z625" s="15">
        <f t="shared" si="218"/>
        <v>447.75</v>
      </c>
      <c r="AA625" s="15">
        <f>IF(FreightType="Lethbridge-Stewart Freight ",ROUND(2.99+IF(N625&gt;0.75,(N625-0.75)*2.25,0)*S625,2),IF(MarkupType="Supplier Markup",V625+V625*SupplierMarkup,"Error at finding value"))</f>
        <v>7.55</v>
      </c>
      <c r="AB625" s="15">
        <f t="shared" si="219"/>
        <v>0</v>
      </c>
    </row>
    <row r="626" spans="1:28" x14ac:dyDescent="0.25">
      <c r="A626" s="16">
        <f>OrdersTable!A626</f>
        <v>312</v>
      </c>
      <c r="B626" s="15" t="str">
        <f t="shared" si="199"/>
        <v>Mr</v>
      </c>
      <c r="C626" s="15" t="str">
        <f t="shared" si="220"/>
        <v>Lloyd</v>
      </c>
      <c r="D626" s="15" t="str">
        <f t="shared" si="200"/>
        <v>Ben</v>
      </c>
      <c r="E626" s="15" t="str">
        <f t="shared" si="201"/>
        <v>13 Stark Avenue</v>
      </c>
      <c r="F626" s="15" t="str">
        <f t="shared" si="202"/>
        <v>Iluka</v>
      </c>
      <c r="G626" s="15" t="str">
        <f t="shared" si="203"/>
        <v>NSW</v>
      </c>
      <c r="H626" s="15">
        <f t="shared" si="204"/>
        <v>2466</v>
      </c>
      <c r="I626" s="15">
        <f t="shared" si="215"/>
        <v>347</v>
      </c>
      <c r="J626" s="15">
        <f>OrdersTable!B626</f>
        <v>580</v>
      </c>
      <c r="K626" s="15" t="str">
        <f t="shared" si="205"/>
        <v>Giftware</v>
      </c>
      <c r="L626" s="15" t="str">
        <f t="shared" si="206"/>
        <v>Doctor Who: Wallpaper: Classic TARDIS Columns</v>
      </c>
      <c r="M626" s="15" t="str">
        <f t="shared" si="207"/>
        <v>-</v>
      </c>
      <c r="N626" s="15">
        <f t="shared" si="208"/>
        <v>0.65500000000000003</v>
      </c>
      <c r="O626" s="15" t="str">
        <f t="shared" si="209"/>
        <v>A50</v>
      </c>
      <c r="P626" s="15" t="str">
        <f t="shared" si="210"/>
        <v>Rassilon Ltd.</v>
      </c>
      <c r="Q626" s="15" t="str">
        <f t="shared" si="211"/>
        <v>82 Richard Mathews Road</v>
      </c>
      <c r="R626" s="3">
        <f>OrdersTable!C626</f>
        <v>44607</v>
      </c>
      <c r="S626" s="15">
        <f>OrdersTable!E626</f>
        <v>2</v>
      </c>
      <c r="T626" s="15">
        <f t="shared" si="212"/>
        <v>13.11</v>
      </c>
      <c r="U626" s="15">
        <f t="shared" si="213"/>
        <v>18.18</v>
      </c>
      <c r="V626" s="15">
        <f t="shared" si="214"/>
        <v>21.24</v>
      </c>
      <c r="W626" s="15">
        <f>IF(MarkupType="Store Markup",ROUND(V626+V626*StoreMarkup,2),IF(MarkupType="Supplier Markup",V626+V626*SupplierMarkup,"Error at finding value"))</f>
        <v>33.450000000000003</v>
      </c>
      <c r="X626" s="32" t="str">
        <f t="shared" si="216"/>
        <v>0.00</v>
      </c>
      <c r="Y626" s="15">
        <f t="shared" si="217"/>
        <v>42.48</v>
      </c>
      <c r="Z626" s="15">
        <f t="shared" si="218"/>
        <v>66.900000000000006</v>
      </c>
      <c r="AA626" s="15">
        <f>IF(FreightType="Lethbridge-Stewart Freight ",ROUND(2.99+IF(N626&gt;0.75,(N626-0.75)*2.25,0)*S626,2),IF(MarkupType="Supplier Markup",V626+V626*SupplierMarkup,"Error at finding value"))</f>
        <v>2.99</v>
      </c>
      <c r="AB626" s="15">
        <f t="shared" si="219"/>
        <v>0</v>
      </c>
    </row>
    <row r="627" spans="1:28" x14ac:dyDescent="0.25">
      <c r="A627" s="16">
        <f>OrdersTable!A627</f>
        <v>360</v>
      </c>
      <c r="B627" s="15" t="str">
        <f t="shared" si="199"/>
        <v>Ms</v>
      </c>
      <c r="C627" s="15" t="str">
        <f t="shared" si="220"/>
        <v>Bobonica</v>
      </c>
      <c r="D627" s="15" t="str">
        <f t="shared" si="200"/>
        <v>Claudia</v>
      </c>
      <c r="E627" s="15" t="str">
        <f t="shared" si="201"/>
        <v>47 Klein Way</v>
      </c>
      <c r="F627" s="15" t="str">
        <f t="shared" si="202"/>
        <v>Avon Plains</v>
      </c>
      <c r="G627" s="15" t="str">
        <f t="shared" si="203"/>
        <v>VIC</v>
      </c>
      <c r="H627" s="15">
        <f t="shared" si="204"/>
        <v>3477</v>
      </c>
      <c r="I627" s="15">
        <f t="shared" si="215"/>
        <v>1565</v>
      </c>
      <c r="J627" s="15">
        <f>OrdersTable!B627</f>
        <v>710</v>
      </c>
      <c r="K627" s="15" t="str">
        <f t="shared" si="205"/>
        <v>Posters, Prints and Standees</v>
      </c>
      <c r="L627" s="15" t="str">
        <f t="shared" si="206"/>
        <v>Doctor Who: Poster: Regenerate</v>
      </c>
      <c r="M627" s="15" t="str">
        <f t="shared" si="207"/>
        <v>-</v>
      </c>
      <c r="N627" s="15">
        <f t="shared" si="208"/>
        <v>0.2</v>
      </c>
      <c r="O627" s="15" t="str">
        <f t="shared" si="209"/>
        <v>A40</v>
      </c>
      <c r="P627" s="15" t="str">
        <f t="shared" si="210"/>
        <v>Romana Imports</v>
      </c>
      <c r="Q627" s="15" t="str">
        <f t="shared" si="211"/>
        <v>17 Lalla Ward Road</v>
      </c>
      <c r="R627" s="3">
        <f>OrdersTable!C627</f>
        <v>44607</v>
      </c>
      <c r="S627" s="15">
        <f>OrdersTable!E627</f>
        <v>3</v>
      </c>
      <c r="T627" s="15">
        <f t="shared" si="212"/>
        <v>3.99</v>
      </c>
      <c r="U627" s="15">
        <f t="shared" si="213"/>
        <v>5.5</v>
      </c>
      <c r="V627" s="15">
        <f t="shared" si="214"/>
        <v>6.46</v>
      </c>
      <c r="W627" s="15">
        <f>IF(MarkupType="Store Markup",ROUND(V627+V627*StoreMarkup,2),IF(MarkupType="Supplier Markup",V627+V627*SupplierMarkup,"Error at finding value"))</f>
        <v>10.17</v>
      </c>
      <c r="X627" s="32" t="str">
        <f t="shared" si="216"/>
        <v>0.00</v>
      </c>
      <c r="Y627" s="15">
        <f t="shared" si="217"/>
        <v>19.38</v>
      </c>
      <c r="Z627" s="15">
        <f t="shared" si="218"/>
        <v>30.51</v>
      </c>
      <c r="AA627" s="15">
        <f>IF(FreightType="Lethbridge-Stewart Freight ",ROUND(2.99+IF(N627&gt;0.75,(N627-0.75)*2.25,0)*S627,2),IF(MarkupType="Supplier Markup",V627+V627*SupplierMarkup,"Error at finding value"))</f>
        <v>2.99</v>
      </c>
      <c r="AB627" s="15">
        <f t="shared" si="219"/>
        <v>0</v>
      </c>
    </row>
    <row r="628" spans="1:28" x14ac:dyDescent="0.25">
      <c r="A628" s="16">
        <f>OrdersTable!A628</f>
        <v>362</v>
      </c>
      <c r="B628" s="15" t="str">
        <f t="shared" si="199"/>
        <v>Mr</v>
      </c>
      <c r="C628" s="15" t="str">
        <f t="shared" si="220"/>
        <v>Hurst</v>
      </c>
      <c r="D628" s="15" t="str">
        <f t="shared" si="200"/>
        <v>Ralph Gregory</v>
      </c>
      <c r="E628" s="15" t="str">
        <f t="shared" si="201"/>
        <v>45 Blakeney Road</v>
      </c>
      <c r="F628" s="15" t="str">
        <f t="shared" si="202"/>
        <v>Iluka</v>
      </c>
      <c r="G628" s="15" t="str">
        <f t="shared" si="203"/>
        <v>NSW</v>
      </c>
      <c r="H628" s="15">
        <f t="shared" si="204"/>
        <v>2466</v>
      </c>
      <c r="I628" s="15">
        <f t="shared" si="215"/>
        <v>347</v>
      </c>
      <c r="J628" s="15">
        <f>OrdersTable!B628</f>
        <v>704</v>
      </c>
      <c r="K628" s="15" t="str">
        <f t="shared" si="205"/>
        <v>Posters, Prints and Standees</v>
      </c>
      <c r="L628" s="15" t="str">
        <f t="shared" si="206"/>
        <v>Doctor Who: Poster: Doctor's Enemies</v>
      </c>
      <c r="M628" s="15" t="str">
        <f t="shared" si="207"/>
        <v>-</v>
      </c>
      <c r="N628" s="15">
        <f t="shared" si="208"/>
        <v>0.2</v>
      </c>
      <c r="O628" s="15" t="str">
        <f t="shared" si="209"/>
        <v>A30</v>
      </c>
      <c r="P628" s="15" t="str">
        <f t="shared" si="210"/>
        <v>Chesterton Enterprises</v>
      </c>
      <c r="Q628" s="15" t="str">
        <f t="shared" si="211"/>
        <v>41 William Russell Road</v>
      </c>
      <c r="R628" s="3">
        <f>OrdersTable!C628</f>
        <v>44607</v>
      </c>
      <c r="S628" s="15">
        <f>OrdersTable!E628</f>
        <v>9</v>
      </c>
      <c r="T628" s="15">
        <f t="shared" si="212"/>
        <v>3.99</v>
      </c>
      <c r="U628" s="15">
        <f t="shared" si="213"/>
        <v>5.52</v>
      </c>
      <c r="V628" s="15">
        <f t="shared" si="214"/>
        <v>6.46</v>
      </c>
      <c r="W628" s="15">
        <f>IF(MarkupType="Store Markup",ROUND(V628+V628*StoreMarkup,2),IF(MarkupType="Supplier Markup",V628+V628*SupplierMarkup,"Error at finding value"))</f>
        <v>10.17</v>
      </c>
      <c r="X628" s="32" t="str">
        <f t="shared" si="216"/>
        <v>0.00</v>
      </c>
      <c r="Y628" s="15">
        <f t="shared" si="217"/>
        <v>58.14</v>
      </c>
      <c r="Z628" s="15">
        <f t="shared" si="218"/>
        <v>91.53</v>
      </c>
      <c r="AA628" s="15">
        <f>IF(FreightType="Lethbridge-Stewart Freight ",ROUND(2.99+IF(N628&gt;0.75,(N628-0.75)*2.25,0)*S628,2),IF(MarkupType="Supplier Markup",V628+V628*SupplierMarkup,"Error at finding value"))</f>
        <v>2.99</v>
      </c>
      <c r="AB628" s="15">
        <f t="shared" si="219"/>
        <v>0</v>
      </c>
    </row>
    <row r="629" spans="1:28" x14ac:dyDescent="0.25">
      <c r="A629" s="16">
        <f>OrdersTable!A629</f>
        <v>412</v>
      </c>
      <c r="B629" s="15" t="str">
        <f t="shared" si="199"/>
        <v>Miss</v>
      </c>
      <c r="C629" s="15" t="str">
        <f t="shared" si="220"/>
        <v>Moraitis</v>
      </c>
      <c r="D629" s="15" t="str">
        <f t="shared" si="200"/>
        <v>Vikki Sue</v>
      </c>
      <c r="E629" s="15" t="str">
        <f t="shared" si="201"/>
        <v>11 Stuckings Boulevard</v>
      </c>
      <c r="F629" s="15" t="str">
        <f t="shared" si="202"/>
        <v>Airly</v>
      </c>
      <c r="G629" s="15" t="str">
        <f t="shared" si="203"/>
        <v>VIC</v>
      </c>
      <c r="H629" s="15">
        <f t="shared" si="204"/>
        <v>3851</v>
      </c>
      <c r="I629" s="15">
        <f t="shared" si="215"/>
        <v>1583</v>
      </c>
      <c r="J629" s="15">
        <f>OrdersTable!B629</f>
        <v>813</v>
      </c>
      <c r="K629" s="15" t="str">
        <f t="shared" si="205"/>
        <v>Statues and Busts</v>
      </c>
      <c r="L629" s="15" t="str">
        <f t="shared" si="206"/>
        <v>Doctor Who: Masterpiece Collection Maxi Bust: Leela</v>
      </c>
      <c r="M629" s="15" t="str">
        <f t="shared" si="207"/>
        <v>-</v>
      </c>
      <c r="N629" s="15">
        <f t="shared" si="208"/>
        <v>2.5</v>
      </c>
      <c r="O629" s="15" t="str">
        <f t="shared" si="209"/>
        <v>A30</v>
      </c>
      <c r="P629" s="15" t="str">
        <f t="shared" si="210"/>
        <v>Chesterton Enterprises</v>
      </c>
      <c r="Q629" s="15" t="str">
        <f t="shared" si="211"/>
        <v>41 William Russell Road</v>
      </c>
      <c r="R629" s="3">
        <f>OrdersTable!C629</f>
        <v>44607</v>
      </c>
      <c r="S629" s="15">
        <f>OrdersTable!E629</f>
        <v>9</v>
      </c>
      <c r="T629" s="15">
        <f t="shared" si="212"/>
        <v>49.99</v>
      </c>
      <c r="U629" s="15">
        <f t="shared" si="213"/>
        <v>68.319999999999993</v>
      </c>
      <c r="V629" s="15">
        <f t="shared" si="214"/>
        <v>80.98</v>
      </c>
      <c r="W629" s="15">
        <f>IF(MarkupType="Store Markup",ROUND(V629+V629*StoreMarkup,2),IF(MarkupType="Supplier Markup",V629+V629*SupplierMarkup,"Error at finding value"))</f>
        <v>127.54</v>
      </c>
      <c r="X629" s="32">
        <f t="shared" si="216"/>
        <v>9.09</v>
      </c>
      <c r="Y629" s="15">
        <f t="shared" si="217"/>
        <v>728.82</v>
      </c>
      <c r="Z629" s="15">
        <f t="shared" si="218"/>
        <v>1066.05</v>
      </c>
      <c r="AA629" s="15">
        <f>IF(FreightType="Lethbridge-Stewart Freight ",ROUND(2.99+IF(N629&gt;0.75,(N629-0.75)*2.25,0)*S629,2),IF(MarkupType="Supplier Markup",V629+V629*SupplierMarkup,"Error at finding value"))</f>
        <v>38.43</v>
      </c>
      <c r="AB629" s="15">
        <f t="shared" si="219"/>
        <v>81.81</v>
      </c>
    </row>
    <row r="630" spans="1:28" x14ac:dyDescent="0.25">
      <c r="A630" s="16">
        <f>OrdersTable!A630</f>
        <v>468</v>
      </c>
      <c r="B630" s="15" t="str">
        <f t="shared" si="199"/>
        <v>Mrs</v>
      </c>
      <c r="C630" s="15" t="str">
        <f t="shared" si="220"/>
        <v>Van Essen</v>
      </c>
      <c r="D630" s="15" t="str">
        <f t="shared" si="200"/>
        <v>Bianca Jane</v>
      </c>
      <c r="E630" s="15" t="str">
        <f t="shared" si="201"/>
        <v>47 Ward Circuit</v>
      </c>
      <c r="F630" s="15" t="str">
        <f t="shared" si="202"/>
        <v>Batlow</v>
      </c>
      <c r="G630" s="15" t="str">
        <f t="shared" si="203"/>
        <v>NSW</v>
      </c>
      <c r="H630" s="15">
        <f t="shared" si="204"/>
        <v>2730</v>
      </c>
      <c r="I630" s="15">
        <f t="shared" si="215"/>
        <v>1138</v>
      </c>
      <c r="J630" s="15">
        <f>OrdersTable!B630</f>
        <v>673</v>
      </c>
      <c r="K630" s="15" t="str">
        <f t="shared" si="205"/>
        <v>Mugs</v>
      </c>
      <c r="L630" s="15" t="str">
        <f t="shared" si="206"/>
        <v>Doctor Who: Mug: TARDIS With Lid</v>
      </c>
      <c r="M630" s="15" t="str">
        <f t="shared" si="207"/>
        <v>-</v>
      </c>
      <c r="N630" s="15">
        <f t="shared" si="208"/>
        <v>0.58499999999999996</v>
      </c>
      <c r="O630" s="15" t="str">
        <f t="shared" si="209"/>
        <v>A10</v>
      </c>
      <c r="P630" s="15" t="str">
        <f t="shared" si="210"/>
        <v>Gallifrey International</v>
      </c>
      <c r="Q630" s="15" t="str">
        <f t="shared" si="211"/>
        <v>181 Arcadia Street</v>
      </c>
      <c r="R630" s="3">
        <f>OrdersTable!C630</f>
        <v>44607</v>
      </c>
      <c r="S630" s="15">
        <f>OrdersTable!E630</f>
        <v>2</v>
      </c>
      <c r="T630" s="15">
        <f t="shared" si="212"/>
        <v>11.69</v>
      </c>
      <c r="U630" s="15">
        <f t="shared" si="213"/>
        <v>16.190000000000001</v>
      </c>
      <c r="V630" s="15">
        <f t="shared" si="214"/>
        <v>18.940000000000001</v>
      </c>
      <c r="W630" s="15">
        <f>IF(MarkupType="Store Markup",ROUND(V630+V630*StoreMarkup,2),IF(MarkupType="Supplier Markup",V630+V630*SupplierMarkup,"Error at finding value"))</f>
        <v>29.83</v>
      </c>
      <c r="X630" s="32" t="str">
        <f t="shared" si="216"/>
        <v>0.00</v>
      </c>
      <c r="Y630" s="15">
        <f t="shared" si="217"/>
        <v>37.880000000000003</v>
      </c>
      <c r="Z630" s="15">
        <f t="shared" si="218"/>
        <v>59.66</v>
      </c>
      <c r="AA630" s="15">
        <f>IF(FreightType="Lethbridge-Stewart Freight ",ROUND(2.99+IF(N630&gt;0.75,(N630-0.75)*2.25,0)*S630,2),IF(MarkupType="Supplier Markup",V630+V630*SupplierMarkup,"Error at finding value"))</f>
        <v>2.99</v>
      </c>
      <c r="AB630" s="15">
        <f t="shared" si="219"/>
        <v>0</v>
      </c>
    </row>
    <row r="631" spans="1:28" x14ac:dyDescent="0.25">
      <c r="A631" s="16">
        <f>OrdersTable!A631</f>
        <v>468</v>
      </c>
      <c r="B631" s="15" t="str">
        <f t="shared" si="199"/>
        <v>Mrs</v>
      </c>
      <c r="C631" s="15" t="str">
        <f t="shared" si="220"/>
        <v>Van Essen</v>
      </c>
      <c r="D631" s="15" t="str">
        <f t="shared" si="200"/>
        <v>Bianca Jane</v>
      </c>
      <c r="E631" s="15" t="str">
        <f t="shared" si="201"/>
        <v>47 Ward Circuit</v>
      </c>
      <c r="F631" s="15" t="str">
        <f t="shared" si="202"/>
        <v>Batlow</v>
      </c>
      <c r="G631" s="15" t="str">
        <f t="shared" si="203"/>
        <v>NSW</v>
      </c>
      <c r="H631" s="15">
        <f t="shared" si="204"/>
        <v>2730</v>
      </c>
      <c r="I631" s="15">
        <f t="shared" si="215"/>
        <v>1138</v>
      </c>
      <c r="J631" s="15">
        <f>OrdersTable!B631</f>
        <v>834</v>
      </c>
      <c r="K631" s="15" t="str">
        <f t="shared" si="205"/>
        <v>Statues and Busts</v>
      </c>
      <c r="L631" s="15" t="str">
        <f t="shared" si="206"/>
        <v>Doctor Who: Signature Edition Statue: Gallifrey Edition: Matt Smith</v>
      </c>
      <c r="M631" s="15" t="str">
        <f t="shared" si="207"/>
        <v>-</v>
      </c>
      <c r="N631" s="15">
        <f t="shared" si="208"/>
        <v>2.5</v>
      </c>
      <c r="O631" s="15" t="str">
        <f t="shared" si="209"/>
        <v>A30</v>
      </c>
      <c r="P631" s="15" t="str">
        <f t="shared" si="210"/>
        <v>Chesterton Enterprises</v>
      </c>
      <c r="Q631" s="15" t="str">
        <f t="shared" si="211"/>
        <v>41 William Russell Road</v>
      </c>
      <c r="R631" s="3">
        <f>OrdersTable!C631</f>
        <v>44607</v>
      </c>
      <c r="S631" s="15">
        <f>OrdersTable!E631</f>
        <v>4</v>
      </c>
      <c r="T631" s="15">
        <f t="shared" si="212"/>
        <v>49.99</v>
      </c>
      <c r="U631" s="15">
        <f t="shared" si="213"/>
        <v>68.52</v>
      </c>
      <c r="V631" s="15">
        <f t="shared" si="214"/>
        <v>80.98</v>
      </c>
      <c r="W631" s="15">
        <f>IF(MarkupType="Store Markup",ROUND(V631+V631*StoreMarkup,2),IF(MarkupType="Supplier Markup",V631+V631*SupplierMarkup,"Error at finding value"))</f>
        <v>127.54</v>
      </c>
      <c r="X631" s="32">
        <f t="shared" si="216"/>
        <v>9.09</v>
      </c>
      <c r="Y631" s="15">
        <f t="shared" si="217"/>
        <v>323.92</v>
      </c>
      <c r="Z631" s="15">
        <f t="shared" si="218"/>
        <v>473.8</v>
      </c>
      <c r="AA631" s="15">
        <f>IF(FreightType="Lethbridge-Stewart Freight ",ROUND(2.99+IF(N631&gt;0.75,(N631-0.75)*2.25,0)*S631,2),IF(MarkupType="Supplier Markup",V631+V631*SupplierMarkup,"Error at finding value"))</f>
        <v>18.739999999999998</v>
      </c>
      <c r="AB631" s="15">
        <f t="shared" si="219"/>
        <v>36.36</v>
      </c>
    </row>
    <row r="632" spans="1:28" x14ac:dyDescent="0.25">
      <c r="A632" s="16">
        <f>OrdersTable!A632</f>
        <v>538</v>
      </c>
      <c r="B632" s="15" t="str">
        <f t="shared" si="199"/>
        <v>Dr</v>
      </c>
      <c r="C632" s="15" t="str">
        <f t="shared" si="220"/>
        <v>Radovic</v>
      </c>
      <c r="D632" s="15" t="str">
        <f t="shared" si="200"/>
        <v>Harley Benjamin</v>
      </c>
      <c r="E632" s="15" t="str">
        <f t="shared" si="201"/>
        <v>50 Hocking Way</v>
      </c>
      <c r="F632" s="15" t="str">
        <f t="shared" si="202"/>
        <v>Bray Park</v>
      </c>
      <c r="G632" s="15" t="str">
        <f t="shared" si="203"/>
        <v>QLD</v>
      </c>
      <c r="H632" s="15">
        <f t="shared" si="204"/>
        <v>4500</v>
      </c>
      <c r="I632" s="15">
        <f t="shared" si="215"/>
        <v>139</v>
      </c>
      <c r="J632" s="15">
        <f>OrdersTable!B632</f>
        <v>164</v>
      </c>
      <c r="K632" s="15" t="str">
        <f t="shared" si="205"/>
        <v>Bobbleheads</v>
      </c>
      <c r="L632" s="15" t="str">
        <f t="shared" si="206"/>
        <v>Doctor Who: Bobblehead: Fourth Doctor</v>
      </c>
      <c r="M632" s="15" t="str">
        <f t="shared" si="207"/>
        <v>-</v>
      </c>
      <c r="N632" s="15">
        <f t="shared" si="208"/>
        <v>0.75</v>
      </c>
      <c r="O632" s="15" t="str">
        <f t="shared" si="209"/>
        <v>A40</v>
      </c>
      <c r="P632" s="15" t="str">
        <f t="shared" si="210"/>
        <v>Romana Imports</v>
      </c>
      <c r="Q632" s="15" t="str">
        <f t="shared" si="211"/>
        <v>17 Lalla Ward Road</v>
      </c>
      <c r="R632" s="3">
        <f>OrdersTable!C632</f>
        <v>44607</v>
      </c>
      <c r="S632" s="15">
        <f>OrdersTable!E632</f>
        <v>10</v>
      </c>
      <c r="T632" s="15">
        <f t="shared" si="212"/>
        <v>14.99</v>
      </c>
      <c r="U632" s="15">
        <f t="shared" si="213"/>
        <v>20.53</v>
      </c>
      <c r="V632" s="15">
        <f t="shared" si="214"/>
        <v>24.28</v>
      </c>
      <c r="W632" s="15">
        <f>IF(MarkupType="Store Markup",ROUND(V632+V632*StoreMarkup,2),IF(MarkupType="Supplier Markup",V632+V632*SupplierMarkup,"Error at finding value"))</f>
        <v>38.24</v>
      </c>
      <c r="X632" s="32" t="str">
        <f t="shared" si="216"/>
        <v>0.00</v>
      </c>
      <c r="Y632" s="15">
        <f t="shared" si="217"/>
        <v>242.8</v>
      </c>
      <c r="Z632" s="15">
        <f t="shared" si="218"/>
        <v>382.4</v>
      </c>
      <c r="AA632" s="15">
        <f>IF(FreightType="Lethbridge-Stewart Freight ",ROUND(2.99+IF(N632&gt;0.75,(N632-0.75)*2.25,0)*S632,2),IF(MarkupType="Supplier Markup",V632+V632*SupplierMarkup,"Error at finding value"))</f>
        <v>2.99</v>
      </c>
      <c r="AB632" s="15">
        <f t="shared" si="219"/>
        <v>0</v>
      </c>
    </row>
    <row r="633" spans="1:28" x14ac:dyDescent="0.25">
      <c r="A633" s="16">
        <f>OrdersTable!A633</f>
        <v>538</v>
      </c>
      <c r="B633" s="15" t="str">
        <f t="shared" si="199"/>
        <v>Dr</v>
      </c>
      <c r="C633" s="15" t="str">
        <f t="shared" si="220"/>
        <v>Radovic</v>
      </c>
      <c r="D633" s="15" t="str">
        <f t="shared" si="200"/>
        <v>Harley Benjamin</v>
      </c>
      <c r="E633" s="15" t="str">
        <f t="shared" si="201"/>
        <v>50 Hocking Way</v>
      </c>
      <c r="F633" s="15" t="str">
        <f t="shared" si="202"/>
        <v>Bray Park</v>
      </c>
      <c r="G633" s="15" t="str">
        <f t="shared" si="203"/>
        <v>QLD</v>
      </c>
      <c r="H633" s="15">
        <f t="shared" si="204"/>
        <v>4500</v>
      </c>
      <c r="I633" s="15">
        <f t="shared" si="215"/>
        <v>139</v>
      </c>
      <c r="J633" s="15">
        <f>OrdersTable!B633</f>
        <v>782</v>
      </c>
      <c r="K633" s="15" t="str">
        <f t="shared" si="205"/>
        <v>Statues and Busts</v>
      </c>
      <c r="L633" s="15" t="str">
        <f t="shared" si="206"/>
        <v>Doctor Who: Masterpiece Collection Maxi Bust: 10th Doctor</v>
      </c>
      <c r="M633" s="15" t="str">
        <f t="shared" si="207"/>
        <v>-</v>
      </c>
      <c r="N633" s="15">
        <f t="shared" si="208"/>
        <v>2.5</v>
      </c>
      <c r="O633" s="15" t="str">
        <f t="shared" si="209"/>
        <v>A30</v>
      </c>
      <c r="P633" s="15" t="str">
        <f t="shared" si="210"/>
        <v>Chesterton Enterprises</v>
      </c>
      <c r="Q633" s="15" t="str">
        <f t="shared" si="211"/>
        <v>41 William Russell Road</v>
      </c>
      <c r="R633" s="3">
        <f>OrdersTable!C633</f>
        <v>44607</v>
      </c>
      <c r="S633" s="15">
        <f>OrdersTable!E633</f>
        <v>7</v>
      </c>
      <c r="T633" s="15">
        <f t="shared" si="212"/>
        <v>49.99</v>
      </c>
      <c r="U633" s="15">
        <f t="shared" si="213"/>
        <v>68.5</v>
      </c>
      <c r="V633" s="15">
        <f t="shared" si="214"/>
        <v>80.98</v>
      </c>
      <c r="W633" s="15">
        <f>IF(MarkupType="Store Markup",ROUND(V633+V633*StoreMarkup,2),IF(MarkupType="Supplier Markup",V633+V633*SupplierMarkup,"Error at finding value"))</f>
        <v>127.54</v>
      </c>
      <c r="X633" s="32">
        <f t="shared" si="216"/>
        <v>9.09</v>
      </c>
      <c r="Y633" s="15">
        <f t="shared" si="217"/>
        <v>566.86</v>
      </c>
      <c r="Z633" s="15">
        <f t="shared" si="218"/>
        <v>829.15</v>
      </c>
      <c r="AA633" s="15">
        <f>IF(FreightType="Lethbridge-Stewart Freight ",ROUND(2.99+IF(N633&gt;0.75,(N633-0.75)*2.25,0)*S633,2),IF(MarkupType="Supplier Markup",V633+V633*SupplierMarkup,"Error at finding value"))</f>
        <v>30.55</v>
      </c>
      <c r="AB633" s="15">
        <f t="shared" si="219"/>
        <v>63.63</v>
      </c>
    </row>
    <row r="634" spans="1:28" x14ac:dyDescent="0.25">
      <c r="A634" s="16">
        <f>OrdersTable!A634</f>
        <v>561</v>
      </c>
      <c r="B634" s="15" t="str">
        <f t="shared" si="199"/>
        <v>Ms</v>
      </c>
      <c r="C634" s="15" t="str">
        <f t="shared" si="220"/>
        <v>Mulcahy</v>
      </c>
      <c r="D634" s="15" t="str">
        <f t="shared" si="200"/>
        <v>Jodie Leigh</v>
      </c>
      <c r="E634" s="15" t="str">
        <f t="shared" si="201"/>
        <v>32 Scott Crescent</v>
      </c>
      <c r="F634" s="15" t="str">
        <f t="shared" si="202"/>
        <v>Bray Park</v>
      </c>
      <c r="G634" s="15" t="str">
        <f t="shared" si="203"/>
        <v>QLD</v>
      </c>
      <c r="H634" s="15">
        <f t="shared" si="204"/>
        <v>4500</v>
      </c>
      <c r="I634" s="15">
        <f t="shared" si="215"/>
        <v>139</v>
      </c>
      <c r="J634" s="15">
        <f>OrdersTable!B634</f>
        <v>563</v>
      </c>
      <c r="K634" s="15" t="str">
        <f t="shared" si="205"/>
        <v>Giftware</v>
      </c>
      <c r="L634" s="15" t="str">
        <f t="shared" si="206"/>
        <v>Doctor Who: TARDIS Jewellery Box</v>
      </c>
      <c r="M634" s="15" t="str">
        <f t="shared" si="207"/>
        <v>-</v>
      </c>
      <c r="N634" s="15">
        <f t="shared" si="208"/>
        <v>1.1499999999999999</v>
      </c>
      <c r="O634" s="15" t="str">
        <f t="shared" si="209"/>
        <v>A50</v>
      </c>
      <c r="P634" s="15" t="str">
        <f t="shared" si="210"/>
        <v>Rassilon Ltd.</v>
      </c>
      <c r="Q634" s="15" t="str">
        <f t="shared" si="211"/>
        <v>82 Richard Mathews Road</v>
      </c>
      <c r="R634" s="3">
        <f>OrdersTable!C634</f>
        <v>44607</v>
      </c>
      <c r="S634" s="15">
        <f>OrdersTable!E634</f>
        <v>3</v>
      </c>
      <c r="T634" s="15">
        <f t="shared" si="212"/>
        <v>22.99</v>
      </c>
      <c r="U634" s="15">
        <f t="shared" si="213"/>
        <v>31.63</v>
      </c>
      <c r="V634" s="15">
        <f t="shared" si="214"/>
        <v>37.24</v>
      </c>
      <c r="W634" s="15">
        <f>IF(MarkupType="Store Markup",ROUND(V634+V634*StoreMarkup,2),IF(MarkupType="Supplier Markup",V634+V634*SupplierMarkup,"Error at finding value"))</f>
        <v>58.65</v>
      </c>
      <c r="X634" s="32" t="str">
        <f t="shared" si="216"/>
        <v>0.00</v>
      </c>
      <c r="Y634" s="15">
        <f t="shared" si="217"/>
        <v>111.72</v>
      </c>
      <c r="Z634" s="15">
        <f t="shared" si="218"/>
        <v>175.95</v>
      </c>
      <c r="AA634" s="15">
        <f>IF(FreightType="Lethbridge-Stewart Freight ",ROUND(2.99+IF(N634&gt;0.75,(N634-0.75)*2.25,0)*S634,2),IF(MarkupType="Supplier Markup",V634+V634*SupplierMarkup,"Error at finding value"))</f>
        <v>5.69</v>
      </c>
      <c r="AB634" s="15">
        <f t="shared" si="219"/>
        <v>0</v>
      </c>
    </row>
    <row r="635" spans="1:28" x14ac:dyDescent="0.25">
      <c r="A635" s="16">
        <f>OrdersTable!A635</f>
        <v>580</v>
      </c>
      <c r="B635" s="15" t="str">
        <f t="shared" si="199"/>
        <v>Mr</v>
      </c>
      <c r="C635" s="15" t="str">
        <f t="shared" si="220"/>
        <v>Faatoafe</v>
      </c>
      <c r="D635" s="15" t="str">
        <f t="shared" si="200"/>
        <v>Jasson Iosefa</v>
      </c>
      <c r="E635" s="15" t="str">
        <f t="shared" si="201"/>
        <v>29 Schaffer Boulevard</v>
      </c>
      <c r="F635" s="15" t="str">
        <f t="shared" si="202"/>
        <v>Binduli</v>
      </c>
      <c r="G635" s="15" t="str">
        <f t="shared" si="203"/>
        <v>WA</v>
      </c>
      <c r="H635" s="15">
        <f t="shared" si="204"/>
        <v>6430</v>
      </c>
      <c r="I635" s="15">
        <f t="shared" si="215"/>
        <v>3543</v>
      </c>
      <c r="J635" s="15">
        <f>OrdersTable!B635</f>
        <v>374</v>
      </c>
      <c r="K635" s="15" t="str">
        <f t="shared" si="205"/>
        <v>Clothing and Apparel</v>
      </c>
      <c r="L635" s="15" t="str">
        <f t="shared" si="206"/>
        <v xml:space="preserve">Doctor Who: T-Shirts: 5th Doctor Costume </v>
      </c>
      <c r="M635" s="15" t="str">
        <f t="shared" si="207"/>
        <v>XL</v>
      </c>
      <c r="N635" s="15">
        <f t="shared" si="208"/>
        <v>0.8</v>
      </c>
      <c r="O635" s="15" t="str">
        <f t="shared" si="209"/>
        <v>A50</v>
      </c>
      <c r="P635" s="15" t="str">
        <f t="shared" si="210"/>
        <v>Rassilon Ltd.</v>
      </c>
      <c r="Q635" s="15" t="str">
        <f t="shared" si="211"/>
        <v>82 Richard Mathews Road</v>
      </c>
      <c r="R635" s="3">
        <f>OrdersTable!C635</f>
        <v>44607</v>
      </c>
      <c r="S635" s="15">
        <f>OrdersTable!E635</f>
        <v>7</v>
      </c>
      <c r="T635" s="15">
        <f t="shared" si="212"/>
        <v>15.99</v>
      </c>
      <c r="U635" s="15">
        <f t="shared" si="213"/>
        <v>21.97</v>
      </c>
      <c r="V635" s="15">
        <f t="shared" si="214"/>
        <v>25.9</v>
      </c>
      <c r="W635" s="15">
        <f>IF(MarkupType="Store Markup",ROUND(V635+V635*StoreMarkup,2),IF(MarkupType="Supplier Markup",V635+V635*SupplierMarkup,"Error at finding value"))</f>
        <v>40.79</v>
      </c>
      <c r="X635" s="32" t="str">
        <f t="shared" si="216"/>
        <v>0.00</v>
      </c>
      <c r="Y635" s="15">
        <f t="shared" si="217"/>
        <v>181.3</v>
      </c>
      <c r="Z635" s="15">
        <f t="shared" si="218"/>
        <v>285.52999999999997</v>
      </c>
      <c r="AA635" s="15">
        <f>IF(FreightType="Lethbridge-Stewart Freight ",ROUND(2.99+IF(N635&gt;0.75,(N635-0.75)*2.25,0)*S635,2),IF(MarkupType="Supplier Markup",V635+V635*SupplierMarkup,"Error at finding value"))</f>
        <v>3.78</v>
      </c>
      <c r="AB635" s="15">
        <f t="shared" si="219"/>
        <v>0</v>
      </c>
    </row>
    <row r="636" spans="1:28" x14ac:dyDescent="0.25">
      <c r="A636" s="16">
        <f>OrdersTable!A636</f>
        <v>580</v>
      </c>
      <c r="B636" s="15" t="str">
        <f t="shared" si="199"/>
        <v>Mr</v>
      </c>
      <c r="C636" s="15" t="str">
        <f t="shared" si="220"/>
        <v>Faatoafe</v>
      </c>
      <c r="D636" s="15" t="str">
        <f t="shared" si="200"/>
        <v>Jasson Iosefa</v>
      </c>
      <c r="E636" s="15" t="str">
        <f t="shared" si="201"/>
        <v>29 Schaffer Boulevard</v>
      </c>
      <c r="F636" s="15" t="str">
        <f t="shared" si="202"/>
        <v>Binduli</v>
      </c>
      <c r="G636" s="15" t="str">
        <f t="shared" si="203"/>
        <v>WA</v>
      </c>
      <c r="H636" s="15">
        <f t="shared" si="204"/>
        <v>6430</v>
      </c>
      <c r="I636" s="15">
        <f t="shared" si="215"/>
        <v>3543</v>
      </c>
      <c r="J636" s="15">
        <f>OrdersTable!B636</f>
        <v>689</v>
      </c>
      <c r="K636" s="15" t="str">
        <f t="shared" si="205"/>
        <v>Posters, Prints and Standees</v>
      </c>
      <c r="L636" s="15" t="str">
        <f t="shared" si="206"/>
        <v>Doctor Who: 16'x12' Framed Print: Cold War</v>
      </c>
      <c r="M636" s="15" t="str">
        <f t="shared" si="207"/>
        <v>-</v>
      </c>
      <c r="N636" s="15">
        <f t="shared" si="208"/>
        <v>0.75</v>
      </c>
      <c r="O636" s="15" t="str">
        <f t="shared" si="209"/>
        <v>A50</v>
      </c>
      <c r="P636" s="15" t="str">
        <f t="shared" si="210"/>
        <v>Rassilon Ltd.</v>
      </c>
      <c r="Q636" s="15" t="str">
        <f t="shared" si="211"/>
        <v>82 Richard Mathews Road</v>
      </c>
      <c r="R636" s="3">
        <f>OrdersTable!C636</f>
        <v>44607</v>
      </c>
      <c r="S636" s="15">
        <f>OrdersTable!E636</f>
        <v>7</v>
      </c>
      <c r="T636" s="15">
        <f t="shared" si="212"/>
        <v>14.99</v>
      </c>
      <c r="U636" s="15">
        <f t="shared" si="213"/>
        <v>20.77</v>
      </c>
      <c r="V636" s="15">
        <f t="shared" si="214"/>
        <v>24.28</v>
      </c>
      <c r="W636" s="15">
        <f>IF(MarkupType="Store Markup",ROUND(V636+V636*StoreMarkup,2),IF(MarkupType="Supplier Markup",V636+V636*SupplierMarkup,"Error at finding value"))</f>
        <v>38.24</v>
      </c>
      <c r="X636" s="32" t="str">
        <f t="shared" si="216"/>
        <v>0.00</v>
      </c>
      <c r="Y636" s="15">
        <f t="shared" si="217"/>
        <v>169.96</v>
      </c>
      <c r="Z636" s="15">
        <f t="shared" si="218"/>
        <v>267.68</v>
      </c>
      <c r="AA636" s="15">
        <f>IF(FreightType="Lethbridge-Stewart Freight ",ROUND(2.99+IF(N636&gt;0.75,(N636-0.75)*2.25,0)*S636,2),IF(MarkupType="Supplier Markup",V636+V636*SupplierMarkup,"Error at finding value"))</f>
        <v>2.99</v>
      </c>
      <c r="AB636" s="15">
        <f t="shared" si="219"/>
        <v>0</v>
      </c>
    </row>
    <row r="637" spans="1:28" x14ac:dyDescent="0.25">
      <c r="A637" s="16">
        <f>OrdersTable!A637</f>
        <v>611</v>
      </c>
      <c r="B637" s="15" t="str">
        <f t="shared" si="199"/>
        <v>Mr</v>
      </c>
      <c r="C637" s="15" t="str">
        <f t="shared" si="220"/>
        <v>Wittman</v>
      </c>
      <c r="D637" s="15" t="str">
        <f t="shared" si="200"/>
        <v>Nicholas Jackson</v>
      </c>
      <c r="E637" s="15" t="str">
        <f t="shared" si="201"/>
        <v>48 Sheppard-Kadel Way</v>
      </c>
      <c r="F637" s="15" t="str">
        <f t="shared" si="202"/>
        <v>Nayook</v>
      </c>
      <c r="G637" s="15" t="str">
        <f t="shared" si="203"/>
        <v>VIC</v>
      </c>
      <c r="H637" s="15">
        <f t="shared" si="204"/>
        <v>3832</v>
      </c>
      <c r="I637" s="15">
        <f t="shared" si="215"/>
        <v>1552</v>
      </c>
      <c r="J637" s="15">
        <f>OrdersTable!B637</f>
        <v>778</v>
      </c>
      <c r="K637" s="15" t="str">
        <f t="shared" si="205"/>
        <v>Statues and Busts</v>
      </c>
      <c r="L637" s="15" t="str">
        <f t="shared" si="206"/>
        <v>Doctor Who: Legends Forever Bust: William Hartnell</v>
      </c>
      <c r="M637" s="15" t="str">
        <f t="shared" si="207"/>
        <v>-</v>
      </c>
      <c r="N637" s="15">
        <f t="shared" si="208"/>
        <v>1.375</v>
      </c>
      <c r="O637" s="15" t="str">
        <f t="shared" si="209"/>
        <v>A40</v>
      </c>
      <c r="P637" s="15" t="str">
        <f t="shared" si="210"/>
        <v>Romana Imports</v>
      </c>
      <c r="Q637" s="15" t="str">
        <f t="shared" si="211"/>
        <v>17 Lalla Ward Road</v>
      </c>
      <c r="R637" s="3">
        <f>OrdersTable!C637</f>
        <v>44607</v>
      </c>
      <c r="S637" s="15">
        <f>OrdersTable!E637</f>
        <v>4</v>
      </c>
      <c r="T637" s="15">
        <f t="shared" si="212"/>
        <v>27.5</v>
      </c>
      <c r="U637" s="15">
        <f t="shared" si="213"/>
        <v>37.520000000000003</v>
      </c>
      <c r="V637" s="15">
        <f t="shared" si="214"/>
        <v>44.55</v>
      </c>
      <c r="W637" s="15">
        <f>IF(MarkupType="Store Markup",ROUND(V637+V637*StoreMarkup,2),IF(MarkupType="Supplier Markup",V637+V637*SupplierMarkup,"Error at finding value"))</f>
        <v>70.17</v>
      </c>
      <c r="X637" s="32" t="str">
        <f t="shared" si="216"/>
        <v>0.00</v>
      </c>
      <c r="Y637" s="15">
        <f t="shared" si="217"/>
        <v>178.2</v>
      </c>
      <c r="Z637" s="15">
        <f t="shared" si="218"/>
        <v>280.68</v>
      </c>
      <c r="AA637" s="15">
        <f>IF(FreightType="Lethbridge-Stewart Freight ",ROUND(2.99+IF(N637&gt;0.75,(N637-0.75)*2.25,0)*S637,2),IF(MarkupType="Supplier Markup",V637+V637*SupplierMarkup,"Error at finding value"))</f>
        <v>8.6199999999999992</v>
      </c>
      <c r="AB637" s="15">
        <f t="shared" si="219"/>
        <v>0</v>
      </c>
    </row>
    <row r="638" spans="1:28" x14ac:dyDescent="0.25">
      <c r="A638" s="16">
        <f>OrdersTable!A638</f>
        <v>643</v>
      </c>
      <c r="B638" s="15" t="str">
        <f t="shared" si="199"/>
        <v>Ms</v>
      </c>
      <c r="C638" s="15" t="str">
        <f t="shared" si="220"/>
        <v>Crispin-Purcell</v>
      </c>
      <c r="D638" s="15" t="str">
        <f t="shared" si="200"/>
        <v>Gabriellen Elizabeth</v>
      </c>
      <c r="E638" s="15" t="str">
        <f t="shared" si="201"/>
        <v>12 Williams Road</v>
      </c>
      <c r="F638" s="15" t="str">
        <f t="shared" si="202"/>
        <v>Appletree Flat</v>
      </c>
      <c r="G638" s="15" t="str">
        <f t="shared" si="203"/>
        <v>NSW</v>
      </c>
      <c r="H638" s="15">
        <f t="shared" si="204"/>
        <v>2330</v>
      </c>
      <c r="I638" s="15">
        <f t="shared" si="215"/>
        <v>691</v>
      </c>
      <c r="J638" s="15">
        <f>OrdersTable!B638</f>
        <v>453</v>
      </c>
      <c r="K638" s="15" t="str">
        <f t="shared" si="205"/>
        <v>Giftware</v>
      </c>
      <c r="L638" s="15" t="str">
        <f t="shared" si="206"/>
        <v>Doctor Who: Ceramic Cookie Jar: TARDIS</v>
      </c>
      <c r="M638" s="15" t="str">
        <f t="shared" si="207"/>
        <v>-</v>
      </c>
      <c r="N638" s="15">
        <f t="shared" si="208"/>
        <v>1.35</v>
      </c>
      <c r="O638" s="15" t="str">
        <f t="shared" si="209"/>
        <v>A40</v>
      </c>
      <c r="P638" s="15" t="str">
        <f t="shared" si="210"/>
        <v>Romana Imports</v>
      </c>
      <c r="Q638" s="15" t="str">
        <f t="shared" si="211"/>
        <v>17 Lalla Ward Road</v>
      </c>
      <c r="R638" s="3">
        <f>OrdersTable!C638</f>
        <v>44607</v>
      </c>
      <c r="S638" s="15">
        <f>OrdersTable!E638</f>
        <v>1</v>
      </c>
      <c r="T638" s="15">
        <f t="shared" si="212"/>
        <v>26.99</v>
      </c>
      <c r="U638" s="15">
        <f t="shared" si="213"/>
        <v>37.119999999999997</v>
      </c>
      <c r="V638" s="15">
        <f t="shared" si="214"/>
        <v>43.72</v>
      </c>
      <c r="W638" s="15">
        <f>IF(MarkupType="Store Markup",ROUND(V638+V638*StoreMarkup,2),IF(MarkupType="Supplier Markup",V638+V638*SupplierMarkup,"Error at finding value"))</f>
        <v>68.86</v>
      </c>
      <c r="X638" s="32" t="str">
        <f t="shared" si="216"/>
        <v>0.00</v>
      </c>
      <c r="Y638" s="15">
        <f t="shared" si="217"/>
        <v>43.72</v>
      </c>
      <c r="Z638" s="15">
        <f t="shared" si="218"/>
        <v>68.86</v>
      </c>
      <c r="AA638" s="15">
        <f>IF(FreightType="Lethbridge-Stewart Freight ",ROUND(2.99+IF(N638&gt;0.75,(N638-0.75)*2.25,0)*S638,2),IF(MarkupType="Supplier Markup",V638+V638*SupplierMarkup,"Error at finding value"))</f>
        <v>4.34</v>
      </c>
      <c r="AB638" s="15">
        <f t="shared" si="219"/>
        <v>0</v>
      </c>
    </row>
    <row r="639" spans="1:28" x14ac:dyDescent="0.25">
      <c r="A639" s="16">
        <f>OrdersTable!A639</f>
        <v>669</v>
      </c>
      <c r="B639" s="15" t="str">
        <f t="shared" si="199"/>
        <v>Dr</v>
      </c>
      <c r="C639" s="15" t="str">
        <f t="shared" si="220"/>
        <v>Ferjani</v>
      </c>
      <c r="D639" s="15" t="str">
        <f t="shared" si="200"/>
        <v>Rabah</v>
      </c>
      <c r="E639" s="15" t="str">
        <f t="shared" si="201"/>
        <v>2 Codrington Street</v>
      </c>
      <c r="F639" s="15" t="str">
        <f t="shared" si="202"/>
        <v>Belford</v>
      </c>
      <c r="G639" s="15" t="str">
        <f t="shared" si="203"/>
        <v>NSW</v>
      </c>
      <c r="H639" s="15">
        <f t="shared" si="204"/>
        <v>2335</v>
      </c>
      <c r="I639" s="15">
        <f t="shared" si="215"/>
        <v>716</v>
      </c>
      <c r="J639" s="15">
        <f>OrdersTable!B639</f>
        <v>757</v>
      </c>
      <c r="K639" s="15" t="str">
        <f t="shared" si="205"/>
        <v>Statues and Busts</v>
      </c>
      <c r="L639" s="15" t="str">
        <f t="shared" si="206"/>
        <v>Doctor Who: Helmet: Ice Warrior</v>
      </c>
      <c r="M639" s="15" t="str">
        <f t="shared" si="207"/>
        <v>-</v>
      </c>
      <c r="N639" s="15">
        <f t="shared" si="208"/>
        <v>1.75</v>
      </c>
      <c r="O639" s="15" t="str">
        <f t="shared" si="209"/>
        <v>A20</v>
      </c>
      <c r="P639" s="15" t="str">
        <f t="shared" si="210"/>
        <v>Morbius Inc.</v>
      </c>
      <c r="Q639" s="15" t="str">
        <f t="shared" si="211"/>
        <v>56 Michael Spice Hwy</v>
      </c>
      <c r="R639" s="3">
        <f>OrdersTable!C639</f>
        <v>44607</v>
      </c>
      <c r="S639" s="15">
        <f>OrdersTable!E639</f>
        <v>6</v>
      </c>
      <c r="T639" s="15">
        <f t="shared" si="212"/>
        <v>34.99</v>
      </c>
      <c r="U639" s="15">
        <f t="shared" si="213"/>
        <v>47.88</v>
      </c>
      <c r="V639" s="15">
        <f t="shared" si="214"/>
        <v>56.68</v>
      </c>
      <c r="W639" s="15">
        <f>IF(MarkupType="Store Markup",ROUND(V639+V639*StoreMarkup,2),IF(MarkupType="Supplier Markup",V639+V639*SupplierMarkup,"Error at finding value"))</f>
        <v>89.27</v>
      </c>
      <c r="X639" s="32" t="str">
        <f t="shared" si="216"/>
        <v>0.00</v>
      </c>
      <c r="Y639" s="15">
        <f t="shared" si="217"/>
        <v>340.08</v>
      </c>
      <c r="Z639" s="15">
        <f t="shared" si="218"/>
        <v>535.62</v>
      </c>
      <c r="AA639" s="15">
        <f>IF(FreightType="Lethbridge-Stewart Freight ",ROUND(2.99+IF(N639&gt;0.75,(N639-0.75)*2.25,0)*S639,2),IF(MarkupType="Supplier Markup",V639+V639*SupplierMarkup,"Error at finding value"))</f>
        <v>16.489999999999998</v>
      </c>
      <c r="AB639" s="15">
        <f t="shared" si="219"/>
        <v>0</v>
      </c>
    </row>
    <row r="640" spans="1:28" x14ac:dyDescent="0.25">
      <c r="A640" s="16">
        <f>OrdersTable!A640</f>
        <v>989</v>
      </c>
      <c r="B640" s="15" t="str">
        <f t="shared" si="199"/>
        <v>Miss</v>
      </c>
      <c r="C640" s="15" t="str">
        <f t="shared" si="220"/>
        <v>McInnes</v>
      </c>
      <c r="D640" s="15" t="str">
        <f t="shared" si="200"/>
        <v>Nina Marie</v>
      </c>
      <c r="E640" s="15" t="str">
        <f t="shared" si="201"/>
        <v>28 Caruss Road</v>
      </c>
      <c r="F640" s="15" t="str">
        <f t="shared" si="202"/>
        <v>Belford</v>
      </c>
      <c r="G640" s="15" t="str">
        <f t="shared" si="203"/>
        <v>NSW</v>
      </c>
      <c r="H640" s="15">
        <f t="shared" si="204"/>
        <v>2335</v>
      </c>
      <c r="I640" s="15">
        <f t="shared" si="215"/>
        <v>716</v>
      </c>
      <c r="J640" s="15">
        <f>OrdersTable!B640</f>
        <v>563</v>
      </c>
      <c r="K640" s="15" t="str">
        <f t="shared" si="205"/>
        <v>Giftware</v>
      </c>
      <c r="L640" s="15" t="str">
        <f t="shared" si="206"/>
        <v>Doctor Who: TARDIS Jewellery Box</v>
      </c>
      <c r="M640" s="15" t="str">
        <f t="shared" si="207"/>
        <v>-</v>
      </c>
      <c r="N640" s="15">
        <f t="shared" si="208"/>
        <v>1.1499999999999999</v>
      </c>
      <c r="O640" s="15" t="str">
        <f t="shared" si="209"/>
        <v>A50</v>
      </c>
      <c r="P640" s="15" t="str">
        <f t="shared" si="210"/>
        <v>Rassilon Ltd.</v>
      </c>
      <c r="Q640" s="15" t="str">
        <f t="shared" si="211"/>
        <v>82 Richard Mathews Road</v>
      </c>
      <c r="R640" s="3">
        <f>OrdersTable!C640</f>
        <v>44607</v>
      </c>
      <c r="S640" s="15">
        <f>OrdersTable!E640</f>
        <v>10</v>
      </c>
      <c r="T640" s="15">
        <f t="shared" si="212"/>
        <v>22.99</v>
      </c>
      <c r="U640" s="15">
        <f t="shared" si="213"/>
        <v>31.63</v>
      </c>
      <c r="V640" s="15">
        <f t="shared" si="214"/>
        <v>37.24</v>
      </c>
      <c r="W640" s="15">
        <f>IF(MarkupType="Store Markup",ROUND(V640+V640*StoreMarkup,2),IF(MarkupType="Supplier Markup",V640+V640*SupplierMarkup,"Error at finding value"))</f>
        <v>58.65</v>
      </c>
      <c r="X640" s="32" t="str">
        <f t="shared" si="216"/>
        <v>0.00</v>
      </c>
      <c r="Y640" s="15">
        <f t="shared" si="217"/>
        <v>372.4</v>
      </c>
      <c r="Z640" s="15">
        <f t="shared" si="218"/>
        <v>586.5</v>
      </c>
      <c r="AA640" s="15">
        <f>IF(FreightType="Lethbridge-Stewart Freight ",ROUND(2.99+IF(N640&gt;0.75,(N640-0.75)*2.25,0)*S640,2),IF(MarkupType="Supplier Markup",V640+V640*SupplierMarkup,"Error at finding value"))</f>
        <v>11.99</v>
      </c>
      <c r="AB640" s="15">
        <f t="shared" si="219"/>
        <v>0</v>
      </c>
    </row>
    <row r="641" spans="1:28" x14ac:dyDescent="0.25">
      <c r="A641" s="16">
        <f>OrdersTable!A641</f>
        <v>224</v>
      </c>
      <c r="B641" s="15" t="str">
        <f t="shared" si="199"/>
        <v>Miss</v>
      </c>
      <c r="C641" s="15" t="str">
        <f t="shared" si="220"/>
        <v>Baruwal</v>
      </c>
      <c r="D641" s="15" t="str">
        <f t="shared" si="200"/>
        <v>Pratikshya</v>
      </c>
      <c r="E641" s="15" t="str">
        <f t="shared" si="201"/>
        <v>43 Gilloway Street</v>
      </c>
      <c r="F641" s="15" t="str">
        <f t="shared" si="202"/>
        <v>Iluka</v>
      </c>
      <c r="G641" s="15" t="str">
        <f t="shared" si="203"/>
        <v>NSW</v>
      </c>
      <c r="H641" s="15">
        <f t="shared" si="204"/>
        <v>2466</v>
      </c>
      <c r="I641" s="15">
        <f t="shared" si="215"/>
        <v>347</v>
      </c>
      <c r="J641" s="15">
        <f>OrdersTable!B641</f>
        <v>685</v>
      </c>
      <c r="K641" s="15" t="str">
        <f t="shared" si="205"/>
        <v>Mugs</v>
      </c>
      <c r="L641" s="15" t="str">
        <f t="shared" si="206"/>
        <v>Doctor Who: Teapot: Sliver TARDIS</v>
      </c>
      <c r="M641" s="15" t="str">
        <f t="shared" si="207"/>
        <v>-</v>
      </c>
      <c r="N641" s="15">
        <f t="shared" si="208"/>
        <v>1.35</v>
      </c>
      <c r="O641" s="15" t="str">
        <f t="shared" si="209"/>
        <v>A30</v>
      </c>
      <c r="P641" s="15" t="str">
        <f t="shared" si="210"/>
        <v>Chesterton Enterprises</v>
      </c>
      <c r="Q641" s="15" t="str">
        <f t="shared" si="211"/>
        <v>41 William Russell Road</v>
      </c>
      <c r="R641" s="3">
        <f>OrdersTable!C641</f>
        <v>44608</v>
      </c>
      <c r="S641" s="15">
        <f>OrdersTable!E641</f>
        <v>6</v>
      </c>
      <c r="T641" s="15">
        <f t="shared" si="212"/>
        <v>26.99</v>
      </c>
      <c r="U641" s="15">
        <f t="shared" si="213"/>
        <v>36.869999999999997</v>
      </c>
      <c r="V641" s="15">
        <f t="shared" si="214"/>
        <v>43.72</v>
      </c>
      <c r="W641" s="15">
        <f>IF(MarkupType="Store Markup",ROUND(V641+V641*StoreMarkup,2),IF(MarkupType="Supplier Markup",V641+V641*SupplierMarkup,"Error at finding value"))</f>
        <v>68.86</v>
      </c>
      <c r="X641" s="32" t="str">
        <f t="shared" si="216"/>
        <v>0.00</v>
      </c>
      <c r="Y641" s="15">
        <f t="shared" si="217"/>
        <v>262.32</v>
      </c>
      <c r="Z641" s="15">
        <f t="shared" si="218"/>
        <v>413.16</v>
      </c>
      <c r="AA641" s="15">
        <f>IF(FreightType="Lethbridge-Stewart Freight ",ROUND(2.99+IF(N641&gt;0.75,(N641-0.75)*2.25,0)*S641,2),IF(MarkupType="Supplier Markup",V641+V641*SupplierMarkup,"Error at finding value"))</f>
        <v>11.09</v>
      </c>
      <c r="AB641" s="15">
        <f t="shared" si="219"/>
        <v>0</v>
      </c>
    </row>
    <row r="642" spans="1:28" x14ac:dyDescent="0.25">
      <c r="A642" s="16">
        <f>OrdersTable!A642</f>
        <v>296</v>
      </c>
      <c r="B642" s="15" t="str">
        <f t="shared" si="199"/>
        <v>Miss</v>
      </c>
      <c r="C642" s="15" t="str">
        <f t="shared" si="220"/>
        <v>Kussrow</v>
      </c>
      <c r="D642" s="15" t="str">
        <f t="shared" si="200"/>
        <v>Katherine Anne</v>
      </c>
      <c r="E642" s="15" t="str">
        <f t="shared" si="201"/>
        <v>10 Downes Street</v>
      </c>
      <c r="F642" s="15" t="str">
        <f t="shared" si="202"/>
        <v>Breakwater</v>
      </c>
      <c r="G642" s="15" t="str">
        <f t="shared" si="203"/>
        <v>VIC</v>
      </c>
      <c r="H642" s="15">
        <f t="shared" si="204"/>
        <v>3219</v>
      </c>
      <c r="I642" s="15">
        <f t="shared" si="215"/>
        <v>1596</v>
      </c>
      <c r="J642" s="15">
        <f>OrdersTable!B642</f>
        <v>671</v>
      </c>
      <c r="K642" s="15" t="str">
        <f t="shared" si="205"/>
        <v>Mugs</v>
      </c>
      <c r="L642" s="15" t="str">
        <f t="shared" si="206"/>
        <v>Doctor Who: Mug: TARDIS Inside</v>
      </c>
      <c r="M642" s="15" t="str">
        <f t="shared" si="207"/>
        <v>-</v>
      </c>
      <c r="N642" s="15">
        <f t="shared" si="208"/>
        <v>0.6</v>
      </c>
      <c r="O642" s="15" t="str">
        <f t="shared" si="209"/>
        <v>A30</v>
      </c>
      <c r="P642" s="15" t="str">
        <f t="shared" si="210"/>
        <v>Chesterton Enterprises</v>
      </c>
      <c r="Q642" s="15" t="str">
        <f t="shared" si="211"/>
        <v>41 William Russell Road</v>
      </c>
      <c r="R642" s="3">
        <f>OrdersTable!C642</f>
        <v>44608</v>
      </c>
      <c r="S642" s="15">
        <f>OrdersTable!E642</f>
        <v>3</v>
      </c>
      <c r="T642" s="15">
        <f t="shared" si="212"/>
        <v>11.99</v>
      </c>
      <c r="U642" s="15">
        <f t="shared" si="213"/>
        <v>16.690000000000001</v>
      </c>
      <c r="V642" s="15">
        <f t="shared" si="214"/>
        <v>19.420000000000002</v>
      </c>
      <c r="W642" s="15">
        <f>IF(MarkupType="Store Markup",ROUND(V642+V642*StoreMarkup,2),IF(MarkupType="Supplier Markup",V642+V642*SupplierMarkup,"Error at finding value"))</f>
        <v>30.59</v>
      </c>
      <c r="X642" s="32" t="str">
        <f t="shared" si="216"/>
        <v>0.00</v>
      </c>
      <c r="Y642" s="15">
        <f t="shared" si="217"/>
        <v>58.26</v>
      </c>
      <c r="Z642" s="15">
        <f t="shared" si="218"/>
        <v>91.77</v>
      </c>
      <c r="AA642" s="15">
        <f>IF(FreightType="Lethbridge-Stewart Freight ",ROUND(2.99+IF(N642&gt;0.75,(N642-0.75)*2.25,0)*S642,2),IF(MarkupType="Supplier Markup",V642+V642*SupplierMarkup,"Error at finding value"))</f>
        <v>2.99</v>
      </c>
      <c r="AB642" s="15">
        <f t="shared" si="219"/>
        <v>0</v>
      </c>
    </row>
    <row r="643" spans="1:28" x14ac:dyDescent="0.25">
      <c r="A643" s="16">
        <f>OrdersTable!A643</f>
        <v>302</v>
      </c>
      <c r="B643" s="15" t="str">
        <f t="shared" si="199"/>
        <v>Ms</v>
      </c>
      <c r="C643" s="15" t="str">
        <f t="shared" si="220"/>
        <v>Lamshed</v>
      </c>
      <c r="D643" s="15" t="str">
        <f t="shared" si="200"/>
        <v>Laura Clare</v>
      </c>
      <c r="E643" s="15" t="str">
        <f t="shared" si="201"/>
        <v>22 Edser Drive</v>
      </c>
      <c r="F643" s="15" t="str">
        <f t="shared" si="202"/>
        <v>Caliph</v>
      </c>
      <c r="G643" s="15" t="str">
        <f t="shared" si="203"/>
        <v>SA</v>
      </c>
      <c r="H643" s="15">
        <f t="shared" si="204"/>
        <v>5310</v>
      </c>
      <c r="I643" s="15">
        <f t="shared" si="215"/>
        <v>1720</v>
      </c>
      <c r="J643" s="15">
        <f>OrdersTable!B643</f>
        <v>219</v>
      </c>
      <c r="K643" s="15" t="str">
        <f t="shared" si="205"/>
        <v>Clothing and Apparel</v>
      </c>
      <c r="L643" s="15" t="str">
        <f t="shared" si="206"/>
        <v>Doctor Who: Men's Winter Pyjamas</v>
      </c>
      <c r="M643" s="15" t="str">
        <f t="shared" si="207"/>
        <v>M</v>
      </c>
      <c r="N643" s="15">
        <f t="shared" si="208"/>
        <v>1.5</v>
      </c>
      <c r="O643" s="15" t="str">
        <f t="shared" si="209"/>
        <v>A40</v>
      </c>
      <c r="P643" s="15" t="str">
        <f t="shared" si="210"/>
        <v>Romana Imports</v>
      </c>
      <c r="Q643" s="15" t="str">
        <f t="shared" si="211"/>
        <v>17 Lalla Ward Road</v>
      </c>
      <c r="R643" s="3">
        <f>OrdersTable!C643</f>
        <v>44608</v>
      </c>
      <c r="S643" s="15">
        <f>OrdersTable!E643</f>
        <v>8</v>
      </c>
      <c r="T643" s="15">
        <f t="shared" si="212"/>
        <v>29.99</v>
      </c>
      <c r="U643" s="15">
        <f t="shared" si="213"/>
        <v>41.24</v>
      </c>
      <c r="V643" s="15">
        <f t="shared" si="214"/>
        <v>48.58</v>
      </c>
      <c r="W643" s="15">
        <f>IF(MarkupType="Store Markup",ROUND(V643+V643*StoreMarkup,2),IF(MarkupType="Supplier Markup",V643+V643*SupplierMarkup,"Error at finding value"))</f>
        <v>76.510000000000005</v>
      </c>
      <c r="X643" s="32" t="str">
        <f t="shared" si="216"/>
        <v>0.00</v>
      </c>
      <c r="Y643" s="15">
        <f t="shared" si="217"/>
        <v>388.64</v>
      </c>
      <c r="Z643" s="15">
        <f t="shared" si="218"/>
        <v>612.08000000000004</v>
      </c>
      <c r="AA643" s="15">
        <f>IF(FreightType="Lethbridge-Stewart Freight ",ROUND(2.99+IF(N643&gt;0.75,(N643-0.75)*2.25,0)*S643,2),IF(MarkupType="Supplier Markup",V643+V643*SupplierMarkup,"Error at finding value"))</f>
        <v>16.489999999999998</v>
      </c>
      <c r="AB643" s="15">
        <f t="shared" si="219"/>
        <v>0</v>
      </c>
    </row>
    <row r="644" spans="1:28" x14ac:dyDescent="0.25">
      <c r="A644" s="16">
        <f>OrdersTable!A644</f>
        <v>328</v>
      </c>
      <c r="B644" s="15" t="str">
        <f t="shared" ref="B644:B707" si="221">VLOOKUP($A644,Cust,2,0)</f>
        <v>Dr</v>
      </c>
      <c r="C644" s="15" t="str">
        <f t="shared" si="220"/>
        <v>Ward</v>
      </c>
      <c r="D644" s="15" t="str">
        <f t="shared" ref="D644:D707" si="222">VLOOKUP($A644,Cust,4,0)</f>
        <v>Keiren Nicholas</v>
      </c>
      <c r="E644" s="15" t="str">
        <f t="shared" ref="E644:E707" si="223">VLOOKUP($A644,Cust,6,0)</f>
        <v>13 Green Crescent</v>
      </c>
      <c r="F644" s="15" t="str">
        <f t="shared" ref="F644:F707" si="224">VLOOKUP($A644,Cust,7,0)</f>
        <v>Breakwater</v>
      </c>
      <c r="G644" s="15" t="str">
        <f t="shared" ref="G644:G707" si="225">VLOOKUP($A644,Cust,8,0)</f>
        <v>VIC</v>
      </c>
      <c r="H644" s="15">
        <f t="shared" ref="H644:H707" si="226">VLOOKUP($A644,Cust,9,0)</f>
        <v>3219</v>
      </c>
      <c r="I644" s="15">
        <f t="shared" si="215"/>
        <v>1596</v>
      </c>
      <c r="J644" s="15">
        <f>OrdersTable!B644</f>
        <v>330</v>
      </c>
      <c r="K644" s="15" t="str">
        <f t="shared" ref="K644:K707" si="227">VLOOKUP($J644,Itms,2,0)</f>
        <v>Clothing and Apparel</v>
      </c>
      <c r="L644" s="15" t="str">
        <f t="shared" ref="L644:L707" si="228">VLOOKUP($J644,Itms,3,0)</f>
        <v xml:space="preserve">Doctor Who: T-Shirts: 4th Doctor Costume </v>
      </c>
      <c r="M644" s="15" t="str">
        <f t="shared" ref="M644:M707" si="229">VLOOKUP($J644,Itms,4,0)</f>
        <v>M</v>
      </c>
      <c r="N644" s="15">
        <f t="shared" ref="N644:N707" si="230">VLOOKUP($J644,Itms,5,0)</f>
        <v>0.8</v>
      </c>
      <c r="O644" s="15" t="str">
        <f t="shared" ref="O644:O707" si="231">VLOOKUP($J644,Itms,6,0)</f>
        <v>A20</v>
      </c>
      <c r="P644" s="15" t="str">
        <f t="shared" ref="P644:P707" si="232">VLOOKUP($O644,Supp,2,0)</f>
        <v>Morbius Inc.</v>
      </c>
      <c r="Q644" s="15" t="str">
        <f t="shared" ref="Q644:Q707" si="233">VLOOKUP($O644,Supp,3,0)</f>
        <v>56 Michael Spice Hwy</v>
      </c>
      <c r="R644" s="3">
        <f>OrdersTable!C644</f>
        <v>44608</v>
      </c>
      <c r="S644" s="15">
        <f>OrdersTable!E644</f>
        <v>5</v>
      </c>
      <c r="T644" s="15">
        <f t="shared" ref="T644:T707" si="234">VLOOKUP($J644,Itms,9,0)</f>
        <v>15.99</v>
      </c>
      <c r="U644" s="15">
        <f t="shared" ref="U644:U707" si="235">VLOOKUP($J644,Itms,10,0)</f>
        <v>22.03</v>
      </c>
      <c r="V644" s="15">
        <f t="shared" ref="V644:V707" si="236">IF(ExchRateType="IR",ROUND(T644*ExchRateIR,2),IF(ExchRateType="CA",ROUND(U644*ExchRateCA,2),"Error at finding value"))</f>
        <v>25.9</v>
      </c>
      <c r="W644" s="15">
        <f>IF(MarkupType="Store Markup",ROUND(V644+V644*StoreMarkup,2),IF(MarkupType="Supplier Markup",V644+V644*SupplierMarkup,"Error at finding value"))</f>
        <v>40.79</v>
      </c>
      <c r="X644" s="32" t="str">
        <f t="shared" si="216"/>
        <v>0.00</v>
      </c>
      <c r="Y644" s="15">
        <f t="shared" si="217"/>
        <v>129.5</v>
      </c>
      <c r="Z644" s="15">
        <f t="shared" si="218"/>
        <v>203.95</v>
      </c>
      <c r="AA644" s="15">
        <f>IF(FreightType="Lethbridge-Stewart Freight ",ROUND(2.99+IF(N644&gt;0.75,(N644-0.75)*2.25,0)*S644,2),IF(MarkupType="Supplier Markup",V644+V644*SupplierMarkup,"Error at finding value"))</f>
        <v>3.55</v>
      </c>
      <c r="AB644" s="15">
        <f t="shared" si="219"/>
        <v>0</v>
      </c>
    </row>
    <row r="645" spans="1:28" x14ac:dyDescent="0.25">
      <c r="A645" s="16">
        <f>OrdersTable!A645</f>
        <v>333</v>
      </c>
      <c r="B645" s="15" t="str">
        <f t="shared" si="221"/>
        <v>Mr</v>
      </c>
      <c r="C645" s="15" t="str">
        <f t="shared" si="220"/>
        <v>Martin</v>
      </c>
      <c r="D645" s="15" t="str">
        <f t="shared" si="222"/>
        <v>Damien Roger</v>
      </c>
      <c r="E645" s="15" t="str">
        <f t="shared" si="223"/>
        <v>23 Quennell Way</v>
      </c>
      <c r="F645" s="15" t="str">
        <f t="shared" si="224"/>
        <v>Aberfoyle</v>
      </c>
      <c r="G645" s="15" t="str">
        <f t="shared" si="225"/>
        <v>NSW</v>
      </c>
      <c r="H645" s="15">
        <f t="shared" si="226"/>
        <v>2350</v>
      </c>
      <c r="I645" s="15">
        <f t="shared" ref="I645:I708" si="237">VLOOKUP($A645,Cust,10,0)</f>
        <v>363</v>
      </c>
      <c r="J645" s="15">
        <f>OrdersTable!B645</f>
        <v>862</v>
      </c>
      <c r="K645" s="15" t="str">
        <f t="shared" si="227"/>
        <v>Statues and Busts</v>
      </c>
      <c r="L645" s="15" t="str">
        <f t="shared" si="228"/>
        <v>Doctor Who: TITANS: The 10th Doctor</v>
      </c>
      <c r="M645" s="15" t="str">
        <f t="shared" si="229"/>
        <v>-</v>
      </c>
      <c r="N645" s="15">
        <f t="shared" si="230"/>
        <v>0.4</v>
      </c>
      <c r="O645" s="15" t="str">
        <f t="shared" si="231"/>
        <v>A40</v>
      </c>
      <c r="P645" s="15" t="str">
        <f t="shared" si="232"/>
        <v>Romana Imports</v>
      </c>
      <c r="Q645" s="15" t="str">
        <f t="shared" si="233"/>
        <v>17 Lalla Ward Road</v>
      </c>
      <c r="R645" s="3">
        <f>OrdersTable!C645</f>
        <v>44608</v>
      </c>
      <c r="S645" s="15">
        <f>OrdersTable!E645</f>
        <v>1</v>
      </c>
      <c r="T645" s="15">
        <f t="shared" si="234"/>
        <v>7.99</v>
      </c>
      <c r="U645" s="15">
        <f t="shared" si="235"/>
        <v>11.01</v>
      </c>
      <c r="V645" s="15">
        <f t="shared" si="236"/>
        <v>12.94</v>
      </c>
      <c r="W645" s="15">
        <f>IF(MarkupType="Store Markup",ROUND(V645+V645*StoreMarkup,2),IF(MarkupType="Supplier Markup",V645+V645*SupplierMarkup,"Error at finding value"))</f>
        <v>20.38</v>
      </c>
      <c r="X645" s="32" t="str">
        <f t="shared" ref="X645:X708" si="238">IF(AND(W645&gt;100,S645&gt;=3),ROUND(0.07125*W645,2),"0.00")</f>
        <v>0.00</v>
      </c>
      <c r="Y645" s="15">
        <f t="shared" ref="Y645:Y708" si="239">ROUND(V645*S645,2)</f>
        <v>12.94</v>
      </c>
      <c r="Z645" s="15">
        <f t="shared" ref="Z645:Z708" si="240">ROUND((W645-X645)*S645,2)</f>
        <v>20.38</v>
      </c>
      <c r="AA645" s="15">
        <f>IF(FreightType="Lethbridge-Stewart Freight ",ROUND(2.99+IF(N645&gt;0.75,(N645-0.75)*2.25,0)*S645,2),IF(MarkupType="Supplier Markup",V645+V645*SupplierMarkup,"Error at finding value"))</f>
        <v>2.99</v>
      </c>
      <c r="AB645" s="15">
        <f t="shared" ref="AB645:AB708" si="241">ROUND(X645*S645,2)</f>
        <v>0</v>
      </c>
    </row>
    <row r="646" spans="1:28" x14ac:dyDescent="0.25">
      <c r="A646" s="16">
        <f>OrdersTable!A646</f>
        <v>338</v>
      </c>
      <c r="B646" s="15" t="str">
        <f t="shared" si="221"/>
        <v>Miss</v>
      </c>
      <c r="C646" s="15" t="str">
        <f t="shared" si="220"/>
        <v>Pellegrino</v>
      </c>
      <c r="D646" s="15" t="str">
        <f t="shared" si="222"/>
        <v>Samantha</v>
      </c>
      <c r="E646" s="15" t="str">
        <f t="shared" si="223"/>
        <v>38 McKeown Street</v>
      </c>
      <c r="F646" s="15" t="str">
        <f t="shared" si="224"/>
        <v>Avon Plains</v>
      </c>
      <c r="G646" s="15" t="str">
        <f t="shared" si="225"/>
        <v>VIC</v>
      </c>
      <c r="H646" s="15">
        <f t="shared" si="226"/>
        <v>3477</v>
      </c>
      <c r="I646" s="15">
        <f t="shared" si="237"/>
        <v>1565</v>
      </c>
      <c r="J646" s="15">
        <f>OrdersTable!B646</f>
        <v>620</v>
      </c>
      <c r="K646" s="15" t="str">
        <f t="shared" si="227"/>
        <v>iPhone Skins</v>
      </c>
      <c r="L646" s="15" t="str">
        <f t="shared" si="228"/>
        <v>Doctor Who: iPhone Skin: TARDIS Water Colour</v>
      </c>
      <c r="M646" s="15" t="str">
        <f t="shared" si="229"/>
        <v>-</v>
      </c>
      <c r="N646" s="15">
        <f t="shared" si="230"/>
        <v>0.5</v>
      </c>
      <c r="O646" s="15" t="str">
        <f t="shared" si="231"/>
        <v>A30</v>
      </c>
      <c r="P646" s="15" t="str">
        <f t="shared" si="232"/>
        <v>Chesterton Enterprises</v>
      </c>
      <c r="Q646" s="15" t="str">
        <f t="shared" si="233"/>
        <v>41 William Russell Road</v>
      </c>
      <c r="R646" s="3">
        <f>OrdersTable!C646</f>
        <v>44608</v>
      </c>
      <c r="S646" s="15">
        <f>OrdersTable!E646</f>
        <v>10</v>
      </c>
      <c r="T646" s="15">
        <f t="shared" si="234"/>
        <v>9.99</v>
      </c>
      <c r="U646" s="15">
        <f t="shared" si="235"/>
        <v>13.81</v>
      </c>
      <c r="V646" s="15">
        <f t="shared" si="236"/>
        <v>16.18</v>
      </c>
      <c r="W646" s="15">
        <f>IF(MarkupType="Store Markup",ROUND(V646+V646*StoreMarkup,2),IF(MarkupType="Supplier Markup",V646+V646*SupplierMarkup,"Error at finding value"))</f>
        <v>25.48</v>
      </c>
      <c r="X646" s="32" t="str">
        <f t="shared" si="238"/>
        <v>0.00</v>
      </c>
      <c r="Y646" s="15">
        <f t="shared" si="239"/>
        <v>161.80000000000001</v>
      </c>
      <c r="Z646" s="15">
        <f t="shared" si="240"/>
        <v>254.8</v>
      </c>
      <c r="AA646" s="15">
        <f>IF(FreightType="Lethbridge-Stewart Freight ",ROUND(2.99+IF(N646&gt;0.75,(N646-0.75)*2.25,0)*S646,2),IF(MarkupType="Supplier Markup",V646+V646*SupplierMarkup,"Error at finding value"))</f>
        <v>2.99</v>
      </c>
      <c r="AB646" s="15">
        <f t="shared" si="241"/>
        <v>0</v>
      </c>
    </row>
    <row r="647" spans="1:28" x14ac:dyDescent="0.25">
      <c r="A647" s="16">
        <f>OrdersTable!A647</f>
        <v>526</v>
      </c>
      <c r="B647" s="15" t="str">
        <f t="shared" si="221"/>
        <v>Mrs</v>
      </c>
      <c r="C647" s="15" t="str">
        <f t="shared" si="220"/>
        <v>Bradford</v>
      </c>
      <c r="D647" s="15" t="str">
        <f t="shared" si="222"/>
        <v>Haleigh Renae Ann</v>
      </c>
      <c r="E647" s="15" t="str">
        <f t="shared" si="223"/>
        <v>31 Johnston Road</v>
      </c>
      <c r="F647" s="15" t="str">
        <f t="shared" si="224"/>
        <v>Ashford</v>
      </c>
      <c r="G647" s="15" t="str">
        <f t="shared" si="225"/>
        <v>SA</v>
      </c>
      <c r="H647" s="15">
        <f t="shared" si="226"/>
        <v>5035</v>
      </c>
      <c r="I647" s="15">
        <f t="shared" si="237"/>
        <v>1877</v>
      </c>
      <c r="J647" s="15">
        <f>OrdersTable!B647</f>
        <v>316</v>
      </c>
      <c r="K647" s="15" t="str">
        <f t="shared" si="227"/>
        <v>Clothing and Apparel</v>
      </c>
      <c r="L647" s="15" t="str">
        <f t="shared" si="228"/>
        <v xml:space="preserve">Doctor Who: T-Shirts: 4th Doctor Costume </v>
      </c>
      <c r="M647" s="15" t="str">
        <f t="shared" si="229"/>
        <v>S</v>
      </c>
      <c r="N647" s="15">
        <f t="shared" si="230"/>
        <v>0.8</v>
      </c>
      <c r="O647" s="15" t="str">
        <f t="shared" si="231"/>
        <v>A30</v>
      </c>
      <c r="P647" s="15" t="str">
        <f t="shared" si="232"/>
        <v>Chesterton Enterprises</v>
      </c>
      <c r="Q647" s="15" t="str">
        <f t="shared" si="233"/>
        <v>41 William Russell Road</v>
      </c>
      <c r="R647" s="3">
        <f>OrdersTable!C647</f>
        <v>44608</v>
      </c>
      <c r="S647" s="15">
        <f>OrdersTable!E647</f>
        <v>8</v>
      </c>
      <c r="T647" s="15">
        <f t="shared" si="234"/>
        <v>15.99</v>
      </c>
      <c r="U647" s="15">
        <f t="shared" si="235"/>
        <v>21.94</v>
      </c>
      <c r="V647" s="15">
        <f t="shared" si="236"/>
        <v>25.9</v>
      </c>
      <c r="W647" s="15">
        <f>IF(MarkupType="Store Markup",ROUND(V647+V647*StoreMarkup,2),IF(MarkupType="Supplier Markup",V647+V647*SupplierMarkup,"Error at finding value"))</f>
        <v>40.79</v>
      </c>
      <c r="X647" s="32" t="str">
        <f t="shared" si="238"/>
        <v>0.00</v>
      </c>
      <c r="Y647" s="15">
        <f t="shared" si="239"/>
        <v>207.2</v>
      </c>
      <c r="Z647" s="15">
        <f t="shared" si="240"/>
        <v>326.32</v>
      </c>
      <c r="AA647" s="15">
        <f>IF(FreightType="Lethbridge-Stewart Freight ",ROUND(2.99+IF(N647&gt;0.75,(N647-0.75)*2.25,0)*S647,2),IF(MarkupType="Supplier Markup",V647+V647*SupplierMarkup,"Error at finding value"))</f>
        <v>3.89</v>
      </c>
      <c r="AB647" s="15">
        <f t="shared" si="241"/>
        <v>0</v>
      </c>
    </row>
    <row r="648" spans="1:28" x14ac:dyDescent="0.25">
      <c r="A648" s="16">
        <f>OrdersTable!A648</f>
        <v>538</v>
      </c>
      <c r="B648" s="15" t="str">
        <f t="shared" si="221"/>
        <v>Dr</v>
      </c>
      <c r="C648" s="15" t="str">
        <f t="shared" si="220"/>
        <v>Radovic</v>
      </c>
      <c r="D648" s="15" t="str">
        <f t="shared" si="222"/>
        <v>Harley Benjamin</v>
      </c>
      <c r="E648" s="15" t="str">
        <f t="shared" si="223"/>
        <v>50 Hocking Way</v>
      </c>
      <c r="F648" s="15" t="str">
        <f t="shared" si="224"/>
        <v>Bray Park</v>
      </c>
      <c r="G648" s="15" t="str">
        <f t="shared" si="225"/>
        <v>QLD</v>
      </c>
      <c r="H648" s="15">
        <f t="shared" si="226"/>
        <v>4500</v>
      </c>
      <c r="I648" s="15">
        <f t="shared" si="237"/>
        <v>139</v>
      </c>
      <c r="J648" s="15">
        <f>OrdersTable!B648</f>
        <v>694</v>
      </c>
      <c r="K648" s="15" t="str">
        <f t="shared" si="227"/>
        <v>Posters, Prints and Standees</v>
      </c>
      <c r="L648" s="15" t="str">
        <f t="shared" si="228"/>
        <v>Doctor Who: 16'x12' Framed Print: Hide</v>
      </c>
      <c r="M648" s="15" t="str">
        <f t="shared" si="229"/>
        <v>-</v>
      </c>
      <c r="N648" s="15">
        <f t="shared" si="230"/>
        <v>0.75</v>
      </c>
      <c r="O648" s="15" t="str">
        <f t="shared" si="231"/>
        <v>A40</v>
      </c>
      <c r="P648" s="15" t="str">
        <f t="shared" si="232"/>
        <v>Romana Imports</v>
      </c>
      <c r="Q648" s="15" t="str">
        <f t="shared" si="233"/>
        <v>17 Lalla Ward Road</v>
      </c>
      <c r="R648" s="3">
        <f>OrdersTable!C648</f>
        <v>44608</v>
      </c>
      <c r="S648" s="15">
        <f>OrdersTable!E648</f>
        <v>2</v>
      </c>
      <c r="T648" s="15">
        <f t="shared" si="234"/>
        <v>14.99</v>
      </c>
      <c r="U648" s="15">
        <f t="shared" si="235"/>
        <v>20.49</v>
      </c>
      <c r="V648" s="15">
        <f t="shared" si="236"/>
        <v>24.28</v>
      </c>
      <c r="W648" s="15">
        <f>IF(MarkupType="Store Markup",ROUND(V648+V648*StoreMarkup,2),IF(MarkupType="Supplier Markup",V648+V648*SupplierMarkup,"Error at finding value"))</f>
        <v>38.24</v>
      </c>
      <c r="X648" s="32" t="str">
        <f t="shared" si="238"/>
        <v>0.00</v>
      </c>
      <c r="Y648" s="15">
        <f t="shared" si="239"/>
        <v>48.56</v>
      </c>
      <c r="Z648" s="15">
        <f t="shared" si="240"/>
        <v>76.48</v>
      </c>
      <c r="AA648" s="15">
        <f>IF(FreightType="Lethbridge-Stewart Freight ",ROUND(2.99+IF(N648&gt;0.75,(N648-0.75)*2.25,0)*S648,2),IF(MarkupType="Supplier Markup",V648+V648*SupplierMarkup,"Error at finding value"))</f>
        <v>2.99</v>
      </c>
      <c r="AB648" s="15">
        <f t="shared" si="241"/>
        <v>0</v>
      </c>
    </row>
    <row r="649" spans="1:28" x14ac:dyDescent="0.25">
      <c r="A649" s="16">
        <f>OrdersTable!A649</f>
        <v>586</v>
      </c>
      <c r="B649" s="15" t="str">
        <f t="shared" si="221"/>
        <v>Dr</v>
      </c>
      <c r="C649" s="15" t="str">
        <f t="shared" si="220"/>
        <v>Coetzee</v>
      </c>
      <c r="D649" s="15" t="str">
        <f t="shared" si="222"/>
        <v>Riekert</v>
      </c>
      <c r="E649" s="15" t="str">
        <f t="shared" si="223"/>
        <v>5 Western Road</v>
      </c>
      <c r="F649" s="15" t="str">
        <f t="shared" si="224"/>
        <v>Alfredtown</v>
      </c>
      <c r="G649" s="15" t="str">
        <f t="shared" si="225"/>
        <v>NSW</v>
      </c>
      <c r="H649" s="15">
        <f t="shared" si="226"/>
        <v>2650</v>
      </c>
      <c r="I649" s="15">
        <f t="shared" si="237"/>
        <v>1124</v>
      </c>
      <c r="J649" s="15">
        <f>OrdersTable!B649</f>
        <v>667</v>
      </c>
      <c r="K649" s="15" t="str">
        <f t="shared" si="227"/>
        <v>Mugs</v>
      </c>
      <c r="L649" s="15" t="str">
        <f t="shared" si="228"/>
        <v>Doctor Who: Mug: Keep Calm And Don't Blink</v>
      </c>
      <c r="M649" s="15" t="str">
        <f t="shared" si="229"/>
        <v>-</v>
      </c>
      <c r="N649" s="15">
        <f t="shared" si="230"/>
        <v>0.35</v>
      </c>
      <c r="O649" s="15" t="str">
        <f t="shared" si="231"/>
        <v>A10</v>
      </c>
      <c r="P649" s="15" t="str">
        <f t="shared" si="232"/>
        <v>Gallifrey International</v>
      </c>
      <c r="Q649" s="15" t="str">
        <f t="shared" si="233"/>
        <v>181 Arcadia Street</v>
      </c>
      <c r="R649" s="3">
        <f>OrdersTable!C649</f>
        <v>44608</v>
      </c>
      <c r="S649" s="15">
        <f>OrdersTable!E649</f>
        <v>5</v>
      </c>
      <c r="T649" s="15">
        <f t="shared" si="234"/>
        <v>6.99</v>
      </c>
      <c r="U649" s="15">
        <f t="shared" si="235"/>
        <v>9.84</v>
      </c>
      <c r="V649" s="15">
        <f t="shared" si="236"/>
        <v>11.32</v>
      </c>
      <c r="W649" s="15">
        <f>IF(MarkupType="Store Markup",ROUND(V649+V649*StoreMarkup,2),IF(MarkupType="Supplier Markup",V649+V649*SupplierMarkup,"Error at finding value"))</f>
        <v>17.829999999999998</v>
      </c>
      <c r="X649" s="32" t="str">
        <f t="shared" si="238"/>
        <v>0.00</v>
      </c>
      <c r="Y649" s="15">
        <f t="shared" si="239"/>
        <v>56.6</v>
      </c>
      <c r="Z649" s="15">
        <f t="shared" si="240"/>
        <v>89.15</v>
      </c>
      <c r="AA649" s="15">
        <f>IF(FreightType="Lethbridge-Stewart Freight ",ROUND(2.99+IF(N649&gt;0.75,(N649-0.75)*2.25,0)*S649,2),IF(MarkupType="Supplier Markup",V649+V649*SupplierMarkup,"Error at finding value"))</f>
        <v>2.99</v>
      </c>
      <c r="AB649" s="15">
        <f t="shared" si="241"/>
        <v>0</v>
      </c>
    </row>
    <row r="650" spans="1:28" x14ac:dyDescent="0.25">
      <c r="A650" s="16">
        <f>OrdersTable!A650</f>
        <v>600</v>
      </c>
      <c r="B650" s="15" t="str">
        <f t="shared" si="221"/>
        <v>Dr</v>
      </c>
      <c r="C650" s="15" t="str">
        <f t="shared" si="220"/>
        <v>McConnell</v>
      </c>
      <c r="D650" s="15" t="str">
        <f t="shared" si="222"/>
        <v>Hannah Clair</v>
      </c>
      <c r="E650" s="15" t="str">
        <f t="shared" si="223"/>
        <v>27 Mccarthy Circuit</v>
      </c>
      <c r="F650" s="15" t="str">
        <f t="shared" si="224"/>
        <v>Ashford</v>
      </c>
      <c r="G650" s="15" t="str">
        <f t="shared" si="225"/>
        <v>SA</v>
      </c>
      <c r="H650" s="15">
        <f t="shared" si="226"/>
        <v>5035</v>
      </c>
      <c r="I650" s="15">
        <f t="shared" si="237"/>
        <v>1877</v>
      </c>
      <c r="J650" s="15">
        <f>OrdersTable!B650</f>
        <v>652</v>
      </c>
      <c r="K650" s="15" t="str">
        <f t="shared" si="227"/>
        <v>Mugs</v>
      </c>
      <c r="L650" s="15" t="str">
        <f t="shared" si="228"/>
        <v>Doctor Who: Mug: Dalek 2D</v>
      </c>
      <c r="M650" s="15" t="str">
        <f t="shared" si="229"/>
        <v>-</v>
      </c>
      <c r="N650" s="15">
        <f t="shared" si="230"/>
        <v>0.35</v>
      </c>
      <c r="O650" s="15" t="str">
        <f t="shared" si="231"/>
        <v>A10</v>
      </c>
      <c r="P650" s="15" t="str">
        <f t="shared" si="232"/>
        <v>Gallifrey International</v>
      </c>
      <c r="Q650" s="15" t="str">
        <f t="shared" si="233"/>
        <v>181 Arcadia Street</v>
      </c>
      <c r="R650" s="3">
        <f>OrdersTable!C650</f>
        <v>44608</v>
      </c>
      <c r="S650" s="15">
        <f>OrdersTable!E650</f>
        <v>8</v>
      </c>
      <c r="T650" s="15">
        <f t="shared" si="234"/>
        <v>6.99</v>
      </c>
      <c r="U650" s="15">
        <f t="shared" si="235"/>
        <v>9.8800000000000008</v>
      </c>
      <c r="V650" s="15">
        <f t="shared" si="236"/>
        <v>11.32</v>
      </c>
      <c r="W650" s="15">
        <f>IF(MarkupType="Store Markup",ROUND(V650+V650*StoreMarkup,2),IF(MarkupType="Supplier Markup",V650+V650*SupplierMarkup,"Error at finding value"))</f>
        <v>17.829999999999998</v>
      </c>
      <c r="X650" s="32" t="str">
        <f t="shared" si="238"/>
        <v>0.00</v>
      </c>
      <c r="Y650" s="15">
        <f t="shared" si="239"/>
        <v>90.56</v>
      </c>
      <c r="Z650" s="15">
        <f t="shared" si="240"/>
        <v>142.63999999999999</v>
      </c>
      <c r="AA650" s="15">
        <f>IF(FreightType="Lethbridge-Stewart Freight ",ROUND(2.99+IF(N650&gt;0.75,(N650-0.75)*2.25,0)*S650,2),IF(MarkupType="Supplier Markup",V650+V650*SupplierMarkup,"Error at finding value"))</f>
        <v>2.99</v>
      </c>
      <c r="AB650" s="15">
        <f t="shared" si="241"/>
        <v>0</v>
      </c>
    </row>
    <row r="651" spans="1:28" x14ac:dyDescent="0.25">
      <c r="A651" s="16">
        <f>OrdersTable!A651</f>
        <v>602</v>
      </c>
      <c r="B651" s="15" t="str">
        <f t="shared" si="221"/>
        <v>Mr</v>
      </c>
      <c r="C651" s="15" t="str">
        <f t="shared" ref="C651:C714" si="242">VLOOKUP($A651,Cust,3,0)</f>
        <v>Spinelli</v>
      </c>
      <c r="D651" s="15" t="str">
        <f t="shared" si="222"/>
        <v>Paul Walter</v>
      </c>
      <c r="E651" s="15" t="str">
        <f t="shared" si="223"/>
        <v>35 Azar Drive</v>
      </c>
      <c r="F651" s="15" t="str">
        <f t="shared" si="224"/>
        <v>Bray Park</v>
      </c>
      <c r="G651" s="15" t="str">
        <f t="shared" si="225"/>
        <v>QLD</v>
      </c>
      <c r="H651" s="15">
        <f t="shared" si="226"/>
        <v>4500</v>
      </c>
      <c r="I651" s="15">
        <f t="shared" si="237"/>
        <v>139</v>
      </c>
      <c r="J651" s="15">
        <f>OrdersTable!B651</f>
        <v>757</v>
      </c>
      <c r="K651" s="15" t="str">
        <f t="shared" si="227"/>
        <v>Statues and Busts</v>
      </c>
      <c r="L651" s="15" t="str">
        <f t="shared" si="228"/>
        <v>Doctor Who: Helmet: Ice Warrior</v>
      </c>
      <c r="M651" s="15" t="str">
        <f t="shared" si="229"/>
        <v>-</v>
      </c>
      <c r="N651" s="15">
        <f t="shared" si="230"/>
        <v>1.75</v>
      </c>
      <c r="O651" s="15" t="str">
        <f t="shared" si="231"/>
        <v>A20</v>
      </c>
      <c r="P651" s="15" t="str">
        <f t="shared" si="232"/>
        <v>Morbius Inc.</v>
      </c>
      <c r="Q651" s="15" t="str">
        <f t="shared" si="233"/>
        <v>56 Michael Spice Hwy</v>
      </c>
      <c r="R651" s="3">
        <f>OrdersTable!C651</f>
        <v>44608</v>
      </c>
      <c r="S651" s="15">
        <f>OrdersTable!E651</f>
        <v>10</v>
      </c>
      <c r="T651" s="15">
        <f t="shared" si="234"/>
        <v>34.99</v>
      </c>
      <c r="U651" s="15">
        <f t="shared" si="235"/>
        <v>47.88</v>
      </c>
      <c r="V651" s="15">
        <f t="shared" si="236"/>
        <v>56.68</v>
      </c>
      <c r="W651" s="15">
        <f>IF(MarkupType="Store Markup",ROUND(V651+V651*StoreMarkup,2),IF(MarkupType="Supplier Markup",V651+V651*SupplierMarkup,"Error at finding value"))</f>
        <v>89.27</v>
      </c>
      <c r="X651" s="32" t="str">
        <f t="shared" si="238"/>
        <v>0.00</v>
      </c>
      <c r="Y651" s="15">
        <f t="shared" si="239"/>
        <v>566.79999999999995</v>
      </c>
      <c r="Z651" s="15">
        <f t="shared" si="240"/>
        <v>892.7</v>
      </c>
      <c r="AA651" s="15">
        <f>IF(FreightType="Lethbridge-Stewart Freight ",ROUND(2.99+IF(N651&gt;0.75,(N651-0.75)*2.25,0)*S651,2),IF(MarkupType="Supplier Markup",V651+V651*SupplierMarkup,"Error at finding value"))</f>
        <v>25.49</v>
      </c>
      <c r="AB651" s="15">
        <f t="shared" si="241"/>
        <v>0</v>
      </c>
    </row>
    <row r="652" spans="1:28" x14ac:dyDescent="0.25">
      <c r="A652" s="16">
        <f>OrdersTable!A652</f>
        <v>634</v>
      </c>
      <c r="B652" s="15" t="str">
        <f t="shared" si="221"/>
        <v>Miss</v>
      </c>
      <c r="C652" s="15" t="str">
        <f t="shared" si="242"/>
        <v>Betts</v>
      </c>
      <c r="D652" s="15" t="str">
        <f t="shared" si="222"/>
        <v>Melissa Leigh</v>
      </c>
      <c r="E652" s="15" t="str">
        <f t="shared" si="223"/>
        <v>4 Aitcheson Drive</v>
      </c>
      <c r="F652" s="15" t="str">
        <f t="shared" si="224"/>
        <v>Bray Park</v>
      </c>
      <c r="G652" s="15" t="str">
        <f t="shared" si="225"/>
        <v>QLD</v>
      </c>
      <c r="H652" s="15">
        <f t="shared" si="226"/>
        <v>4500</v>
      </c>
      <c r="I652" s="15">
        <f t="shared" si="237"/>
        <v>139</v>
      </c>
      <c r="J652" s="15">
        <f>OrdersTable!B652</f>
        <v>689</v>
      </c>
      <c r="K652" s="15" t="str">
        <f t="shared" si="227"/>
        <v>Posters, Prints and Standees</v>
      </c>
      <c r="L652" s="15" t="str">
        <f t="shared" si="228"/>
        <v>Doctor Who: 16'x12' Framed Print: Cold War</v>
      </c>
      <c r="M652" s="15" t="str">
        <f t="shared" si="229"/>
        <v>-</v>
      </c>
      <c r="N652" s="15">
        <f t="shared" si="230"/>
        <v>0.75</v>
      </c>
      <c r="O652" s="15" t="str">
        <f t="shared" si="231"/>
        <v>A50</v>
      </c>
      <c r="P652" s="15" t="str">
        <f t="shared" si="232"/>
        <v>Rassilon Ltd.</v>
      </c>
      <c r="Q652" s="15" t="str">
        <f t="shared" si="233"/>
        <v>82 Richard Mathews Road</v>
      </c>
      <c r="R652" s="3">
        <f>OrdersTable!C652</f>
        <v>44608</v>
      </c>
      <c r="S652" s="15">
        <f>OrdersTable!E652</f>
        <v>2</v>
      </c>
      <c r="T652" s="15">
        <f t="shared" si="234"/>
        <v>14.99</v>
      </c>
      <c r="U652" s="15">
        <f t="shared" si="235"/>
        <v>20.77</v>
      </c>
      <c r="V652" s="15">
        <f t="shared" si="236"/>
        <v>24.28</v>
      </c>
      <c r="W652" s="15">
        <f>IF(MarkupType="Store Markup",ROUND(V652+V652*StoreMarkup,2),IF(MarkupType="Supplier Markup",V652+V652*SupplierMarkup,"Error at finding value"))</f>
        <v>38.24</v>
      </c>
      <c r="X652" s="32" t="str">
        <f t="shared" si="238"/>
        <v>0.00</v>
      </c>
      <c r="Y652" s="15">
        <f t="shared" si="239"/>
        <v>48.56</v>
      </c>
      <c r="Z652" s="15">
        <f t="shared" si="240"/>
        <v>76.48</v>
      </c>
      <c r="AA652" s="15">
        <f>IF(FreightType="Lethbridge-Stewart Freight ",ROUND(2.99+IF(N652&gt;0.75,(N652-0.75)*2.25,0)*S652,2),IF(MarkupType="Supplier Markup",V652+V652*SupplierMarkup,"Error at finding value"))</f>
        <v>2.99</v>
      </c>
      <c r="AB652" s="15">
        <f t="shared" si="241"/>
        <v>0</v>
      </c>
    </row>
    <row r="653" spans="1:28" x14ac:dyDescent="0.25">
      <c r="A653" s="16">
        <f>OrdersTable!A653</f>
        <v>983</v>
      </c>
      <c r="B653" s="15" t="str">
        <f t="shared" si="221"/>
        <v>Mrs</v>
      </c>
      <c r="C653" s="15" t="str">
        <f t="shared" si="242"/>
        <v>Bennett</v>
      </c>
      <c r="D653" s="15" t="str">
        <f t="shared" si="222"/>
        <v>Mikayla Elizabeth</v>
      </c>
      <c r="E653" s="15" t="str">
        <f t="shared" si="223"/>
        <v>35 Khanal Crescent</v>
      </c>
      <c r="F653" s="15" t="str">
        <f t="shared" si="224"/>
        <v>Bamboo</v>
      </c>
      <c r="G653" s="15" t="str">
        <f t="shared" si="225"/>
        <v>QLD</v>
      </c>
      <c r="H653" s="15">
        <f t="shared" si="226"/>
        <v>4873</v>
      </c>
      <c r="I653" s="15">
        <f t="shared" si="237"/>
        <v>1741</v>
      </c>
      <c r="J653" s="15">
        <f>OrdersTable!B653</f>
        <v>373</v>
      </c>
      <c r="K653" s="15" t="str">
        <f t="shared" si="227"/>
        <v>Clothing and Apparel</v>
      </c>
      <c r="L653" s="15" t="str">
        <f t="shared" si="228"/>
        <v xml:space="preserve">Doctor Who: T-Shirts: 5th Doctor Costume </v>
      </c>
      <c r="M653" s="15" t="str">
        <f t="shared" si="229"/>
        <v>L</v>
      </c>
      <c r="N653" s="15">
        <f t="shared" si="230"/>
        <v>0.8</v>
      </c>
      <c r="O653" s="15" t="str">
        <f t="shared" si="231"/>
        <v>A20</v>
      </c>
      <c r="P653" s="15" t="str">
        <f t="shared" si="232"/>
        <v>Morbius Inc.</v>
      </c>
      <c r="Q653" s="15" t="str">
        <f t="shared" si="233"/>
        <v>56 Michael Spice Hwy</v>
      </c>
      <c r="R653" s="3">
        <f>OrdersTable!C653</f>
        <v>44608</v>
      </c>
      <c r="S653" s="15">
        <f>OrdersTable!E653</f>
        <v>5</v>
      </c>
      <c r="T653" s="15">
        <f t="shared" si="234"/>
        <v>15.99</v>
      </c>
      <c r="U653" s="15">
        <f t="shared" si="235"/>
        <v>22.09</v>
      </c>
      <c r="V653" s="15">
        <f t="shared" si="236"/>
        <v>25.9</v>
      </c>
      <c r="W653" s="15">
        <f>IF(MarkupType="Store Markup",ROUND(V653+V653*StoreMarkup,2),IF(MarkupType="Supplier Markup",V653+V653*SupplierMarkup,"Error at finding value"))</f>
        <v>40.79</v>
      </c>
      <c r="X653" s="32" t="str">
        <f t="shared" si="238"/>
        <v>0.00</v>
      </c>
      <c r="Y653" s="15">
        <f t="shared" si="239"/>
        <v>129.5</v>
      </c>
      <c r="Z653" s="15">
        <f t="shared" si="240"/>
        <v>203.95</v>
      </c>
      <c r="AA653" s="15">
        <f>IF(FreightType="Lethbridge-Stewart Freight ",ROUND(2.99+IF(N653&gt;0.75,(N653-0.75)*2.25,0)*S653,2),IF(MarkupType="Supplier Markup",V653+V653*SupplierMarkup,"Error at finding value"))</f>
        <v>3.55</v>
      </c>
      <c r="AB653" s="15">
        <f t="shared" si="241"/>
        <v>0</v>
      </c>
    </row>
    <row r="654" spans="1:28" x14ac:dyDescent="0.25">
      <c r="A654" s="16">
        <f>OrdersTable!A654</f>
        <v>282</v>
      </c>
      <c r="B654" s="15" t="str">
        <f t="shared" si="221"/>
        <v>Dr</v>
      </c>
      <c r="C654" s="15" t="str">
        <f t="shared" si="242"/>
        <v>Johnson</v>
      </c>
      <c r="D654" s="15" t="str">
        <f t="shared" si="222"/>
        <v>Samantha Emily Louise</v>
      </c>
      <c r="E654" s="15" t="str">
        <f t="shared" si="223"/>
        <v>2 Wiggan Avenue</v>
      </c>
      <c r="F654" s="15" t="str">
        <f t="shared" si="224"/>
        <v>Boston</v>
      </c>
      <c r="G654" s="15" t="str">
        <f t="shared" si="225"/>
        <v>SA</v>
      </c>
      <c r="H654" s="15">
        <f t="shared" si="226"/>
        <v>5607</v>
      </c>
      <c r="I654" s="15">
        <f t="shared" si="237"/>
        <v>2076</v>
      </c>
      <c r="J654" s="15">
        <f>OrdersTable!B654</f>
        <v>699</v>
      </c>
      <c r="K654" s="15" t="str">
        <f t="shared" si="227"/>
        <v>Posters, Prints and Standees</v>
      </c>
      <c r="L654" s="15" t="str">
        <f t="shared" si="228"/>
        <v>Doctor Who: Half Sized Standee: The Master</v>
      </c>
      <c r="M654" s="15" t="str">
        <f t="shared" si="229"/>
        <v>-</v>
      </c>
      <c r="N654" s="15">
        <f t="shared" si="230"/>
        <v>0.5</v>
      </c>
      <c r="O654" s="15" t="str">
        <f t="shared" si="231"/>
        <v>A20</v>
      </c>
      <c r="P654" s="15" t="str">
        <f t="shared" si="232"/>
        <v>Morbius Inc.</v>
      </c>
      <c r="Q654" s="15" t="str">
        <f t="shared" si="233"/>
        <v>56 Michael Spice Hwy</v>
      </c>
      <c r="R654" s="3">
        <f>OrdersTable!C654</f>
        <v>44609</v>
      </c>
      <c r="S654" s="15">
        <f>OrdersTable!E654</f>
        <v>9</v>
      </c>
      <c r="T654" s="15">
        <f t="shared" si="234"/>
        <v>9.99</v>
      </c>
      <c r="U654" s="15">
        <f t="shared" si="235"/>
        <v>13.79</v>
      </c>
      <c r="V654" s="15">
        <f t="shared" si="236"/>
        <v>16.18</v>
      </c>
      <c r="W654" s="15">
        <f>IF(MarkupType="Store Markup",ROUND(V654+V654*StoreMarkup,2),IF(MarkupType="Supplier Markup",V654+V654*SupplierMarkup,"Error at finding value"))</f>
        <v>25.48</v>
      </c>
      <c r="X654" s="32" t="str">
        <f t="shared" si="238"/>
        <v>0.00</v>
      </c>
      <c r="Y654" s="15">
        <f t="shared" si="239"/>
        <v>145.62</v>
      </c>
      <c r="Z654" s="15">
        <f t="shared" si="240"/>
        <v>229.32</v>
      </c>
      <c r="AA654" s="15">
        <f>IF(FreightType="Lethbridge-Stewart Freight ",ROUND(2.99+IF(N654&gt;0.75,(N654-0.75)*2.25,0)*S654,2),IF(MarkupType="Supplier Markup",V654+V654*SupplierMarkup,"Error at finding value"))</f>
        <v>2.99</v>
      </c>
      <c r="AB654" s="15">
        <f t="shared" si="241"/>
        <v>0</v>
      </c>
    </row>
    <row r="655" spans="1:28" x14ac:dyDescent="0.25">
      <c r="A655" s="16">
        <f>OrdersTable!A655</f>
        <v>285</v>
      </c>
      <c r="B655" s="15" t="str">
        <f t="shared" si="221"/>
        <v>Mr</v>
      </c>
      <c r="C655" s="15" t="str">
        <f t="shared" si="242"/>
        <v>Temple Morgan</v>
      </c>
      <c r="D655" s="15" t="str">
        <f t="shared" si="222"/>
        <v>Mathew Peter</v>
      </c>
      <c r="E655" s="15" t="str">
        <f t="shared" si="223"/>
        <v>19 Tansky Court</v>
      </c>
      <c r="F655" s="15" t="str">
        <f t="shared" si="224"/>
        <v>Belford</v>
      </c>
      <c r="G655" s="15" t="str">
        <f t="shared" si="225"/>
        <v>NSW</v>
      </c>
      <c r="H655" s="15">
        <f t="shared" si="226"/>
        <v>2335</v>
      </c>
      <c r="I655" s="15">
        <f t="shared" si="237"/>
        <v>716</v>
      </c>
      <c r="J655" s="15">
        <f>OrdersTable!B655</f>
        <v>585</v>
      </c>
      <c r="K655" s="15" t="str">
        <f t="shared" si="227"/>
        <v>iPhone Skins</v>
      </c>
      <c r="L655" s="15" t="str">
        <f t="shared" si="228"/>
        <v>Doctor Who: iPhone Skin: Dalek To Victory</v>
      </c>
      <c r="M655" s="15" t="str">
        <f t="shared" si="229"/>
        <v>-</v>
      </c>
      <c r="N655" s="15">
        <f t="shared" si="230"/>
        <v>0.5</v>
      </c>
      <c r="O655" s="15" t="str">
        <f t="shared" si="231"/>
        <v>A10</v>
      </c>
      <c r="P655" s="15" t="str">
        <f t="shared" si="232"/>
        <v>Gallifrey International</v>
      </c>
      <c r="Q655" s="15" t="str">
        <f t="shared" si="233"/>
        <v>181 Arcadia Street</v>
      </c>
      <c r="R655" s="3">
        <f>OrdersTable!C655</f>
        <v>44609</v>
      </c>
      <c r="S655" s="15">
        <f>OrdersTable!E655</f>
        <v>6</v>
      </c>
      <c r="T655" s="15">
        <f t="shared" si="234"/>
        <v>9.99</v>
      </c>
      <c r="U655" s="15">
        <f t="shared" si="235"/>
        <v>13.7</v>
      </c>
      <c r="V655" s="15">
        <f t="shared" si="236"/>
        <v>16.18</v>
      </c>
      <c r="W655" s="15">
        <f>IF(MarkupType="Store Markup",ROUND(V655+V655*StoreMarkup,2),IF(MarkupType="Supplier Markup",V655+V655*SupplierMarkup,"Error at finding value"))</f>
        <v>25.48</v>
      </c>
      <c r="X655" s="32" t="str">
        <f t="shared" si="238"/>
        <v>0.00</v>
      </c>
      <c r="Y655" s="15">
        <f t="shared" si="239"/>
        <v>97.08</v>
      </c>
      <c r="Z655" s="15">
        <f t="shared" si="240"/>
        <v>152.88</v>
      </c>
      <c r="AA655" s="15">
        <f>IF(FreightType="Lethbridge-Stewart Freight ",ROUND(2.99+IF(N655&gt;0.75,(N655-0.75)*2.25,0)*S655,2),IF(MarkupType="Supplier Markup",V655+V655*SupplierMarkup,"Error at finding value"))</f>
        <v>2.99</v>
      </c>
      <c r="AB655" s="15">
        <f t="shared" si="241"/>
        <v>0</v>
      </c>
    </row>
    <row r="656" spans="1:28" x14ac:dyDescent="0.25">
      <c r="A656" s="16">
        <f>OrdersTable!A656</f>
        <v>285</v>
      </c>
      <c r="B656" s="15" t="str">
        <f t="shared" si="221"/>
        <v>Mr</v>
      </c>
      <c r="C656" s="15" t="str">
        <f t="shared" si="242"/>
        <v>Temple Morgan</v>
      </c>
      <c r="D656" s="15" t="str">
        <f t="shared" si="222"/>
        <v>Mathew Peter</v>
      </c>
      <c r="E656" s="15" t="str">
        <f t="shared" si="223"/>
        <v>19 Tansky Court</v>
      </c>
      <c r="F656" s="15" t="str">
        <f t="shared" si="224"/>
        <v>Belford</v>
      </c>
      <c r="G656" s="15" t="str">
        <f t="shared" si="225"/>
        <v>NSW</v>
      </c>
      <c r="H656" s="15">
        <f t="shared" si="226"/>
        <v>2335</v>
      </c>
      <c r="I656" s="15">
        <f t="shared" si="237"/>
        <v>716</v>
      </c>
      <c r="J656" s="15">
        <f>OrdersTable!B656</f>
        <v>701</v>
      </c>
      <c r="K656" s="15" t="str">
        <f t="shared" si="227"/>
        <v>Posters, Prints and Standees</v>
      </c>
      <c r="L656" s="15" t="str">
        <f t="shared" si="228"/>
        <v>Doctor Who: Half Sized Standee: The TARDIS</v>
      </c>
      <c r="M656" s="15" t="str">
        <f t="shared" si="229"/>
        <v>-</v>
      </c>
      <c r="N656" s="15">
        <f t="shared" si="230"/>
        <v>0.5</v>
      </c>
      <c r="O656" s="15" t="str">
        <f t="shared" si="231"/>
        <v>A40</v>
      </c>
      <c r="P656" s="15" t="str">
        <f t="shared" si="232"/>
        <v>Romana Imports</v>
      </c>
      <c r="Q656" s="15" t="str">
        <f t="shared" si="233"/>
        <v>17 Lalla Ward Road</v>
      </c>
      <c r="R656" s="3">
        <f>OrdersTable!C656</f>
        <v>44609</v>
      </c>
      <c r="S656" s="15">
        <f>OrdersTable!E656</f>
        <v>2</v>
      </c>
      <c r="T656" s="15">
        <f t="shared" si="234"/>
        <v>9.99</v>
      </c>
      <c r="U656" s="15">
        <f t="shared" si="235"/>
        <v>13.83</v>
      </c>
      <c r="V656" s="15">
        <f t="shared" si="236"/>
        <v>16.18</v>
      </c>
      <c r="W656" s="15">
        <f>IF(MarkupType="Store Markup",ROUND(V656+V656*StoreMarkup,2),IF(MarkupType="Supplier Markup",V656+V656*SupplierMarkup,"Error at finding value"))</f>
        <v>25.48</v>
      </c>
      <c r="X656" s="32" t="str">
        <f t="shared" si="238"/>
        <v>0.00</v>
      </c>
      <c r="Y656" s="15">
        <f t="shared" si="239"/>
        <v>32.36</v>
      </c>
      <c r="Z656" s="15">
        <f t="shared" si="240"/>
        <v>50.96</v>
      </c>
      <c r="AA656" s="15">
        <f>IF(FreightType="Lethbridge-Stewart Freight ",ROUND(2.99+IF(N656&gt;0.75,(N656-0.75)*2.25,0)*S656,2),IF(MarkupType="Supplier Markup",V656+V656*SupplierMarkup,"Error at finding value"))</f>
        <v>2.99</v>
      </c>
      <c r="AB656" s="15">
        <f t="shared" si="241"/>
        <v>0</v>
      </c>
    </row>
    <row r="657" spans="1:28" x14ac:dyDescent="0.25">
      <c r="A657" s="16">
        <f>OrdersTable!A657</f>
        <v>285</v>
      </c>
      <c r="B657" s="15" t="str">
        <f t="shared" si="221"/>
        <v>Mr</v>
      </c>
      <c r="C657" s="15" t="str">
        <f t="shared" si="242"/>
        <v>Temple Morgan</v>
      </c>
      <c r="D657" s="15" t="str">
        <f t="shared" si="222"/>
        <v>Mathew Peter</v>
      </c>
      <c r="E657" s="15" t="str">
        <f t="shared" si="223"/>
        <v>19 Tansky Court</v>
      </c>
      <c r="F657" s="15" t="str">
        <f t="shared" si="224"/>
        <v>Belford</v>
      </c>
      <c r="G657" s="15" t="str">
        <f t="shared" si="225"/>
        <v>NSW</v>
      </c>
      <c r="H657" s="15">
        <f t="shared" si="226"/>
        <v>2335</v>
      </c>
      <c r="I657" s="15">
        <f t="shared" si="237"/>
        <v>716</v>
      </c>
      <c r="J657" s="15">
        <f>OrdersTable!B657</f>
        <v>740</v>
      </c>
      <c r="K657" s="15" t="str">
        <f t="shared" si="227"/>
        <v>Props and Replicas</v>
      </c>
      <c r="L657" s="15" t="str">
        <f t="shared" si="228"/>
        <v>Doctor Who: River Song Squareness Blaster</v>
      </c>
      <c r="M657" s="15" t="str">
        <f t="shared" si="229"/>
        <v>-</v>
      </c>
      <c r="N657" s="15">
        <f t="shared" si="230"/>
        <v>14.8</v>
      </c>
      <c r="O657" s="15" t="str">
        <f t="shared" si="231"/>
        <v>A40</v>
      </c>
      <c r="P657" s="15" t="str">
        <f t="shared" si="232"/>
        <v>Romana Imports</v>
      </c>
      <c r="Q657" s="15" t="str">
        <f t="shared" si="233"/>
        <v>17 Lalla Ward Road</v>
      </c>
      <c r="R657" s="3">
        <f>OrdersTable!C657</f>
        <v>44609</v>
      </c>
      <c r="S657" s="15">
        <f>OrdersTable!E657</f>
        <v>10</v>
      </c>
      <c r="T657" s="15">
        <f t="shared" si="234"/>
        <v>295.99</v>
      </c>
      <c r="U657" s="15">
        <f t="shared" si="235"/>
        <v>403.84</v>
      </c>
      <c r="V657" s="15">
        <f t="shared" si="236"/>
        <v>479.5</v>
      </c>
      <c r="W657" s="15">
        <f>IF(MarkupType="Store Markup",ROUND(V657+V657*StoreMarkup,2),IF(MarkupType="Supplier Markup",V657+V657*SupplierMarkup,"Error at finding value"))</f>
        <v>755.21</v>
      </c>
      <c r="X657" s="32">
        <f t="shared" si="238"/>
        <v>53.81</v>
      </c>
      <c r="Y657" s="15">
        <f t="shared" si="239"/>
        <v>4795</v>
      </c>
      <c r="Z657" s="15">
        <f t="shared" si="240"/>
        <v>7014</v>
      </c>
      <c r="AA657" s="15">
        <f>IF(FreightType="Lethbridge-Stewart Freight ",ROUND(2.99+IF(N657&gt;0.75,(N657-0.75)*2.25,0)*S657,2),IF(MarkupType="Supplier Markup",V657+V657*SupplierMarkup,"Error at finding value"))</f>
        <v>319.12</v>
      </c>
      <c r="AB657" s="15">
        <f t="shared" si="241"/>
        <v>538.1</v>
      </c>
    </row>
    <row r="658" spans="1:28" x14ac:dyDescent="0.25">
      <c r="A658" s="16">
        <f>OrdersTable!A658</f>
        <v>333</v>
      </c>
      <c r="B658" s="15" t="str">
        <f t="shared" si="221"/>
        <v>Mr</v>
      </c>
      <c r="C658" s="15" t="str">
        <f t="shared" si="242"/>
        <v>Martin</v>
      </c>
      <c r="D658" s="15" t="str">
        <f t="shared" si="222"/>
        <v>Damien Roger</v>
      </c>
      <c r="E658" s="15" t="str">
        <f t="shared" si="223"/>
        <v>23 Quennell Way</v>
      </c>
      <c r="F658" s="15" t="str">
        <f t="shared" si="224"/>
        <v>Aberfoyle</v>
      </c>
      <c r="G658" s="15" t="str">
        <f t="shared" si="225"/>
        <v>NSW</v>
      </c>
      <c r="H658" s="15">
        <f t="shared" si="226"/>
        <v>2350</v>
      </c>
      <c r="I658" s="15">
        <f t="shared" si="237"/>
        <v>363</v>
      </c>
      <c r="J658" s="15">
        <f>OrdersTable!B658</f>
        <v>867</v>
      </c>
      <c r="K658" s="15" t="str">
        <f t="shared" si="227"/>
        <v>Statues and Busts</v>
      </c>
      <c r="L658" s="15" t="str">
        <f t="shared" si="228"/>
        <v>Doctor Who: TITANS: The 11th Doctor</v>
      </c>
      <c r="M658" s="15" t="str">
        <f t="shared" si="229"/>
        <v>-</v>
      </c>
      <c r="N658" s="15">
        <f t="shared" si="230"/>
        <v>0.4</v>
      </c>
      <c r="O658" s="15" t="str">
        <f t="shared" si="231"/>
        <v>A20</v>
      </c>
      <c r="P658" s="15" t="str">
        <f t="shared" si="232"/>
        <v>Morbius Inc.</v>
      </c>
      <c r="Q658" s="15" t="str">
        <f t="shared" si="233"/>
        <v>56 Michael Spice Hwy</v>
      </c>
      <c r="R658" s="3">
        <f>OrdersTable!C658</f>
        <v>44609</v>
      </c>
      <c r="S658" s="15">
        <f>OrdersTable!E658</f>
        <v>9</v>
      </c>
      <c r="T658" s="15">
        <f t="shared" si="234"/>
        <v>7.99</v>
      </c>
      <c r="U658" s="15">
        <f t="shared" si="235"/>
        <v>11.1</v>
      </c>
      <c r="V658" s="15">
        <f t="shared" si="236"/>
        <v>12.94</v>
      </c>
      <c r="W658" s="15">
        <f>IF(MarkupType="Store Markup",ROUND(V658+V658*StoreMarkup,2),IF(MarkupType="Supplier Markup",V658+V658*SupplierMarkup,"Error at finding value"))</f>
        <v>20.38</v>
      </c>
      <c r="X658" s="32" t="str">
        <f t="shared" si="238"/>
        <v>0.00</v>
      </c>
      <c r="Y658" s="15">
        <f t="shared" si="239"/>
        <v>116.46</v>
      </c>
      <c r="Z658" s="15">
        <f t="shared" si="240"/>
        <v>183.42</v>
      </c>
      <c r="AA658" s="15">
        <f>IF(FreightType="Lethbridge-Stewart Freight ",ROUND(2.99+IF(N658&gt;0.75,(N658-0.75)*2.25,0)*S658,2),IF(MarkupType="Supplier Markup",V658+V658*SupplierMarkup,"Error at finding value"))</f>
        <v>2.99</v>
      </c>
      <c r="AB658" s="15">
        <f t="shared" si="241"/>
        <v>0</v>
      </c>
    </row>
    <row r="659" spans="1:28" x14ac:dyDescent="0.25">
      <c r="A659" s="16">
        <f>OrdersTable!A659</f>
        <v>416</v>
      </c>
      <c r="B659" s="15" t="str">
        <f t="shared" si="221"/>
        <v>Mr</v>
      </c>
      <c r="C659" s="15" t="str">
        <f t="shared" si="242"/>
        <v>Mohammed</v>
      </c>
      <c r="D659" s="15" t="str">
        <f t="shared" si="222"/>
        <v>Ahmed</v>
      </c>
      <c r="E659" s="15" t="str">
        <f t="shared" si="223"/>
        <v>35 Ridley Avenue</v>
      </c>
      <c r="F659" s="15" t="str">
        <f t="shared" si="224"/>
        <v>Iluka</v>
      </c>
      <c r="G659" s="15" t="str">
        <f t="shared" si="225"/>
        <v>NSW</v>
      </c>
      <c r="H659" s="15">
        <f t="shared" si="226"/>
        <v>2466</v>
      </c>
      <c r="I659" s="15">
        <f t="shared" si="237"/>
        <v>347</v>
      </c>
      <c r="J659" s="15">
        <f>OrdersTable!B659</f>
        <v>834</v>
      </c>
      <c r="K659" s="15" t="str">
        <f t="shared" si="227"/>
        <v>Statues and Busts</v>
      </c>
      <c r="L659" s="15" t="str">
        <f t="shared" si="228"/>
        <v>Doctor Who: Signature Edition Statue: Gallifrey Edition: Matt Smith</v>
      </c>
      <c r="M659" s="15" t="str">
        <f t="shared" si="229"/>
        <v>-</v>
      </c>
      <c r="N659" s="15">
        <f t="shared" si="230"/>
        <v>2.5</v>
      </c>
      <c r="O659" s="15" t="str">
        <f t="shared" si="231"/>
        <v>A30</v>
      </c>
      <c r="P659" s="15" t="str">
        <f t="shared" si="232"/>
        <v>Chesterton Enterprises</v>
      </c>
      <c r="Q659" s="15" t="str">
        <f t="shared" si="233"/>
        <v>41 William Russell Road</v>
      </c>
      <c r="R659" s="3">
        <f>OrdersTable!C659</f>
        <v>44609</v>
      </c>
      <c r="S659" s="15">
        <f>OrdersTable!E659</f>
        <v>7</v>
      </c>
      <c r="T659" s="15">
        <f t="shared" si="234"/>
        <v>49.99</v>
      </c>
      <c r="U659" s="15">
        <f t="shared" si="235"/>
        <v>68.52</v>
      </c>
      <c r="V659" s="15">
        <f t="shared" si="236"/>
        <v>80.98</v>
      </c>
      <c r="W659" s="15">
        <f>IF(MarkupType="Store Markup",ROUND(V659+V659*StoreMarkup,2),IF(MarkupType="Supplier Markup",V659+V659*SupplierMarkup,"Error at finding value"))</f>
        <v>127.54</v>
      </c>
      <c r="X659" s="32">
        <f t="shared" si="238"/>
        <v>9.09</v>
      </c>
      <c r="Y659" s="15">
        <f t="shared" si="239"/>
        <v>566.86</v>
      </c>
      <c r="Z659" s="15">
        <f t="shared" si="240"/>
        <v>829.15</v>
      </c>
      <c r="AA659" s="15">
        <f>IF(FreightType="Lethbridge-Stewart Freight ",ROUND(2.99+IF(N659&gt;0.75,(N659-0.75)*2.25,0)*S659,2),IF(MarkupType="Supplier Markup",V659+V659*SupplierMarkup,"Error at finding value"))</f>
        <v>30.55</v>
      </c>
      <c r="AB659" s="15">
        <f t="shared" si="241"/>
        <v>63.63</v>
      </c>
    </row>
    <row r="660" spans="1:28" x14ac:dyDescent="0.25">
      <c r="A660" s="16">
        <f>OrdersTable!A660</f>
        <v>491</v>
      </c>
      <c r="B660" s="15" t="str">
        <f t="shared" si="221"/>
        <v>Miss</v>
      </c>
      <c r="C660" s="15" t="str">
        <f t="shared" si="242"/>
        <v>Winks</v>
      </c>
      <c r="D660" s="15" t="str">
        <f t="shared" si="222"/>
        <v>Lori-Ann</v>
      </c>
      <c r="E660" s="15" t="str">
        <f t="shared" si="223"/>
        <v>40 Lyne Street</v>
      </c>
      <c r="F660" s="15" t="str">
        <f t="shared" si="224"/>
        <v>Bray Park</v>
      </c>
      <c r="G660" s="15" t="str">
        <f t="shared" si="225"/>
        <v>QLD</v>
      </c>
      <c r="H660" s="15">
        <f t="shared" si="226"/>
        <v>4500</v>
      </c>
      <c r="I660" s="15">
        <f t="shared" si="237"/>
        <v>139</v>
      </c>
      <c r="J660" s="15">
        <f>OrdersTable!B660</f>
        <v>725</v>
      </c>
      <c r="K660" s="15" t="str">
        <f t="shared" si="227"/>
        <v>Props and Replicas</v>
      </c>
      <c r="L660" s="15" t="str">
        <f t="shared" si="228"/>
        <v>Doctor Who: Captain Jack Sonic Blaster</v>
      </c>
      <c r="M660" s="15" t="str">
        <f t="shared" si="229"/>
        <v>-</v>
      </c>
      <c r="N660" s="15">
        <f t="shared" si="230"/>
        <v>14.8</v>
      </c>
      <c r="O660" s="15" t="str">
        <f t="shared" si="231"/>
        <v>A30</v>
      </c>
      <c r="P660" s="15" t="str">
        <f t="shared" si="232"/>
        <v>Chesterton Enterprises</v>
      </c>
      <c r="Q660" s="15" t="str">
        <f t="shared" si="233"/>
        <v>41 William Russell Road</v>
      </c>
      <c r="R660" s="3">
        <f>OrdersTable!C660</f>
        <v>44609</v>
      </c>
      <c r="S660" s="15">
        <f>OrdersTable!E660</f>
        <v>10</v>
      </c>
      <c r="T660" s="15">
        <f t="shared" si="234"/>
        <v>295.99</v>
      </c>
      <c r="U660" s="15">
        <f t="shared" si="235"/>
        <v>403.88</v>
      </c>
      <c r="V660" s="15">
        <f t="shared" si="236"/>
        <v>479.5</v>
      </c>
      <c r="W660" s="15">
        <f>IF(MarkupType="Store Markup",ROUND(V660+V660*StoreMarkup,2),IF(MarkupType="Supplier Markup",V660+V660*SupplierMarkup,"Error at finding value"))</f>
        <v>755.21</v>
      </c>
      <c r="X660" s="32">
        <f t="shared" si="238"/>
        <v>53.81</v>
      </c>
      <c r="Y660" s="15">
        <f t="shared" si="239"/>
        <v>4795</v>
      </c>
      <c r="Z660" s="15">
        <f t="shared" si="240"/>
        <v>7014</v>
      </c>
      <c r="AA660" s="15">
        <f>IF(FreightType="Lethbridge-Stewart Freight ",ROUND(2.99+IF(N660&gt;0.75,(N660-0.75)*2.25,0)*S660,2),IF(MarkupType="Supplier Markup",V660+V660*SupplierMarkup,"Error at finding value"))</f>
        <v>319.12</v>
      </c>
      <c r="AB660" s="15">
        <f t="shared" si="241"/>
        <v>538.1</v>
      </c>
    </row>
    <row r="661" spans="1:28" x14ac:dyDescent="0.25">
      <c r="A661" s="16">
        <f>OrdersTable!A661</f>
        <v>531</v>
      </c>
      <c r="B661" s="15" t="str">
        <f t="shared" si="221"/>
        <v>Ms</v>
      </c>
      <c r="C661" s="15" t="str">
        <f t="shared" si="242"/>
        <v>Stanton</v>
      </c>
      <c r="D661" s="15" t="str">
        <f t="shared" si="222"/>
        <v>Sharaze</v>
      </c>
      <c r="E661" s="15" t="str">
        <f t="shared" si="223"/>
        <v>1 Siddons Crescent</v>
      </c>
      <c r="F661" s="15" t="str">
        <f t="shared" si="224"/>
        <v>Alfredtown</v>
      </c>
      <c r="G661" s="15" t="str">
        <f t="shared" si="225"/>
        <v>NSW</v>
      </c>
      <c r="H661" s="15">
        <f t="shared" si="226"/>
        <v>2650</v>
      </c>
      <c r="I661" s="15">
        <f t="shared" si="237"/>
        <v>1124</v>
      </c>
      <c r="J661" s="15">
        <f>OrdersTable!B661</f>
        <v>395</v>
      </c>
      <c r="K661" s="15" t="str">
        <f t="shared" si="227"/>
        <v>Clothing and Apparel</v>
      </c>
      <c r="L661" s="15" t="str">
        <f t="shared" si="228"/>
        <v xml:space="preserve">Doctor Who: T-Shirts: 7th Doctor Costume </v>
      </c>
      <c r="M661" s="15" t="str">
        <f t="shared" si="229"/>
        <v>L</v>
      </c>
      <c r="N661" s="15">
        <f t="shared" si="230"/>
        <v>0.8</v>
      </c>
      <c r="O661" s="15" t="str">
        <f t="shared" si="231"/>
        <v>A10</v>
      </c>
      <c r="P661" s="15" t="str">
        <f t="shared" si="232"/>
        <v>Gallifrey International</v>
      </c>
      <c r="Q661" s="15" t="str">
        <f t="shared" si="233"/>
        <v>181 Arcadia Street</v>
      </c>
      <c r="R661" s="3">
        <f>OrdersTable!C661</f>
        <v>44609</v>
      </c>
      <c r="S661" s="15">
        <f>OrdersTable!E661</f>
        <v>3</v>
      </c>
      <c r="T661" s="15">
        <f t="shared" si="234"/>
        <v>15.99</v>
      </c>
      <c r="U661" s="15">
        <f t="shared" si="235"/>
        <v>22.07</v>
      </c>
      <c r="V661" s="15">
        <f t="shared" si="236"/>
        <v>25.9</v>
      </c>
      <c r="W661" s="15">
        <f>IF(MarkupType="Store Markup",ROUND(V661+V661*StoreMarkup,2),IF(MarkupType="Supplier Markup",V661+V661*SupplierMarkup,"Error at finding value"))</f>
        <v>40.79</v>
      </c>
      <c r="X661" s="32" t="str">
        <f t="shared" si="238"/>
        <v>0.00</v>
      </c>
      <c r="Y661" s="15">
        <f t="shared" si="239"/>
        <v>77.7</v>
      </c>
      <c r="Z661" s="15">
        <f t="shared" si="240"/>
        <v>122.37</v>
      </c>
      <c r="AA661" s="15">
        <f>IF(FreightType="Lethbridge-Stewart Freight ",ROUND(2.99+IF(N661&gt;0.75,(N661-0.75)*2.25,0)*S661,2),IF(MarkupType="Supplier Markup",V661+V661*SupplierMarkup,"Error at finding value"))</f>
        <v>3.33</v>
      </c>
      <c r="AB661" s="15">
        <f t="shared" si="241"/>
        <v>0</v>
      </c>
    </row>
    <row r="662" spans="1:28" x14ac:dyDescent="0.25">
      <c r="A662" s="16">
        <f>OrdersTable!A662</f>
        <v>611</v>
      </c>
      <c r="B662" s="15" t="str">
        <f t="shared" si="221"/>
        <v>Mr</v>
      </c>
      <c r="C662" s="15" t="str">
        <f t="shared" si="242"/>
        <v>Wittman</v>
      </c>
      <c r="D662" s="15" t="str">
        <f t="shared" si="222"/>
        <v>Nicholas Jackson</v>
      </c>
      <c r="E662" s="15" t="str">
        <f t="shared" si="223"/>
        <v>48 Sheppard-Kadel Way</v>
      </c>
      <c r="F662" s="15" t="str">
        <f t="shared" si="224"/>
        <v>Nayook</v>
      </c>
      <c r="G662" s="15" t="str">
        <f t="shared" si="225"/>
        <v>VIC</v>
      </c>
      <c r="H662" s="15">
        <f t="shared" si="226"/>
        <v>3832</v>
      </c>
      <c r="I662" s="15">
        <f t="shared" si="237"/>
        <v>1552</v>
      </c>
      <c r="J662" s="15">
        <f>OrdersTable!B662</f>
        <v>239</v>
      </c>
      <c r="K662" s="15" t="str">
        <f t="shared" si="227"/>
        <v>Clothing and Apparel</v>
      </c>
      <c r="L662" s="15" t="str">
        <f t="shared" si="228"/>
        <v>Doctor Who: Men's Winter Pyjamas</v>
      </c>
      <c r="M662" s="15" t="str">
        <f t="shared" si="229"/>
        <v>L</v>
      </c>
      <c r="N662" s="15">
        <f t="shared" si="230"/>
        <v>1.5</v>
      </c>
      <c r="O662" s="15" t="str">
        <f t="shared" si="231"/>
        <v>A10</v>
      </c>
      <c r="P662" s="15" t="str">
        <f t="shared" si="232"/>
        <v>Gallifrey International</v>
      </c>
      <c r="Q662" s="15" t="str">
        <f t="shared" si="233"/>
        <v>181 Arcadia Street</v>
      </c>
      <c r="R662" s="3">
        <f>OrdersTable!C662</f>
        <v>44609</v>
      </c>
      <c r="S662" s="15">
        <f>OrdersTable!E662</f>
        <v>9</v>
      </c>
      <c r="T662" s="15">
        <f t="shared" si="234"/>
        <v>29.99</v>
      </c>
      <c r="U662" s="15">
        <f t="shared" si="235"/>
        <v>41.23</v>
      </c>
      <c r="V662" s="15">
        <f t="shared" si="236"/>
        <v>48.58</v>
      </c>
      <c r="W662" s="15">
        <f>IF(MarkupType="Store Markup",ROUND(V662+V662*StoreMarkup,2),IF(MarkupType="Supplier Markup",V662+V662*SupplierMarkup,"Error at finding value"))</f>
        <v>76.510000000000005</v>
      </c>
      <c r="X662" s="32" t="str">
        <f t="shared" si="238"/>
        <v>0.00</v>
      </c>
      <c r="Y662" s="15">
        <f t="shared" si="239"/>
        <v>437.22</v>
      </c>
      <c r="Z662" s="15">
        <f t="shared" si="240"/>
        <v>688.59</v>
      </c>
      <c r="AA662" s="15">
        <f>IF(FreightType="Lethbridge-Stewart Freight ",ROUND(2.99+IF(N662&gt;0.75,(N662-0.75)*2.25,0)*S662,2),IF(MarkupType="Supplier Markup",V662+V662*SupplierMarkup,"Error at finding value"))</f>
        <v>18.18</v>
      </c>
      <c r="AB662" s="15">
        <f t="shared" si="241"/>
        <v>0</v>
      </c>
    </row>
    <row r="663" spans="1:28" x14ac:dyDescent="0.25">
      <c r="A663" s="16">
        <f>OrdersTable!A663</f>
        <v>750</v>
      </c>
      <c r="B663" s="15" t="str">
        <f t="shared" si="221"/>
        <v>Ms</v>
      </c>
      <c r="C663" s="15" t="str">
        <f t="shared" si="242"/>
        <v>Talbot</v>
      </c>
      <c r="D663" s="15" t="str">
        <f t="shared" si="222"/>
        <v>Carlie Wenderly</v>
      </c>
      <c r="E663" s="15" t="str">
        <f t="shared" si="223"/>
        <v>31 Somerville Way</v>
      </c>
      <c r="F663" s="15" t="str">
        <f t="shared" si="224"/>
        <v>Boston</v>
      </c>
      <c r="G663" s="15" t="str">
        <f t="shared" si="225"/>
        <v>SA</v>
      </c>
      <c r="H663" s="15">
        <f t="shared" si="226"/>
        <v>5607</v>
      </c>
      <c r="I663" s="15">
        <f t="shared" si="237"/>
        <v>2076</v>
      </c>
      <c r="J663" s="15">
        <f>OrdersTable!B663</f>
        <v>704</v>
      </c>
      <c r="K663" s="15" t="str">
        <f t="shared" si="227"/>
        <v>Posters, Prints and Standees</v>
      </c>
      <c r="L663" s="15" t="str">
        <f t="shared" si="228"/>
        <v>Doctor Who: Poster: Doctor's Enemies</v>
      </c>
      <c r="M663" s="15" t="str">
        <f t="shared" si="229"/>
        <v>-</v>
      </c>
      <c r="N663" s="15">
        <f t="shared" si="230"/>
        <v>0.2</v>
      </c>
      <c r="O663" s="15" t="str">
        <f t="shared" si="231"/>
        <v>A30</v>
      </c>
      <c r="P663" s="15" t="str">
        <f t="shared" si="232"/>
        <v>Chesterton Enterprises</v>
      </c>
      <c r="Q663" s="15" t="str">
        <f t="shared" si="233"/>
        <v>41 William Russell Road</v>
      </c>
      <c r="R663" s="3">
        <f>OrdersTable!C663</f>
        <v>44609</v>
      </c>
      <c r="S663" s="15">
        <f>OrdersTable!E663</f>
        <v>7</v>
      </c>
      <c r="T663" s="15">
        <f t="shared" si="234"/>
        <v>3.99</v>
      </c>
      <c r="U663" s="15">
        <f t="shared" si="235"/>
        <v>5.52</v>
      </c>
      <c r="V663" s="15">
        <f t="shared" si="236"/>
        <v>6.46</v>
      </c>
      <c r="W663" s="15">
        <f>IF(MarkupType="Store Markup",ROUND(V663+V663*StoreMarkup,2),IF(MarkupType="Supplier Markup",V663+V663*SupplierMarkup,"Error at finding value"))</f>
        <v>10.17</v>
      </c>
      <c r="X663" s="32" t="str">
        <f t="shared" si="238"/>
        <v>0.00</v>
      </c>
      <c r="Y663" s="15">
        <f t="shared" si="239"/>
        <v>45.22</v>
      </c>
      <c r="Z663" s="15">
        <f t="shared" si="240"/>
        <v>71.19</v>
      </c>
      <c r="AA663" s="15">
        <f>IF(FreightType="Lethbridge-Stewart Freight ",ROUND(2.99+IF(N663&gt;0.75,(N663-0.75)*2.25,0)*S663,2),IF(MarkupType="Supplier Markup",V663+V663*SupplierMarkup,"Error at finding value"))</f>
        <v>2.99</v>
      </c>
      <c r="AB663" s="15">
        <f t="shared" si="241"/>
        <v>0</v>
      </c>
    </row>
    <row r="664" spans="1:28" x14ac:dyDescent="0.25">
      <c r="A664" s="16">
        <f>OrdersTable!A664</f>
        <v>841</v>
      </c>
      <c r="B664" s="15" t="str">
        <f t="shared" si="221"/>
        <v>Miss</v>
      </c>
      <c r="C664" s="15" t="str">
        <f t="shared" si="242"/>
        <v>Donaghy</v>
      </c>
      <c r="D664" s="15" t="str">
        <f t="shared" si="222"/>
        <v>Elizabeth Mathilde Jane</v>
      </c>
      <c r="E664" s="15" t="str">
        <f t="shared" si="223"/>
        <v>31 Johnson Boulevard</v>
      </c>
      <c r="F664" s="15" t="str">
        <f t="shared" si="224"/>
        <v>Belford</v>
      </c>
      <c r="G664" s="15" t="str">
        <f t="shared" si="225"/>
        <v>NSW</v>
      </c>
      <c r="H664" s="15">
        <f t="shared" si="226"/>
        <v>2335</v>
      </c>
      <c r="I664" s="15">
        <f t="shared" si="237"/>
        <v>716</v>
      </c>
      <c r="J664" s="15">
        <f>OrdersTable!B664</f>
        <v>164</v>
      </c>
      <c r="K664" s="15" t="str">
        <f t="shared" si="227"/>
        <v>Bobbleheads</v>
      </c>
      <c r="L664" s="15" t="str">
        <f t="shared" si="228"/>
        <v>Doctor Who: Bobblehead: Fourth Doctor</v>
      </c>
      <c r="M664" s="15" t="str">
        <f t="shared" si="229"/>
        <v>-</v>
      </c>
      <c r="N664" s="15">
        <f t="shared" si="230"/>
        <v>0.75</v>
      </c>
      <c r="O664" s="15" t="str">
        <f t="shared" si="231"/>
        <v>A40</v>
      </c>
      <c r="P664" s="15" t="str">
        <f t="shared" si="232"/>
        <v>Romana Imports</v>
      </c>
      <c r="Q664" s="15" t="str">
        <f t="shared" si="233"/>
        <v>17 Lalla Ward Road</v>
      </c>
      <c r="R664" s="3">
        <f>OrdersTable!C664</f>
        <v>44609</v>
      </c>
      <c r="S664" s="15">
        <f>OrdersTable!E664</f>
        <v>2</v>
      </c>
      <c r="T664" s="15">
        <f t="shared" si="234"/>
        <v>14.99</v>
      </c>
      <c r="U664" s="15">
        <f t="shared" si="235"/>
        <v>20.53</v>
      </c>
      <c r="V664" s="15">
        <f t="shared" si="236"/>
        <v>24.28</v>
      </c>
      <c r="W664" s="15">
        <f>IF(MarkupType="Store Markup",ROUND(V664+V664*StoreMarkup,2),IF(MarkupType="Supplier Markup",V664+V664*SupplierMarkup,"Error at finding value"))</f>
        <v>38.24</v>
      </c>
      <c r="X664" s="32" t="str">
        <f t="shared" si="238"/>
        <v>0.00</v>
      </c>
      <c r="Y664" s="15">
        <f t="shared" si="239"/>
        <v>48.56</v>
      </c>
      <c r="Z664" s="15">
        <f t="shared" si="240"/>
        <v>76.48</v>
      </c>
      <c r="AA664" s="15">
        <f>IF(FreightType="Lethbridge-Stewart Freight ",ROUND(2.99+IF(N664&gt;0.75,(N664-0.75)*2.25,0)*S664,2),IF(MarkupType="Supplier Markup",V664+V664*SupplierMarkup,"Error at finding value"))</f>
        <v>2.99</v>
      </c>
      <c r="AB664" s="15">
        <f t="shared" si="241"/>
        <v>0</v>
      </c>
    </row>
    <row r="665" spans="1:28" x14ac:dyDescent="0.25">
      <c r="A665" s="16">
        <f>OrdersTable!A665</f>
        <v>843</v>
      </c>
      <c r="B665" s="15" t="str">
        <f t="shared" si="221"/>
        <v>Mr</v>
      </c>
      <c r="C665" s="15" t="str">
        <f t="shared" si="242"/>
        <v>Goodwin</v>
      </c>
      <c r="D665" s="15" t="str">
        <f t="shared" si="222"/>
        <v>Damon Joel</v>
      </c>
      <c r="E665" s="15" t="str">
        <f t="shared" si="223"/>
        <v>40 Powell Boulevard</v>
      </c>
      <c r="F665" s="15" t="str">
        <f t="shared" si="224"/>
        <v>Abington</v>
      </c>
      <c r="G665" s="15" t="str">
        <f t="shared" si="225"/>
        <v>QLD</v>
      </c>
      <c r="H665" s="15">
        <f t="shared" si="226"/>
        <v>4660</v>
      </c>
      <c r="I665" s="15">
        <f t="shared" si="237"/>
        <v>336</v>
      </c>
      <c r="J665" s="15">
        <f>OrdersTable!B665</f>
        <v>709</v>
      </c>
      <c r="K665" s="15" t="str">
        <f t="shared" si="227"/>
        <v>Posters, Prints and Standees</v>
      </c>
      <c r="L665" s="15" t="str">
        <f t="shared" si="228"/>
        <v>Doctor Who: Poster: Metallic TARDIS</v>
      </c>
      <c r="M665" s="15" t="str">
        <f t="shared" si="229"/>
        <v>-</v>
      </c>
      <c r="N665" s="15">
        <f t="shared" si="230"/>
        <v>0.2</v>
      </c>
      <c r="O665" s="15" t="str">
        <f t="shared" si="231"/>
        <v>A10</v>
      </c>
      <c r="P665" s="15" t="str">
        <f t="shared" si="232"/>
        <v>Gallifrey International</v>
      </c>
      <c r="Q665" s="15" t="str">
        <f t="shared" si="233"/>
        <v>181 Arcadia Street</v>
      </c>
      <c r="R665" s="3">
        <f>OrdersTable!C665</f>
        <v>44609</v>
      </c>
      <c r="S665" s="15">
        <f>OrdersTable!E665</f>
        <v>10</v>
      </c>
      <c r="T665" s="15">
        <f t="shared" si="234"/>
        <v>3.99</v>
      </c>
      <c r="U665" s="15">
        <f t="shared" si="235"/>
        <v>5.71</v>
      </c>
      <c r="V665" s="15">
        <f t="shared" si="236"/>
        <v>6.46</v>
      </c>
      <c r="W665" s="15">
        <f>IF(MarkupType="Store Markup",ROUND(V665+V665*StoreMarkup,2),IF(MarkupType="Supplier Markup",V665+V665*SupplierMarkup,"Error at finding value"))</f>
        <v>10.17</v>
      </c>
      <c r="X665" s="32" t="str">
        <f t="shared" si="238"/>
        <v>0.00</v>
      </c>
      <c r="Y665" s="15">
        <f t="shared" si="239"/>
        <v>64.599999999999994</v>
      </c>
      <c r="Z665" s="15">
        <f t="shared" si="240"/>
        <v>101.7</v>
      </c>
      <c r="AA665" s="15">
        <f>IF(FreightType="Lethbridge-Stewart Freight ",ROUND(2.99+IF(N665&gt;0.75,(N665-0.75)*2.25,0)*S665,2),IF(MarkupType="Supplier Markup",V665+V665*SupplierMarkup,"Error at finding value"))</f>
        <v>2.99</v>
      </c>
      <c r="AB665" s="15">
        <f t="shared" si="241"/>
        <v>0</v>
      </c>
    </row>
    <row r="666" spans="1:28" x14ac:dyDescent="0.25">
      <c r="A666" s="16">
        <f>OrdersTable!A666</f>
        <v>55</v>
      </c>
      <c r="B666" s="15" t="str">
        <f t="shared" si="221"/>
        <v>Mr</v>
      </c>
      <c r="C666" s="15" t="str">
        <f t="shared" si="242"/>
        <v>Myers</v>
      </c>
      <c r="D666" s="15" t="str">
        <f t="shared" si="222"/>
        <v>Luke Charles</v>
      </c>
      <c r="E666" s="15" t="str">
        <f t="shared" si="223"/>
        <v>25 Penrose Street</v>
      </c>
      <c r="F666" s="15" t="str">
        <f t="shared" si="224"/>
        <v>Black Hills</v>
      </c>
      <c r="G666" s="15" t="str">
        <f t="shared" si="225"/>
        <v>TAS</v>
      </c>
      <c r="H666" s="15">
        <f t="shared" si="226"/>
        <v>7140</v>
      </c>
      <c r="I666" s="15">
        <f t="shared" si="237"/>
        <v>2191</v>
      </c>
      <c r="J666" s="15">
        <f>OrdersTable!B666</f>
        <v>725</v>
      </c>
      <c r="K666" s="15" t="str">
        <f t="shared" si="227"/>
        <v>Props and Replicas</v>
      </c>
      <c r="L666" s="15" t="str">
        <f t="shared" si="228"/>
        <v>Doctor Who: Captain Jack Sonic Blaster</v>
      </c>
      <c r="M666" s="15" t="str">
        <f t="shared" si="229"/>
        <v>-</v>
      </c>
      <c r="N666" s="15">
        <f t="shared" si="230"/>
        <v>14.8</v>
      </c>
      <c r="O666" s="15" t="str">
        <f t="shared" si="231"/>
        <v>A30</v>
      </c>
      <c r="P666" s="15" t="str">
        <f t="shared" si="232"/>
        <v>Chesterton Enterprises</v>
      </c>
      <c r="Q666" s="15" t="str">
        <f t="shared" si="233"/>
        <v>41 William Russell Road</v>
      </c>
      <c r="R666" s="3">
        <f>OrdersTable!C666</f>
        <v>44610</v>
      </c>
      <c r="S666" s="15">
        <f>OrdersTable!E666</f>
        <v>6</v>
      </c>
      <c r="T666" s="15">
        <f t="shared" si="234"/>
        <v>295.99</v>
      </c>
      <c r="U666" s="15">
        <f t="shared" si="235"/>
        <v>403.88</v>
      </c>
      <c r="V666" s="15">
        <f t="shared" si="236"/>
        <v>479.5</v>
      </c>
      <c r="W666" s="15">
        <f>IF(MarkupType="Store Markup",ROUND(V666+V666*StoreMarkup,2),IF(MarkupType="Supplier Markup",V666+V666*SupplierMarkup,"Error at finding value"))</f>
        <v>755.21</v>
      </c>
      <c r="X666" s="32">
        <f t="shared" si="238"/>
        <v>53.81</v>
      </c>
      <c r="Y666" s="15">
        <f t="shared" si="239"/>
        <v>2877</v>
      </c>
      <c r="Z666" s="15">
        <f t="shared" si="240"/>
        <v>4208.3999999999996</v>
      </c>
      <c r="AA666" s="15">
        <f>IF(FreightType="Lethbridge-Stewart Freight ",ROUND(2.99+IF(N666&gt;0.75,(N666-0.75)*2.25,0)*S666,2),IF(MarkupType="Supplier Markup",V666+V666*SupplierMarkup,"Error at finding value"))</f>
        <v>192.67</v>
      </c>
      <c r="AB666" s="15">
        <f t="shared" si="241"/>
        <v>322.86</v>
      </c>
    </row>
    <row r="667" spans="1:28" x14ac:dyDescent="0.25">
      <c r="A667" s="16">
        <f>OrdersTable!A667</f>
        <v>112</v>
      </c>
      <c r="B667" s="15" t="str">
        <f t="shared" si="221"/>
        <v>Mr</v>
      </c>
      <c r="C667" s="15" t="str">
        <f t="shared" si="242"/>
        <v>Dahal</v>
      </c>
      <c r="D667" s="15" t="str">
        <f t="shared" si="222"/>
        <v>Subash</v>
      </c>
      <c r="E667" s="15" t="str">
        <f t="shared" si="223"/>
        <v>121-127 Railway Pde, Granville, NSW 2142</v>
      </c>
      <c r="F667" s="15" t="str">
        <f t="shared" si="224"/>
        <v>Granville</v>
      </c>
      <c r="G667" s="15" t="str">
        <f t="shared" si="225"/>
        <v>NSW</v>
      </c>
      <c r="H667" s="15">
        <f t="shared" si="226"/>
        <v>2142</v>
      </c>
      <c r="I667" s="15">
        <f t="shared" si="237"/>
        <v>907</v>
      </c>
      <c r="J667" s="15">
        <f>OrdersTable!B667</f>
        <v>787</v>
      </c>
      <c r="K667" s="15" t="str">
        <f t="shared" si="227"/>
        <v>Statues and Busts</v>
      </c>
      <c r="L667" s="15" t="str">
        <f t="shared" si="228"/>
        <v>Doctor Who: Masterpiece Collection Maxi Bust: 1st Doctor</v>
      </c>
      <c r="M667" s="15" t="str">
        <f t="shared" si="229"/>
        <v>-</v>
      </c>
      <c r="N667" s="15">
        <f t="shared" si="230"/>
        <v>2.5</v>
      </c>
      <c r="O667" s="15" t="str">
        <f t="shared" si="231"/>
        <v>A10</v>
      </c>
      <c r="P667" s="15" t="str">
        <f t="shared" si="232"/>
        <v>Gallifrey International</v>
      </c>
      <c r="Q667" s="15" t="str">
        <f t="shared" si="233"/>
        <v>181 Arcadia Street</v>
      </c>
      <c r="R667" s="3">
        <f>OrdersTable!C667</f>
        <v>44610</v>
      </c>
      <c r="S667" s="15">
        <f>OrdersTable!E667</f>
        <v>2</v>
      </c>
      <c r="T667" s="15">
        <f t="shared" si="234"/>
        <v>49.99</v>
      </c>
      <c r="U667" s="15">
        <f t="shared" si="235"/>
        <v>68.290000000000006</v>
      </c>
      <c r="V667" s="15">
        <f t="shared" si="236"/>
        <v>80.98</v>
      </c>
      <c r="W667" s="15">
        <f>IF(MarkupType="Store Markup",ROUND(V667+V667*StoreMarkup,2),IF(MarkupType="Supplier Markup",V667+V667*SupplierMarkup,"Error at finding value"))</f>
        <v>127.54</v>
      </c>
      <c r="X667" s="32" t="str">
        <f t="shared" si="238"/>
        <v>0.00</v>
      </c>
      <c r="Y667" s="15">
        <f t="shared" si="239"/>
        <v>161.96</v>
      </c>
      <c r="Z667" s="15">
        <f t="shared" si="240"/>
        <v>255.08</v>
      </c>
      <c r="AA667" s="15">
        <f>IF(FreightType="Lethbridge-Stewart Freight ",ROUND(2.99+IF(N667&gt;0.75,(N667-0.75)*2.25,0)*S667,2),IF(MarkupType="Supplier Markup",V667+V667*SupplierMarkup,"Error at finding value"))</f>
        <v>10.87</v>
      </c>
      <c r="AB667" s="15">
        <f t="shared" si="241"/>
        <v>0</v>
      </c>
    </row>
    <row r="668" spans="1:28" x14ac:dyDescent="0.25">
      <c r="A668" s="16">
        <f>OrdersTable!A668</f>
        <v>312</v>
      </c>
      <c r="B668" s="15" t="str">
        <f t="shared" si="221"/>
        <v>Mr</v>
      </c>
      <c r="C668" s="15" t="str">
        <f t="shared" si="242"/>
        <v>Lloyd</v>
      </c>
      <c r="D668" s="15" t="str">
        <f t="shared" si="222"/>
        <v>Ben</v>
      </c>
      <c r="E668" s="15" t="str">
        <f t="shared" si="223"/>
        <v>13 Stark Avenue</v>
      </c>
      <c r="F668" s="15" t="str">
        <f t="shared" si="224"/>
        <v>Iluka</v>
      </c>
      <c r="G668" s="15" t="str">
        <f t="shared" si="225"/>
        <v>NSW</v>
      </c>
      <c r="H668" s="15">
        <f t="shared" si="226"/>
        <v>2466</v>
      </c>
      <c r="I668" s="15">
        <f t="shared" si="237"/>
        <v>347</v>
      </c>
      <c r="J668" s="15">
        <f>OrdersTable!B668</f>
        <v>725</v>
      </c>
      <c r="K668" s="15" t="str">
        <f t="shared" si="227"/>
        <v>Props and Replicas</v>
      </c>
      <c r="L668" s="15" t="str">
        <f t="shared" si="228"/>
        <v>Doctor Who: Captain Jack Sonic Blaster</v>
      </c>
      <c r="M668" s="15" t="str">
        <f t="shared" si="229"/>
        <v>-</v>
      </c>
      <c r="N668" s="15">
        <f t="shared" si="230"/>
        <v>14.8</v>
      </c>
      <c r="O668" s="15" t="str">
        <f t="shared" si="231"/>
        <v>A30</v>
      </c>
      <c r="P668" s="15" t="str">
        <f t="shared" si="232"/>
        <v>Chesterton Enterprises</v>
      </c>
      <c r="Q668" s="15" t="str">
        <f t="shared" si="233"/>
        <v>41 William Russell Road</v>
      </c>
      <c r="R668" s="3">
        <f>OrdersTable!C668</f>
        <v>44610</v>
      </c>
      <c r="S668" s="15">
        <f>OrdersTable!E668</f>
        <v>9</v>
      </c>
      <c r="T668" s="15">
        <f t="shared" si="234"/>
        <v>295.99</v>
      </c>
      <c r="U668" s="15">
        <f t="shared" si="235"/>
        <v>403.88</v>
      </c>
      <c r="V668" s="15">
        <f t="shared" si="236"/>
        <v>479.5</v>
      </c>
      <c r="W668" s="15">
        <f>IF(MarkupType="Store Markup",ROUND(V668+V668*StoreMarkup,2),IF(MarkupType="Supplier Markup",V668+V668*SupplierMarkup,"Error at finding value"))</f>
        <v>755.21</v>
      </c>
      <c r="X668" s="32">
        <f t="shared" si="238"/>
        <v>53.81</v>
      </c>
      <c r="Y668" s="15">
        <f t="shared" si="239"/>
        <v>4315.5</v>
      </c>
      <c r="Z668" s="15">
        <f t="shared" si="240"/>
        <v>6312.6</v>
      </c>
      <c r="AA668" s="15">
        <f>IF(FreightType="Lethbridge-Stewart Freight ",ROUND(2.99+IF(N668&gt;0.75,(N668-0.75)*2.25,0)*S668,2),IF(MarkupType="Supplier Markup",V668+V668*SupplierMarkup,"Error at finding value"))</f>
        <v>287.5</v>
      </c>
      <c r="AB668" s="15">
        <f t="shared" si="241"/>
        <v>484.29</v>
      </c>
    </row>
    <row r="669" spans="1:28" x14ac:dyDescent="0.25">
      <c r="A669" s="16">
        <f>OrdersTable!A669</f>
        <v>328</v>
      </c>
      <c r="B669" s="15" t="str">
        <f t="shared" si="221"/>
        <v>Dr</v>
      </c>
      <c r="C669" s="15" t="str">
        <f t="shared" si="242"/>
        <v>Ward</v>
      </c>
      <c r="D669" s="15" t="str">
        <f t="shared" si="222"/>
        <v>Keiren Nicholas</v>
      </c>
      <c r="E669" s="15" t="str">
        <f t="shared" si="223"/>
        <v>13 Green Crescent</v>
      </c>
      <c r="F669" s="15" t="str">
        <f t="shared" si="224"/>
        <v>Breakwater</v>
      </c>
      <c r="G669" s="15" t="str">
        <f t="shared" si="225"/>
        <v>VIC</v>
      </c>
      <c r="H669" s="15">
        <f t="shared" si="226"/>
        <v>3219</v>
      </c>
      <c r="I669" s="15">
        <f t="shared" si="237"/>
        <v>1596</v>
      </c>
      <c r="J669" s="15">
        <f>OrdersTable!B669</f>
        <v>724</v>
      </c>
      <c r="K669" s="15" t="str">
        <f t="shared" si="227"/>
        <v>Posters, Prints and Standees</v>
      </c>
      <c r="L669" s="15" t="str">
        <f t="shared" si="228"/>
        <v>Doctor Who: Standee: The 10th Doctor</v>
      </c>
      <c r="M669" s="15" t="str">
        <f t="shared" si="229"/>
        <v>-</v>
      </c>
      <c r="N669" s="15">
        <f t="shared" si="230"/>
        <v>1.125</v>
      </c>
      <c r="O669" s="15" t="str">
        <f t="shared" si="231"/>
        <v>A50</v>
      </c>
      <c r="P669" s="15" t="str">
        <f t="shared" si="232"/>
        <v>Rassilon Ltd.</v>
      </c>
      <c r="Q669" s="15" t="str">
        <f t="shared" si="233"/>
        <v>82 Richard Mathews Road</v>
      </c>
      <c r="R669" s="3">
        <f>OrdersTable!C669</f>
        <v>44610</v>
      </c>
      <c r="S669" s="15">
        <f>OrdersTable!E669</f>
        <v>8</v>
      </c>
      <c r="T669" s="15">
        <f t="shared" si="234"/>
        <v>22.49</v>
      </c>
      <c r="U669" s="15">
        <f t="shared" si="235"/>
        <v>30.77</v>
      </c>
      <c r="V669" s="15">
        <f t="shared" si="236"/>
        <v>36.43</v>
      </c>
      <c r="W669" s="15">
        <f>IF(MarkupType="Store Markup",ROUND(V669+V669*StoreMarkup,2),IF(MarkupType="Supplier Markup",V669+V669*SupplierMarkup,"Error at finding value"))</f>
        <v>57.38</v>
      </c>
      <c r="X669" s="32" t="str">
        <f t="shared" si="238"/>
        <v>0.00</v>
      </c>
      <c r="Y669" s="15">
        <f t="shared" si="239"/>
        <v>291.44</v>
      </c>
      <c r="Z669" s="15">
        <f t="shared" si="240"/>
        <v>459.04</v>
      </c>
      <c r="AA669" s="15">
        <f>IF(FreightType="Lethbridge-Stewart Freight ",ROUND(2.99+IF(N669&gt;0.75,(N669-0.75)*2.25,0)*S669,2),IF(MarkupType="Supplier Markup",V669+V669*SupplierMarkup,"Error at finding value"))</f>
        <v>9.74</v>
      </c>
      <c r="AB669" s="15">
        <f t="shared" si="241"/>
        <v>0</v>
      </c>
    </row>
    <row r="670" spans="1:28" x14ac:dyDescent="0.25">
      <c r="A670" s="16">
        <f>OrdersTable!A670</f>
        <v>331</v>
      </c>
      <c r="B670" s="15" t="str">
        <f t="shared" si="221"/>
        <v>Mrs</v>
      </c>
      <c r="C670" s="15" t="str">
        <f t="shared" si="242"/>
        <v>McKenzie</v>
      </c>
      <c r="D670" s="15" t="str">
        <f t="shared" si="222"/>
        <v>Melinda Kate</v>
      </c>
      <c r="E670" s="15" t="str">
        <f t="shared" si="223"/>
        <v>49 McKay Way</v>
      </c>
      <c r="F670" s="15" t="str">
        <f t="shared" si="224"/>
        <v>Black Hills</v>
      </c>
      <c r="G670" s="15" t="str">
        <f t="shared" si="225"/>
        <v>TAS</v>
      </c>
      <c r="H670" s="15">
        <f t="shared" si="226"/>
        <v>7140</v>
      </c>
      <c r="I670" s="15">
        <f t="shared" si="237"/>
        <v>2191</v>
      </c>
      <c r="J670" s="15">
        <f>OrdersTable!B670</f>
        <v>698</v>
      </c>
      <c r="K670" s="15" t="str">
        <f t="shared" si="227"/>
        <v>Posters, Prints and Standees</v>
      </c>
      <c r="L670" s="15" t="str">
        <f t="shared" si="228"/>
        <v>Doctor Who: Art Print: My Mysterious Doctor</v>
      </c>
      <c r="M670" s="15" t="str">
        <f t="shared" si="229"/>
        <v>-</v>
      </c>
      <c r="N670" s="15">
        <f t="shared" si="230"/>
        <v>0.75</v>
      </c>
      <c r="O670" s="15" t="str">
        <f t="shared" si="231"/>
        <v>A30</v>
      </c>
      <c r="P670" s="15" t="str">
        <f t="shared" si="232"/>
        <v>Chesterton Enterprises</v>
      </c>
      <c r="Q670" s="15" t="str">
        <f t="shared" si="233"/>
        <v>41 William Russell Road</v>
      </c>
      <c r="R670" s="3">
        <f>OrdersTable!C670</f>
        <v>44610</v>
      </c>
      <c r="S670" s="15">
        <f>OrdersTable!E670</f>
        <v>9</v>
      </c>
      <c r="T670" s="15">
        <f t="shared" si="234"/>
        <v>14.99</v>
      </c>
      <c r="U670" s="15">
        <f t="shared" si="235"/>
        <v>20.56</v>
      </c>
      <c r="V670" s="15">
        <f t="shared" si="236"/>
        <v>24.28</v>
      </c>
      <c r="W670" s="15">
        <f>IF(MarkupType="Store Markup",ROUND(V670+V670*StoreMarkup,2),IF(MarkupType="Supplier Markup",V670+V670*SupplierMarkup,"Error at finding value"))</f>
        <v>38.24</v>
      </c>
      <c r="X670" s="32" t="str">
        <f t="shared" si="238"/>
        <v>0.00</v>
      </c>
      <c r="Y670" s="15">
        <f t="shared" si="239"/>
        <v>218.52</v>
      </c>
      <c r="Z670" s="15">
        <f t="shared" si="240"/>
        <v>344.16</v>
      </c>
      <c r="AA670" s="15">
        <f>IF(FreightType="Lethbridge-Stewart Freight ",ROUND(2.99+IF(N670&gt;0.75,(N670-0.75)*2.25,0)*S670,2),IF(MarkupType="Supplier Markup",V670+V670*SupplierMarkup,"Error at finding value"))</f>
        <v>2.99</v>
      </c>
      <c r="AB670" s="15">
        <f t="shared" si="241"/>
        <v>0</v>
      </c>
    </row>
    <row r="671" spans="1:28" x14ac:dyDescent="0.25">
      <c r="A671" s="16">
        <f>OrdersTable!A671</f>
        <v>360</v>
      </c>
      <c r="B671" s="15" t="str">
        <f t="shared" si="221"/>
        <v>Ms</v>
      </c>
      <c r="C671" s="15" t="str">
        <f t="shared" si="242"/>
        <v>Bobonica</v>
      </c>
      <c r="D671" s="15" t="str">
        <f t="shared" si="222"/>
        <v>Claudia</v>
      </c>
      <c r="E671" s="15" t="str">
        <f t="shared" si="223"/>
        <v>47 Klein Way</v>
      </c>
      <c r="F671" s="15" t="str">
        <f t="shared" si="224"/>
        <v>Avon Plains</v>
      </c>
      <c r="G671" s="15" t="str">
        <f t="shared" si="225"/>
        <v>VIC</v>
      </c>
      <c r="H671" s="15">
        <f t="shared" si="226"/>
        <v>3477</v>
      </c>
      <c r="I671" s="15">
        <f t="shared" si="237"/>
        <v>1565</v>
      </c>
      <c r="J671" s="15">
        <f>OrdersTable!B671</f>
        <v>683</v>
      </c>
      <c r="K671" s="15" t="str">
        <f t="shared" si="227"/>
        <v>Mugs</v>
      </c>
      <c r="L671" s="15" t="str">
        <f t="shared" si="228"/>
        <v>Doctor Who: Mug: The Tenth Doctor</v>
      </c>
      <c r="M671" s="15" t="str">
        <f t="shared" si="229"/>
        <v>-</v>
      </c>
      <c r="N671" s="15">
        <f t="shared" si="230"/>
        <v>0.45</v>
      </c>
      <c r="O671" s="15" t="str">
        <f t="shared" si="231"/>
        <v>A20</v>
      </c>
      <c r="P671" s="15" t="str">
        <f t="shared" si="232"/>
        <v>Morbius Inc.</v>
      </c>
      <c r="Q671" s="15" t="str">
        <f t="shared" si="233"/>
        <v>56 Michael Spice Hwy</v>
      </c>
      <c r="R671" s="3">
        <f>OrdersTable!C671</f>
        <v>44610</v>
      </c>
      <c r="S671" s="15">
        <f>OrdersTable!E671</f>
        <v>3</v>
      </c>
      <c r="T671" s="15">
        <f t="shared" si="234"/>
        <v>8.99</v>
      </c>
      <c r="U671" s="15">
        <f t="shared" si="235"/>
        <v>12.54</v>
      </c>
      <c r="V671" s="15">
        <f t="shared" si="236"/>
        <v>14.56</v>
      </c>
      <c r="W671" s="15">
        <f>IF(MarkupType="Store Markup",ROUND(V671+V671*StoreMarkup,2),IF(MarkupType="Supplier Markup",V671+V671*SupplierMarkup,"Error at finding value"))</f>
        <v>22.93</v>
      </c>
      <c r="X671" s="32" t="str">
        <f t="shared" si="238"/>
        <v>0.00</v>
      </c>
      <c r="Y671" s="15">
        <f t="shared" si="239"/>
        <v>43.68</v>
      </c>
      <c r="Z671" s="15">
        <f t="shared" si="240"/>
        <v>68.790000000000006</v>
      </c>
      <c r="AA671" s="15">
        <f>IF(FreightType="Lethbridge-Stewart Freight ",ROUND(2.99+IF(N671&gt;0.75,(N671-0.75)*2.25,0)*S671,2),IF(MarkupType="Supplier Markup",V671+V671*SupplierMarkup,"Error at finding value"))</f>
        <v>2.99</v>
      </c>
      <c r="AB671" s="15">
        <f t="shared" si="241"/>
        <v>0</v>
      </c>
    </row>
    <row r="672" spans="1:28" x14ac:dyDescent="0.25">
      <c r="A672" s="16">
        <f>OrdersTable!A672</f>
        <v>360</v>
      </c>
      <c r="B672" s="15" t="str">
        <f t="shared" si="221"/>
        <v>Ms</v>
      </c>
      <c r="C672" s="15" t="str">
        <f t="shared" si="242"/>
        <v>Bobonica</v>
      </c>
      <c r="D672" s="15" t="str">
        <f t="shared" si="222"/>
        <v>Claudia</v>
      </c>
      <c r="E672" s="15" t="str">
        <f t="shared" si="223"/>
        <v>47 Klein Way</v>
      </c>
      <c r="F672" s="15" t="str">
        <f t="shared" si="224"/>
        <v>Avon Plains</v>
      </c>
      <c r="G672" s="15" t="str">
        <f t="shared" si="225"/>
        <v>VIC</v>
      </c>
      <c r="H672" s="15">
        <f t="shared" si="226"/>
        <v>3477</v>
      </c>
      <c r="I672" s="15">
        <f t="shared" si="237"/>
        <v>1565</v>
      </c>
      <c r="J672" s="15">
        <f>OrdersTable!B672</f>
        <v>710</v>
      </c>
      <c r="K672" s="15" t="str">
        <f t="shared" si="227"/>
        <v>Posters, Prints and Standees</v>
      </c>
      <c r="L672" s="15" t="str">
        <f t="shared" si="228"/>
        <v>Doctor Who: Poster: Regenerate</v>
      </c>
      <c r="M672" s="15" t="str">
        <f t="shared" si="229"/>
        <v>-</v>
      </c>
      <c r="N672" s="15">
        <f t="shared" si="230"/>
        <v>0.2</v>
      </c>
      <c r="O672" s="15" t="str">
        <f t="shared" si="231"/>
        <v>A40</v>
      </c>
      <c r="P672" s="15" t="str">
        <f t="shared" si="232"/>
        <v>Romana Imports</v>
      </c>
      <c r="Q672" s="15" t="str">
        <f t="shared" si="233"/>
        <v>17 Lalla Ward Road</v>
      </c>
      <c r="R672" s="3">
        <f>OrdersTable!C672</f>
        <v>44610</v>
      </c>
      <c r="S672" s="15">
        <f>OrdersTable!E672</f>
        <v>3</v>
      </c>
      <c r="T672" s="15">
        <f t="shared" si="234"/>
        <v>3.99</v>
      </c>
      <c r="U672" s="15">
        <f t="shared" si="235"/>
        <v>5.5</v>
      </c>
      <c r="V672" s="15">
        <f t="shared" si="236"/>
        <v>6.46</v>
      </c>
      <c r="W672" s="15">
        <f>IF(MarkupType="Store Markup",ROUND(V672+V672*StoreMarkup,2),IF(MarkupType="Supplier Markup",V672+V672*SupplierMarkup,"Error at finding value"))</f>
        <v>10.17</v>
      </c>
      <c r="X672" s="32" t="str">
        <f t="shared" si="238"/>
        <v>0.00</v>
      </c>
      <c r="Y672" s="15">
        <f t="shared" si="239"/>
        <v>19.38</v>
      </c>
      <c r="Z672" s="15">
        <f t="shared" si="240"/>
        <v>30.51</v>
      </c>
      <c r="AA672" s="15">
        <f>IF(FreightType="Lethbridge-Stewart Freight ",ROUND(2.99+IF(N672&gt;0.75,(N672-0.75)*2.25,0)*S672,2),IF(MarkupType="Supplier Markup",V672+V672*SupplierMarkup,"Error at finding value"))</f>
        <v>2.99</v>
      </c>
      <c r="AB672" s="15">
        <f t="shared" si="241"/>
        <v>0</v>
      </c>
    </row>
    <row r="673" spans="1:28" x14ac:dyDescent="0.25">
      <c r="A673" s="16">
        <f>OrdersTable!A673</f>
        <v>448</v>
      </c>
      <c r="B673" s="15" t="str">
        <f t="shared" si="221"/>
        <v>Mr</v>
      </c>
      <c r="C673" s="15" t="str">
        <f t="shared" si="242"/>
        <v>Earl</v>
      </c>
      <c r="D673" s="15" t="str">
        <f t="shared" si="222"/>
        <v>Benn Robert</v>
      </c>
      <c r="E673" s="15" t="str">
        <f t="shared" si="223"/>
        <v>31 Kae Drive</v>
      </c>
      <c r="F673" s="15" t="str">
        <f t="shared" si="224"/>
        <v>Belford</v>
      </c>
      <c r="G673" s="15" t="str">
        <f t="shared" si="225"/>
        <v>NSW</v>
      </c>
      <c r="H673" s="15">
        <f t="shared" si="226"/>
        <v>2335</v>
      </c>
      <c r="I673" s="15">
        <f t="shared" si="237"/>
        <v>716</v>
      </c>
      <c r="J673" s="15">
        <f>OrdersTable!B673</f>
        <v>583</v>
      </c>
      <c r="K673" s="15" t="str">
        <f t="shared" si="227"/>
        <v>iPhone Skins</v>
      </c>
      <c r="L673" s="15" t="str">
        <f t="shared" si="228"/>
        <v>Doctor Who: iPhone Skin: Cyberman Delete</v>
      </c>
      <c r="M673" s="15" t="str">
        <f t="shared" si="229"/>
        <v>-</v>
      </c>
      <c r="N673" s="15">
        <f t="shared" si="230"/>
        <v>0.3</v>
      </c>
      <c r="O673" s="15" t="str">
        <f t="shared" si="231"/>
        <v>A50</v>
      </c>
      <c r="P673" s="15" t="str">
        <f t="shared" si="232"/>
        <v>Rassilon Ltd.</v>
      </c>
      <c r="Q673" s="15" t="str">
        <f t="shared" si="233"/>
        <v>82 Richard Mathews Road</v>
      </c>
      <c r="R673" s="3">
        <f>OrdersTable!C673</f>
        <v>44610</v>
      </c>
      <c r="S673" s="15">
        <f>OrdersTable!E673</f>
        <v>9</v>
      </c>
      <c r="T673" s="15">
        <f t="shared" si="234"/>
        <v>5.99</v>
      </c>
      <c r="U673" s="15">
        <f t="shared" si="235"/>
        <v>8.23</v>
      </c>
      <c r="V673" s="15">
        <f t="shared" si="236"/>
        <v>9.6999999999999993</v>
      </c>
      <c r="W673" s="15">
        <f>IF(MarkupType="Store Markup",ROUND(V673+V673*StoreMarkup,2),IF(MarkupType="Supplier Markup",V673+V673*SupplierMarkup,"Error at finding value"))</f>
        <v>15.28</v>
      </c>
      <c r="X673" s="32" t="str">
        <f t="shared" si="238"/>
        <v>0.00</v>
      </c>
      <c r="Y673" s="15">
        <f t="shared" si="239"/>
        <v>87.3</v>
      </c>
      <c r="Z673" s="15">
        <f t="shared" si="240"/>
        <v>137.52000000000001</v>
      </c>
      <c r="AA673" s="15">
        <f>IF(FreightType="Lethbridge-Stewart Freight ",ROUND(2.99+IF(N673&gt;0.75,(N673-0.75)*2.25,0)*S673,2),IF(MarkupType="Supplier Markup",V673+V673*SupplierMarkup,"Error at finding value"))</f>
        <v>2.99</v>
      </c>
      <c r="AB673" s="15">
        <f t="shared" si="241"/>
        <v>0</v>
      </c>
    </row>
    <row r="674" spans="1:28" x14ac:dyDescent="0.25">
      <c r="A674" s="16">
        <f>OrdersTable!A674</f>
        <v>531</v>
      </c>
      <c r="B674" s="15" t="str">
        <f t="shared" si="221"/>
        <v>Ms</v>
      </c>
      <c r="C674" s="15" t="str">
        <f t="shared" si="242"/>
        <v>Stanton</v>
      </c>
      <c r="D674" s="15" t="str">
        <f t="shared" si="222"/>
        <v>Sharaze</v>
      </c>
      <c r="E674" s="15" t="str">
        <f t="shared" si="223"/>
        <v>1 Siddons Crescent</v>
      </c>
      <c r="F674" s="15" t="str">
        <f t="shared" si="224"/>
        <v>Alfredtown</v>
      </c>
      <c r="G674" s="15" t="str">
        <f t="shared" si="225"/>
        <v>NSW</v>
      </c>
      <c r="H674" s="15">
        <f t="shared" si="226"/>
        <v>2650</v>
      </c>
      <c r="I674" s="15">
        <f t="shared" si="237"/>
        <v>1124</v>
      </c>
      <c r="J674" s="15">
        <f>OrdersTable!B674</f>
        <v>782</v>
      </c>
      <c r="K674" s="15" t="str">
        <f t="shared" si="227"/>
        <v>Statues and Busts</v>
      </c>
      <c r="L674" s="15" t="str">
        <f t="shared" si="228"/>
        <v>Doctor Who: Masterpiece Collection Maxi Bust: 10th Doctor</v>
      </c>
      <c r="M674" s="15" t="str">
        <f t="shared" si="229"/>
        <v>-</v>
      </c>
      <c r="N674" s="15">
        <f t="shared" si="230"/>
        <v>2.5</v>
      </c>
      <c r="O674" s="15" t="str">
        <f t="shared" si="231"/>
        <v>A30</v>
      </c>
      <c r="P674" s="15" t="str">
        <f t="shared" si="232"/>
        <v>Chesterton Enterprises</v>
      </c>
      <c r="Q674" s="15" t="str">
        <f t="shared" si="233"/>
        <v>41 William Russell Road</v>
      </c>
      <c r="R674" s="3">
        <f>OrdersTable!C674</f>
        <v>44610</v>
      </c>
      <c r="S674" s="15">
        <f>OrdersTable!E674</f>
        <v>1</v>
      </c>
      <c r="T674" s="15">
        <f t="shared" si="234"/>
        <v>49.99</v>
      </c>
      <c r="U674" s="15">
        <f t="shared" si="235"/>
        <v>68.5</v>
      </c>
      <c r="V674" s="15">
        <f t="shared" si="236"/>
        <v>80.98</v>
      </c>
      <c r="W674" s="15">
        <f>IF(MarkupType="Store Markup",ROUND(V674+V674*StoreMarkup,2),IF(MarkupType="Supplier Markup",V674+V674*SupplierMarkup,"Error at finding value"))</f>
        <v>127.54</v>
      </c>
      <c r="X674" s="32" t="str">
        <f t="shared" si="238"/>
        <v>0.00</v>
      </c>
      <c r="Y674" s="15">
        <f t="shared" si="239"/>
        <v>80.98</v>
      </c>
      <c r="Z674" s="15">
        <f t="shared" si="240"/>
        <v>127.54</v>
      </c>
      <c r="AA674" s="15">
        <f>IF(FreightType="Lethbridge-Stewart Freight ",ROUND(2.99+IF(N674&gt;0.75,(N674-0.75)*2.25,0)*S674,2),IF(MarkupType="Supplier Markup",V674+V674*SupplierMarkup,"Error at finding value"))</f>
        <v>6.93</v>
      </c>
      <c r="AB674" s="15">
        <f t="shared" si="241"/>
        <v>0</v>
      </c>
    </row>
    <row r="675" spans="1:28" x14ac:dyDescent="0.25">
      <c r="A675" s="16">
        <f>OrdersTable!A675</f>
        <v>561</v>
      </c>
      <c r="B675" s="15" t="str">
        <f t="shared" si="221"/>
        <v>Ms</v>
      </c>
      <c r="C675" s="15" t="str">
        <f t="shared" si="242"/>
        <v>Mulcahy</v>
      </c>
      <c r="D675" s="15" t="str">
        <f t="shared" si="222"/>
        <v>Jodie Leigh</v>
      </c>
      <c r="E675" s="15" t="str">
        <f t="shared" si="223"/>
        <v>32 Scott Crescent</v>
      </c>
      <c r="F675" s="15" t="str">
        <f t="shared" si="224"/>
        <v>Bray Park</v>
      </c>
      <c r="G675" s="15" t="str">
        <f t="shared" si="225"/>
        <v>QLD</v>
      </c>
      <c r="H675" s="15">
        <f t="shared" si="226"/>
        <v>4500</v>
      </c>
      <c r="I675" s="15">
        <f t="shared" si="237"/>
        <v>139</v>
      </c>
      <c r="J675" s="15">
        <f>OrdersTable!B675</f>
        <v>699</v>
      </c>
      <c r="K675" s="15" t="str">
        <f t="shared" si="227"/>
        <v>Posters, Prints and Standees</v>
      </c>
      <c r="L675" s="15" t="str">
        <f t="shared" si="228"/>
        <v>Doctor Who: Half Sized Standee: The Master</v>
      </c>
      <c r="M675" s="15" t="str">
        <f t="shared" si="229"/>
        <v>-</v>
      </c>
      <c r="N675" s="15">
        <f t="shared" si="230"/>
        <v>0.5</v>
      </c>
      <c r="O675" s="15" t="str">
        <f t="shared" si="231"/>
        <v>A20</v>
      </c>
      <c r="P675" s="15" t="str">
        <f t="shared" si="232"/>
        <v>Morbius Inc.</v>
      </c>
      <c r="Q675" s="15" t="str">
        <f t="shared" si="233"/>
        <v>56 Michael Spice Hwy</v>
      </c>
      <c r="R675" s="3">
        <f>OrdersTable!C675</f>
        <v>44610</v>
      </c>
      <c r="S675" s="15">
        <f>OrdersTable!E675</f>
        <v>7</v>
      </c>
      <c r="T675" s="15">
        <f t="shared" si="234"/>
        <v>9.99</v>
      </c>
      <c r="U675" s="15">
        <f t="shared" si="235"/>
        <v>13.79</v>
      </c>
      <c r="V675" s="15">
        <f t="shared" si="236"/>
        <v>16.18</v>
      </c>
      <c r="W675" s="15">
        <f>IF(MarkupType="Store Markup",ROUND(V675+V675*StoreMarkup,2),IF(MarkupType="Supplier Markup",V675+V675*SupplierMarkup,"Error at finding value"))</f>
        <v>25.48</v>
      </c>
      <c r="X675" s="32" t="str">
        <f t="shared" si="238"/>
        <v>0.00</v>
      </c>
      <c r="Y675" s="15">
        <f t="shared" si="239"/>
        <v>113.26</v>
      </c>
      <c r="Z675" s="15">
        <f t="shared" si="240"/>
        <v>178.36</v>
      </c>
      <c r="AA675" s="15">
        <f>IF(FreightType="Lethbridge-Stewart Freight ",ROUND(2.99+IF(N675&gt;0.75,(N675-0.75)*2.25,0)*S675,2),IF(MarkupType="Supplier Markup",V675+V675*SupplierMarkup,"Error at finding value"))</f>
        <v>2.99</v>
      </c>
      <c r="AB675" s="15">
        <f t="shared" si="241"/>
        <v>0</v>
      </c>
    </row>
    <row r="676" spans="1:28" x14ac:dyDescent="0.25">
      <c r="A676" s="16">
        <f>OrdersTable!A676</f>
        <v>568</v>
      </c>
      <c r="B676" s="15" t="str">
        <f t="shared" si="221"/>
        <v>Mr</v>
      </c>
      <c r="C676" s="15" t="str">
        <f t="shared" si="242"/>
        <v>Byrne</v>
      </c>
      <c r="D676" s="15" t="str">
        <f t="shared" si="222"/>
        <v>Gregory James</v>
      </c>
      <c r="E676" s="15" t="str">
        <f t="shared" si="223"/>
        <v>18 Doroshenko Crescent</v>
      </c>
      <c r="F676" s="15" t="str">
        <f t="shared" si="224"/>
        <v>Abington</v>
      </c>
      <c r="G676" s="15" t="str">
        <f t="shared" si="225"/>
        <v>QLD</v>
      </c>
      <c r="H676" s="15">
        <f t="shared" si="226"/>
        <v>4660</v>
      </c>
      <c r="I676" s="15">
        <f t="shared" si="237"/>
        <v>336</v>
      </c>
      <c r="J676" s="15">
        <f>OrdersTable!B676</f>
        <v>583</v>
      </c>
      <c r="K676" s="15" t="str">
        <f t="shared" si="227"/>
        <v>iPhone Skins</v>
      </c>
      <c r="L676" s="15" t="str">
        <f t="shared" si="228"/>
        <v>Doctor Who: iPhone Skin: Cyberman Delete</v>
      </c>
      <c r="M676" s="15" t="str">
        <f t="shared" si="229"/>
        <v>-</v>
      </c>
      <c r="N676" s="15">
        <f t="shared" si="230"/>
        <v>0.3</v>
      </c>
      <c r="O676" s="15" t="str">
        <f t="shared" si="231"/>
        <v>A50</v>
      </c>
      <c r="P676" s="15" t="str">
        <f t="shared" si="232"/>
        <v>Rassilon Ltd.</v>
      </c>
      <c r="Q676" s="15" t="str">
        <f t="shared" si="233"/>
        <v>82 Richard Mathews Road</v>
      </c>
      <c r="R676" s="3">
        <f>OrdersTable!C676</f>
        <v>44610</v>
      </c>
      <c r="S676" s="15">
        <f>OrdersTable!E676</f>
        <v>3</v>
      </c>
      <c r="T676" s="15">
        <f t="shared" si="234"/>
        <v>5.99</v>
      </c>
      <c r="U676" s="15">
        <f t="shared" si="235"/>
        <v>8.23</v>
      </c>
      <c r="V676" s="15">
        <f t="shared" si="236"/>
        <v>9.6999999999999993</v>
      </c>
      <c r="W676" s="15">
        <f>IF(MarkupType="Store Markup",ROUND(V676+V676*StoreMarkup,2),IF(MarkupType="Supplier Markup",V676+V676*SupplierMarkup,"Error at finding value"))</f>
        <v>15.28</v>
      </c>
      <c r="X676" s="32" t="str">
        <f t="shared" si="238"/>
        <v>0.00</v>
      </c>
      <c r="Y676" s="15">
        <f t="shared" si="239"/>
        <v>29.1</v>
      </c>
      <c r="Z676" s="15">
        <f t="shared" si="240"/>
        <v>45.84</v>
      </c>
      <c r="AA676" s="15">
        <f>IF(FreightType="Lethbridge-Stewart Freight ",ROUND(2.99+IF(N676&gt;0.75,(N676-0.75)*2.25,0)*S676,2),IF(MarkupType="Supplier Markup",V676+V676*SupplierMarkup,"Error at finding value"))</f>
        <v>2.99</v>
      </c>
      <c r="AB676" s="15">
        <f t="shared" si="241"/>
        <v>0</v>
      </c>
    </row>
    <row r="677" spans="1:28" x14ac:dyDescent="0.25">
      <c r="A677" s="16">
        <f>OrdersTable!A677</f>
        <v>651</v>
      </c>
      <c r="B677" s="15" t="str">
        <f t="shared" si="221"/>
        <v>Mr</v>
      </c>
      <c r="C677" s="15" t="str">
        <f t="shared" si="242"/>
        <v>Wilkes</v>
      </c>
      <c r="D677" s="15" t="str">
        <f t="shared" si="222"/>
        <v>Harley</v>
      </c>
      <c r="E677" s="15" t="str">
        <f t="shared" si="223"/>
        <v>12 Locke Circuit</v>
      </c>
      <c r="F677" s="15" t="str">
        <f t="shared" si="224"/>
        <v>Bray Park</v>
      </c>
      <c r="G677" s="15" t="str">
        <f t="shared" si="225"/>
        <v>QLD</v>
      </c>
      <c r="H677" s="15">
        <f t="shared" si="226"/>
        <v>4500</v>
      </c>
      <c r="I677" s="15">
        <f t="shared" si="237"/>
        <v>139</v>
      </c>
      <c r="J677" s="15">
        <f>OrdersTable!B677</f>
        <v>867</v>
      </c>
      <c r="K677" s="15" t="str">
        <f t="shared" si="227"/>
        <v>Statues and Busts</v>
      </c>
      <c r="L677" s="15" t="str">
        <f t="shared" si="228"/>
        <v>Doctor Who: TITANS: The 11th Doctor</v>
      </c>
      <c r="M677" s="15" t="str">
        <f t="shared" si="229"/>
        <v>-</v>
      </c>
      <c r="N677" s="15">
        <f t="shared" si="230"/>
        <v>0.4</v>
      </c>
      <c r="O677" s="15" t="str">
        <f t="shared" si="231"/>
        <v>A20</v>
      </c>
      <c r="P677" s="15" t="str">
        <f t="shared" si="232"/>
        <v>Morbius Inc.</v>
      </c>
      <c r="Q677" s="15" t="str">
        <f t="shared" si="233"/>
        <v>56 Michael Spice Hwy</v>
      </c>
      <c r="R677" s="3">
        <f>OrdersTable!C677</f>
        <v>44610</v>
      </c>
      <c r="S677" s="15">
        <f>OrdersTable!E677</f>
        <v>10</v>
      </c>
      <c r="T677" s="15">
        <f t="shared" si="234"/>
        <v>7.99</v>
      </c>
      <c r="U677" s="15">
        <f t="shared" si="235"/>
        <v>11.1</v>
      </c>
      <c r="V677" s="15">
        <f t="shared" si="236"/>
        <v>12.94</v>
      </c>
      <c r="W677" s="15">
        <f>IF(MarkupType="Store Markup",ROUND(V677+V677*StoreMarkup,2),IF(MarkupType="Supplier Markup",V677+V677*SupplierMarkup,"Error at finding value"))</f>
        <v>20.38</v>
      </c>
      <c r="X677" s="32" t="str">
        <f t="shared" si="238"/>
        <v>0.00</v>
      </c>
      <c r="Y677" s="15">
        <f t="shared" si="239"/>
        <v>129.4</v>
      </c>
      <c r="Z677" s="15">
        <f t="shared" si="240"/>
        <v>203.8</v>
      </c>
      <c r="AA677" s="15">
        <f>IF(FreightType="Lethbridge-Stewart Freight ",ROUND(2.99+IF(N677&gt;0.75,(N677-0.75)*2.25,0)*S677,2),IF(MarkupType="Supplier Markup",V677+V677*SupplierMarkup,"Error at finding value"))</f>
        <v>2.99</v>
      </c>
      <c r="AB677" s="15">
        <f t="shared" si="241"/>
        <v>0</v>
      </c>
    </row>
    <row r="678" spans="1:28" x14ac:dyDescent="0.25">
      <c r="A678" s="16">
        <f>OrdersTable!A678</f>
        <v>659</v>
      </c>
      <c r="B678" s="15" t="str">
        <f t="shared" si="221"/>
        <v>Mr</v>
      </c>
      <c r="C678" s="15" t="str">
        <f t="shared" si="242"/>
        <v>Douglas</v>
      </c>
      <c r="D678" s="15" t="str">
        <f t="shared" si="222"/>
        <v>Jason Richard</v>
      </c>
      <c r="E678" s="15" t="str">
        <f t="shared" si="223"/>
        <v>14 Young Crescent</v>
      </c>
      <c r="F678" s="15" t="str">
        <f t="shared" si="224"/>
        <v>Caliph</v>
      </c>
      <c r="G678" s="15" t="str">
        <f t="shared" si="225"/>
        <v>SA</v>
      </c>
      <c r="H678" s="15">
        <f t="shared" si="226"/>
        <v>5310</v>
      </c>
      <c r="I678" s="15">
        <f t="shared" si="237"/>
        <v>1720</v>
      </c>
      <c r="J678" s="15">
        <f>OrdersTable!B678</f>
        <v>543</v>
      </c>
      <c r="K678" s="15" t="str">
        <f t="shared" si="227"/>
        <v>Giftware</v>
      </c>
      <c r="L678" s="15" t="str">
        <f t="shared" si="228"/>
        <v>Doctor Who: Sonic Screwdriver Pen</v>
      </c>
      <c r="M678" s="15" t="str">
        <f t="shared" si="229"/>
        <v>-</v>
      </c>
      <c r="N678" s="15">
        <f t="shared" si="230"/>
        <v>0.65</v>
      </c>
      <c r="O678" s="15" t="str">
        <f t="shared" si="231"/>
        <v>A20</v>
      </c>
      <c r="P678" s="15" t="str">
        <f t="shared" si="232"/>
        <v>Morbius Inc.</v>
      </c>
      <c r="Q678" s="15" t="str">
        <f t="shared" si="233"/>
        <v>56 Michael Spice Hwy</v>
      </c>
      <c r="R678" s="3">
        <f>OrdersTable!C678</f>
        <v>44610</v>
      </c>
      <c r="S678" s="15">
        <f>OrdersTable!E678</f>
        <v>7</v>
      </c>
      <c r="T678" s="15">
        <f t="shared" si="234"/>
        <v>12.99</v>
      </c>
      <c r="U678" s="15">
        <f t="shared" si="235"/>
        <v>18.02</v>
      </c>
      <c r="V678" s="15">
        <f t="shared" si="236"/>
        <v>21.04</v>
      </c>
      <c r="W678" s="15">
        <f>IF(MarkupType="Store Markup",ROUND(V678+V678*StoreMarkup,2),IF(MarkupType="Supplier Markup",V678+V678*SupplierMarkup,"Error at finding value"))</f>
        <v>33.14</v>
      </c>
      <c r="X678" s="32" t="str">
        <f t="shared" si="238"/>
        <v>0.00</v>
      </c>
      <c r="Y678" s="15">
        <f t="shared" si="239"/>
        <v>147.28</v>
      </c>
      <c r="Z678" s="15">
        <f t="shared" si="240"/>
        <v>231.98</v>
      </c>
      <c r="AA678" s="15">
        <f>IF(FreightType="Lethbridge-Stewart Freight ",ROUND(2.99+IF(N678&gt;0.75,(N678-0.75)*2.25,0)*S678,2),IF(MarkupType="Supplier Markup",V678+V678*SupplierMarkup,"Error at finding value"))</f>
        <v>2.99</v>
      </c>
      <c r="AB678" s="15">
        <f t="shared" si="241"/>
        <v>0</v>
      </c>
    </row>
    <row r="679" spans="1:28" x14ac:dyDescent="0.25">
      <c r="A679" s="16">
        <f>OrdersTable!A679</f>
        <v>784</v>
      </c>
      <c r="B679" s="15" t="str">
        <f t="shared" si="221"/>
        <v>Ms</v>
      </c>
      <c r="C679" s="15" t="str">
        <f t="shared" si="242"/>
        <v>Hansen</v>
      </c>
      <c r="D679" s="15" t="str">
        <f t="shared" si="222"/>
        <v>Courtney Michelle</v>
      </c>
      <c r="E679" s="15" t="str">
        <f t="shared" si="223"/>
        <v>22 Elliot Crescent</v>
      </c>
      <c r="F679" s="15" t="str">
        <f t="shared" si="224"/>
        <v>Alfredtown</v>
      </c>
      <c r="G679" s="15" t="str">
        <f t="shared" si="225"/>
        <v>NSW</v>
      </c>
      <c r="H679" s="15">
        <f t="shared" si="226"/>
        <v>2650</v>
      </c>
      <c r="I679" s="15">
        <f t="shared" si="237"/>
        <v>1124</v>
      </c>
      <c r="J679" s="15">
        <f>OrdersTable!B679</f>
        <v>186</v>
      </c>
      <c r="K679" s="15" t="str">
        <f t="shared" si="227"/>
        <v>Bobbleheads</v>
      </c>
      <c r="L679" s="15" t="str">
        <f t="shared" si="228"/>
        <v>Doctor Who: Monitor Mate: 50th Anniversary Original TARDIS</v>
      </c>
      <c r="M679" s="15" t="str">
        <f t="shared" si="229"/>
        <v>-</v>
      </c>
      <c r="N679" s="15">
        <f t="shared" si="230"/>
        <v>0.45</v>
      </c>
      <c r="O679" s="15" t="str">
        <f t="shared" si="231"/>
        <v>A20</v>
      </c>
      <c r="P679" s="15" t="str">
        <f t="shared" si="232"/>
        <v>Morbius Inc.</v>
      </c>
      <c r="Q679" s="15" t="str">
        <f t="shared" si="233"/>
        <v>56 Michael Spice Hwy</v>
      </c>
      <c r="R679" s="3">
        <f>OrdersTable!C679</f>
        <v>44610</v>
      </c>
      <c r="S679" s="15">
        <f>OrdersTable!E679</f>
        <v>3</v>
      </c>
      <c r="T679" s="15">
        <f t="shared" si="234"/>
        <v>8.99</v>
      </c>
      <c r="U679" s="15">
        <f t="shared" si="235"/>
        <v>12.46</v>
      </c>
      <c r="V679" s="15">
        <f t="shared" si="236"/>
        <v>14.56</v>
      </c>
      <c r="W679" s="15">
        <f>IF(MarkupType="Store Markup",ROUND(V679+V679*StoreMarkup,2),IF(MarkupType="Supplier Markup",V679+V679*SupplierMarkup,"Error at finding value"))</f>
        <v>22.93</v>
      </c>
      <c r="X679" s="32" t="str">
        <f t="shared" si="238"/>
        <v>0.00</v>
      </c>
      <c r="Y679" s="15">
        <f t="shared" si="239"/>
        <v>43.68</v>
      </c>
      <c r="Z679" s="15">
        <f t="shared" si="240"/>
        <v>68.790000000000006</v>
      </c>
      <c r="AA679" s="15">
        <f>IF(FreightType="Lethbridge-Stewart Freight ",ROUND(2.99+IF(N679&gt;0.75,(N679-0.75)*2.25,0)*S679,2),IF(MarkupType="Supplier Markup",V679+V679*SupplierMarkup,"Error at finding value"))</f>
        <v>2.99</v>
      </c>
      <c r="AB679" s="15">
        <f t="shared" si="241"/>
        <v>0</v>
      </c>
    </row>
    <row r="680" spans="1:28" x14ac:dyDescent="0.25">
      <c r="A680" s="16">
        <f>OrdersTable!A680</f>
        <v>961</v>
      </c>
      <c r="B680" s="15" t="str">
        <f t="shared" si="221"/>
        <v>Ms</v>
      </c>
      <c r="C680" s="15" t="str">
        <f t="shared" si="242"/>
        <v>Schuh</v>
      </c>
      <c r="D680" s="15" t="str">
        <f t="shared" si="222"/>
        <v>Rebecca Anne</v>
      </c>
      <c r="E680" s="15" t="str">
        <f t="shared" si="223"/>
        <v>48 Wilson Court</v>
      </c>
      <c r="F680" s="15" t="str">
        <f t="shared" si="224"/>
        <v>Breakwater</v>
      </c>
      <c r="G680" s="15" t="str">
        <f t="shared" si="225"/>
        <v>VIC</v>
      </c>
      <c r="H680" s="15">
        <f t="shared" si="226"/>
        <v>3219</v>
      </c>
      <c r="I680" s="15">
        <f t="shared" si="237"/>
        <v>1596</v>
      </c>
      <c r="J680" s="15">
        <f>OrdersTable!B680</f>
        <v>436</v>
      </c>
      <c r="K680" s="15" t="str">
        <f t="shared" si="227"/>
        <v>Giftware</v>
      </c>
      <c r="L680" s="15" t="str">
        <f t="shared" si="228"/>
        <v>Doctor Who: Adult Watch: TARDIS</v>
      </c>
      <c r="M680" s="15" t="str">
        <f t="shared" si="229"/>
        <v>-</v>
      </c>
      <c r="N680" s="15">
        <f t="shared" si="230"/>
        <v>1.5</v>
      </c>
      <c r="O680" s="15" t="str">
        <f t="shared" si="231"/>
        <v>A20</v>
      </c>
      <c r="P680" s="15" t="str">
        <f t="shared" si="232"/>
        <v>Morbius Inc.</v>
      </c>
      <c r="Q680" s="15" t="str">
        <f t="shared" si="233"/>
        <v>56 Michael Spice Hwy</v>
      </c>
      <c r="R680" s="3">
        <f>OrdersTable!C680</f>
        <v>44610</v>
      </c>
      <c r="S680" s="15">
        <f>OrdersTable!E680</f>
        <v>7</v>
      </c>
      <c r="T680" s="15">
        <f t="shared" si="234"/>
        <v>29.99</v>
      </c>
      <c r="U680" s="15">
        <f t="shared" si="235"/>
        <v>40.96</v>
      </c>
      <c r="V680" s="15">
        <f t="shared" si="236"/>
        <v>48.58</v>
      </c>
      <c r="W680" s="15">
        <f>IF(MarkupType="Store Markup",ROUND(V680+V680*StoreMarkup,2),IF(MarkupType="Supplier Markup",V680+V680*SupplierMarkup,"Error at finding value"))</f>
        <v>76.510000000000005</v>
      </c>
      <c r="X680" s="32" t="str">
        <f t="shared" si="238"/>
        <v>0.00</v>
      </c>
      <c r="Y680" s="15">
        <f t="shared" si="239"/>
        <v>340.06</v>
      </c>
      <c r="Z680" s="15">
        <f t="shared" si="240"/>
        <v>535.57000000000005</v>
      </c>
      <c r="AA680" s="15">
        <f>IF(FreightType="Lethbridge-Stewart Freight ",ROUND(2.99+IF(N680&gt;0.75,(N680-0.75)*2.25,0)*S680,2),IF(MarkupType="Supplier Markup",V680+V680*SupplierMarkup,"Error at finding value"))</f>
        <v>14.8</v>
      </c>
      <c r="AB680" s="15">
        <f t="shared" si="241"/>
        <v>0</v>
      </c>
    </row>
    <row r="681" spans="1:28" x14ac:dyDescent="0.25">
      <c r="A681" s="16">
        <f>OrdersTable!A681</f>
        <v>141</v>
      </c>
      <c r="B681" s="15" t="str">
        <f t="shared" si="221"/>
        <v>Mr</v>
      </c>
      <c r="C681" s="15" t="str">
        <f t="shared" si="242"/>
        <v>Bergmann</v>
      </c>
      <c r="D681" s="15" t="str">
        <f t="shared" si="222"/>
        <v>Beau Jay</v>
      </c>
      <c r="E681" s="15" t="str">
        <f t="shared" si="223"/>
        <v>47 McCullough Circuit</v>
      </c>
      <c r="F681" s="15" t="str">
        <f t="shared" si="224"/>
        <v>Breakwater</v>
      </c>
      <c r="G681" s="15" t="str">
        <f t="shared" si="225"/>
        <v>VIC</v>
      </c>
      <c r="H681" s="15">
        <f t="shared" si="226"/>
        <v>3219</v>
      </c>
      <c r="I681" s="15">
        <f t="shared" si="237"/>
        <v>1596</v>
      </c>
      <c r="J681" s="15">
        <f>OrdersTable!B681</f>
        <v>583</v>
      </c>
      <c r="K681" s="15" t="str">
        <f t="shared" si="227"/>
        <v>iPhone Skins</v>
      </c>
      <c r="L681" s="15" t="str">
        <f t="shared" si="228"/>
        <v>Doctor Who: iPhone Skin: Cyberman Delete</v>
      </c>
      <c r="M681" s="15" t="str">
        <f t="shared" si="229"/>
        <v>-</v>
      </c>
      <c r="N681" s="15">
        <f t="shared" si="230"/>
        <v>0.3</v>
      </c>
      <c r="O681" s="15" t="str">
        <f t="shared" si="231"/>
        <v>A50</v>
      </c>
      <c r="P681" s="15" t="str">
        <f t="shared" si="232"/>
        <v>Rassilon Ltd.</v>
      </c>
      <c r="Q681" s="15" t="str">
        <f t="shared" si="233"/>
        <v>82 Richard Mathews Road</v>
      </c>
      <c r="R681" s="3">
        <f>OrdersTable!C681</f>
        <v>44611</v>
      </c>
      <c r="S681" s="15">
        <f>OrdersTable!E681</f>
        <v>9</v>
      </c>
      <c r="T681" s="15">
        <f t="shared" si="234"/>
        <v>5.99</v>
      </c>
      <c r="U681" s="15">
        <f t="shared" si="235"/>
        <v>8.23</v>
      </c>
      <c r="V681" s="15">
        <f t="shared" si="236"/>
        <v>9.6999999999999993</v>
      </c>
      <c r="W681" s="15">
        <f>IF(MarkupType="Store Markup",ROUND(V681+V681*StoreMarkup,2),IF(MarkupType="Supplier Markup",V681+V681*SupplierMarkup,"Error at finding value"))</f>
        <v>15.28</v>
      </c>
      <c r="X681" s="32" t="str">
        <f t="shared" si="238"/>
        <v>0.00</v>
      </c>
      <c r="Y681" s="15">
        <f t="shared" si="239"/>
        <v>87.3</v>
      </c>
      <c r="Z681" s="15">
        <f t="shared" si="240"/>
        <v>137.52000000000001</v>
      </c>
      <c r="AA681" s="15">
        <f>IF(FreightType="Lethbridge-Stewart Freight ",ROUND(2.99+IF(N681&gt;0.75,(N681-0.75)*2.25,0)*S681,2),IF(MarkupType="Supplier Markup",V681+V681*SupplierMarkup,"Error at finding value"))</f>
        <v>2.99</v>
      </c>
      <c r="AB681" s="15">
        <f t="shared" si="241"/>
        <v>0</v>
      </c>
    </row>
    <row r="682" spans="1:28" x14ac:dyDescent="0.25">
      <c r="A682" s="16">
        <f>OrdersTable!A682</f>
        <v>146</v>
      </c>
      <c r="B682" s="15" t="str">
        <f t="shared" si="221"/>
        <v>Miss</v>
      </c>
      <c r="C682" s="15" t="str">
        <f t="shared" si="242"/>
        <v>Brown</v>
      </c>
      <c r="D682" s="15" t="str">
        <f t="shared" si="222"/>
        <v>Sarah Danielle</v>
      </c>
      <c r="E682" s="15" t="str">
        <f t="shared" si="223"/>
        <v>50 Brieschke Court</v>
      </c>
      <c r="F682" s="15" t="str">
        <f t="shared" si="224"/>
        <v>Bray Park</v>
      </c>
      <c r="G682" s="15" t="str">
        <f t="shared" si="225"/>
        <v>QLD</v>
      </c>
      <c r="H682" s="15">
        <f t="shared" si="226"/>
        <v>4500</v>
      </c>
      <c r="I682" s="15">
        <f t="shared" si="237"/>
        <v>139</v>
      </c>
      <c r="J682" s="15">
        <f>OrdersTable!B682</f>
        <v>701</v>
      </c>
      <c r="K682" s="15" t="str">
        <f t="shared" si="227"/>
        <v>Posters, Prints and Standees</v>
      </c>
      <c r="L682" s="15" t="str">
        <f t="shared" si="228"/>
        <v>Doctor Who: Half Sized Standee: The TARDIS</v>
      </c>
      <c r="M682" s="15" t="str">
        <f t="shared" si="229"/>
        <v>-</v>
      </c>
      <c r="N682" s="15">
        <f t="shared" si="230"/>
        <v>0.5</v>
      </c>
      <c r="O682" s="15" t="str">
        <f t="shared" si="231"/>
        <v>A40</v>
      </c>
      <c r="P682" s="15" t="str">
        <f t="shared" si="232"/>
        <v>Romana Imports</v>
      </c>
      <c r="Q682" s="15" t="str">
        <f t="shared" si="233"/>
        <v>17 Lalla Ward Road</v>
      </c>
      <c r="R682" s="3">
        <f>OrdersTable!C682</f>
        <v>44611</v>
      </c>
      <c r="S682" s="15">
        <f>OrdersTable!E682</f>
        <v>8</v>
      </c>
      <c r="T682" s="15">
        <f t="shared" si="234"/>
        <v>9.99</v>
      </c>
      <c r="U682" s="15">
        <f t="shared" si="235"/>
        <v>13.83</v>
      </c>
      <c r="V682" s="15">
        <f t="shared" si="236"/>
        <v>16.18</v>
      </c>
      <c r="W682" s="15">
        <f>IF(MarkupType="Store Markup",ROUND(V682+V682*StoreMarkup,2),IF(MarkupType="Supplier Markup",V682+V682*SupplierMarkup,"Error at finding value"))</f>
        <v>25.48</v>
      </c>
      <c r="X682" s="32" t="str">
        <f t="shared" si="238"/>
        <v>0.00</v>
      </c>
      <c r="Y682" s="15">
        <f t="shared" si="239"/>
        <v>129.44</v>
      </c>
      <c r="Z682" s="15">
        <f t="shared" si="240"/>
        <v>203.84</v>
      </c>
      <c r="AA682" s="15">
        <f>IF(FreightType="Lethbridge-Stewart Freight ",ROUND(2.99+IF(N682&gt;0.75,(N682-0.75)*2.25,0)*S682,2),IF(MarkupType="Supplier Markup",V682+V682*SupplierMarkup,"Error at finding value"))</f>
        <v>2.99</v>
      </c>
      <c r="AB682" s="15">
        <f t="shared" si="241"/>
        <v>0</v>
      </c>
    </row>
    <row r="683" spans="1:28" x14ac:dyDescent="0.25">
      <c r="A683" s="16">
        <f>OrdersTable!A683</f>
        <v>158</v>
      </c>
      <c r="B683" s="15" t="str">
        <f t="shared" si="221"/>
        <v>Mr</v>
      </c>
      <c r="C683" s="15" t="str">
        <f t="shared" si="242"/>
        <v>Fowler</v>
      </c>
      <c r="D683" s="15" t="str">
        <f t="shared" si="222"/>
        <v>James</v>
      </c>
      <c r="E683" s="15" t="str">
        <f t="shared" si="223"/>
        <v>30 Virk Court</v>
      </c>
      <c r="F683" s="15" t="str">
        <f t="shared" si="224"/>
        <v>Black Hills</v>
      </c>
      <c r="G683" s="15" t="str">
        <f t="shared" si="225"/>
        <v>TAS</v>
      </c>
      <c r="H683" s="15">
        <f t="shared" si="226"/>
        <v>7140</v>
      </c>
      <c r="I683" s="15">
        <f t="shared" si="237"/>
        <v>2191</v>
      </c>
      <c r="J683" s="15">
        <f>OrdersTable!B683</f>
        <v>479</v>
      </c>
      <c r="K683" s="15" t="str">
        <f t="shared" si="227"/>
        <v>Giftware</v>
      </c>
      <c r="L683" s="15" t="str">
        <f t="shared" si="228"/>
        <v>Doctor Who: Keyring Dalek</v>
      </c>
      <c r="M683" s="15" t="str">
        <f t="shared" si="229"/>
        <v>-</v>
      </c>
      <c r="N683" s="15">
        <f t="shared" si="230"/>
        <v>0.25</v>
      </c>
      <c r="O683" s="15" t="str">
        <f t="shared" si="231"/>
        <v>A10</v>
      </c>
      <c r="P683" s="15" t="str">
        <f t="shared" si="232"/>
        <v>Gallifrey International</v>
      </c>
      <c r="Q683" s="15" t="str">
        <f t="shared" si="233"/>
        <v>181 Arcadia Street</v>
      </c>
      <c r="R683" s="3">
        <f>OrdersTable!C683</f>
        <v>44611</v>
      </c>
      <c r="S683" s="15">
        <f>OrdersTable!E683</f>
        <v>10</v>
      </c>
      <c r="T683" s="15">
        <f t="shared" si="234"/>
        <v>4.99</v>
      </c>
      <c r="U683" s="15">
        <f t="shared" si="235"/>
        <v>6.86</v>
      </c>
      <c r="V683" s="15">
        <f t="shared" si="236"/>
        <v>8.08</v>
      </c>
      <c r="W683" s="15">
        <f>IF(MarkupType="Store Markup",ROUND(V683+V683*StoreMarkup,2),IF(MarkupType="Supplier Markup",V683+V683*SupplierMarkup,"Error at finding value"))</f>
        <v>12.73</v>
      </c>
      <c r="X683" s="32" t="str">
        <f t="shared" si="238"/>
        <v>0.00</v>
      </c>
      <c r="Y683" s="15">
        <f t="shared" si="239"/>
        <v>80.8</v>
      </c>
      <c r="Z683" s="15">
        <f t="shared" si="240"/>
        <v>127.3</v>
      </c>
      <c r="AA683" s="15">
        <f>IF(FreightType="Lethbridge-Stewart Freight ",ROUND(2.99+IF(N683&gt;0.75,(N683-0.75)*2.25,0)*S683,2),IF(MarkupType="Supplier Markup",V683+V683*SupplierMarkup,"Error at finding value"))</f>
        <v>2.99</v>
      </c>
      <c r="AB683" s="15">
        <f t="shared" si="241"/>
        <v>0</v>
      </c>
    </row>
    <row r="684" spans="1:28" x14ac:dyDescent="0.25">
      <c r="A684" s="16">
        <f>OrdersTable!A684</f>
        <v>390</v>
      </c>
      <c r="B684" s="15" t="str">
        <f t="shared" si="221"/>
        <v>Ms</v>
      </c>
      <c r="C684" s="15" t="str">
        <f t="shared" si="242"/>
        <v>Queen</v>
      </c>
      <c r="D684" s="15" t="str">
        <f t="shared" si="222"/>
        <v>Joanne</v>
      </c>
      <c r="E684" s="15" t="str">
        <f t="shared" si="223"/>
        <v>30 Hall Drive</v>
      </c>
      <c r="F684" s="15" t="str">
        <f t="shared" si="224"/>
        <v>Belconnen</v>
      </c>
      <c r="G684" s="15" t="str">
        <f t="shared" si="225"/>
        <v>ACT</v>
      </c>
      <c r="H684" s="15">
        <f t="shared" si="226"/>
        <v>2617</v>
      </c>
      <c r="I684" s="15">
        <f t="shared" si="237"/>
        <v>1194</v>
      </c>
      <c r="J684" s="15">
        <f>OrdersTable!B684</f>
        <v>747</v>
      </c>
      <c r="K684" s="15" t="str">
        <f t="shared" si="227"/>
        <v>Props and Replicas</v>
      </c>
      <c r="L684" s="15" t="str">
        <f t="shared" si="228"/>
        <v>Doctor Who: The Master's Fob Watch</v>
      </c>
      <c r="M684" s="15" t="str">
        <f t="shared" si="229"/>
        <v>-</v>
      </c>
      <c r="N684" s="15">
        <f t="shared" si="230"/>
        <v>2.25</v>
      </c>
      <c r="O684" s="15" t="str">
        <f t="shared" si="231"/>
        <v>A10</v>
      </c>
      <c r="P684" s="15" t="str">
        <f t="shared" si="232"/>
        <v>Gallifrey International</v>
      </c>
      <c r="Q684" s="15" t="str">
        <f t="shared" si="233"/>
        <v>181 Arcadia Street</v>
      </c>
      <c r="R684" s="3">
        <f>OrdersTable!C684</f>
        <v>44611</v>
      </c>
      <c r="S684" s="15">
        <f>OrdersTable!E684</f>
        <v>3</v>
      </c>
      <c r="T684" s="15">
        <f t="shared" si="234"/>
        <v>44.99</v>
      </c>
      <c r="U684" s="15">
        <f t="shared" si="235"/>
        <v>61.7</v>
      </c>
      <c r="V684" s="15">
        <f t="shared" si="236"/>
        <v>72.88</v>
      </c>
      <c r="W684" s="15">
        <f>IF(MarkupType="Store Markup",ROUND(V684+V684*StoreMarkup,2),IF(MarkupType="Supplier Markup",V684+V684*SupplierMarkup,"Error at finding value"))</f>
        <v>114.79</v>
      </c>
      <c r="X684" s="32">
        <f t="shared" si="238"/>
        <v>8.18</v>
      </c>
      <c r="Y684" s="15">
        <f t="shared" si="239"/>
        <v>218.64</v>
      </c>
      <c r="Z684" s="15">
        <f t="shared" si="240"/>
        <v>319.83</v>
      </c>
      <c r="AA684" s="15">
        <f>IF(FreightType="Lethbridge-Stewart Freight ",ROUND(2.99+IF(N684&gt;0.75,(N684-0.75)*2.25,0)*S684,2),IF(MarkupType="Supplier Markup",V684+V684*SupplierMarkup,"Error at finding value"))</f>
        <v>13.12</v>
      </c>
      <c r="AB684" s="15">
        <f t="shared" si="241"/>
        <v>24.54</v>
      </c>
    </row>
    <row r="685" spans="1:28" x14ac:dyDescent="0.25">
      <c r="A685" s="16">
        <f>OrdersTable!A685</f>
        <v>489</v>
      </c>
      <c r="B685" s="15" t="str">
        <f t="shared" si="221"/>
        <v>Mr</v>
      </c>
      <c r="C685" s="15" t="str">
        <f t="shared" si="242"/>
        <v>Edwards</v>
      </c>
      <c r="D685" s="15" t="str">
        <f t="shared" si="222"/>
        <v>Luke Russell</v>
      </c>
      <c r="E685" s="15" t="str">
        <f t="shared" si="223"/>
        <v>43 Valusaga Court</v>
      </c>
      <c r="F685" s="15" t="str">
        <f t="shared" si="224"/>
        <v>Alfredtown</v>
      </c>
      <c r="G685" s="15" t="str">
        <f t="shared" si="225"/>
        <v>NSW</v>
      </c>
      <c r="H685" s="15">
        <f t="shared" si="226"/>
        <v>2650</v>
      </c>
      <c r="I685" s="15">
        <f t="shared" si="237"/>
        <v>1124</v>
      </c>
      <c r="J685" s="15">
        <f>OrdersTable!B685</f>
        <v>673</v>
      </c>
      <c r="K685" s="15" t="str">
        <f t="shared" si="227"/>
        <v>Mugs</v>
      </c>
      <c r="L685" s="15" t="str">
        <f t="shared" si="228"/>
        <v>Doctor Who: Mug: TARDIS With Lid</v>
      </c>
      <c r="M685" s="15" t="str">
        <f t="shared" si="229"/>
        <v>-</v>
      </c>
      <c r="N685" s="15">
        <f t="shared" si="230"/>
        <v>0.58499999999999996</v>
      </c>
      <c r="O685" s="15" t="str">
        <f t="shared" si="231"/>
        <v>A10</v>
      </c>
      <c r="P685" s="15" t="str">
        <f t="shared" si="232"/>
        <v>Gallifrey International</v>
      </c>
      <c r="Q685" s="15" t="str">
        <f t="shared" si="233"/>
        <v>181 Arcadia Street</v>
      </c>
      <c r="R685" s="3">
        <f>OrdersTable!C685</f>
        <v>44611</v>
      </c>
      <c r="S685" s="15">
        <f>OrdersTable!E685</f>
        <v>7</v>
      </c>
      <c r="T685" s="15">
        <f t="shared" si="234"/>
        <v>11.69</v>
      </c>
      <c r="U685" s="15">
        <f t="shared" si="235"/>
        <v>16.190000000000001</v>
      </c>
      <c r="V685" s="15">
        <f t="shared" si="236"/>
        <v>18.940000000000001</v>
      </c>
      <c r="W685" s="15">
        <f>IF(MarkupType="Store Markup",ROUND(V685+V685*StoreMarkup,2),IF(MarkupType="Supplier Markup",V685+V685*SupplierMarkup,"Error at finding value"))</f>
        <v>29.83</v>
      </c>
      <c r="X685" s="32" t="str">
        <f t="shared" si="238"/>
        <v>0.00</v>
      </c>
      <c r="Y685" s="15">
        <f t="shared" si="239"/>
        <v>132.58000000000001</v>
      </c>
      <c r="Z685" s="15">
        <f t="shared" si="240"/>
        <v>208.81</v>
      </c>
      <c r="AA685" s="15">
        <f>IF(FreightType="Lethbridge-Stewart Freight ",ROUND(2.99+IF(N685&gt;0.75,(N685-0.75)*2.25,0)*S685,2),IF(MarkupType="Supplier Markup",V685+V685*SupplierMarkup,"Error at finding value"))</f>
        <v>2.99</v>
      </c>
      <c r="AB685" s="15">
        <f t="shared" si="241"/>
        <v>0</v>
      </c>
    </row>
    <row r="686" spans="1:28" x14ac:dyDescent="0.25">
      <c r="A686" s="16">
        <f>OrdersTable!A686</f>
        <v>500</v>
      </c>
      <c r="B686" s="15" t="str">
        <f t="shared" si="221"/>
        <v>Ms</v>
      </c>
      <c r="C686" s="15" t="str">
        <f t="shared" si="242"/>
        <v>Helmers</v>
      </c>
      <c r="D686" s="15" t="str">
        <f t="shared" si="222"/>
        <v>Kristy-Lee</v>
      </c>
      <c r="E686" s="15" t="str">
        <f t="shared" si="223"/>
        <v>43 Welthagen Court</v>
      </c>
      <c r="F686" s="15" t="str">
        <f t="shared" si="224"/>
        <v>Areegra</v>
      </c>
      <c r="G686" s="15" t="str">
        <f t="shared" si="225"/>
        <v>VIC</v>
      </c>
      <c r="H686" s="15">
        <f t="shared" si="226"/>
        <v>3480</v>
      </c>
      <c r="I686" s="15">
        <f t="shared" si="237"/>
        <v>1559</v>
      </c>
      <c r="J686" s="15">
        <f>OrdersTable!B686</f>
        <v>801</v>
      </c>
      <c r="K686" s="15" t="str">
        <f t="shared" si="227"/>
        <v>Statues and Busts</v>
      </c>
      <c r="L686" s="15" t="str">
        <f t="shared" si="228"/>
        <v>Doctor Who: Masterpiece Collection Maxi Bust: 4th Doctor</v>
      </c>
      <c r="M686" s="15" t="str">
        <f t="shared" si="229"/>
        <v>-</v>
      </c>
      <c r="N686" s="15">
        <f t="shared" si="230"/>
        <v>2.5</v>
      </c>
      <c r="O686" s="15" t="str">
        <f t="shared" si="231"/>
        <v>A30</v>
      </c>
      <c r="P686" s="15" t="str">
        <f t="shared" si="232"/>
        <v>Chesterton Enterprises</v>
      </c>
      <c r="Q686" s="15" t="str">
        <f t="shared" si="233"/>
        <v>41 William Russell Road</v>
      </c>
      <c r="R686" s="3">
        <f>OrdersTable!C686</f>
        <v>44611</v>
      </c>
      <c r="S686" s="15">
        <f>OrdersTable!E686</f>
        <v>7</v>
      </c>
      <c r="T686" s="15">
        <f t="shared" si="234"/>
        <v>49.99</v>
      </c>
      <c r="U686" s="15">
        <f t="shared" si="235"/>
        <v>68.180000000000007</v>
      </c>
      <c r="V686" s="15">
        <f t="shared" si="236"/>
        <v>80.98</v>
      </c>
      <c r="W686" s="15">
        <f>IF(MarkupType="Store Markup",ROUND(V686+V686*StoreMarkup,2),IF(MarkupType="Supplier Markup",V686+V686*SupplierMarkup,"Error at finding value"))</f>
        <v>127.54</v>
      </c>
      <c r="X686" s="32">
        <f t="shared" si="238"/>
        <v>9.09</v>
      </c>
      <c r="Y686" s="15">
        <f t="shared" si="239"/>
        <v>566.86</v>
      </c>
      <c r="Z686" s="15">
        <f t="shared" si="240"/>
        <v>829.15</v>
      </c>
      <c r="AA686" s="15">
        <f>IF(FreightType="Lethbridge-Stewart Freight ",ROUND(2.99+IF(N686&gt;0.75,(N686-0.75)*2.25,0)*S686,2),IF(MarkupType="Supplier Markup",V686+V686*SupplierMarkup,"Error at finding value"))</f>
        <v>30.55</v>
      </c>
      <c r="AB686" s="15">
        <f t="shared" si="241"/>
        <v>63.63</v>
      </c>
    </row>
    <row r="687" spans="1:28" x14ac:dyDescent="0.25">
      <c r="A687" s="16">
        <f>OrdersTable!A687</f>
        <v>515</v>
      </c>
      <c r="B687" s="15" t="str">
        <f t="shared" si="221"/>
        <v>Mr</v>
      </c>
      <c r="C687" s="15" t="str">
        <f t="shared" si="242"/>
        <v>Noffke</v>
      </c>
      <c r="D687" s="15" t="str">
        <f t="shared" si="222"/>
        <v>William Thomas</v>
      </c>
      <c r="E687" s="15" t="str">
        <f t="shared" si="223"/>
        <v>20 Tyler Drive</v>
      </c>
      <c r="F687" s="15" t="str">
        <f t="shared" si="224"/>
        <v>Areegra</v>
      </c>
      <c r="G687" s="15" t="str">
        <f t="shared" si="225"/>
        <v>VIC</v>
      </c>
      <c r="H687" s="15">
        <f t="shared" si="226"/>
        <v>3480</v>
      </c>
      <c r="I687" s="15">
        <f t="shared" si="237"/>
        <v>1559</v>
      </c>
      <c r="J687" s="15">
        <f>OrdersTable!B687</f>
        <v>719</v>
      </c>
      <c r="K687" s="15" t="str">
        <f t="shared" si="227"/>
        <v>Posters, Prints and Standees</v>
      </c>
      <c r="L687" s="15" t="str">
        <f t="shared" si="228"/>
        <v>Doctor Who: Standee: Supreme Dalek</v>
      </c>
      <c r="M687" s="15" t="str">
        <f t="shared" si="229"/>
        <v>-</v>
      </c>
      <c r="N687" s="15">
        <f t="shared" si="230"/>
        <v>1.125</v>
      </c>
      <c r="O687" s="15" t="str">
        <f t="shared" si="231"/>
        <v>A50</v>
      </c>
      <c r="P687" s="15" t="str">
        <f t="shared" si="232"/>
        <v>Rassilon Ltd.</v>
      </c>
      <c r="Q687" s="15" t="str">
        <f t="shared" si="233"/>
        <v>82 Richard Mathews Road</v>
      </c>
      <c r="R687" s="3">
        <f>OrdersTable!C687</f>
        <v>44611</v>
      </c>
      <c r="S687" s="15">
        <f>OrdersTable!E687</f>
        <v>8</v>
      </c>
      <c r="T687" s="15">
        <f t="shared" si="234"/>
        <v>22.49</v>
      </c>
      <c r="U687" s="15">
        <f t="shared" si="235"/>
        <v>30.76</v>
      </c>
      <c r="V687" s="15">
        <f t="shared" si="236"/>
        <v>36.43</v>
      </c>
      <c r="W687" s="15">
        <f>IF(MarkupType="Store Markup",ROUND(V687+V687*StoreMarkup,2),IF(MarkupType="Supplier Markup",V687+V687*SupplierMarkup,"Error at finding value"))</f>
        <v>57.38</v>
      </c>
      <c r="X687" s="32" t="str">
        <f t="shared" si="238"/>
        <v>0.00</v>
      </c>
      <c r="Y687" s="15">
        <f t="shared" si="239"/>
        <v>291.44</v>
      </c>
      <c r="Z687" s="15">
        <f t="shared" si="240"/>
        <v>459.04</v>
      </c>
      <c r="AA687" s="15">
        <f>IF(FreightType="Lethbridge-Stewart Freight ",ROUND(2.99+IF(N687&gt;0.75,(N687-0.75)*2.25,0)*S687,2),IF(MarkupType="Supplier Markup",V687+V687*SupplierMarkup,"Error at finding value"))</f>
        <v>9.74</v>
      </c>
      <c r="AB687" s="15">
        <f t="shared" si="241"/>
        <v>0</v>
      </c>
    </row>
    <row r="688" spans="1:28" x14ac:dyDescent="0.25">
      <c r="A688" s="16">
        <f>OrdersTable!A688</f>
        <v>546</v>
      </c>
      <c r="B688" s="15" t="str">
        <f t="shared" si="221"/>
        <v>Ms</v>
      </c>
      <c r="C688" s="15" t="str">
        <f t="shared" si="242"/>
        <v>Shortt</v>
      </c>
      <c r="D688" s="15" t="str">
        <f t="shared" si="222"/>
        <v>Rickylee Sidonia</v>
      </c>
      <c r="E688" s="15" t="str">
        <f t="shared" si="223"/>
        <v>4 Hughes Road</v>
      </c>
      <c r="F688" s="15" t="str">
        <f t="shared" si="224"/>
        <v>Glenfern</v>
      </c>
      <c r="G688" s="15" t="str">
        <f t="shared" si="225"/>
        <v>QLD</v>
      </c>
      <c r="H688" s="15">
        <f t="shared" si="226"/>
        <v>4515</v>
      </c>
      <c r="I688" s="15">
        <f t="shared" si="237"/>
        <v>128</v>
      </c>
      <c r="J688" s="15">
        <f>OrdersTable!B688</f>
        <v>620</v>
      </c>
      <c r="K688" s="15" t="str">
        <f t="shared" si="227"/>
        <v>iPhone Skins</v>
      </c>
      <c r="L688" s="15" t="str">
        <f t="shared" si="228"/>
        <v>Doctor Who: iPhone Skin: TARDIS Water Colour</v>
      </c>
      <c r="M688" s="15" t="str">
        <f t="shared" si="229"/>
        <v>-</v>
      </c>
      <c r="N688" s="15">
        <f t="shared" si="230"/>
        <v>0.5</v>
      </c>
      <c r="O688" s="15" t="str">
        <f t="shared" si="231"/>
        <v>A30</v>
      </c>
      <c r="P688" s="15" t="str">
        <f t="shared" si="232"/>
        <v>Chesterton Enterprises</v>
      </c>
      <c r="Q688" s="15" t="str">
        <f t="shared" si="233"/>
        <v>41 William Russell Road</v>
      </c>
      <c r="R688" s="3">
        <f>OrdersTable!C688</f>
        <v>44611</v>
      </c>
      <c r="S688" s="15">
        <f>OrdersTable!E688</f>
        <v>3</v>
      </c>
      <c r="T688" s="15">
        <f t="shared" si="234"/>
        <v>9.99</v>
      </c>
      <c r="U688" s="15">
        <f t="shared" si="235"/>
        <v>13.81</v>
      </c>
      <c r="V688" s="15">
        <f t="shared" si="236"/>
        <v>16.18</v>
      </c>
      <c r="W688" s="15">
        <f>IF(MarkupType="Store Markup",ROUND(V688+V688*StoreMarkup,2),IF(MarkupType="Supplier Markup",V688+V688*SupplierMarkup,"Error at finding value"))</f>
        <v>25.48</v>
      </c>
      <c r="X688" s="32" t="str">
        <f t="shared" si="238"/>
        <v>0.00</v>
      </c>
      <c r="Y688" s="15">
        <f t="shared" si="239"/>
        <v>48.54</v>
      </c>
      <c r="Z688" s="15">
        <f t="shared" si="240"/>
        <v>76.44</v>
      </c>
      <c r="AA688" s="15">
        <f>IF(FreightType="Lethbridge-Stewart Freight ",ROUND(2.99+IF(N688&gt;0.75,(N688-0.75)*2.25,0)*S688,2),IF(MarkupType="Supplier Markup",V688+V688*SupplierMarkup,"Error at finding value"))</f>
        <v>2.99</v>
      </c>
      <c r="AB688" s="15">
        <f t="shared" si="241"/>
        <v>0</v>
      </c>
    </row>
    <row r="689" spans="1:28" x14ac:dyDescent="0.25">
      <c r="A689" s="16">
        <f>OrdersTable!A689</f>
        <v>609</v>
      </c>
      <c r="B689" s="15" t="str">
        <f t="shared" si="221"/>
        <v>Ms</v>
      </c>
      <c r="C689" s="15" t="str">
        <f t="shared" si="242"/>
        <v>Ashley</v>
      </c>
      <c r="D689" s="15" t="str">
        <f t="shared" si="222"/>
        <v>Matthew</v>
      </c>
      <c r="E689" s="15" t="str">
        <f t="shared" si="223"/>
        <v>3 Wagener Crescent</v>
      </c>
      <c r="F689" s="15" t="str">
        <f t="shared" si="224"/>
        <v>Aberfoyle</v>
      </c>
      <c r="G689" s="15" t="str">
        <f t="shared" si="225"/>
        <v>NSW</v>
      </c>
      <c r="H689" s="15">
        <f t="shared" si="226"/>
        <v>2350</v>
      </c>
      <c r="I689" s="15">
        <f t="shared" si="237"/>
        <v>363</v>
      </c>
      <c r="J689" s="15">
        <f>OrdersTable!B689</f>
        <v>515</v>
      </c>
      <c r="K689" s="15" t="str">
        <f t="shared" si="227"/>
        <v>Giftware</v>
      </c>
      <c r="L689" s="15" t="str">
        <f t="shared" si="228"/>
        <v>Doctor Who: Keyring K9</v>
      </c>
      <c r="M689" s="15" t="str">
        <f t="shared" si="229"/>
        <v>-</v>
      </c>
      <c r="N689" s="15">
        <f t="shared" si="230"/>
        <v>0.25</v>
      </c>
      <c r="O689" s="15" t="str">
        <f t="shared" si="231"/>
        <v>A50</v>
      </c>
      <c r="P689" s="15" t="str">
        <f t="shared" si="232"/>
        <v>Rassilon Ltd.</v>
      </c>
      <c r="Q689" s="15" t="str">
        <f t="shared" si="233"/>
        <v>82 Richard Mathews Road</v>
      </c>
      <c r="R689" s="3">
        <f>OrdersTable!C689</f>
        <v>44611</v>
      </c>
      <c r="S689" s="15">
        <f>OrdersTable!E689</f>
        <v>9</v>
      </c>
      <c r="T689" s="15">
        <f t="shared" si="234"/>
        <v>4.99</v>
      </c>
      <c r="U689" s="15">
        <f t="shared" si="235"/>
        <v>6.91</v>
      </c>
      <c r="V689" s="15">
        <f t="shared" si="236"/>
        <v>8.08</v>
      </c>
      <c r="W689" s="15">
        <f>IF(MarkupType="Store Markup",ROUND(V689+V689*StoreMarkup,2),IF(MarkupType="Supplier Markup",V689+V689*SupplierMarkup,"Error at finding value"))</f>
        <v>12.73</v>
      </c>
      <c r="X689" s="32" t="str">
        <f t="shared" si="238"/>
        <v>0.00</v>
      </c>
      <c r="Y689" s="15">
        <f t="shared" si="239"/>
        <v>72.72</v>
      </c>
      <c r="Z689" s="15">
        <f t="shared" si="240"/>
        <v>114.57</v>
      </c>
      <c r="AA689" s="15">
        <f>IF(FreightType="Lethbridge-Stewart Freight ",ROUND(2.99+IF(N689&gt;0.75,(N689-0.75)*2.25,0)*S689,2),IF(MarkupType="Supplier Markup",V689+V689*SupplierMarkup,"Error at finding value"))</f>
        <v>2.99</v>
      </c>
      <c r="AB689" s="15">
        <f t="shared" si="241"/>
        <v>0</v>
      </c>
    </row>
    <row r="690" spans="1:28" x14ac:dyDescent="0.25">
      <c r="A690" s="16">
        <f>OrdersTable!A690</f>
        <v>609</v>
      </c>
      <c r="B690" s="15" t="str">
        <f t="shared" si="221"/>
        <v>Ms</v>
      </c>
      <c r="C690" s="15" t="str">
        <f t="shared" si="242"/>
        <v>Ashley</v>
      </c>
      <c r="D690" s="15" t="str">
        <f t="shared" si="222"/>
        <v>Matthew</v>
      </c>
      <c r="E690" s="15" t="str">
        <f t="shared" si="223"/>
        <v>3 Wagener Crescent</v>
      </c>
      <c r="F690" s="15" t="str">
        <f t="shared" si="224"/>
        <v>Aberfoyle</v>
      </c>
      <c r="G690" s="15" t="str">
        <f t="shared" si="225"/>
        <v>NSW</v>
      </c>
      <c r="H690" s="15">
        <f t="shared" si="226"/>
        <v>2350</v>
      </c>
      <c r="I690" s="15">
        <f t="shared" si="237"/>
        <v>363</v>
      </c>
      <c r="J690" s="15">
        <f>OrdersTable!B690</f>
        <v>563</v>
      </c>
      <c r="K690" s="15" t="str">
        <f t="shared" si="227"/>
        <v>Giftware</v>
      </c>
      <c r="L690" s="15" t="str">
        <f t="shared" si="228"/>
        <v>Doctor Who: TARDIS Jewellery Box</v>
      </c>
      <c r="M690" s="15" t="str">
        <f t="shared" si="229"/>
        <v>-</v>
      </c>
      <c r="N690" s="15">
        <f t="shared" si="230"/>
        <v>1.1499999999999999</v>
      </c>
      <c r="O690" s="15" t="str">
        <f t="shared" si="231"/>
        <v>A50</v>
      </c>
      <c r="P690" s="15" t="str">
        <f t="shared" si="232"/>
        <v>Rassilon Ltd.</v>
      </c>
      <c r="Q690" s="15" t="str">
        <f t="shared" si="233"/>
        <v>82 Richard Mathews Road</v>
      </c>
      <c r="R690" s="3">
        <f>OrdersTable!C690</f>
        <v>44611</v>
      </c>
      <c r="S690" s="15">
        <f>OrdersTable!E690</f>
        <v>6</v>
      </c>
      <c r="T690" s="15">
        <f t="shared" si="234"/>
        <v>22.99</v>
      </c>
      <c r="U690" s="15">
        <f t="shared" si="235"/>
        <v>31.63</v>
      </c>
      <c r="V690" s="15">
        <f t="shared" si="236"/>
        <v>37.24</v>
      </c>
      <c r="W690" s="15">
        <f>IF(MarkupType="Store Markup",ROUND(V690+V690*StoreMarkup,2),IF(MarkupType="Supplier Markup",V690+V690*SupplierMarkup,"Error at finding value"))</f>
        <v>58.65</v>
      </c>
      <c r="X690" s="32" t="str">
        <f t="shared" si="238"/>
        <v>0.00</v>
      </c>
      <c r="Y690" s="15">
        <f t="shared" si="239"/>
        <v>223.44</v>
      </c>
      <c r="Z690" s="15">
        <f t="shared" si="240"/>
        <v>351.9</v>
      </c>
      <c r="AA690" s="15">
        <f>IF(FreightType="Lethbridge-Stewart Freight ",ROUND(2.99+IF(N690&gt;0.75,(N690-0.75)*2.25,0)*S690,2),IF(MarkupType="Supplier Markup",V690+V690*SupplierMarkup,"Error at finding value"))</f>
        <v>8.39</v>
      </c>
      <c r="AB690" s="15">
        <f t="shared" si="241"/>
        <v>0</v>
      </c>
    </row>
    <row r="691" spans="1:28" x14ac:dyDescent="0.25">
      <c r="A691" s="16">
        <f>OrdersTable!A691</f>
        <v>610</v>
      </c>
      <c r="B691" s="15" t="str">
        <f t="shared" si="221"/>
        <v>Ms</v>
      </c>
      <c r="C691" s="15" t="str">
        <f t="shared" si="242"/>
        <v>Bichel</v>
      </c>
      <c r="D691" s="15" t="str">
        <f t="shared" si="222"/>
        <v>Abbey Kate</v>
      </c>
      <c r="E691" s="15" t="str">
        <f t="shared" si="223"/>
        <v>32 Rambau Avenue</v>
      </c>
      <c r="F691" s="15" t="str">
        <f t="shared" si="224"/>
        <v>Bamboo</v>
      </c>
      <c r="G691" s="15" t="str">
        <f t="shared" si="225"/>
        <v>QLD</v>
      </c>
      <c r="H691" s="15">
        <f t="shared" si="226"/>
        <v>4873</v>
      </c>
      <c r="I691" s="15">
        <f t="shared" si="237"/>
        <v>1741</v>
      </c>
      <c r="J691" s="15">
        <f>OrdersTable!B691</f>
        <v>812</v>
      </c>
      <c r="K691" s="15" t="str">
        <f t="shared" si="227"/>
        <v>Statues and Busts</v>
      </c>
      <c r="L691" s="15" t="str">
        <f t="shared" si="228"/>
        <v>Doctor Who: Masterpiece Collection Maxi Bust: Dalek: Day Of The Daleks</v>
      </c>
      <c r="M691" s="15" t="str">
        <f t="shared" si="229"/>
        <v>-</v>
      </c>
      <c r="N691" s="15">
        <f t="shared" si="230"/>
        <v>2.5</v>
      </c>
      <c r="O691" s="15" t="str">
        <f t="shared" si="231"/>
        <v>A20</v>
      </c>
      <c r="P691" s="15" t="str">
        <f t="shared" si="232"/>
        <v>Morbius Inc.</v>
      </c>
      <c r="Q691" s="15" t="str">
        <f t="shared" si="233"/>
        <v>56 Michael Spice Hwy</v>
      </c>
      <c r="R691" s="3">
        <f>OrdersTable!C691</f>
        <v>44611</v>
      </c>
      <c r="S691" s="15">
        <f>OrdersTable!E691</f>
        <v>2</v>
      </c>
      <c r="T691" s="15">
        <f t="shared" si="234"/>
        <v>49.99</v>
      </c>
      <c r="U691" s="15">
        <f t="shared" si="235"/>
        <v>68.47</v>
      </c>
      <c r="V691" s="15">
        <f t="shared" si="236"/>
        <v>80.98</v>
      </c>
      <c r="W691" s="15">
        <f>IF(MarkupType="Store Markup",ROUND(V691+V691*StoreMarkup,2),IF(MarkupType="Supplier Markup",V691+V691*SupplierMarkup,"Error at finding value"))</f>
        <v>127.54</v>
      </c>
      <c r="X691" s="32" t="str">
        <f t="shared" si="238"/>
        <v>0.00</v>
      </c>
      <c r="Y691" s="15">
        <f t="shared" si="239"/>
        <v>161.96</v>
      </c>
      <c r="Z691" s="15">
        <f t="shared" si="240"/>
        <v>255.08</v>
      </c>
      <c r="AA691" s="15">
        <f>IF(FreightType="Lethbridge-Stewart Freight ",ROUND(2.99+IF(N691&gt;0.75,(N691-0.75)*2.25,0)*S691,2),IF(MarkupType="Supplier Markup",V691+V691*SupplierMarkup,"Error at finding value"))</f>
        <v>10.87</v>
      </c>
      <c r="AB691" s="15">
        <f t="shared" si="241"/>
        <v>0</v>
      </c>
    </row>
    <row r="692" spans="1:28" x14ac:dyDescent="0.25">
      <c r="A692" s="16">
        <f>OrdersTable!A692</f>
        <v>843</v>
      </c>
      <c r="B692" s="15" t="str">
        <f t="shared" si="221"/>
        <v>Mr</v>
      </c>
      <c r="C692" s="15" t="str">
        <f t="shared" si="242"/>
        <v>Goodwin</v>
      </c>
      <c r="D692" s="15" t="str">
        <f t="shared" si="222"/>
        <v>Damon Joel</v>
      </c>
      <c r="E692" s="15" t="str">
        <f t="shared" si="223"/>
        <v>40 Powell Boulevard</v>
      </c>
      <c r="F692" s="15" t="str">
        <f t="shared" si="224"/>
        <v>Abington</v>
      </c>
      <c r="G692" s="15" t="str">
        <f t="shared" si="225"/>
        <v>QLD</v>
      </c>
      <c r="H692" s="15">
        <f t="shared" si="226"/>
        <v>4660</v>
      </c>
      <c r="I692" s="15">
        <f t="shared" si="237"/>
        <v>336</v>
      </c>
      <c r="J692" s="15">
        <f>OrdersTable!B692</f>
        <v>699</v>
      </c>
      <c r="K692" s="15" t="str">
        <f t="shared" si="227"/>
        <v>Posters, Prints and Standees</v>
      </c>
      <c r="L692" s="15" t="str">
        <f t="shared" si="228"/>
        <v>Doctor Who: Half Sized Standee: The Master</v>
      </c>
      <c r="M692" s="15" t="str">
        <f t="shared" si="229"/>
        <v>-</v>
      </c>
      <c r="N692" s="15">
        <f t="shared" si="230"/>
        <v>0.5</v>
      </c>
      <c r="O692" s="15" t="str">
        <f t="shared" si="231"/>
        <v>A20</v>
      </c>
      <c r="P692" s="15" t="str">
        <f t="shared" si="232"/>
        <v>Morbius Inc.</v>
      </c>
      <c r="Q692" s="15" t="str">
        <f t="shared" si="233"/>
        <v>56 Michael Spice Hwy</v>
      </c>
      <c r="R692" s="3">
        <f>OrdersTable!C692</f>
        <v>44611</v>
      </c>
      <c r="S692" s="15">
        <f>OrdersTable!E692</f>
        <v>2</v>
      </c>
      <c r="T692" s="15">
        <f t="shared" si="234"/>
        <v>9.99</v>
      </c>
      <c r="U692" s="15">
        <f t="shared" si="235"/>
        <v>13.79</v>
      </c>
      <c r="V692" s="15">
        <f t="shared" si="236"/>
        <v>16.18</v>
      </c>
      <c r="W692" s="15">
        <f>IF(MarkupType="Store Markup",ROUND(V692+V692*StoreMarkup,2),IF(MarkupType="Supplier Markup",V692+V692*SupplierMarkup,"Error at finding value"))</f>
        <v>25.48</v>
      </c>
      <c r="X692" s="32" t="str">
        <f t="shared" si="238"/>
        <v>0.00</v>
      </c>
      <c r="Y692" s="15">
        <f t="shared" si="239"/>
        <v>32.36</v>
      </c>
      <c r="Z692" s="15">
        <f t="shared" si="240"/>
        <v>50.96</v>
      </c>
      <c r="AA692" s="15">
        <f>IF(FreightType="Lethbridge-Stewart Freight ",ROUND(2.99+IF(N692&gt;0.75,(N692-0.75)*2.25,0)*S692,2),IF(MarkupType="Supplier Markup",V692+V692*SupplierMarkup,"Error at finding value"))</f>
        <v>2.99</v>
      </c>
      <c r="AB692" s="15">
        <f t="shared" si="241"/>
        <v>0</v>
      </c>
    </row>
    <row r="693" spans="1:28" x14ac:dyDescent="0.25">
      <c r="A693" s="16">
        <f>OrdersTable!A693</f>
        <v>989</v>
      </c>
      <c r="B693" s="15" t="str">
        <f t="shared" si="221"/>
        <v>Miss</v>
      </c>
      <c r="C693" s="15" t="str">
        <f t="shared" si="242"/>
        <v>McInnes</v>
      </c>
      <c r="D693" s="15" t="str">
        <f t="shared" si="222"/>
        <v>Nina Marie</v>
      </c>
      <c r="E693" s="15" t="str">
        <f t="shared" si="223"/>
        <v>28 Caruss Road</v>
      </c>
      <c r="F693" s="15" t="str">
        <f t="shared" si="224"/>
        <v>Belford</v>
      </c>
      <c r="G693" s="15" t="str">
        <f t="shared" si="225"/>
        <v>NSW</v>
      </c>
      <c r="H693" s="15">
        <f t="shared" si="226"/>
        <v>2335</v>
      </c>
      <c r="I693" s="15">
        <f t="shared" si="237"/>
        <v>716</v>
      </c>
      <c r="J693" s="15">
        <f>OrdersTable!B693</f>
        <v>652</v>
      </c>
      <c r="K693" s="15" t="str">
        <f t="shared" si="227"/>
        <v>Mugs</v>
      </c>
      <c r="L693" s="15" t="str">
        <f t="shared" si="228"/>
        <v>Doctor Who: Mug: Dalek 2D</v>
      </c>
      <c r="M693" s="15" t="str">
        <f t="shared" si="229"/>
        <v>-</v>
      </c>
      <c r="N693" s="15">
        <f t="shared" si="230"/>
        <v>0.35</v>
      </c>
      <c r="O693" s="15" t="str">
        <f t="shared" si="231"/>
        <v>A10</v>
      </c>
      <c r="P693" s="15" t="str">
        <f t="shared" si="232"/>
        <v>Gallifrey International</v>
      </c>
      <c r="Q693" s="15" t="str">
        <f t="shared" si="233"/>
        <v>181 Arcadia Street</v>
      </c>
      <c r="R693" s="3">
        <f>OrdersTable!C693</f>
        <v>44611</v>
      </c>
      <c r="S693" s="15">
        <f>OrdersTable!E693</f>
        <v>1</v>
      </c>
      <c r="T693" s="15">
        <f t="shared" si="234"/>
        <v>6.99</v>
      </c>
      <c r="U693" s="15">
        <f t="shared" si="235"/>
        <v>9.8800000000000008</v>
      </c>
      <c r="V693" s="15">
        <f t="shared" si="236"/>
        <v>11.32</v>
      </c>
      <c r="W693" s="15">
        <f>IF(MarkupType="Store Markup",ROUND(V693+V693*StoreMarkup,2),IF(MarkupType="Supplier Markup",V693+V693*SupplierMarkup,"Error at finding value"))</f>
        <v>17.829999999999998</v>
      </c>
      <c r="X693" s="32" t="str">
        <f t="shared" si="238"/>
        <v>0.00</v>
      </c>
      <c r="Y693" s="15">
        <f t="shared" si="239"/>
        <v>11.32</v>
      </c>
      <c r="Z693" s="15">
        <f t="shared" si="240"/>
        <v>17.829999999999998</v>
      </c>
      <c r="AA693" s="15">
        <f>IF(FreightType="Lethbridge-Stewart Freight ",ROUND(2.99+IF(N693&gt;0.75,(N693-0.75)*2.25,0)*S693,2),IF(MarkupType="Supplier Markup",V693+V693*SupplierMarkup,"Error at finding value"))</f>
        <v>2.99</v>
      </c>
      <c r="AB693" s="15">
        <f t="shared" si="241"/>
        <v>0</v>
      </c>
    </row>
    <row r="694" spans="1:28" x14ac:dyDescent="0.25">
      <c r="A694" s="16">
        <f>OrdersTable!A694</f>
        <v>284</v>
      </c>
      <c r="B694" s="15" t="str">
        <f t="shared" si="221"/>
        <v>Mr</v>
      </c>
      <c r="C694" s="15" t="str">
        <f t="shared" si="242"/>
        <v>Aitcheson</v>
      </c>
      <c r="D694" s="15" t="str">
        <f t="shared" si="222"/>
        <v>Ben James</v>
      </c>
      <c r="E694" s="15" t="str">
        <f t="shared" si="223"/>
        <v>32 Evans Avenue</v>
      </c>
      <c r="F694" s="15" t="str">
        <f t="shared" si="224"/>
        <v>Batlow</v>
      </c>
      <c r="G694" s="15" t="str">
        <f t="shared" si="225"/>
        <v>NSW</v>
      </c>
      <c r="H694" s="15">
        <f t="shared" si="226"/>
        <v>2730</v>
      </c>
      <c r="I694" s="15">
        <f t="shared" si="237"/>
        <v>1138</v>
      </c>
      <c r="J694" s="15">
        <f>OrdersTable!B694</f>
        <v>676</v>
      </c>
      <c r="K694" s="15" t="str">
        <f t="shared" si="227"/>
        <v>Mugs</v>
      </c>
      <c r="L694" s="15" t="str">
        <f t="shared" si="228"/>
        <v>Doctor Who: Mug: The Eleventh Doctor</v>
      </c>
      <c r="M694" s="15" t="str">
        <f t="shared" si="229"/>
        <v>-</v>
      </c>
      <c r="N694" s="15">
        <f t="shared" si="230"/>
        <v>0.45</v>
      </c>
      <c r="O694" s="15" t="str">
        <f t="shared" si="231"/>
        <v>A20</v>
      </c>
      <c r="P694" s="15" t="str">
        <f t="shared" si="232"/>
        <v>Morbius Inc.</v>
      </c>
      <c r="Q694" s="15" t="str">
        <f t="shared" si="233"/>
        <v>56 Michael Spice Hwy</v>
      </c>
      <c r="R694" s="3">
        <f>OrdersTable!C694</f>
        <v>44612</v>
      </c>
      <c r="S694" s="15">
        <f>OrdersTable!E694</f>
        <v>8</v>
      </c>
      <c r="T694" s="15">
        <f t="shared" si="234"/>
        <v>8.99</v>
      </c>
      <c r="U694" s="15">
        <f t="shared" si="235"/>
        <v>12.55</v>
      </c>
      <c r="V694" s="15">
        <f t="shared" si="236"/>
        <v>14.56</v>
      </c>
      <c r="W694" s="15">
        <f>IF(MarkupType="Store Markup",ROUND(V694+V694*StoreMarkup,2),IF(MarkupType="Supplier Markup",V694+V694*SupplierMarkup,"Error at finding value"))</f>
        <v>22.93</v>
      </c>
      <c r="X694" s="32" t="str">
        <f t="shared" si="238"/>
        <v>0.00</v>
      </c>
      <c r="Y694" s="15">
        <f t="shared" si="239"/>
        <v>116.48</v>
      </c>
      <c r="Z694" s="15">
        <f t="shared" si="240"/>
        <v>183.44</v>
      </c>
      <c r="AA694" s="15">
        <f>IF(FreightType="Lethbridge-Stewart Freight ",ROUND(2.99+IF(N694&gt;0.75,(N694-0.75)*2.25,0)*S694,2),IF(MarkupType="Supplier Markup",V694+V694*SupplierMarkup,"Error at finding value"))</f>
        <v>2.99</v>
      </c>
      <c r="AB694" s="15">
        <f t="shared" si="241"/>
        <v>0</v>
      </c>
    </row>
    <row r="695" spans="1:28" x14ac:dyDescent="0.25">
      <c r="A695" s="16">
        <f>OrdersTable!A695</f>
        <v>296</v>
      </c>
      <c r="B695" s="15" t="str">
        <f t="shared" si="221"/>
        <v>Miss</v>
      </c>
      <c r="C695" s="15" t="str">
        <f t="shared" si="242"/>
        <v>Kussrow</v>
      </c>
      <c r="D695" s="15" t="str">
        <f t="shared" si="222"/>
        <v>Katherine Anne</v>
      </c>
      <c r="E695" s="15" t="str">
        <f t="shared" si="223"/>
        <v>10 Downes Street</v>
      </c>
      <c r="F695" s="15" t="str">
        <f t="shared" si="224"/>
        <v>Breakwater</v>
      </c>
      <c r="G695" s="15" t="str">
        <f t="shared" si="225"/>
        <v>VIC</v>
      </c>
      <c r="H695" s="15">
        <f t="shared" si="226"/>
        <v>3219</v>
      </c>
      <c r="I695" s="15">
        <f t="shared" si="237"/>
        <v>1596</v>
      </c>
      <c r="J695" s="15">
        <f>OrdersTable!B695</f>
        <v>374</v>
      </c>
      <c r="K695" s="15" t="str">
        <f t="shared" si="227"/>
        <v>Clothing and Apparel</v>
      </c>
      <c r="L695" s="15" t="str">
        <f t="shared" si="228"/>
        <v xml:space="preserve">Doctor Who: T-Shirts: 5th Doctor Costume </v>
      </c>
      <c r="M695" s="15" t="str">
        <f t="shared" si="229"/>
        <v>XL</v>
      </c>
      <c r="N695" s="15">
        <f t="shared" si="230"/>
        <v>0.8</v>
      </c>
      <c r="O695" s="15" t="str">
        <f t="shared" si="231"/>
        <v>A50</v>
      </c>
      <c r="P695" s="15" t="str">
        <f t="shared" si="232"/>
        <v>Rassilon Ltd.</v>
      </c>
      <c r="Q695" s="15" t="str">
        <f t="shared" si="233"/>
        <v>82 Richard Mathews Road</v>
      </c>
      <c r="R695" s="3">
        <f>OrdersTable!C695</f>
        <v>44612</v>
      </c>
      <c r="S695" s="15">
        <f>OrdersTable!E695</f>
        <v>5</v>
      </c>
      <c r="T695" s="15">
        <f t="shared" si="234"/>
        <v>15.99</v>
      </c>
      <c r="U695" s="15">
        <f t="shared" si="235"/>
        <v>21.97</v>
      </c>
      <c r="V695" s="15">
        <f t="shared" si="236"/>
        <v>25.9</v>
      </c>
      <c r="W695" s="15">
        <f>IF(MarkupType="Store Markup",ROUND(V695+V695*StoreMarkup,2),IF(MarkupType="Supplier Markup",V695+V695*SupplierMarkup,"Error at finding value"))</f>
        <v>40.79</v>
      </c>
      <c r="X695" s="32" t="str">
        <f t="shared" si="238"/>
        <v>0.00</v>
      </c>
      <c r="Y695" s="15">
        <f t="shared" si="239"/>
        <v>129.5</v>
      </c>
      <c r="Z695" s="15">
        <f t="shared" si="240"/>
        <v>203.95</v>
      </c>
      <c r="AA695" s="15">
        <f>IF(FreightType="Lethbridge-Stewart Freight ",ROUND(2.99+IF(N695&gt;0.75,(N695-0.75)*2.25,0)*S695,2),IF(MarkupType="Supplier Markup",V695+V695*SupplierMarkup,"Error at finding value"))</f>
        <v>3.55</v>
      </c>
      <c r="AB695" s="15">
        <f t="shared" si="241"/>
        <v>0</v>
      </c>
    </row>
    <row r="696" spans="1:28" x14ac:dyDescent="0.25">
      <c r="A696" s="16">
        <f>OrdersTable!A696</f>
        <v>329</v>
      </c>
      <c r="B696" s="15" t="str">
        <f t="shared" si="221"/>
        <v>Ms</v>
      </c>
      <c r="C696" s="15" t="str">
        <f t="shared" si="242"/>
        <v>Hubbard</v>
      </c>
      <c r="D696" s="15" t="str">
        <f t="shared" si="222"/>
        <v>Sonya Marie</v>
      </c>
      <c r="E696" s="15" t="str">
        <f t="shared" si="223"/>
        <v>42 Keable Crescent</v>
      </c>
      <c r="F696" s="15" t="str">
        <f t="shared" si="224"/>
        <v>Boston</v>
      </c>
      <c r="G696" s="15" t="str">
        <f t="shared" si="225"/>
        <v>SA</v>
      </c>
      <c r="H696" s="15">
        <f t="shared" si="226"/>
        <v>5607</v>
      </c>
      <c r="I696" s="15">
        <f t="shared" si="237"/>
        <v>2076</v>
      </c>
      <c r="J696" s="15">
        <f>OrdersTable!B696</f>
        <v>219</v>
      </c>
      <c r="K696" s="15" t="str">
        <f t="shared" si="227"/>
        <v>Clothing and Apparel</v>
      </c>
      <c r="L696" s="15" t="str">
        <f t="shared" si="228"/>
        <v>Doctor Who: Men's Winter Pyjamas</v>
      </c>
      <c r="M696" s="15" t="str">
        <f t="shared" si="229"/>
        <v>M</v>
      </c>
      <c r="N696" s="15">
        <f t="shared" si="230"/>
        <v>1.5</v>
      </c>
      <c r="O696" s="15" t="str">
        <f t="shared" si="231"/>
        <v>A40</v>
      </c>
      <c r="P696" s="15" t="str">
        <f t="shared" si="232"/>
        <v>Romana Imports</v>
      </c>
      <c r="Q696" s="15" t="str">
        <f t="shared" si="233"/>
        <v>17 Lalla Ward Road</v>
      </c>
      <c r="R696" s="3">
        <f>OrdersTable!C696</f>
        <v>44612</v>
      </c>
      <c r="S696" s="15">
        <f>OrdersTable!E696</f>
        <v>7</v>
      </c>
      <c r="T696" s="15">
        <f t="shared" si="234"/>
        <v>29.99</v>
      </c>
      <c r="U696" s="15">
        <f t="shared" si="235"/>
        <v>41.24</v>
      </c>
      <c r="V696" s="15">
        <f t="shared" si="236"/>
        <v>48.58</v>
      </c>
      <c r="W696" s="15">
        <f>IF(MarkupType="Store Markup",ROUND(V696+V696*StoreMarkup,2),IF(MarkupType="Supplier Markup",V696+V696*SupplierMarkup,"Error at finding value"))</f>
        <v>76.510000000000005</v>
      </c>
      <c r="X696" s="32" t="str">
        <f t="shared" si="238"/>
        <v>0.00</v>
      </c>
      <c r="Y696" s="15">
        <f t="shared" si="239"/>
        <v>340.06</v>
      </c>
      <c r="Z696" s="15">
        <f t="shared" si="240"/>
        <v>535.57000000000005</v>
      </c>
      <c r="AA696" s="15">
        <f>IF(FreightType="Lethbridge-Stewart Freight ",ROUND(2.99+IF(N696&gt;0.75,(N696-0.75)*2.25,0)*S696,2),IF(MarkupType="Supplier Markup",V696+V696*SupplierMarkup,"Error at finding value"))</f>
        <v>14.8</v>
      </c>
      <c r="AB696" s="15">
        <f t="shared" si="241"/>
        <v>0</v>
      </c>
    </row>
    <row r="697" spans="1:28" x14ac:dyDescent="0.25">
      <c r="A697" s="16">
        <f>OrdersTable!A697</f>
        <v>370</v>
      </c>
      <c r="B697" s="15" t="str">
        <f t="shared" si="221"/>
        <v>Mr</v>
      </c>
      <c r="C697" s="15" t="str">
        <f t="shared" si="242"/>
        <v>Kennedy</v>
      </c>
      <c r="D697" s="15" t="str">
        <f t="shared" si="222"/>
        <v>Joseph Dominic</v>
      </c>
      <c r="E697" s="15" t="str">
        <f t="shared" si="223"/>
        <v>43 Barton Road</v>
      </c>
      <c r="F697" s="15" t="str">
        <f t="shared" si="224"/>
        <v>Boston</v>
      </c>
      <c r="G697" s="15" t="str">
        <f t="shared" si="225"/>
        <v>SA</v>
      </c>
      <c r="H697" s="15">
        <f t="shared" si="226"/>
        <v>5607</v>
      </c>
      <c r="I697" s="15">
        <f t="shared" si="237"/>
        <v>2076</v>
      </c>
      <c r="J697" s="15">
        <f>OrdersTable!B697</f>
        <v>780</v>
      </c>
      <c r="K697" s="15" t="str">
        <f t="shared" si="227"/>
        <v>Statues and Busts</v>
      </c>
      <c r="L697" s="15" t="str">
        <f t="shared" si="228"/>
        <v>Doctor Who: Masterpiece Collection Dalek: Genesis Of The Daleks</v>
      </c>
      <c r="M697" s="15" t="str">
        <f t="shared" si="229"/>
        <v>-</v>
      </c>
      <c r="N697" s="15">
        <f t="shared" si="230"/>
        <v>2.5</v>
      </c>
      <c r="O697" s="15" t="str">
        <f t="shared" si="231"/>
        <v>A30</v>
      </c>
      <c r="P697" s="15" t="str">
        <f t="shared" si="232"/>
        <v>Chesterton Enterprises</v>
      </c>
      <c r="Q697" s="15" t="str">
        <f t="shared" si="233"/>
        <v>41 William Russell Road</v>
      </c>
      <c r="R697" s="3">
        <f>OrdersTable!C697</f>
        <v>44612</v>
      </c>
      <c r="S697" s="15">
        <f>OrdersTable!E697</f>
        <v>8</v>
      </c>
      <c r="T697" s="15">
        <f t="shared" si="234"/>
        <v>49.99</v>
      </c>
      <c r="U697" s="15">
        <f t="shared" si="235"/>
        <v>68.23</v>
      </c>
      <c r="V697" s="15">
        <f t="shared" si="236"/>
        <v>80.98</v>
      </c>
      <c r="W697" s="15">
        <f>IF(MarkupType="Store Markup",ROUND(V697+V697*StoreMarkup,2),IF(MarkupType="Supplier Markup",V697+V697*SupplierMarkup,"Error at finding value"))</f>
        <v>127.54</v>
      </c>
      <c r="X697" s="32">
        <f t="shared" si="238"/>
        <v>9.09</v>
      </c>
      <c r="Y697" s="15">
        <f t="shared" si="239"/>
        <v>647.84</v>
      </c>
      <c r="Z697" s="15">
        <f t="shared" si="240"/>
        <v>947.6</v>
      </c>
      <c r="AA697" s="15">
        <f>IF(FreightType="Lethbridge-Stewart Freight ",ROUND(2.99+IF(N697&gt;0.75,(N697-0.75)*2.25,0)*S697,2),IF(MarkupType="Supplier Markup",V697+V697*SupplierMarkup,"Error at finding value"))</f>
        <v>34.49</v>
      </c>
      <c r="AB697" s="15">
        <f t="shared" si="241"/>
        <v>72.72</v>
      </c>
    </row>
    <row r="698" spans="1:28" x14ac:dyDescent="0.25">
      <c r="A698" s="16">
        <f>OrdersTable!A698</f>
        <v>416</v>
      </c>
      <c r="B698" s="15" t="str">
        <f t="shared" si="221"/>
        <v>Mr</v>
      </c>
      <c r="C698" s="15" t="str">
        <f t="shared" si="242"/>
        <v>Mohammed</v>
      </c>
      <c r="D698" s="15" t="str">
        <f t="shared" si="222"/>
        <v>Ahmed</v>
      </c>
      <c r="E698" s="15" t="str">
        <f t="shared" si="223"/>
        <v>35 Ridley Avenue</v>
      </c>
      <c r="F698" s="15" t="str">
        <f t="shared" si="224"/>
        <v>Iluka</v>
      </c>
      <c r="G698" s="15" t="str">
        <f t="shared" si="225"/>
        <v>NSW</v>
      </c>
      <c r="H698" s="15">
        <f t="shared" si="226"/>
        <v>2466</v>
      </c>
      <c r="I698" s="15">
        <f t="shared" si="237"/>
        <v>347</v>
      </c>
      <c r="J698" s="15">
        <f>OrdersTable!B698</f>
        <v>725</v>
      </c>
      <c r="K698" s="15" t="str">
        <f t="shared" si="227"/>
        <v>Props and Replicas</v>
      </c>
      <c r="L698" s="15" t="str">
        <f t="shared" si="228"/>
        <v>Doctor Who: Captain Jack Sonic Blaster</v>
      </c>
      <c r="M698" s="15" t="str">
        <f t="shared" si="229"/>
        <v>-</v>
      </c>
      <c r="N698" s="15">
        <f t="shared" si="230"/>
        <v>14.8</v>
      </c>
      <c r="O698" s="15" t="str">
        <f t="shared" si="231"/>
        <v>A30</v>
      </c>
      <c r="P698" s="15" t="str">
        <f t="shared" si="232"/>
        <v>Chesterton Enterprises</v>
      </c>
      <c r="Q698" s="15" t="str">
        <f t="shared" si="233"/>
        <v>41 William Russell Road</v>
      </c>
      <c r="R698" s="3">
        <f>OrdersTable!C698</f>
        <v>44612</v>
      </c>
      <c r="S698" s="15">
        <f>OrdersTable!E698</f>
        <v>7</v>
      </c>
      <c r="T698" s="15">
        <f t="shared" si="234"/>
        <v>295.99</v>
      </c>
      <c r="U698" s="15">
        <f t="shared" si="235"/>
        <v>403.88</v>
      </c>
      <c r="V698" s="15">
        <f t="shared" si="236"/>
        <v>479.5</v>
      </c>
      <c r="W698" s="15">
        <f>IF(MarkupType="Store Markup",ROUND(V698+V698*StoreMarkup,2),IF(MarkupType="Supplier Markup",V698+V698*SupplierMarkup,"Error at finding value"))</f>
        <v>755.21</v>
      </c>
      <c r="X698" s="32">
        <f t="shared" si="238"/>
        <v>53.81</v>
      </c>
      <c r="Y698" s="15">
        <f t="shared" si="239"/>
        <v>3356.5</v>
      </c>
      <c r="Z698" s="15">
        <f t="shared" si="240"/>
        <v>4909.8</v>
      </c>
      <c r="AA698" s="15">
        <f>IF(FreightType="Lethbridge-Stewart Freight ",ROUND(2.99+IF(N698&gt;0.75,(N698-0.75)*2.25,0)*S698,2),IF(MarkupType="Supplier Markup",V698+V698*SupplierMarkup,"Error at finding value"))</f>
        <v>224.28</v>
      </c>
      <c r="AB698" s="15">
        <f t="shared" si="241"/>
        <v>376.67</v>
      </c>
    </row>
    <row r="699" spans="1:28" x14ac:dyDescent="0.25">
      <c r="A699" s="16">
        <f>OrdersTable!A699</f>
        <v>448</v>
      </c>
      <c r="B699" s="15" t="str">
        <f t="shared" si="221"/>
        <v>Mr</v>
      </c>
      <c r="C699" s="15" t="str">
        <f t="shared" si="242"/>
        <v>Earl</v>
      </c>
      <c r="D699" s="15" t="str">
        <f t="shared" si="222"/>
        <v>Benn Robert</v>
      </c>
      <c r="E699" s="15" t="str">
        <f t="shared" si="223"/>
        <v>31 Kae Drive</v>
      </c>
      <c r="F699" s="15" t="str">
        <f t="shared" si="224"/>
        <v>Belford</v>
      </c>
      <c r="G699" s="15" t="str">
        <f t="shared" si="225"/>
        <v>NSW</v>
      </c>
      <c r="H699" s="15">
        <f t="shared" si="226"/>
        <v>2335</v>
      </c>
      <c r="I699" s="15">
        <f t="shared" si="237"/>
        <v>716</v>
      </c>
      <c r="J699" s="15">
        <f>OrdersTable!B699</f>
        <v>834</v>
      </c>
      <c r="K699" s="15" t="str">
        <f t="shared" si="227"/>
        <v>Statues and Busts</v>
      </c>
      <c r="L699" s="15" t="str">
        <f t="shared" si="228"/>
        <v>Doctor Who: Signature Edition Statue: Gallifrey Edition: Matt Smith</v>
      </c>
      <c r="M699" s="15" t="str">
        <f t="shared" si="229"/>
        <v>-</v>
      </c>
      <c r="N699" s="15">
        <f t="shared" si="230"/>
        <v>2.5</v>
      </c>
      <c r="O699" s="15" t="str">
        <f t="shared" si="231"/>
        <v>A30</v>
      </c>
      <c r="P699" s="15" t="str">
        <f t="shared" si="232"/>
        <v>Chesterton Enterprises</v>
      </c>
      <c r="Q699" s="15" t="str">
        <f t="shared" si="233"/>
        <v>41 William Russell Road</v>
      </c>
      <c r="R699" s="3">
        <f>OrdersTable!C699</f>
        <v>44612</v>
      </c>
      <c r="S699" s="15">
        <f>OrdersTable!E699</f>
        <v>5</v>
      </c>
      <c r="T699" s="15">
        <f t="shared" si="234"/>
        <v>49.99</v>
      </c>
      <c r="U699" s="15">
        <f t="shared" si="235"/>
        <v>68.52</v>
      </c>
      <c r="V699" s="15">
        <f t="shared" si="236"/>
        <v>80.98</v>
      </c>
      <c r="W699" s="15">
        <f>IF(MarkupType="Store Markup",ROUND(V699+V699*StoreMarkup,2),IF(MarkupType="Supplier Markup",V699+V699*SupplierMarkup,"Error at finding value"))</f>
        <v>127.54</v>
      </c>
      <c r="X699" s="32">
        <f t="shared" si="238"/>
        <v>9.09</v>
      </c>
      <c r="Y699" s="15">
        <f t="shared" si="239"/>
        <v>404.9</v>
      </c>
      <c r="Z699" s="15">
        <f t="shared" si="240"/>
        <v>592.25</v>
      </c>
      <c r="AA699" s="15">
        <f>IF(FreightType="Lethbridge-Stewart Freight ",ROUND(2.99+IF(N699&gt;0.75,(N699-0.75)*2.25,0)*S699,2),IF(MarkupType="Supplier Markup",V699+V699*SupplierMarkup,"Error at finding value"))</f>
        <v>22.68</v>
      </c>
      <c r="AB699" s="15">
        <f t="shared" si="241"/>
        <v>45.45</v>
      </c>
    </row>
    <row r="700" spans="1:28" x14ac:dyDescent="0.25">
      <c r="A700" s="16">
        <f>OrdersTable!A700</f>
        <v>468</v>
      </c>
      <c r="B700" s="15" t="str">
        <f t="shared" si="221"/>
        <v>Mrs</v>
      </c>
      <c r="C700" s="15" t="str">
        <f t="shared" si="242"/>
        <v>Van Essen</v>
      </c>
      <c r="D700" s="15" t="str">
        <f t="shared" si="222"/>
        <v>Bianca Jane</v>
      </c>
      <c r="E700" s="15" t="str">
        <f t="shared" si="223"/>
        <v>47 Ward Circuit</v>
      </c>
      <c r="F700" s="15" t="str">
        <f t="shared" si="224"/>
        <v>Batlow</v>
      </c>
      <c r="G700" s="15" t="str">
        <f t="shared" si="225"/>
        <v>NSW</v>
      </c>
      <c r="H700" s="15">
        <f t="shared" si="226"/>
        <v>2730</v>
      </c>
      <c r="I700" s="15">
        <f t="shared" si="237"/>
        <v>1138</v>
      </c>
      <c r="J700" s="15">
        <f>OrdersTable!B700</f>
        <v>395</v>
      </c>
      <c r="K700" s="15" t="str">
        <f t="shared" si="227"/>
        <v>Clothing and Apparel</v>
      </c>
      <c r="L700" s="15" t="str">
        <f t="shared" si="228"/>
        <v xml:space="preserve">Doctor Who: T-Shirts: 7th Doctor Costume </v>
      </c>
      <c r="M700" s="15" t="str">
        <f t="shared" si="229"/>
        <v>L</v>
      </c>
      <c r="N700" s="15">
        <f t="shared" si="230"/>
        <v>0.8</v>
      </c>
      <c r="O700" s="15" t="str">
        <f t="shared" si="231"/>
        <v>A10</v>
      </c>
      <c r="P700" s="15" t="str">
        <f t="shared" si="232"/>
        <v>Gallifrey International</v>
      </c>
      <c r="Q700" s="15" t="str">
        <f t="shared" si="233"/>
        <v>181 Arcadia Street</v>
      </c>
      <c r="R700" s="3">
        <f>OrdersTable!C700</f>
        <v>44612</v>
      </c>
      <c r="S700" s="15">
        <f>OrdersTable!E700</f>
        <v>9</v>
      </c>
      <c r="T700" s="15">
        <f t="shared" si="234"/>
        <v>15.99</v>
      </c>
      <c r="U700" s="15">
        <f t="shared" si="235"/>
        <v>22.07</v>
      </c>
      <c r="V700" s="15">
        <f t="shared" si="236"/>
        <v>25.9</v>
      </c>
      <c r="W700" s="15">
        <f>IF(MarkupType="Store Markup",ROUND(V700+V700*StoreMarkup,2),IF(MarkupType="Supplier Markup",V700+V700*SupplierMarkup,"Error at finding value"))</f>
        <v>40.79</v>
      </c>
      <c r="X700" s="32" t="str">
        <f t="shared" si="238"/>
        <v>0.00</v>
      </c>
      <c r="Y700" s="15">
        <f t="shared" si="239"/>
        <v>233.1</v>
      </c>
      <c r="Z700" s="15">
        <f t="shared" si="240"/>
        <v>367.11</v>
      </c>
      <c r="AA700" s="15">
        <f>IF(FreightType="Lethbridge-Stewart Freight ",ROUND(2.99+IF(N700&gt;0.75,(N700-0.75)*2.25,0)*S700,2),IF(MarkupType="Supplier Markup",V700+V700*SupplierMarkup,"Error at finding value"))</f>
        <v>4</v>
      </c>
      <c r="AB700" s="15">
        <f t="shared" si="241"/>
        <v>0</v>
      </c>
    </row>
    <row r="701" spans="1:28" x14ac:dyDescent="0.25">
      <c r="A701" s="16">
        <f>OrdersTable!A701</f>
        <v>526</v>
      </c>
      <c r="B701" s="15" t="str">
        <f t="shared" si="221"/>
        <v>Mrs</v>
      </c>
      <c r="C701" s="15" t="str">
        <f t="shared" si="242"/>
        <v>Bradford</v>
      </c>
      <c r="D701" s="15" t="str">
        <f t="shared" si="222"/>
        <v>Haleigh Renae Ann</v>
      </c>
      <c r="E701" s="15" t="str">
        <f t="shared" si="223"/>
        <v>31 Johnston Road</v>
      </c>
      <c r="F701" s="15" t="str">
        <f t="shared" si="224"/>
        <v>Ashford</v>
      </c>
      <c r="G701" s="15" t="str">
        <f t="shared" si="225"/>
        <v>SA</v>
      </c>
      <c r="H701" s="15">
        <f t="shared" si="226"/>
        <v>5035</v>
      </c>
      <c r="I701" s="15">
        <f t="shared" si="237"/>
        <v>1877</v>
      </c>
      <c r="J701" s="15">
        <f>OrdersTable!B701</f>
        <v>849</v>
      </c>
      <c r="K701" s="15" t="str">
        <f t="shared" si="227"/>
        <v>Statues and Busts</v>
      </c>
      <c r="L701" s="15" t="str">
        <f t="shared" si="228"/>
        <v>Doctor Who: Statue: Cyber Controller</v>
      </c>
      <c r="M701" s="15" t="str">
        <f t="shared" si="229"/>
        <v>-</v>
      </c>
      <c r="N701" s="15">
        <f t="shared" si="230"/>
        <v>5</v>
      </c>
      <c r="O701" s="15" t="str">
        <f t="shared" si="231"/>
        <v>A10</v>
      </c>
      <c r="P701" s="15" t="str">
        <f t="shared" si="232"/>
        <v>Gallifrey International</v>
      </c>
      <c r="Q701" s="15" t="str">
        <f t="shared" si="233"/>
        <v>181 Arcadia Street</v>
      </c>
      <c r="R701" s="3">
        <f>OrdersTable!C701</f>
        <v>44612</v>
      </c>
      <c r="S701" s="15">
        <f>OrdersTable!E701</f>
        <v>10</v>
      </c>
      <c r="T701" s="15">
        <f t="shared" si="234"/>
        <v>99.99</v>
      </c>
      <c r="U701" s="15">
        <f t="shared" si="235"/>
        <v>136.41</v>
      </c>
      <c r="V701" s="15">
        <f t="shared" si="236"/>
        <v>161.97999999999999</v>
      </c>
      <c r="W701" s="15">
        <f>IF(MarkupType="Store Markup",ROUND(V701+V701*StoreMarkup,2),IF(MarkupType="Supplier Markup",V701+V701*SupplierMarkup,"Error at finding value"))</f>
        <v>255.12</v>
      </c>
      <c r="X701" s="32">
        <f t="shared" si="238"/>
        <v>18.18</v>
      </c>
      <c r="Y701" s="15">
        <f t="shared" si="239"/>
        <v>1619.8</v>
      </c>
      <c r="Z701" s="15">
        <f t="shared" si="240"/>
        <v>2369.4</v>
      </c>
      <c r="AA701" s="15">
        <f>IF(FreightType="Lethbridge-Stewart Freight ",ROUND(2.99+IF(N701&gt;0.75,(N701-0.75)*2.25,0)*S701,2),IF(MarkupType="Supplier Markup",V701+V701*SupplierMarkup,"Error at finding value"))</f>
        <v>98.62</v>
      </c>
      <c r="AB701" s="15">
        <f t="shared" si="241"/>
        <v>181.8</v>
      </c>
    </row>
    <row r="702" spans="1:28" x14ac:dyDescent="0.25">
      <c r="A702" s="16">
        <f>OrdersTable!A702</f>
        <v>546</v>
      </c>
      <c r="B702" s="15" t="str">
        <f t="shared" si="221"/>
        <v>Ms</v>
      </c>
      <c r="C702" s="15" t="str">
        <f t="shared" si="242"/>
        <v>Shortt</v>
      </c>
      <c r="D702" s="15" t="str">
        <f t="shared" si="222"/>
        <v>Rickylee Sidonia</v>
      </c>
      <c r="E702" s="15" t="str">
        <f t="shared" si="223"/>
        <v>4 Hughes Road</v>
      </c>
      <c r="F702" s="15" t="str">
        <f t="shared" si="224"/>
        <v>Glenfern</v>
      </c>
      <c r="G702" s="15" t="str">
        <f t="shared" si="225"/>
        <v>QLD</v>
      </c>
      <c r="H702" s="15">
        <f t="shared" si="226"/>
        <v>4515</v>
      </c>
      <c r="I702" s="15">
        <f t="shared" si="237"/>
        <v>128</v>
      </c>
      <c r="J702" s="15">
        <f>OrdersTable!B702</f>
        <v>330</v>
      </c>
      <c r="K702" s="15" t="str">
        <f t="shared" si="227"/>
        <v>Clothing and Apparel</v>
      </c>
      <c r="L702" s="15" t="str">
        <f t="shared" si="228"/>
        <v xml:space="preserve">Doctor Who: T-Shirts: 4th Doctor Costume </v>
      </c>
      <c r="M702" s="15" t="str">
        <f t="shared" si="229"/>
        <v>M</v>
      </c>
      <c r="N702" s="15">
        <f t="shared" si="230"/>
        <v>0.8</v>
      </c>
      <c r="O702" s="15" t="str">
        <f t="shared" si="231"/>
        <v>A20</v>
      </c>
      <c r="P702" s="15" t="str">
        <f t="shared" si="232"/>
        <v>Morbius Inc.</v>
      </c>
      <c r="Q702" s="15" t="str">
        <f t="shared" si="233"/>
        <v>56 Michael Spice Hwy</v>
      </c>
      <c r="R702" s="3">
        <f>OrdersTable!C702</f>
        <v>44612</v>
      </c>
      <c r="S702" s="15">
        <f>OrdersTable!E702</f>
        <v>1</v>
      </c>
      <c r="T702" s="15">
        <f t="shared" si="234"/>
        <v>15.99</v>
      </c>
      <c r="U702" s="15">
        <f t="shared" si="235"/>
        <v>22.03</v>
      </c>
      <c r="V702" s="15">
        <f t="shared" si="236"/>
        <v>25.9</v>
      </c>
      <c r="W702" s="15">
        <f>IF(MarkupType="Store Markup",ROUND(V702+V702*StoreMarkup,2),IF(MarkupType="Supplier Markup",V702+V702*SupplierMarkup,"Error at finding value"))</f>
        <v>40.79</v>
      </c>
      <c r="X702" s="32" t="str">
        <f t="shared" si="238"/>
        <v>0.00</v>
      </c>
      <c r="Y702" s="15">
        <f t="shared" si="239"/>
        <v>25.9</v>
      </c>
      <c r="Z702" s="15">
        <f t="shared" si="240"/>
        <v>40.79</v>
      </c>
      <c r="AA702" s="15">
        <f>IF(FreightType="Lethbridge-Stewart Freight ",ROUND(2.99+IF(N702&gt;0.75,(N702-0.75)*2.25,0)*S702,2),IF(MarkupType="Supplier Markup",V702+V702*SupplierMarkup,"Error at finding value"))</f>
        <v>3.1</v>
      </c>
      <c r="AB702" s="15">
        <f t="shared" si="241"/>
        <v>0</v>
      </c>
    </row>
    <row r="703" spans="1:28" x14ac:dyDescent="0.25">
      <c r="A703" s="16">
        <f>OrdersTable!A703</f>
        <v>567</v>
      </c>
      <c r="B703" s="15" t="str">
        <f t="shared" si="221"/>
        <v>Ms</v>
      </c>
      <c r="C703" s="15" t="str">
        <f t="shared" si="242"/>
        <v>Perkins</v>
      </c>
      <c r="D703" s="15" t="str">
        <f t="shared" si="222"/>
        <v>Sarah</v>
      </c>
      <c r="E703" s="15" t="str">
        <f t="shared" si="223"/>
        <v>7 Tengdahl Road</v>
      </c>
      <c r="F703" s="15" t="str">
        <f t="shared" si="224"/>
        <v>Areegra</v>
      </c>
      <c r="G703" s="15" t="str">
        <f t="shared" si="225"/>
        <v>VIC</v>
      </c>
      <c r="H703" s="15">
        <f t="shared" si="226"/>
        <v>3480</v>
      </c>
      <c r="I703" s="15">
        <f t="shared" si="237"/>
        <v>1559</v>
      </c>
      <c r="J703" s="15">
        <f>OrdersTable!B703</f>
        <v>213</v>
      </c>
      <c r="K703" s="15" t="str">
        <f t="shared" si="227"/>
        <v>Clothing and Apparel</v>
      </c>
      <c r="L703" s="15" t="str">
        <f t="shared" si="228"/>
        <v>Doctor Who: Fez and Bow Tie</v>
      </c>
      <c r="M703" s="15" t="str">
        <f t="shared" si="229"/>
        <v>-</v>
      </c>
      <c r="N703" s="15">
        <f t="shared" si="230"/>
        <v>0.97499999999999998</v>
      </c>
      <c r="O703" s="15" t="str">
        <f t="shared" si="231"/>
        <v>A50</v>
      </c>
      <c r="P703" s="15" t="str">
        <f t="shared" si="232"/>
        <v>Rassilon Ltd.</v>
      </c>
      <c r="Q703" s="15" t="str">
        <f t="shared" si="233"/>
        <v>82 Richard Mathews Road</v>
      </c>
      <c r="R703" s="3">
        <f>OrdersTable!C703</f>
        <v>44612</v>
      </c>
      <c r="S703" s="15">
        <f>OrdersTable!E703</f>
        <v>8</v>
      </c>
      <c r="T703" s="15">
        <f t="shared" si="234"/>
        <v>19.5</v>
      </c>
      <c r="U703" s="15">
        <f t="shared" si="235"/>
        <v>26.88</v>
      </c>
      <c r="V703" s="15">
        <f t="shared" si="236"/>
        <v>31.59</v>
      </c>
      <c r="W703" s="15">
        <f>IF(MarkupType="Store Markup",ROUND(V703+V703*StoreMarkup,2),IF(MarkupType="Supplier Markup",V703+V703*SupplierMarkup,"Error at finding value"))</f>
        <v>49.75</v>
      </c>
      <c r="X703" s="32" t="str">
        <f t="shared" si="238"/>
        <v>0.00</v>
      </c>
      <c r="Y703" s="15">
        <f t="shared" si="239"/>
        <v>252.72</v>
      </c>
      <c r="Z703" s="15">
        <f t="shared" si="240"/>
        <v>398</v>
      </c>
      <c r="AA703" s="15">
        <f>IF(FreightType="Lethbridge-Stewart Freight ",ROUND(2.99+IF(N703&gt;0.75,(N703-0.75)*2.25,0)*S703,2),IF(MarkupType="Supplier Markup",V703+V703*SupplierMarkup,"Error at finding value"))</f>
        <v>7.04</v>
      </c>
      <c r="AB703" s="15">
        <f t="shared" si="241"/>
        <v>0</v>
      </c>
    </row>
    <row r="704" spans="1:28" x14ac:dyDescent="0.25">
      <c r="A704" s="16">
        <f>OrdersTable!A704</f>
        <v>651</v>
      </c>
      <c r="B704" s="15" t="str">
        <f t="shared" si="221"/>
        <v>Mr</v>
      </c>
      <c r="C704" s="15" t="str">
        <f t="shared" si="242"/>
        <v>Wilkes</v>
      </c>
      <c r="D704" s="15" t="str">
        <f t="shared" si="222"/>
        <v>Harley</v>
      </c>
      <c r="E704" s="15" t="str">
        <f t="shared" si="223"/>
        <v>12 Locke Circuit</v>
      </c>
      <c r="F704" s="15" t="str">
        <f t="shared" si="224"/>
        <v>Bray Park</v>
      </c>
      <c r="G704" s="15" t="str">
        <f t="shared" si="225"/>
        <v>QLD</v>
      </c>
      <c r="H704" s="15">
        <f t="shared" si="226"/>
        <v>4500</v>
      </c>
      <c r="I704" s="15">
        <f t="shared" si="237"/>
        <v>139</v>
      </c>
      <c r="J704" s="15">
        <f>OrdersTable!B704</f>
        <v>862</v>
      </c>
      <c r="K704" s="15" t="str">
        <f t="shared" si="227"/>
        <v>Statues and Busts</v>
      </c>
      <c r="L704" s="15" t="str">
        <f t="shared" si="228"/>
        <v>Doctor Who: TITANS: The 10th Doctor</v>
      </c>
      <c r="M704" s="15" t="str">
        <f t="shared" si="229"/>
        <v>-</v>
      </c>
      <c r="N704" s="15">
        <f t="shared" si="230"/>
        <v>0.4</v>
      </c>
      <c r="O704" s="15" t="str">
        <f t="shared" si="231"/>
        <v>A40</v>
      </c>
      <c r="P704" s="15" t="str">
        <f t="shared" si="232"/>
        <v>Romana Imports</v>
      </c>
      <c r="Q704" s="15" t="str">
        <f t="shared" si="233"/>
        <v>17 Lalla Ward Road</v>
      </c>
      <c r="R704" s="3">
        <f>OrdersTable!C704</f>
        <v>44612</v>
      </c>
      <c r="S704" s="15">
        <f>OrdersTable!E704</f>
        <v>9</v>
      </c>
      <c r="T704" s="15">
        <f t="shared" si="234"/>
        <v>7.99</v>
      </c>
      <c r="U704" s="15">
        <f t="shared" si="235"/>
        <v>11.01</v>
      </c>
      <c r="V704" s="15">
        <f t="shared" si="236"/>
        <v>12.94</v>
      </c>
      <c r="W704" s="15">
        <f>IF(MarkupType="Store Markup",ROUND(V704+V704*StoreMarkup,2),IF(MarkupType="Supplier Markup",V704+V704*SupplierMarkup,"Error at finding value"))</f>
        <v>20.38</v>
      </c>
      <c r="X704" s="32" t="str">
        <f t="shared" si="238"/>
        <v>0.00</v>
      </c>
      <c r="Y704" s="15">
        <f t="shared" si="239"/>
        <v>116.46</v>
      </c>
      <c r="Z704" s="15">
        <f t="shared" si="240"/>
        <v>183.42</v>
      </c>
      <c r="AA704" s="15">
        <f>IF(FreightType="Lethbridge-Stewart Freight ",ROUND(2.99+IF(N704&gt;0.75,(N704-0.75)*2.25,0)*S704,2),IF(MarkupType="Supplier Markup",V704+V704*SupplierMarkup,"Error at finding value"))</f>
        <v>2.99</v>
      </c>
      <c r="AB704" s="15">
        <f t="shared" si="241"/>
        <v>0</v>
      </c>
    </row>
    <row r="705" spans="1:28" x14ac:dyDescent="0.25">
      <c r="A705" s="16">
        <f>OrdersTable!A705</f>
        <v>747</v>
      </c>
      <c r="B705" s="15" t="str">
        <f t="shared" si="221"/>
        <v>Miss</v>
      </c>
      <c r="C705" s="15" t="str">
        <f t="shared" si="242"/>
        <v>Coom</v>
      </c>
      <c r="D705" s="15" t="str">
        <f t="shared" si="222"/>
        <v>Mackenzie Megan</v>
      </c>
      <c r="E705" s="15" t="str">
        <f t="shared" si="223"/>
        <v>2 Tsalikis Road</v>
      </c>
      <c r="F705" s="15" t="str">
        <f t="shared" si="224"/>
        <v>Aberfoyle</v>
      </c>
      <c r="G705" s="15" t="str">
        <f t="shared" si="225"/>
        <v>NSW</v>
      </c>
      <c r="H705" s="15">
        <f t="shared" si="226"/>
        <v>2350</v>
      </c>
      <c r="I705" s="15">
        <f t="shared" si="237"/>
        <v>363</v>
      </c>
      <c r="J705" s="15">
        <f>OrdersTable!B705</f>
        <v>704</v>
      </c>
      <c r="K705" s="15" t="str">
        <f t="shared" si="227"/>
        <v>Posters, Prints and Standees</v>
      </c>
      <c r="L705" s="15" t="str">
        <f t="shared" si="228"/>
        <v>Doctor Who: Poster: Doctor's Enemies</v>
      </c>
      <c r="M705" s="15" t="str">
        <f t="shared" si="229"/>
        <v>-</v>
      </c>
      <c r="N705" s="15">
        <f t="shared" si="230"/>
        <v>0.2</v>
      </c>
      <c r="O705" s="15" t="str">
        <f t="shared" si="231"/>
        <v>A30</v>
      </c>
      <c r="P705" s="15" t="str">
        <f t="shared" si="232"/>
        <v>Chesterton Enterprises</v>
      </c>
      <c r="Q705" s="15" t="str">
        <f t="shared" si="233"/>
        <v>41 William Russell Road</v>
      </c>
      <c r="R705" s="3">
        <f>OrdersTable!C705</f>
        <v>44612</v>
      </c>
      <c r="S705" s="15">
        <f>OrdersTable!E705</f>
        <v>4</v>
      </c>
      <c r="T705" s="15">
        <f t="shared" si="234"/>
        <v>3.99</v>
      </c>
      <c r="U705" s="15">
        <f t="shared" si="235"/>
        <v>5.52</v>
      </c>
      <c r="V705" s="15">
        <f t="shared" si="236"/>
        <v>6.46</v>
      </c>
      <c r="W705" s="15">
        <f>IF(MarkupType="Store Markup",ROUND(V705+V705*StoreMarkup,2),IF(MarkupType="Supplier Markup",V705+V705*SupplierMarkup,"Error at finding value"))</f>
        <v>10.17</v>
      </c>
      <c r="X705" s="32" t="str">
        <f t="shared" si="238"/>
        <v>0.00</v>
      </c>
      <c r="Y705" s="15">
        <f t="shared" si="239"/>
        <v>25.84</v>
      </c>
      <c r="Z705" s="15">
        <f t="shared" si="240"/>
        <v>40.68</v>
      </c>
      <c r="AA705" s="15">
        <f>IF(FreightType="Lethbridge-Stewart Freight ",ROUND(2.99+IF(N705&gt;0.75,(N705-0.75)*2.25,0)*S705,2),IF(MarkupType="Supplier Markup",V705+V705*SupplierMarkup,"Error at finding value"))</f>
        <v>2.99</v>
      </c>
      <c r="AB705" s="15">
        <f t="shared" si="241"/>
        <v>0</v>
      </c>
    </row>
    <row r="706" spans="1:28" x14ac:dyDescent="0.25">
      <c r="A706" s="16">
        <f>OrdersTable!A706</f>
        <v>758</v>
      </c>
      <c r="B706" s="15" t="str">
        <f t="shared" si="221"/>
        <v>Mr</v>
      </c>
      <c r="C706" s="15" t="str">
        <f t="shared" si="242"/>
        <v>Whitehorn</v>
      </c>
      <c r="D706" s="15" t="str">
        <f t="shared" si="222"/>
        <v>James</v>
      </c>
      <c r="E706" s="15" t="str">
        <f t="shared" si="223"/>
        <v>32 Raubenheimer Circuit</v>
      </c>
      <c r="F706" s="15" t="str">
        <f t="shared" si="224"/>
        <v>Belconnen</v>
      </c>
      <c r="G706" s="15" t="str">
        <f t="shared" si="225"/>
        <v>ACT</v>
      </c>
      <c r="H706" s="15">
        <f t="shared" si="226"/>
        <v>2617</v>
      </c>
      <c r="I706" s="15">
        <f t="shared" si="237"/>
        <v>1194</v>
      </c>
      <c r="J706" s="15">
        <f>OrdersTable!B706</f>
        <v>747</v>
      </c>
      <c r="K706" s="15" t="str">
        <f t="shared" si="227"/>
        <v>Props and Replicas</v>
      </c>
      <c r="L706" s="15" t="str">
        <f t="shared" si="228"/>
        <v>Doctor Who: The Master's Fob Watch</v>
      </c>
      <c r="M706" s="15" t="str">
        <f t="shared" si="229"/>
        <v>-</v>
      </c>
      <c r="N706" s="15">
        <f t="shared" si="230"/>
        <v>2.25</v>
      </c>
      <c r="O706" s="15" t="str">
        <f t="shared" si="231"/>
        <v>A10</v>
      </c>
      <c r="P706" s="15" t="str">
        <f t="shared" si="232"/>
        <v>Gallifrey International</v>
      </c>
      <c r="Q706" s="15" t="str">
        <f t="shared" si="233"/>
        <v>181 Arcadia Street</v>
      </c>
      <c r="R706" s="3">
        <f>OrdersTable!C706</f>
        <v>44612</v>
      </c>
      <c r="S706" s="15">
        <f>OrdersTable!E706</f>
        <v>5</v>
      </c>
      <c r="T706" s="15">
        <f t="shared" si="234"/>
        <v>44.99</v>
      </c>
      <c r="U706" s="15">
        <f t="shared" si="235"/>
        <v>61.7</v>
      </c>
      <c r="V706" s="15">
        <f t="shared" si="236"/>
        <v>72.88</v>
      </c>
      <c r="W706" s="15">
        <f>IF(MarkupType="Store Markup",ROUND(V706+V706*StoreMarkup,2),IF(MarkupType="Supplier Markup",V706+V706*SupplierMarkup,"Error at finding value"))</f>
        <v>114.79</v>
      </c>
      <c r="X706" s="32">
        <f t="shared" si="238"/>
        <v>8.18</v>
      </c>
      <c r="Y706" s="15">
        <f t="shared" si="239"/>
        <v>364.4</v>
      </c>
      <c r="Z706" s="15">
        <f t="shared" si="240"/>
        <v>533.04999999999995</v>
      </c>
      <c r="AA706" s="15">
        <f>IF(FreightType="Lethbridge-Stewart Freight ",ROUND(2.99+IF(N706&gt;0.75,(N706-0.75)*2.25,0)*S706,2),IF(MarkupType="Supplier Markup",V706+V706*SupplierMarkup,"Error at finding value"))</f>
        <v>19.87</v>
      </c>
      <c r="AB706" s="15">
        <f t="shared" si="241"/>
        <v>40.9</v>
      </c>
    </row>
    <row r="707" spans="1:28" x14ac:dyDescent="0.25">
      <c r="A707" s="16">
        <f>OrdersTable!A707</f>
        <v>142</v>
      </c>
      <c r="B707" s="15" t="str">
        <f t="shared" si="221"/>
        <v>Miss</v>
      </c>
      <c r="C707" s="15" t="str">
        <f t="shared" si="242"/>
        <v>Western</v>
      </c>
      <c r="D707" s="15" t="str">
        <f t="shared" si="222"/>
        <v>Lee Reuben</v>
      </c>
      <c r="E707" s="15" t="str">
        <f t="shared" si="223"/>
        <v>14 Fields Road</v>
      </c>
      <c r="F707" s="15" t="str">
        <f t="shared" si="224"/>
        <v>Airly</v>
      </c>
      <c r="G707" s="15" t="str">
        <f t="shared" si="225"/>
        <v>VIC</v>
      </c>
      <c r="H707" s="15">
        <f t="shared" si="226"/>
        <v>3851</v>
      </c>
      <c r="I707" s="15">
        <f t="shared" si="237"/>
        <v>1583</v>
      </c>
      <c r="J707" s="15">
        <f>OrdersTable!B707</f>
        <v>530</v>
      </c>
      <c r="K707" s="15" t="str">
        <f t="shared" si="227"/>
        <v>Giftware</v>
      </c>
      <c r="L707" s="15" t="str">
        <f t="shared" si="228"/>
        <v>Doctor Who: Keyring TARDIS</v>
      </c>
      <c r="M707" s="15" t="str">
        <f t="shared" si="229"/>
        <v>-</v>
      </c>
      <c r="N707" s="15">
        <f t="shared" si="230"/>
        <v>0.25</v>
      </c>
      <c r="O707" s="15" t="str">
        <f t="shared" si="231"/>
        <v>A20</v>
      </c>
      <c r="P707" s="15" t="str">
        <f t="shared" si="232"/>
        <v>Morbius Inc.</v>
      </c>
      <c r="Q707" s="15" t="str">
        <f t="shared" si="233"/>
        <v>56 Michael Spice Hwy</v>
      </c>
      <c r="R707" s="3">
        <f>OrdersTable!C707</f>
        <v>44613</v>
      </c>
      <c r="S707" s="15">
        <f>OrdersTable!E707</f>
        <v>1</v>
      </c>
      <c r="T707" s="15">
        <f t="shared" si="234"/>
        <v>4.99</v>
      </c>
      <c r="U707" s="15">
        <f t="shared" si="235"/>
        <v>7.1</v>
      </c>
      <c r="V707" s="15">
        <f t="shared" si="236"/>
        <v>8.08</v>
      </c>
      <c r="W707" s="15">
        <f>IF(MarkupType="Store Markup",ROUND(V707+V707*StoreMarkup,2),IF(MarkupType="Supplier Markup",V707+V707*SupplierMarkup,"Error at finding value"))</f>
        <v>12.73</v>
      </c>
      <c r="X707" s="32" t="str">
        <f t="shared" si="238"/>
        <v>0.00</v>
      </c>
      <c r="Y707" s="15">
        <f t="shared" si="239"/>
        <v>8.08</v>
      </c>
      <c r="Z707" s="15">
        <f t="shared" si="240"/>
        <v>12.73</v>
      </c>
      <c r="AA707" s="15">
        <f>IF(FreightType="Lethbridge-Stewart Freight ",ROUND(2.99+IF(N707&gt;0.75,(N707-0.75)*2.25,0)*S707,2),IF(MarkupType="Supplier Markup",V707+V707*SupplierMarkup,"Error at finding value"))</f>
        <v>2.99</v>
      </c>
      <c r="AB707" s="15">
        <f t="shared" si="241"/>
        <v>0</v>
      </c>
    </row>
    <row r="708" spans="1:28" x14ac:dyDescent="0.25">
      <c r="A708" s="16">
        <f>OrdersTable!A708</f>
        <v>200</v>
      </c>
      <c r="B708" s="15" t="str">
        <f t="shared" ref="B708:B771" si="243">VLOOKUP($A708,Cust,2,0)</f>
        <v>Ms</v>
      </c>
      <c r="C708" s="15" t="str">
        <f t="shared" si="242"/>
        <v>Barton</v>
      </c>
      <c r="D708" s="15" t="str">
        <f t="shared" ref="D708:D771" si="244">VLOOKUP($A708,Cust,4,0)</f>
        <v>Kimberley</v>
      </c>
      <c r="E708" s="15" t="str">
        <f t="shared" ref="E708:E771" si="245">VLOOKUP($A708,Cust,6,0)</f>
        <v>9 Decuyper Road</v>
      </c>
      <c r="F708" s="15" t="str">
        <f t="shared" ref="F708:F771" si="246">VLOOKUP($A708,Cust,7,0)</f>
        <v>Ashford</v>
      </c>
      <c r="G708" s="15" t="str">
        <f t="shared" ref="G708:G771" si="247">VLOOKUP($A708,Cust,8,0)</f>
        <v>SA</v>
      </c>
      <c r="H708" s="15">
        <f t="shared" ref="H708:H771" si="248">VLOOKUP($A708,Cust,9,0)</f>
        <v>5035</v>
      </c>
      <c r="I708" s="15">
        <f t="shared" si="237"/>
        <v>1877</v>
      </c>
      <c r="J708" s="15">
        <f>OrdersTable!B708</f>
        <v>341</v>
      </c>
      <c r="K708" s="15" t="str">
        <f t="shared" ref="K708:K771" si="249">VLOOKUP($J708,Itms,2,0)</f>
        <v>Clothing and Apparel</v>
      </c>
      <c r="L708" s="15" t="str">
        <f t="shared" ref="L708:L771" si="250">VLOOKUP($J708,Itms,3,0)</f>
        <v xml:space="preserve">Doctor Who: T-Shirts: 4th Doctor Costume </v>
      </c>
      <c r="M708" s="15" t="str">
        <f t="shared" ref="M708:M771" si="251">VLOOKUP($J708,Itms,4,0)</f>
        <v>XL</v>
      </c>
      <c r="N708" s="15">
        <f t="shared" ref="N708:N771" si="252">VLOOKUP($J708,Itms,5,0)</f>
        <v>0.8</v>
      </c>
      <c r="O708" s="15" t="str">
        <f t="shared" ref="O708:O771" si="253">VLOOKUP($J708,Itms,6,0)</f>
        <v>A20</v>
      </c>
      <c r="P708" s="15" t="str">
        <f t="shared" ref="P708:P771" si="254">VLOOKUP($O708,Supp,2,0)</f>
        <v>Morbius Inc.</v>
      </c>
      <c r="Q708" s="15" t="str">
        <f t="shared" ref="Q708:Q771" si="255">VLOOKUP($O708,Supp,3,0)</f>
        <v>56 Michael Spice Hwy</v>
      </c>
      <c r="R708" s="3">
        <f>OrdersTable!C708</f>
        <v>44613</v>
      </c>
      <c r="S708" s="15">
        <f>OrdersTable!E708</f>
        <v>3</v>
      </c>
      <c r="T708" s="15">
        <f t="shared" ref="T708:T771" si="256">VLOOKUP($J708,Itms,9,0)</f>
        <v>15.99</v>
      </c>
      <c r="U708" s="15">
        <f t="shared" ref="U708:U771" si="257">VLOOKUP($J708,Itms,10,0)</f>
        <v>22.05</v>
      </c>
      <c r="V708" s="15">
        <f t="shared" ref="V708:V771" si="258">IF(ExchRateType="IR",ROUND(T708*ExchRateIR,2),IF(ExchRateType="CA",ROUND(U708*ExchRateCA,2),"Error at finding value"))</f>
        <v>25.9</v>
      </c>
      <c r="W708" s="15">
        <f>IF(MarkupType="Store Markup",ROUND(V708+V708*StoreMarkup,2),IF(MarkupType="Supplier Markup",V708+V708*SupplierMarkup,"Error at finding value"))</f>
        <v>40.79</v>
      </c>
      <c r="X708" s="32" t="str">
        <f t="shared" si="238"/>
        <v>0.00</v>
      </c>
      <c r="Y708" s="15">
        <f t="shared" si="239"/>
        <v>77.7</v>
      </c>
      <c r="Z708" s="15">
        <f t="shared" si="240"/>
        <v>122.37</v>
      </c>
      <c r="AA708" s="15">
        <f>IF(FreightType="Lethbridge-Stewart Freight ",ROUND(2.99+IF(N708&gt;0.75,(N708-0.75)*2.25,0)*S708,2),IF(MarkupType="Supplier Markup",V708+V708*SupplierMarkup,"Error at finding value"))</f>
        <v>3.33</v>
      </c>
      <c r="AB708" s="15">
        <f t="shared" si="241"/>
        <v>0</v>
      </c>
    </row>
    <row r="709" spans="1:28" x14ac:dyDescent="0.25">
      <c r="A709" s="16">
        <f>OrdersTable!A709</f>
        <v>329</v>
      </c>
      <c r="B709" s="15" t="str">
        <f t="shared" si="243"/>
        <v>Ms</v>
      </c>
      <c r="C709" s="15" t="str">
        <f t="shared" si="242"/>
        <v>Hubbard</v>
      </c>
      <c r="D709" s="15" t="str">
        <f t="shared" si="244"/>
        <v>Sonya Marie</v>
      </c>
      <c r="E709" s="15" t="str">
        <f t="shared" si="245"/>
        <v>42 Keable Crescent</v>
      </c>
      <c r="F709" s="15" t="str">
        <f t="shared" si="246"/>
        <v>Boston</v>
      </c>
      <c r="G709" s="15" t="str">
        <f t="shared" si="247"/>
        <v>SA</v>
      </c>
      <c r="H709" s="15">
        <f t="shared" si="248"/>
        <v>5607</v>
      </c>
      <c r="I709" s="15">
        <f t="shared" ref="I709:I772" si="259">VLOOKUP($A709,Cust,10,0)</f>
        <v>2076</v>
      </c>
      <c r="J709" s="15">
        <f>OrdersTable!B709</f>
        <v>840</v>
      </c>
      <c r="K709" s="15" t="str">
        <f t="shared" si="249"/>
        <v>Statues and Busts</v>
      </c>
      <c r="L709" s="15" t="str">
        <f t="shared" si="250"/>
        <v>Doctor Who: Signature Edition Statue: Gallifrey Edition: Patrick Troughton</v>
      </c>
      <c r="M709" s="15" t="str">
        <f t="shared" si="251"/>
        <v>-</v>
      </c>
      <c r="N709" s="15">
        <f t="shared" si="252"/>
        <v>2.5</v>
      </c>
      <c r="O709" s="15" t="str">
        <f t="shared" si="253"/>
        <v>A40</v>
      </c>
      <c r="P709" s="15" t="str">
        <f t="shared" si="254"/>
        <v>Romana Imports</v>
      </c>
      <c r="Q709" s="15" t="str">
        <f t="shared" si="255"/>
        <v>17 Lalla Ward Road</v>
      </c>
      <c r="R709" s="3">
        <f>OrdersTable!C709</f>
        <v>44613</v>
      </c>
      <c r="S709" s="15">
        <f>OrdersTable!E709</f>
        <v>6</v>
      </c>
      <c r="T709" s="15">
        <f t="shared" si="256"/>
        <v>49.99</v>
      </c>
      <c r="U709" s="15">
        <f t="shared" si="257"/>
        <v>68.510000000000005</v>
      </c>
      <c r="V709" s="15">
        <f t="shared" si="258"/>
        <v>80.98</v>
      </c>
      <c r="W709" s="15">
        <f>IF(MarkupType="Store Markup",ROUND(V709+V709*StoreMarkup,2),IF(MarkupType="Supplier Markup",V709+V709*SupplierMarkup,"Error at finding value"))</f>
        <v>127.54</v>
      </c>
      <c r="X709" s="32">
        <f t="shared" ref="X709:X772" si="260">IF(AND(W709&gt;100,S709&gt;=3),ROUND(0.07125*W709,2),"0.00")</f>
        <v>9.09</v>
      </c>
      <c r="Y709" s="15">
        <f t="shared" ref="Y709:Y772" si="261">ROUND(V709*S709,2)</f>
        <v>485.88</v>
      </c>
      <c r="Z709" s="15">
        <f t="shared" ref="Z709:Z772" si="262">ROUND((W709-X709)*S709,2)</f>
        <v>710.7</v>
      </c>
      <c r="AA709" s="15">
        <f>IF(FreightType="Lethbridge-Stewart Freight ",ROUND(2.99+IF(N709&gt;0.75,(N709-0.75)*2.25,0)*S709,2),IF(MarkupType="Supplier Markup",V709+V709*SupplierMarkup,"Error at finding value"))</f>
        <v>26.62</v>
      </c>
      <c r="AB709" s="15">
        <f t="shared" ref="AB709:AB772" si="263">ROUND(X709*S709,2)</f>
        <v>54.54</v>
      </c>
    </row>
    <row r="710" spans="1:28" x14ac:dyDescent="0.25">
      <c r="A710" s="16">
        <f>OrdersTable!A710</f>
        <v>331</v>
      </c>
      <c r="B710" s="15" t="str">
        <f t="shared" si="243"/>
        <v>Mrs</v>
      </c>
      <c r="C710" s="15" t="str">
        <f t="shared" si="242"/>
        <v>McKenzie</v>
      </c>
      <c r="D710" s="15" t="str">
        <f t="shared" si="244"/>
        <v>Melinda Kate</v>
      </c>
      <c r="E710" s="15" t="str">
        <f t="shared" si="245"/>
        <v>49 McKay Way</v>
      </c>
      <c r="F710" s="15" t="str">
        <f t="shared" si="246"/>
        <v>Black Hills</v>
      </c>
      <c r="G710" s="15" t="str">
        <f t="shared" si="247"/>
        <v>TAS</v>
      </c>
      <c r="H710" s="15">
        <f t="shared" si="248"/>
        <v>7140</v>
      </c>
      <c r="I710" s="15">
        <f t="shared" si="259"/>
        <v>2191</v>
      </c>
      <c r="J710" s="15">
        <f>OrdersTable!B710</f>
        <v>701</v>
      </c>
      <c r="K710" s="15" t="str">
        <f t="shared" si="249"/>
        <v>Posters, Prints and Standees</v>
      </c>
      <c r="L710" s="15" t="str">
        <f t="shared" si="250"/>
        <v>Doctor Who: Half Sized Standee: The TARDIS</v>
      </c>
      <c r="M710" s="15" t="str">
        <f t="shared" si="251"/>
        <v>-</v>
      </c>
      <c r="N710" s="15">
        <f t="shared" si="252"/>
        <v>0.5</v>
      </c>
      <c r="O710" s="15" t="str">
        <f t="shared" si="253"/>
        <v>A40</v>
      </c>
      <c r="P710" s="15" t="str">
        <f t="shared" si="254"/>
        <v>Romana Imports</v>
      </c>
      <c r="Q710" s="15" t="str">
        <f t="shared" si="255"/>
        <v>17 Lalla Ward Road</v>
      </c>
      <c r="R710" s="3">
        <f>OrdersTable!C710</f>
        <v>44613</v>
      </c>
      <c r="S710" s="15">
        <f>OrdersTable!E710</f>
        <v>7</v>
      </c>
      <c r="T710" s="15">
        <f t="shared" si="256"/>
        <v>9.99</v>
      </c>
      <c r="U710" s="15">
        <f t="shared" si="257"/>
        <v>13.83</v>
      </c>
      <c r="V710" s="15">
        <f t="shared" si="258"/>
        <v>16.18</v>
      </c>
      <c r="W710" s="15">
        <f>IF(MarkupType="Store Markup",ROUND(V710+V710*StoreMarkup,2),IF(MarkupType="Supplier Markup",V710+V710*SupplierMarkup,"Error at finding value"))</f>
        <v>25.48</v>
      </c>
      <c r="X710" s="32" t="str">
        <f t="shared" si="260"/>
        <v>0.00</v>
      </c>
      <c r="Y710" s="15">
        <f t="shared" si="261"/>
        <v>113.26</v>
      </c>
      <c r="Z710" s="15">
        <f t="shared" si="262"/>
        <v>178.36</v>
      </c>
      <c r="AA710" s="15">
        <f>IF(FreightType="Lethbridge-Stewart Freight ",ROUND(2.99+IF(N710&gt;0.75,(N710-0.75)*2.25,0)*S710,2),IF(MarkupType="Supplier Markup",V710+V710*SupplierMarkup,"Error at finding value"))</f>
        <v>2.99</v>
      </c>
      <c r="AB710" s="15">
        <f t="shared" si="263"/>
        <v>0</v>
      </c>
    </row>
    <row r="711" spans="1:28" x14ac:dyDescent="0.25">
      <c r="A711" s="16">
        <f>OrdersTable!A711</f>
        <v>333</v>
      </c>
      <c r="B711" s="15" t="str">
        <f t="shared" si="243"/>
        <v>Mr</v>
      </c>
      <c r="C711" s="15" t="str">
        <f t="shared" si="242"/>
        <v>Martin</v>
      </c>
      <c r="D711" s="15" t="str">
        <f t="shared" si="244"/>
        <v>Damien Roger</v>
      </c>
      <c r="E711" s="15" t="str">
        <f t="shared" si="245"/>
        <v>23 Quennell Way</v>
      </c>
      <c r="F711" s="15" t="str">
        <f t="shared" si="246"/>
        <v>Aberfoyle</v>
      </c>
      <c r="G711" s="15" t="str">
        <f t="shared" si="247"/>
        <v>NSW</v>
      </c>
      <c r="H711" s="15">
        <f t="shared" si="248"/>
        <v>2350</v>
      </c>
      <c r="I711" s="15">
        <f t="shared" si="259"/>
        <v>363</v>
      </c>
      <c r="J711" s="15">
        <f>OrdersTable!B711</f>
        <v>747</v>
      </c>
      <c r="K711" s="15" t="str">
        <f t="shared" si="249"/>
        <v>Props and Replicas</v>
      </c>
      <c r="L711" s="15" t="str">
        <f t="shared" si="250"/>
        <v>Doctor Who: The Master's Fob Watch</v>
      </c>
      <c r="M711" s="15" t="str">
        <f t="shared" si="251"/>
        <v>-</v>
      </c>
      <c r="N711" s="15">
        <f t="shared" si="252"/>
        <v>2.25</v>
      </c>
      <c r="O711" s="15" t="str">
        <f t="shared" si="253"/>
        <v>A10</v>
      </c>
      <c r="P711" s="15" t="str">
        <f t="shared" si="254"/>
        <v>Gallifrey International</v>
      </c>
      <c r="Q711" s="15" t="str">
        <f t="shared" si="255"/>
        <v>181 Arcadia Street</v>
      </c>
      <c r="R711" s="3">
        <f>OrdersTable!C711</f>
        <v>44613</v>
      </c>
      <c r="S711" s="15">
        <f>OrdersTable!E711</f>
        <v>1</v>
      </c>
      <c r="T711" s="15">
        <f t="shared" si="256"/>
        <v>44.99</v>
      </c>
      <c r="U711" s="15">
        <f t="shared" si="257"/>
        <v>61.7</v>
      </c>
      <c r="V711" s="15">
        <f t="shared" si="258"/>
        <v>72.88</v>
      </c>
      <c r="W711" s="15">
        <f>IF(MarkupType="Store Markup",ROUND(V711+V711*StoreMarkup,2),IF(MarkupType="Supplier Markup",V711+V711*SupplierMarkup,"Error at finding value"))</f>
        <v>114.79</v>
      </c>
      <c r="X711" s="32" t="str">
        <f t="shared" si="260"/>
        <v>0.00</v>
      </c>
      <c r="Y711" s="15">
        <f t="shared" si="261"/>
        <v>72.88</v>
      </c>
      <c r="Z711" s="15">
        <f t="shared" si="262"/>
        <v>114.79</v>
      </c>
      <c r="AA711" s="15">
        <f>IF(FreightType="Lethbridge-Stewart Freight ",ROUND(2.99+IF(N711&gt;0.75,(N711-0.75)*2.25,0)*S711,2),IF(MarkupType="Supplier Markup",V711+V711*SupplierMarkup,"Error at finding value"))</f>
        <v>6.37</v>
      </c>
      <c r="AB711" s="15">
        <f t="shared" si="263"/>
        <v>0</v>
      </c>
    </row>
    <row r="712" spans="1:28" x14ac:dyDescent="0.25">
      <c r="A712" s="16">
        <f>OrdersTable!A712</f>
        <v>412</v>
      </c>
      <c r="B712" s="15" t="str">
        <f t="shared" si="243"/>
        <v>Miss</v>
      </c>
      <c r="C712" s="15" t="str">
        <f t="shared" si="242"/>
        <v>Moraitis</v>
      </c>
      <c r="D712" s="15" t="str">
        <f t="shared" si="244"/>
        <v>Vikki Sue</v>
      </c>
      <c r="E712" s="15" t="str">
        <f t="shared" si="245"/>
        <v>11 Stuckings Boulevard</v>
      </c>
      <c r="F712" s="15" t="str">
        <f t="shared" si="246"/>
        <v>Airly</v>
      </c>
      <c r="G712" s="15" t="str">
        <f t="shared" si="247"/>
        <v>VIC</v>
      </c>
      <c r="H712" s="15">
        <f t="shared" si="248"/>
        <v>3851</v>
      </c>
      <c r="I712" s="15">
        <f t="shared" si="259"/>
        <v>1583</v>
      </c>
      <c r="J712" s="15">
        <f>OrdersTable!B712</f>
        <v>667</v>
      </c>
      <c r="K712" s="15" t="str">
        <f t="shared" si="249"/>
        <v>Mugs</v>
      </c>
      <c r="L712" s="15" t="str">
        <f t="shared" si="250"/>
        <v>Doctor Who: Mug: Keep Calm And Don't Blink</v>
      </c>
      <c r="M712" s="15" t="str">
        <f t="shared" si="251"/>
        <v>-</v>
      </c>
      <c r="N712" s="15">
        <f t="shared" si="252"/>
        <v>0.35</v>
      </c>
      <c r="O712" s="15" t="str">
        <f t="shared" si="253"/>
        <v>A10</v>
      </c>
      <c r="P712" s="15" t="str">
        <f t="shared" si="254"/>
        <v>Gallifrey International</v>
      </c>
      <c r="Q712" s="15" t="str">
        <f t="shared" si="255"/>
        <v>181 Arcadia Street</v>
      </c>
      <c r="R712" s="3">
        <f>OrdersTable!C712</f>
        <v>44613</v>
      </c>
      <c r="S712" s="15">
        <f>OrdersTable!E712</f>
        <v>4</v>
      </c>
      <c r="T712" s="15">
        <f t="shared" si="256"/>
        <v>6.99</v>
      </c>
      <c r="U712" s="15">
        <f t="shared" si="257"/>
        <v>9.84</v>
      </c>
      <c r="V712" s="15">
        <f t="shared" si="258"/>
        <v>11.32</v>
      </c>
      <c r="W712" s="15">
        <f>IF(MarkupType="Store Markup",ROUND(V712+V712*StoreMarkup,2),IF(MarkupType="Supplier Markup",V712+V712*SupplierMarkup,"Error at finding value"))</f>
        <v>17.829999999999998</v>
      </c>
      <c r="X712" s="32" t="str">
        <f t="shared" si="260"/>
        <v>0.00</v>
      </c>
      <c r="Y712" s="15">
        <f t="shared" si="261"/>
        <v>45.28</v>
      </c>
      <c r="Z712" s="15">
        <f t="shared" si="262"/>
        <v>71.319999999999993</v>
      </c>
      <c r="AA712" s="15">
        <f>IF(FreightType="Lethbridge-Stewart Freight ",ROUND(2.99+IF(N712&gt;0.75,(N712-0.75)*2.25,0)*S712,2),IF(MarkupType="Supplier Markup",V712+V712*SupplierMarkup,"Error at finding value"))</f>
        <v>2.99</v>
      </c>
      <c r="AB712" s="15">
        <f t="shared" si="263"/>
        <v>0</v>
      </c>
    </row>
    <row r="713" spans="1:28" x14ac:dyDescent="0.25">
      <c r="A713" s="16">
        <f>OrdersTable!A713</f>
        <v>500</v>
      </c>
      <c r="B713" s="15" t="str">
        <f t="shared" si="243"/>
        <v>Ms</v>
      </c>
      <c r="C713" s="15" t="str">
        <f t="shared" si="242"/>
        <v>Helmers</v>
      </c>
      <c r="D713" s="15" t="str">
        <f t="shared" si="244"/>
        <v>Kristy-Lee</v>
      </c>
      <c r="E713" s="15" t="str">
        <f t="shared" si="245"/>
        <v>43 Welthagen Court</v>
      </c>
      <c r="F713" s="15" t="str">
        <f t="shared" si="246"/>
        <v>Areegra</v>
      </c>
      <c r="G713" s="15" t="str">
        <f t="shared" si="247"/>
        <v>VIC</v>
      </c>
      <c r="H713" s="15">
        <f t="shared" si="248"/>
        <v>3480</v>
      </c>
      <c r="I713" s="15">
        <f t="shared" si="259"/>
        <v>1559</v>
      </c>
      <c r="J713" s="15">
        <f>OrdersTable!B713</f>
        <v>834</v>
      </c>
      <c r="K713" s="15" t="str">
        <f t="shared" si="249"/>
        <v>Statues and Busts</v>
      </c>
      <c r="L713" s="15" t="str">
        <f t="shared" si="250"/>
        <v>Doctor Who: Signature Edition Statue: Gallifrey Edition: Matt Smith</v>
      </c>
      <c r="M713" s="15" t="str">
        <f t="shared" si="251"/>
        <v>-</v>
      </c>
      <c r="N713" s="15">
        <f t="shared" si="252"/>
        <v>2.5</v>
      </c>
      <c r="O713" s="15" t="str">
        <f t="shared" si="253"/>
        <v>A30</v>
      </c>
      <c r="P713" s="15" t="str">
        <f t="shared" si="254"/>
        <v>Chesterton Enterprises</v>
      </c>
      <c r="Q713" s="15" t="str">
        <f t="shared" si="255"/>
        <v>41 William Russell Road</v>
      </c>
      <c r="R713" s="3">
        <f>OrdersTable!C713</f>
        <v>44613</v>
      </c>
      <c r="S713" s="15">
        <f>OrdersTable!E713</f>
        <v>7</v>
      </c>
      <c r="T713" s="15">
        <f t="shared" si="256"/>
        <v>49.99</v>
      </c>
      <c r="U713" s="15">
        <f t="shared" si="257"/>
        <v>68.52</v>
      </c>
      <c r="V713" s="15">
        <f t="shared" si="258"/>
        <v>80.98</v>
      </c>
      <c r="W713" s="15">
        <f>IF(MarkupType="Store Markup",ROUND(V713+V713*StoreMarkup,2),IF(MarkupType="Supplier Markup",V713+V713*SupplierMarkup,"Error at finding value"))</f>
        <v>127.54</v>
      </c>
      <c r="X713" s="32">
        <f t="shared" si="260"/>
        <v>9.09</v>
      </c>
      <c r="Y713" s="15">
        <f t="shared" si="261"/>
        <v>566.86</v>
      </c>
      <c r="Z713" s="15">
        <f t="shared" si="262"/>
        <v>829.15</v>
      </c>
      <c r="AA713" s="15">
        <f>IF(FreightType="Lethbridge-Stewart Freight ",ROUND(2.99+IF(N713&gt;0.75,(N713-0.75)*2.25,0)*S713,2),IF(MarkupType="Supplier Markup",V713+V713*SupplierMarkup,"Error at finding value"))</f>
        <v>30.55</v>
      </c>
      <c r="AB713" s="15">
        <f t="shared" si="263"/>
        <v>63.63</v>
      </c>
    </row>
    <row r="714" spans="1:28" x14ac:dyDescent="0.25">
      <c r="A714" s="16">
        <f>OrdersTable!A714</f>
        <v>527</v>
      </c>
      <c r="B714" s="15" t="str">
        <f t="shared" si="243"/>
        <v>Mr</v>
      </c>
      <c r="C714" s="15" t="str">
        <f t="shared" si="242"/>
        <v>McTaggart</v>
      </c>
      <c r="D714" s="15" t="str">
        <f t="shared" si="244"/>
        <v>Daniel</v>
      </c>
      <c r="E714" s="15" t="str">
        <f t="shared" si="245"/>
        <v>24 Mulholland Avenue</v>
      </c>
      <c r="F714" s="15" t="str">
        <f t="shared" si="246"/>
        <v>Belconnen</v>
      </c>
      <c r="G714" s="15" t="str">
        <f t="shared" si="247"/>
        <v>ACT</v>
      </c>
      <c r="H714" s="15">
        <f t="shared" si="248"/>
        <v>2617</v>
      </c>
      <c r="I714" s="15">
        <f t="shared" si="259"/>
        <v>1194</v>
      </c>
      <c r="J714" s="15">
        <f>OrdersTable!B714</f>
        <v>782</v>
      </c>
      <c r="K714" s="15" t="str">
        <f t="shared" si="249"/>
        <v>Statues and Busts</v>
      </c>
      <c r="L714" s="15" t="str">
        <f t="shared" si="250"/>
        <v>Doctor Who: Masterpiece Collection Maxi Bust: 10th Doctor</v>
      </c>
      <c r="M714" s="15" t="str">
        <f t="shared" si="251"/>
        <v>-</v>
      </c>
      <c r="N714" s="15">
        <f t="shared" si="252"/>
        <v>2.5</v>
      </c>
      <c r="O714" s="15" t="str">
        <f t="shared" si="253"/>
        <v>A30</v>
      </c>
      <c r="P714" s="15" t="str">
        <f t="shared" si="254"/>
        <v>Chesterton Enterprises</v>
      </c>
      <c r="Q714" s="15" t="str">
        <f t="shared" si="255"/>
        <v>41 William Russell Road</v>
      </c>
      <c r="R714" s="3">
        <f>OrdersTable!C714</f>
        <v>44613</v>
      </c>
      <c r="S714" s="15">
        <f>OrdersTable!E714</f>
        <v>9</v>
      </c>
      <c r="T714" s="15">
        <f t="shared" si="256"/>
        <v>49.99</v>
      </c>
      <c r="U714" s="15">
        <f t="shared" si="257"/>
        <v>68.5</v>
      </c>
      <c r="V714" s="15">
        <f t="shared" si="258"/>
        <v>80.98</v>
      </c>
      <c r="W714" s="15">
        <f>IF(MarkupType="Store Markup",ROUND(V714+V714*StoreMarkup,2),IF(MarkupType="Supplier Markup",V714+V714*SupplierMarkup,"Error at finding value"))</f>
        <v>127.54</v>
      </c>
      <c r="X714" s="32">
        <f t="shared" si="260"/>
        <v>9.09</v>
      </c>
      <c r="Y714" s="15">
        <f t="shared" si="261"/>
        <v>728.82</v>
      </c>
      <c r="Z714" s="15">
        <f t="shared" si="262"/>
        <v>1066.05</v>
      </c>
      <c r="AA714" s="15">
        <f>IF(FreightType="Lethbridge-Stewart Freight ",ROUND(2.99+IF(N714&gt;0.75,(N714-0.75)*2.25,0)*S714,2),IF(MarkupType="Supplier Markup",V714+V714*SupplierMarkup,"Error at finding value"))</f>
        <v>38.43</v>
      </c>
      <c r="AB714" s="15">
        <f t="shared" si="263"/>
        <v>81.81</v>
      </c>
    </row>
    <row r="715" spans="1:28" x14ac:dyDescent="0.25">
      <c r="A715" s="16">
        <f>OrdersTable!A715</f>
        <v>531</v>
      </c>
      <c r="B715" s="15" t="str">
        <f t="shared" si="243"/>
        <v>Ms</v>
      </c>
      <c r="C715" s="15" t="str">
        <f t="shared" ref="C715:C778" si="264">VLOOKUP($A715,Cust,3,0)</f>
        <v>Stanton</v>
      </c>
      <c r="D715" s="15" t="str">
        <f t="shared" si="244"/>
        <v>Sharaze</v>
      </c>
      <c r="E715" s="15" t="str">
        <f t="shared" si="245"/>
        <v>1 Siddons Crescent</v>
      </c>
      <c r="F715" s="15" t="str">
        <f t="shared" si="246"/>
        <v>Alfredtown</v>
      </c>
      <c r="G715" s="15" t="str">
        <f t="shared" si="247"/>
        <v>NSW</v>
      </c>
      <c r="H715" s="15">
        <f t="shared" si="248"/>
        <v>2650</v>
      </c>
      <c r="I715" s="15">
        <f t="shared" si="259"/>
        <v>1124</v>
      </c>
      <c r="J715" s="15">
        <f>OrdersTable!B715</f>
        <v>543</v>
      </c>
      <c r="K715" s="15" t="str">
        <f t="shared" si="249"/>
        <v>Giftware</v>
      </c>
      <c r="L715" s="15" t="str">
        <f t="shared" si="250"/>
        <v>Doctor Who: Sonic Screwdriver Pen</v>
      </c>
      <c r="M715" s="15" t="str">
        <f t="shared" si="251"/>
        <v>-</v>
      </c>
      <c r="N715" s="15">
        <f t="shared" si="252"/>
        <v>0.65</v>
      </c>
      <c r="O715" s="15" t="str">
        <f t="shared" si="253"/>
        <v>A20</v>
      </c>
      <c r="P715" s="15" t="str">
        <f t="shared" si="254"/>
        <v>Morbius Inc.</v>
      </c>
      <c r="Q715" s="15" t="str">
        <f t="shared" si="255"/>
        <v>56 Michael Spice Hwy</v>
      </c>
      <c r="R715" s="3">
        <f>OrdersTable!C715</f>
        <v>44613</v>
      </c>
      <c r="S715" s="15">
        <f>OrdersTable!E715</f>
        <v>10</v>
      </c>
      <c r="T715" s="15">
        <f t="shared" si="256"/>
        <v>12.99</v>
      </c>
      <c r="U715" s="15">
        <f t="shared" si="257"/>
        <v>18.02</v>
      </c>
      <c r="V715" s="15">
        <f t="shared" si="258"/>
        <v>21.04</v>
      </c>
      <c r="W715" s="15">
        <f>IF(MarkupType="Store Markup",ROUND(V715+V715*StoreMarkup,2),IF(MarkupType="Supplier Markup",V715+V715*SupplierMarkup,"Error at finding value"))</f>
        <v>33.14</v>
      </c>
      <c r="X715" s="32" t="str">
        <f t="shared" si="260"/>
        <v>0.00</v>
      </c>
      <c r="Y715" s="15">
        <f t="shared" si="261"/>
        <v>210.4</v>
      </c>
      <c r="Z715" s="15">
        <f t="shared" si="262"/>
        <v>331.4</v>
      </c>
      <c r="AA715" s="15">
        <f>IF(FreightType="Lethbridge-Stewart Freight ",ROUND(2.99+IF(N715&gt;0.75,(N715-0.75)*2.25,0)*S715,2),IF(MarkupType="Supplier Markup",V715+V715*SupplierMarkup,"Error at finding value"))</f>
        <v>2.99</v>
      </c>
      <c r="AB715" s="15">
        <f t="shared" si="263"/>
        <v>0</v>
      </c>
    </row>
    <row r="716" spans="1:28" x14ac:dyDescent="0.25">
      <c r="A716" s="16">
        <f>OrdersTable!A716</f>
        <v>573</v>
      </c>
      <c r="B716" s="15" t="str">
        <f t="shared" si="243"/>
        <v>Mrs</v>
      </c>
      <c r="C716" s="15" t="str">
        <f t="shared" si="264"/>
        <v>Hollonds</v>
      </c>
      <c r="D716" s="15" t="str">
        <f t="shared" si="244"/>
        <v>Suzan</v>
      </c>
      <c r="E716" s="15" t="str">
        <f t="shared" si="245"/>
        <v>49 Patel Way</v>
      </c>
      <c r="F716" s="15" t="str">
        <f t="shared" si="246"/>
        <v>Belconnen</v>
      </c>
      <c r="G716" s="15" t="str">
        <f t="shared" si="247"/>
        <v>ACT</v>
      </c>
      <c r="H716" s="15">
        <f t="shared" si="248"/>
        <v>2617</v>
      </c>
      <c r="I716" s="15">
        <f t="shared" si="259"/>
        <v>1194</v>
      </c>
      <c r="J716" s="15">
        <f>OrdersTable!B716</f>
        <v>701</v>
      </c>
      <c r="K716" s="15" t="str">
        <f t="shared" si="249"/>
        <v>Posters, Prints and Standees</v>
      </c>
      <c r="L716" s="15" t="str">
        <f t="shared" si="250"/>
        <v>Doctor Who: Half Sized Standee: The TARDIS</v>
      </c>
      <c r="M716" s="15" t="str">
        <f t="shared" si="251"/>
        <v>-</v>
      </c>
      <c r="N716" s="15">
        <f t="shared" si="252"/>
        <v>0.5</v>
      </c>
      <c r="O716" s="15" t="str">
        <f t="shared" si="253"/>
        <v>A40</v>
      </c>
      <c r="P716" s="15" t="str">
        <f t="shared" si="254"/>
        <v>Romana Imports</v>
      </c>
      <c r="Q716" s="15" t="str">
        <f t="shared" si="255"/>
        <v>17 Lalla Ward Road</v>
      </c>
      <c r="R716" s="3">
        <f>OrdersTable!C716</f>
        <v>44613</v>
      </c>
      <c r="S716" s="15">
        <f>OrdersTable!E716</f>
        <v>10</v>
      </c>
      <c r="T716" s="15">
        <f t="shared" si="256"/>
        <v>9.99</v>
      </c>
      <c r="U716" s="15">
        <f t="shared" si="257"/>
        <v>13.83</v>
      </c>
      <c r="V716" s="15">
        <f t="shared" si="258"/>
        <v>16.18</v>
      </c>
      <c r="W716" s="15">
        <f>IF(MarkupType="Store Markup",ROUND(V716+V716*StoreMarkup,2),IF(MarkupType="Supplier Markup",V716+V716*SupplierMarkup,"Error at finding value"))</f>
        <v>25.48</v>
      </c>
      <c r="X716" s="32" t="str">
        <f t="shared" si="260"/>
        <v>0.00</v>
      </c>
      <c r="Y716" s="15">
        <f t="shared" si="261"/>
        <v>161.80000000000001</v>
      </c>
      <c r="Z716" s="15">
        <f t="shared" si="262"/>
        <v>254.8</v>
      </c>
      <c r="AA716" s="15">
        <f>IF(FreightType="Lethbridge-Stewart Freight ",ROUND(2.99+IF(N716&gt;0.75,(N716-0.75)*2.25,0)*S716,2),IF(MarkupType="Supplier Markup",V716+V716*SupplierMarkup,"Error at finding value"))</f>
        <v>2.99</v>
      </c>
      <c r="AB716" s="15">
        <f t="shared" si="263"/>
        <v>0</v>
      </c>
    </row>
    <row r="717" spans="1:28" x14ac:dyDescent="0.25">
      <c r="A717" s="16">
        <f>OrdersTable!A717</f>
        <v>651</v>
      </c>
      <c r="B717" s="15" t="str">
        <f t="shared" si="243"/>
        <v>Mr</v>
      </c>
      <c r="C717" s="15" t="str">
        <f t="shared" si="264"/>
        <v>Wilkes</v>
      </c>
      <c r="D717" s="15" t="str">
        <f t="shared" si="244"/>
        <v>Harley</v>
      </c>
      <c r="E717" s="15" t="str">
        <f t="shared" si="245"/>
        <v>12 Locke Circuit</v>
      </c>
      <c r="F717" s="15" t="str">
        <f t="shared" si="246"/>
        <v>Bray Park</v>
      </c>
      <c r="G717" s="15" t="str">
        <f t="shared" si="247"/>
        <v>QLD</v>
      </c>
      <c r="H717" s="15">
        <f t="shared" si="248"/>
        <v>4500</v>
      </c>
      <c r="I717" s="15">
        <f t="shared" si="259"/>
        <v>139</v>
      </c>
      <c r="J717" s="15">
        <f>OrdersTable!B717</f>
        <v>128</v>
      </c>
      <c r="K717" s="15" t="str">
        <f t="shared" si="249"/>
        <v>Bobbleheads</v>
      </c>
      <c r="L717" s="15" t="str">
        <f t="shared" si="250"/>
        <v>Doctor Who: Bobblehead: Davros</v>
      </c>
      <c r="M717" s="15" t="str">
        <f t="shared" si="251"/>
        <v>-</v>
      </c>
      <c r="N717" s="15">
        <f t="shared" si="252"/>
        <v>0.85</v>
      </c>
      <c r="O717" s="15" t="str">
        <f t="shared" si="253"/>
        <v>A50</v>
      </c>
      <c r="P717" s="15" t="str">
        <f t="shared" si="254"/>
        <v>Rassilon Ltd.</v>
      </c>
      <c r="Q717" s="15" t="str">
        <f t="shared" si="255"/>
        <v>82 Richard Mathews Road</v>
      </c>
      <c r="R717" s="3">
        <f>OrdersTable!C717</f>
        <v>44613</v>
      </c>
      <c r="S717" s="15">
        <f>OrdersTable!E717</f>
        <v>7</v>
      </c>
      <c r="T717" s="15">
        <f t="shared" si="256"/>
        <v>16.989999999999998</v>
      </c>
      <c r="U717" s="15">
        <f t="shared" si="257"/>
        <v>23.27</v>
      </c>
      <c r="V717" s="15">
        <f t="shared" si="258"/>
        <v>27.52</v>
      </c>
      <c r="W717" s="15">
        <f>IF(MarkupType="Store Markup",ROUND(V717+V717*StoreMarkup,2),IF(MarkupType="Supplier Markup",V717+V717*SupplierMarkup,"Error at finding value"))</f>
        <v>43.34</v>
      </c>
      <c r="X717" s="32" t="str">
        <f t="shared" si="260"/>
        <v>0.00</v>
      </c>
      <c r="Y717" s="15">
        <f t="shared" si="261"/>
        <v>192.64</v>
      </c>
      <c r="Z717" s="15">
        <f t="shared" si="262"/>
        <v>303.38</v>
      </c>
      <c r="AA717" s="15">
        <f>IF(FreightType="Lethbridge-Stewart Freight ",ROUND(2.99+IF(N717&gt;0.75,(N717-0.75)*2.25,0)*S717,2),IF(MarkupType="Supplier Markup",V717+V717*SupplierMarkup,"Error at finding value"))</f>
        <v>4.57</v>
      </c>
      <c r="AB717" s="15">
        <f t="shared" si="263"/>
        <v>0</v>
      </c>
    </row>
    <row r="718" spans="1:28" x14ac:dyDescent="0.25">
      <c r="A718" s="16">
        <f>OrdersTable!A718</f>
        <v>651</v>
      </c>
      <c r="B718" s="15" t="str">
        <f t="shared" si="243"/>
        <v>Mr</v>
      </c>
      <c r="C718" s="15" t="str">
        <f t="shared" si="264"/>
        <v>Wilkes</v>
      </c>
      <c r="D718" s="15" t="str">
        <f t="shared" si="244"/>
        <v>Harley</v>
      </c>
      <c r="E718" s="15" t="str">
        <f t="shared" si="245"/>
        <v>12 Locke Circuit</v>
      </c>
      <c r="F718" s="15" t="str">
        <f t="shared" si="246"/>
        <v>Bray Park</v>
      </c>
      <c r="G718" s="15" t="str">
        <f t="shared" si="247"/>
        <v>QLD</v>
      </c>
      <c r="H718" s="15">
        <f t="shared" si="248"/>
        <v>4500</v>
      </c>
      <c r="I718" s="15">
        <f t="shared" si="259"/>
        <v>139</v>
      </c>
      <c r="J718" s="15">
        <f>OrdersTable!B718</f>
        <v>177</v>
      </c>
      <c r="K718" s="15" t="str">
        <f t="shared" si="249"/>
        <v>Bobbleheads</v>
      </c>
      <c r="L718" s="15" t="str">
        <f t="shared" si="250"/>
        <v>Doctor Who: Bobblehead: TARDIS (With Sound)</v>
      </c>
      <c r="M718" s="15" t="str">
        <f t="shared" si="251"/>
        <v>-</v>
      </c>
      <c r="N718" s="15">
        <f t="shared" si="252"/>
        <v>1</v>
      </c>
      <c r="O718" s="15" t="str">
        <f t="shared" si="253"/>
        <v>A30</v>
      </c>
      <c r="P718" s="15" t="str">
        <f t="shared" si="254"/>
        <v>Chesterton Enterprises</v>
      </c>
      <c r="Q718" s="15" t="str">
        <f t="shared" si="255"/>
        <v>41 William Russell Road</v>
      </c>
      <c r="R718" s="3">
        <f>OrdersTable!C718</f>
        <v>44613</v>
      </c>
      <c r="S718" s="15">
        <f>OrdersTable!E718</f>
        <v>4</v>
      </c>
      <c r="T718" s="15">
        <f t="shared" si="256"/>
        <v>19.989999999999998</v>
      </c>
      <c r="U718" s="15">
        <f t="shared" si="257"/>
        <v>27.6</v>
      </c>
      <c r="V718" s="15">
        <f t="shared" si="258"/>
        <v>32.380000000000003</v>
      </c>
      <c r="W718" s="15">
        <f>IF(MarkupType="Store Markup",ROUND(V718+V718*StoreMarkup,2),IF(MarkupType="Supplier Markup",V718+V718*SupplierMarkup,"Error at finding value"))</f>
        <v>51</v>
      </c>
      <c r="X718" s="32" t="str">
        <f t="shared" si="260"/>
        <v>0.00</v>
      </c>
      <c r="Y718" s="15">
        <f t="shared" si="261"/>
        <v>129.52000000000001</v>
      </c>
      <c r="Z718" s="15">
        <f t="shared" si="262"/>
        <v>204</v>
      </c>
      <c r="AA718" s="15">
        <f>IF(FreightType="Lethbridge-Stewart Freight ",ROUND(2.99+IF(N718&gt;0.75,(N718-0.75)*2.25,0)*S718,2),IF(MarkupType="Supplier Markup",V718+V718*SupplierMarkup,"Error at finding value"))</f>
        <v>5.24</v>
      </c>
      <c r="AB718" s="15">
        <f t="shared" si="263"/>
        <v>0</v>
      </c>
    </row>
    <row r="719" spans="1:28" x14ac:dyDescent="0.25">
      <c r="A719" s="16">
        <f>OrdersTable!A719</f>
        <v>657</v>
      </c>
      <c r="B719" s="15" t="str">
        <f t="shared" si="243"/>
        <v>Mr</v>
      </c>
      <c r="C719" s="15" t="str">
        <f t="shared" si="264"/>
        <v>Poljak</v>
      </c>
      <c r="D719" s="15" t="str">
        <f t="shared" si="244"/>
        <v>Anthony</v>
      </c>
      <c r="E719" s="15" t="str">
        <f t="shared" si="245"/>
        <v>45 Robertson Boulevard</v>
      </c>
      <c r="F719" s="15" t="str">
        <f t="shared" si="246"/>
        <v>Iluka</v>
      </c>
      <c r="G719" s="15" t="str">
        <f t="shared" si="247"/>
        <v>NSW</v>
      </c>
      <c r="H719" s="15">
        <f t="shared" si="248"/>
        <v>2466</v>
      </c>
      <c r="I719" s="15">
        <f t="shared" si="259"/>
        <v>347</v>
      </c>
      <c r="J719" s="15">
        <f>OrdersTable!B719</f>
        <v>453</v>
      </c>
      <c r="K719" s="15" t="str">
        <f t="shared" si="249"/>
        <v>Giftware</v>
      </c>
      <c r="L719" s="15" t="str">
        <f t="shared" si="250"/>
        <v>Doctor Who: Ceramic Cookie Jar: TARDIS</v>
      </c>
      <c r="M719" s="15" t="str">
        <f t="shared" si="251"/>
        <v>-</v>
      </c>
      <c r="N719" s="15">
        <f t="shared" si="252"/>
        <v>1.35</v>
      </c>
      <c r="O719" s="15" t="str">
        <f t="shared" si="253"/>
        <v>A40</v>
      </c>
      <c r="P719" s="15" t="str">
        <f t="shared" si="254"/>
        <v>Romana Imports</v>
      </c>
      <c r="Q719" s="15" t="str">
        <f t="shared" si="255"/>
        <v>17 Lalla Ward Road</v>
      </c>
      <c r="R719" s="3">
        <f>OrdersTable!C719</f>
        <v>44613</v>
      </c>
      <c r="S719" s="15">
        <f>OrdersTable!E719</f>
        <v>2</v>
      </c>
      <c r="T719" s="15">
        <f t="shared" si="256"/>
        <v>26.99</v>
      </c>
      <c r="U719" s="15">
        <f t="shared" si="257"/>
        <v>37.119999999999997</v>
      </c>
      <c r="V719" s="15">
        <f t="shared" si="258"/>
        <v>43.72</v>
      </c>
      <c r="W719" s="15">
        <f>IF(MarkupType="Store Markup",ROUND(V719+V719*StoreMarkup,2),IF(MarkupType="Supplier Markup",V719+V719*SupplierMarkup,"Error at finding value"))</f>
        <v>68.86</v>
      </c>
      <c r="X719" s="32" t="str">
        <f t="shared" si="260"/>
        <v>0.00</v>
      </c>
      <c r="Y719" s="15">
        <f t="shared" si="261"/>
        <v>87.44</v>
      </c>
      <c r="Z719" s="15">
        <f t="shared" si="262"/>
        <v>137.72</v>
      </c>
      <c r="AA719" s="15">
        <f>IF(FreightType="Lethbridge-Stewart Freight ",ROUND(2.99+IF(N719&gt;0.75,(N719-0.75)*2.25,0)*S719,2),IF(MarkupType="Supplier Markup",V719+V719*SupplierMarkup,"Error at finding value"))</f>
        <v>5.69</v>
      </c>
      <c r="AB719" s="15">
        <f t="shared" si="263"/>
        <v>0</v>
      </c>
    </row>
    <row r="720" spans="1:28" x14ac:dyDescent="0.25">
      <c r="A720" s="16">
        <f>OrdersTable!A720</f>
        <v>747</v>
      </c>
      <c r="B720" s="15" t="str">
        <f t="shared" si="243"/>
        <v>Miss</v>
      </c>
      <c r="C720" s="15" t="str">
        <f t="shared" si="264"/>
        <v>Coom</v>
      </c>
      <c r="D720" s="15" t="str">
        <f t="shared" si="244"/>
        <v>Mackenzie Megan</v>
      </c>
      <c r="E720" s="15" t="str">
        <f t="shared" si="245"/>
        <v>2 Tsalikis Road</v>
      </c>
      <c r="F720" s="15" t="str">
        <f t="shared" si="246"/>
        <v>Aberfoyle</v>
      </c>
      <c r="G720" s="15" t="str">
        <f t="shared" si="247"/>
        <v>NSW</v>
      </c>
      <c r="H720" s="15">
        <f t="shared" si="248"/>
        <v>2350</v>
      </c>
      <c r="I720" s="15">
        <f t="shared" si="259"/>
        <v>363</v>
      </c>
      <c r="J720" s="15">
        <f>OrdersTable!B720</f>
        <v>259</v>
      </c>
      <c r="K720" s="15" t="str">
        <f t="shared" si="249"/>
        <v>Clothing and Apparel</v>
      </c>
      <c r="L720" s="15" t="str">
        <f t="shared" si="250"/>
        <v>Doctor Who: Men's Winter Pyjamas</v>
      </c>
      <c r="M720" s="15" t="str">
        <f t="shared" si="251"/>
        <v>XL</v>
      </c>
      <c r="N720" s="15">
        <f t="shared" si="252"/>
        <v>1.5</v>
      </c>
      <c r="O720" s="15" t="str">
        <f t="shared" si="253"/>
        <v>A50</v>
      </c>
      <c r="P720" s="15" t="str">
        <f t="shared" si="254"/>
        <v>Rassilon Ltd.</v>
      </c>
      <c r="Q720" s="15" t="str">
        <f t="shared" si="255"/>
        <v>82 Richard Mathews Road</v>
      </c>
      <c r="R720" s="3">
        <f>OrdersTable!C720</f>
        <v>44613</v>
      </c>
      <c r="S720" s="15">
        <f>OrdersTable!E720</f>
        <v>8</v>
      </c>
      <c r="T720" s="15">
        <f t="shared" si="256"/>
        <v>29.99</v>
      </c>
      <c r="U720" s="15">
        <f t="shared" si="257"/>
        <v>41.15</v>
      </c>
      <c r="V720" s="15">
        <f t="shared" si="258"/>
        <v>48.58</v>
      </c>
      <c r="W720" s="15">
        <f>IF(MarkupType="Store Markup",ROUND(V720+V720*StoreMarkup,2),IF(MarkupType="Supplier Markup",V720+V720*SupplierMarkup,"Error at finding value"))</f>
        <v>76.510000000000005</v>
      </c>
      <c r="X720" s="32" t="str">
        <f t="shared" si="260"/>
        <v>0.00</v>
      </c>
      <c r="Y720" s="15">
        <f t="shared" si="261"/>
        <v>388.64</v>
      </c>
      <c r="Z720" s="15">
        <f t="shared" si="262"/>
        <v>612.08000000000004</v>
      </c>
      <c r="AA720" s="15">
        <f>IF(FreightType="Lethbridge-Stewart Freight ",ROUND(2.99+IF(N720&gt;0.75,(N720-0.75)*2.25,0)*S720,2),IF(MarkupType="Supplier Markup",V720+V720*SupplierMarkup,"Error at finding value"))</f>
        <v>16.489999999999998</v>
      </c>
      <c r="AB720" s="15">
        <f t="shared" si="263"/>
        <v>0</v>
      </c>
    </row>
    <row r="721" spans="1:28" x14ac:dyDescent="0.25">
      <c r="A721" s="16">
        <f>OrdersTable!A721</f>
        <v>761</v>
      </c>
      <c r="B721" s="15" t="str">
        <f t="shared" si="243"/>
        <v>Miss</v>
      </c>
      <c r="C721" s="15" t="str">
        <f t="shared" si="264"/>
        <v>Randall</v>
      </c>
      <c r="D721" s="15" t="str">
        <f t="shared" si="244"/>
        <v>Kylee</v>
      </c>
      <c r="E721" s="15" t="str">
        <f t="shared" si="245"/>
        <v>45 Cremasco Avenue</v>
      </c>
      <c r="F721" s="15" t="str">
        <f t="shared" si="246"/>
        <v>Breakwater</v>
      </c>
      <c r="G721" s="15" t="str">
        <f t="shared" si="247"/>
        <v>VIC</v>
      </c>
      <c r="H721" s="15">
        <f t="shared" si="248"/>
        <v>3219</v>
      </c>
      <c r="I721" s="15">
        <f t="shared" si="259"/>
        <v>1596</v>
      </c>
      <c r="J721" s="15">
        <f>OrdersTable!B721</f>
        <v>418</v>
      </c>
      <c r="K721" s="15" t="str">
        <f t="shared" si="249"/>
        <v>Clothing and Apparel</v>
      </c>
      <c r="L721" s="15" t="str">
        <f t="shared" si="250"/>
        <v>Doctor Who: Women's Winter Pyjamas</v>
      </c>
      <c r="M721" s="15" t="str">
        <f t="shared" si="251"/>
        <v>M</v>
      </c>
      <c r="N721" s="15">
        <f t="shared" si="252"/>
        <v>1.5</v>
      </c>
      <c r="O721" s="15" t="str">
        <f t="shared" si="253"/>
        <v>A30</v>
      </c>
      <c r="P721" s="15" t="str">
        <f t="shared" si="254"/>
        <v>Chesterton Enterprises</v>
      </c>
      <c r="Q721" s="15" t="str">
        <f t="shared" si="255"/>
        <v>41 William Russell Road</v>
      </c>
      <c r="R721" s="3">
        <f>OrdersTable!C721</f>
        <v>44613</v>
      </c>
      <c r="S721" s="15">
        <f>OrdersTable!E721</f>
        <v>1</v>
      </c>
      <c r="T721" s="15">
        <f t="shared" si="256"/>
        <v>29.99</v>
      </c>
      <c r="U721" s="15">
        <f t="shared" si="257"/>
        <v>40.96</v>
      </c>
      <c r="V721" s="15">
        <f t="shared" si="258"/>
        <v>48.58</v>
      </c>
      <c r="W721" s="15">
        <f>IF(MarkupType="Store Markup",ROUND(V721+V721*StoreMarkup,2),IF(MarkupType="Supplier Markup",V721+V721*SupplierMarkup,"Error at finding value"))</f>
        <v>76.510000000000005</v>
      </c>
      <c r="X721" s="32" t="str">
        <f t="shared" si="260"/>
        <v>0.00</v>
      </c>
      <c r="Y721" s="15">
        <f t="shared" si="261"/>
        <v>48.58</v>
      </c>
      <c r="Z721" s="15">
        <f t="shared" si="262"/>
        <v>76.510000000000005</v>
      </c>
      <c r="AA721" s="15">
        <f>IF(FreightType="Lethbridge-Stewart Freight ",ROUND(2.99+IF(N721&gt;0.75,(N721-0.75)*2.25,0)*S721,2),IF(MarkupType="Supplier Markup",V721+V721*SupplierMarkup,"Error at finding value"))</f>
        <v>4.68</v>
      </c>
      <c r="AB721" s="15">
        <f t="shared" si="263"/>
        <v>0</v>
      </c>
    </row>
    <row r="722" spans="1:28" x14ac:dyDescent="0.25">
      <c r="A722" s="16">
        <f>OrdersTable!A722</f>
        <v>802</v>
      </c>
      <c r="B722" s="15" t="str">
        <f t="shared" si="243"/>
        <v>Mr</v>
      </c>
      <c r="C722" s="15" t="str">
        <f t="shared" si="264"/>
        <v>Carlton</v>
      </c>
      <c r="D722" s="15" t="str">
        <f t="shared" si="244"/>
        <v>Lawrence</v>
      </c>
      <c r="E722" s="15" t="str">
        <f t="shared" si="245"/>
        <v>39 Walsh Way</v>
      </c>
      <c r="F722" s="15" t="str">
        <f t="shared" si="246"/>
        <v>Breakwater</v>
      </c>
      <c r="G722" s="15" t="str">
        <f t="shared" si="247"/>
        <v>VIC</v>
      </c>
      <c r="H722" s="15">
        <f t="shared" si="248"/>
        <v>3219</v>
      </c>
      <c r="I722" s="15">
        <f t="shared" si="259"/>
        <v>1596</v>
      </c>
      <c r="J722" s="15">
        <f>OrdersTable!B722</f>
        <v>671</v>
      </c>
      <c r="K722" s="15" t="str">
        <f t="shared" si="249"/>
        <v>Mugs</v>
      </c>
      <c r="L722" s="15" t="str">
        <f t="shared" si="250"/>
        <v>Doctor Who: Mug: TARDIS Inside</v>
      </c>
      <c r="M722" s="15" t="str">
        <f t="shared" si="251"/>
        <v>-</v>
      </c>
      <c r="N722" s="15">
        <f t="shared" si="252"/>
        <v>0.6</v>
      </c>
      <c r="O722" s="15" t="str">
        <f t="shared" si="253"/>
        <v>A30</v>
      </c>
      <c r="P722" s="15" t="str">
        <f t="shared" si="254"/>
        <v>Chesterton Enterprises</v>
      </c>
      <c r="Q722" s="15" t="str">
        <f t="shared" si="255"/>
        <v>41 William Russell Road</v>
      </c>
      <c r="R722" s="3">
        <f>OrdersTable!C722</f>
        <v>44613</v>
      </c>
      <c r="S722" s="15">
        <f>OrdersTable!E722</f>
        <v>9</v>
      </c>
      <c r="T722" s="15">
        <f t="shared" si="256"/>
        <v>11.99</v>
      </c>
      <c r="U722" s="15">
        <f t="shared" si="257"/>
        <v>16.690000000000001</v>
      </c>
      <c r="V722" s="15">
        <f t="shared" si="258"/>
        <v>19.420000000000002</v>
      </c>
      <c r="W722" s="15">
        <f>IF(MarkupType="Store Markup",ROUND(V722+V722*StoreMarkup,2),IF(MarkupType="Supplier Markup",V722+V722*SupplierMarkup,"Error at finding value"))</f>
        <v>30.59</v>
      </c>
      <c r="X722" s="32" t="str">
        <f t="shared" si="260"/>
        <v>0.00</v>
      </c>
      <c r="Y722" s="15">
        <f t="shared" si="261"/>
        <v>174.78</v>
      </c>
      <c r="Z722" s="15">
        <f t="shared" si="262"/>
        <v>275.31</v>
      </c>
      <c r="AA722" s="15">
        <f>IF(FreightType="Lethbridge-Stewart Freight ",ROUND(2.99+IF(N722&gt;0.75,(N722-0.75)*2.25,0)*S722,2),IF(MarkupType="Supplier Markup",V722+V722*SupplierMarkup,"Error at finding value"))</f>
        <v>2.99</v>
      </c>
      <c r="AB722" s="15">
        <f t="shared" si="263"/>
        <v>0</v>
      </c>
    </row>
    <row r="723" spans="1:28" x14ac:dyDescent="0.25">
      <c r="A723" s="16">
        <f>OrdersTable!A723</f>
        <v>827</v>
      </c>
      <c r="B723" s="15" t="str">
        <f t="shared" si="243"/>
        <v>Ms</v>
      </c>
      <c r="C723" s="15" t="str">
        <f t="shared" si="264"/>
        <v>Ottaway</v>
      </c>
      <c r="D723" s="15" t="str">
        <f t="shared" si="244"/>
        <v>Katherine</v>
      </c>
      <c r="E723" s="15" t="str">
        <f t="shared" si="245"/>
        <v>7 Morrison Street</v>
      </c>
      <c r="F723" s="15" t="str">
        <f t="shared" si="246"/>
        <v>Glenfern</v>
      </c>
      <c r="G723" s="15" t="str">
        <f t="shared" si="247"/>
        <v>QLD</v>
      </c>
      <c r="H723" s="15">
        <f t="shared" si="248"/>
        <v>4515</v>
      </c>
      <c r="I723" s="15">
        <f t="shared" si="259"/>
        <v>128</v>
      </c>
      <c r="J723" s="15">
        <f>OrdersTable!B723</f>
        <v>696</v>
      </c>
      <c r="K723" s="15" t="str">
        <f t="shared" si="249"/>
        <v>Posters, Prints and Standees</v>
      </c>
      <c r="L723" s="15" t="str">
        <f t="shared" si="250"/>
        <v xml:space="preserve">Doctor Who: 50th Anniversary: Poster: To Victory </v>
      </c>
      <c r="M723" s="15" t="str">
        <f t="shared" si="251"/>
        <v>-</v>
      </c>
      <c r="N723" s="15">
        <f t="shared" si="252"/>
        <v>0.2</v>
      </c>
      <c r="O723" s="15" t="str">
        <f t="shared" si="253"/>
        <v>A40</v>
      </c>
      <c r="P723" s="15" t="str">
        <f t="shared" si="254"/>
        <v>Romana Imports</v>
      </c>
      <c r="Q723" s="15" t="str">
        <f t="shared" si="255"/>
        <v>17 Lalla Ward Road</v>
      </c>
      <c r="R723" s="3">
        <f>OrdersTable!C723</f>
        <v>44613</v>
      </c>
      <c r="S723" s="15">
        <f>OrdersTable!E723</f>
        <v>10</v>
      </c>
      <c r="T723" s="15">
        <f t="shared" si="256"/>
        <v>3.99</v>
      </c>
      <c r="U723" s="15">
        <f t="shared" si="257"/>
        <v>5.6</v>
      </c>
      <c r="V723" s="15">
        <f t="shared" si="258"/>
        <v>6.46</v>
      </c>
      <c r="W723" s="15">
        <f>IF(MarkupType="Store Markup",ROUND(V723+V723*StoreMarkup,2),IF(MarkupType="Supplier Markup",V723+V723*SupplierMarkup,"Error at finding value"))</f>
        <v>10.17</v>
      </c>
      <c r="X723" s="32" t="str">
        <f t="shared" si="260"/>
        <v>0.00</v>
      </c>
      <c r="Y723" s="15">
        <f t="shared" si="261"/>
        <v>64.599999999999994</v>
      </c>
      <c r="Z723" s="15">
        <f t="shared" si="262"/>
        <v>101.7</v>
      </c>
      <c r="AA723" s="15">
        <f>IF(FreightType="Lethbridge-Stewart Freight ",ROUND(2.99+IF(N723&gt;0.75,(N723-0.75)*2.25,0)*S723,2),IF(MarkupType="Supplier Markup",V723+V723*SupplierMarkup,"Error at finding value"))</f>
        <v>2.99</v>
      </c>
      <c r="AB723" s="15">
        <f t="shared" si="263"/>
        <v>0</v>
      </c>
    </row>
    <row r="724" spans="1:28" x14ac:dyDescent="0.25">
      <c r="A724" s="16">
        <f>OrdersTable!A724</f>
        <v>42</v>
      </c>
      <c r="B724" s="15" t="str">
        <f t="shared" si="243"/>
        <v>Mr</v>
      </c>
      <c r="C724" s="15" t="str">
        <f t="shared" si="264"/>
        <v>Ballantyne</v>
      </c>
      <c r="D724" s="15" t="str">
        <f t="shared" si="244"/>
        <v>Barry John</v>
      </c>
      <c r="E724" s="15" t="str">
        <f t="shared" si="245"/>
        <v>14 Bachmann Drive</v>
      </c>
      <c r="F724" s="15" t="str">
        <f t="shared" si="246"/>
        <v>Alleena</v>
      </c>
      <c r="G724" s="15" t="str">
        <f t="shared" si="247"/>
        <v>NSW</v>
      </c>
      <c r="H724" s="15">
        <f t="shared" si="248"/>
        <v>2671</v>
      </c>
      <c r="I724" s="15">
        <f t="shared" si="259"/>
        <v>988</v>
      </c>
      <c r="J724" s="15">
        <f>OrdersTable!B724</f>
        <v>849</v>
      </c>
      <c r="K724" s="15" t="str">
        <f t="shared" si="249"/>
        <v>Statues and Busts</v>
      </c>
      <c r="L724" s="15" t="str">
        <f t="shared" si="250"/>
        <v>Doctor Who: Statue: Cyber Controller</v>
      </c>
      <c r="M724" s="15" t="str">
        <f t="shared" si="251"/>
        <v>-</v>
      </c>
      <c r="N724" s="15">
        <f t="shared" si="252"/>
        <v>5</v>
      </c>
      <c r="O724" s="15" t="str">
        <f t="shared" si="253"/>
        <v>A10</v>
      </c>
      <c r="P724" s="15" t="str">
        <f t="shared" si="254"/>
        <v>Gallifrey International</v>
      </c>
      <c r="Q724" s="15" t="str">
        <f t="shared" si="255"/>
        <v>181 Arcadia Street</v>
      </c>
      <c r="R724" s="3">
        <f>OrdersTable!C724</f>
        <v>44614</v>
      </c>
      <c r="S724" s="15">
        <f>OrdersTable!E724</f>
        <v>7</v>
      </c>
      <c r="T724" s="15">
        <f t="shared" si="256"/>
        <v>99.99</v>
      </c>
      <c r="U724" s="15">
        <f t="shared" si="257"/>
        <v>136.41</v>
      </c>
      <c r="V724" s="15">
        <f t="shared" si="258"/>
        <v>161.97999999999999</v>
      </c>
      <c r="W724" s="15">
        <f>IF(MarkupType="Store Markup",ROUND(V724+V724*StoreMarkup,2),IF(MarkupType="Supplier Markup",V724+V724*SupplierMarkup,"Error at finding value"))</f>
        <v>255.12</v>
      </c>
      <c r="X724" s="32">
        <f t="shared" si="260"/>
        <v>18.18</v>
      </c>
      <c r="Y724" s="15">
        <f t="shared" si="261"/>
        <v>1133.8599999999999</v>
      </c>
      <c r="Z724" s="15">
        <f t="shared" si="262"/>
        <v>1658.58</v>
      </c>
      <c r="AA724" s="15">
        <f>IF(FreightType="Lethbridge-Stewart Freight ",ROUND(2.99+IF(N724&gt;0.75,(N724-0.75)*2.25,0)*S724,2),IF(MarkupType="Supplier Markup",V724+V724*SupplierMarkup,"Error at finding value"))</f>
        <v>69.930000000000007</v>
      </c>
      <c r="AB724" s="15">
        <f t="shared" si="263"/>
        <v>127.26</v>
      </c>
    </row>
    <row r="725" spans="1:28" x14ac:dyDescent="0.25">
      <c r="A725" s="16">
        <f>OrdersTable!A725</f>
        <v>55</v>
      </c>
      <c r="B725" s="15" t="str">
        <f t="shared" si="243"/>
        <v>Mr</v>
      </c>
      <c r="C725" s="15" t="str">
        <f t="shared" si="264"/>
        <v>Myers</v>
      </c>
      <c r="D725" s="15" t="str">
        <f t="shared" si="244"/>
        <v>Luke Charles</v>
      </c>
      <c r="E725" s="15" t="str">
        <f t="shared" si="245"/>
        <v>25 Penrose Street</v>
      </c>
      <c r="F725" s="15" t="str">
        <f t="shared" si="246"/>
        <v>Black Hills</v>
      </c>
      <c r="G725" s="15" t="str">
        <f t="shared" si="247"/>
        <v>TAS</v>
      </c>
      <c r="H725" s="15">
        <f t="shared" si="248"/>
        <v>7140</v>
      </c>
      <c r="I725" s="15">
        <f t="shared" si="259"/>
        <v>2191</v>
      </c>
      <c r="J725" s="15">
        <f>OrdersTable!B725</f>
        <v>676</v>
      </c>
      <c r="K725" s="15" t="str">
        <f t="shared" si="249"/>
        <v>Mugs</v>
      </c>
      <c r="L725" s="15" t="str">
        <f t="shared" si="250"/>
        <v>Doctor Who: Mug: The Eleventh Doctor</v>
      </c>
      <c r="M725" s="15" t="str">
        <f t="shared" si="251"/>
        <v>-</v>
      </c>
      <c r="N725" s="15">
        <f t="shared" si="252"/>
        <v>0.45</v>
      </c>
      <c r="O725" s="15" t="str">
        <f t="shared" si="253"/>
        <v>A20</v>
      </c>
      <c r="P725" s="15" t="str">
        <f t="shared" si="254"/>
        <v>Morbius Inc.</v>
      </c>
      <c r="Q725" s="15" t="str">
        <f t="shared" si="255"/>
        <v>56 Michael Spice Hwy</v>
      </c>
      <c r="R725" s="3">
        <f>OrdersTable!C725</f>
        <v>44614</v>
      </c>
      <c r="S725" s="15">
        <f>OrdersTable!E725</f>
        <v>3</v>
      </c>
      <c r="T725" s="15">
        <f t="shared" si="256"/>
        <v>8.99</v>
      </c>
      <c r="U725" s="15">
        <f t="shared" si="257"/>
        <v>12.55</v>
      </c>
      <c r="V725" s="15">
        <f t="shared" si="258"/>
        <v>14.56</v>
      </c>
      <c r="W725" s="15">
        <f>IF(MarkupType="Store Markup",ROUND(V725+V725*StoreMarkup,2),IF(MarkupType="Supplier Markup",V725+V725*SupplierMarkup,"Error at finding value"))</f>
        <v>22.93</v>
      </c>
      <c r="X725" s="32" t="str">
        <f t="shared" si="260"/>
        <v>0.00</v>
      </c>
      <c r="Y725" s="15">
        <f t="shared" si="261"/>
        <v>43.68</v>
      </c>
      <c r="Z725" s="15">
        <f t="shared" si="262"/>
        <v>68.790000000000006</v>
      </c>
      <c r="AA725" s="15">
        <f>IF(FreightType="Lethbridge-Stewart Freight ",ROUND(2.99+IF(N725&gt;0.75,(N725-0.75)*2.25,0)*S725,2),IF(MarkupType="Supplier Markup",V725+V725*SupplierMarkup,"Error at finding value"))</f>
        <v>2.99</v>
      </c>
      <c r="AB725" s="15">
        <f t="shared" si="263"/>
        <v>0</v>
      </c>
    </row>
    <row r="726" spans="1:28" x14ac:dyDescent="0.25">
      <c r="A726" s="16">
        <f>OrdersTable!A726</f>
        <v>232</v>
      </c>
      <c r="B726" s="15" t="str">
        <f t="shared" si="243"/>
        <v>Mrs</v>
      </c>
      <c r="C726" s="15" t="str">
        <f t="shared" si="264"/>
        <v>Bishop</v>
      </c>
      <c r="D726" s="15" t="str">
        <f t="shared" si="244"/>
        <v>Katherine Marie</v>
      </c>
      <c r="E726" s="15" t="str">
        <f t="shared" si="245"/>
        <v>19 Whitehorn Circuit</v>
      </c>
      <c r="F726" s="15" t="str">
        <f t="shared" si="246"/>
        <v>Black Hills</v>
      </c>
      <c r="G726" s="15" t="str">
        <f t="shared" si="247"/>
        <v>TAS</v>
      </c>
      <c r="H726" s="15">
        <f t="shared" si="248"/>
        <v>7140</v>
      </c>
      <c r="I726" s="15">
        <f t="shared" si="259"/>
        <v>2191</v>
      </c>
      <c r="J726" s="15">
        <f>OrdersTable!B726</f>
        <v>541</v>
      </c>
      <c r="K726" s="15" t="str">
        <f t="shared" si="249"/>
        <v>Giftware</v>
      </c>
      <c r="L726" s="15" t="str">
        <f t="shared" si="250"/>
        <v>Doctor Who: Salt and Pepper Shakers: TARDIS</v>
      </c>
      <c r="M726" s="15" t="str">
        <f t="shared" si="251"/>
        <v>-</v>
      </c>
      <c r="N726" s="15">
        <f t="shared" si="252"/>
        <v>0.6</v>
      </c>
      <c r="O726" s="15" t="str">
        <f t="shared" si="253"/>
        <v>A10</v>
      </c>
      <c r="P726" s="15" t="str">
        <f t="shared" si="254"/>
        <v>Gallifrey International</v>
      </c>
      <c r="Q726" s="15" t="str">
        <f t="shared" si="255"/>
        <v>181 Arcadia Street</v>
      </c>
      <c r="R726" s="3">
        <f>OrdersTable!C726</f>
        <v>44614</v>
      </c>
      <c r="S726" s="15">
        <f>OrdersTable!E726</f>
        <v>7</v>
      </c>
      <c r="T726" s="15">
        <f t="shared" si="256"/>
        <v>11.99</v>
      </c>
      <c r="U726" s="15">
        <f t="shared" si="257"/>
        <v>16.62</v>
      </c>
      <c r="V726" s="15">
        <f t="shared" si="258"/>
        <v>19.420000000000002</v>
      </c>
      <c r="W726" s="15">
        <f>IF(MarkupType="Store Markup",ROUND(V726+V726*StoreMarkup,2),IF(MarkupType="Supplier Markup",V726+V726*SupplierMarkup,"Error at finding value"))</f>
        <v>30.59</v>
      </c>
      <c r="X726" s="32" t="str">
        <f t="shared" si="260"/>
        <v>0.00</v>
      </c>
      <c r="Y726" s="15">
        <f t="shared" si="261"/>
        <v>135.94</v>
      </c>
      <c r="Z726" s="15">
        <f t="shared" si="262"/>
        <v>214.13</v>
      </c>
      <c r="AA726" s="15">
        <f>IF(FreightType="Lethbridge-Stewart Freight ",ROUND(2.99+IF(N726&gt;0.75,(N726-0.75)*2.25,0)*S726,2),IF(MarkupType="Supplier Markup",V726+V726*SupplierMarkup,"Error at finding value"))</f>
        <v>2.99</v>
      </c>
      <c r="AB726" s="15">
        <f t="shared" si="263"/>
        <v>0</v>
      </c>
    </row>
    <row r="727" spans="1:28" x14ac:dyDescent="0.25">
      <c r="A727" s="16">
        <f>OrdersTable!A727</f>
        <v>284</v>
      </c>
      <c r="B727" s="15" t="str">
        <f t="shared" si="243"/>
        <v>Mr</v>
      </c>
      <c r="C727" s="15" t="str">
        <f t="shared" si="264"/>
        <v>Aitcheson</v>
      </c>
      <c r="D727" s="15" t="str">
        <f t="shared" si="244"/>
        <v>Ben James</v>
      </c>
      <c r="E727" s="15" t="str">
        <f t="shared" si="245"/>
        <v>32 Evans Avenue</v>
      </c>
      <c r="F727" s="15" t="str">
        <f t="shared" si="246"/>
        <v>Batlow</v>
      </c>
      <c r="G727" s="15" t="str">
        <f t="shared" si="247"/>
        <v>NSW</v>
      </c>
      <c r="H727" s="15">
        <f t="shared" si="248"/>
        <v>2730</v>
      </c>
      <c r="I727" s="15">
        <f t="shared" si="259"/>
        <v>1138</v>
      </c>
      <c r="J727" s="15">
        <f>OrdersTable!B727</f>
        <v>213</v>
      </c>
      <c r="K727" s="15" t="str">
        <f t="shared" si="249"/>
        <v>Clothing and Apparel</v>
      </c>
      <c r="L727" s="15" t="str">
        <f t="shared" si="250"/>
        <v>Doctor Who: Fez and Bow Tie</v>
      </c>
      <c r="M727" s="15" t="str">
        <f t="shared" si="251"/>
        <v>-</v>
      </c>
      <c r="N727" s="15">
        <f t="shared" si="252"/>
        <v>0.97499999999999998</v>
      </c>
      <c r="O727" s="15" t="str">
        <f t="shared" si="253"/>
        <v>A50</v>
      </c>
      <c r="P727" s="15" t="str">
        <f t="shared" si="254"/>
        <v>Rassilon Ltd.</v>
      </c>
      <c r="Q727" s="15" t="str">
        <f t="shared" si="255"/>
        <v>82 Richard Mathews Road</v>
      </c>
      <c r="R727" s="3">
        <f>OrdersTable!C727</f>
        <v>44614</v>
      </c>
      <c r="S727" s="15">
        <f>OrdersTable!E727</f>
        <v>4</v>
      </c>
      <c r="T727" s="15">
        <f t="shared" si="256"/>
        <v>19.5</v>
      </c>
      <c r="U727" s="15">
        <f t="shared" si="257"/>
        <v>26.88</v>
      </c>
      <c r="V727" s="15">
        <f t="shared" si="258"/>
        <v>31.59</v>
      </c>
      <c r="W727" s="15">
        <f>IF(MarkupType="Store Markup",ROUND(V727+V727*StoreMarkup,2),IF(MarkupType="Supplier Markup",V727+V727*SupplierMarkup,"Error at finding value"))</f>
        <v>49.75</v>
      </c>
      <c r="X727" s="32" t="str">
        <f t="shared" si="260"/>
        <v>0.00</v>
      </c>
      <c r="Y727" s="15">
        <f t="shared" si="261"/>
        <v>126.36</v>
      </c>
      <c r="Z727" s="15">
        <f t="shared" si="262"/>
        <v>199</v>
      </c>
      <c r="AA727" s="15">
        <f>IF(FreightType="Lethbridge-Stewart Freight ",ROUND(2.99+IF(N727&gt;0.75,(N727-0.75)*2.25,0)*S727,2),IF(MarkupType="Supplier Markup",V727+V727*SupplierMarkup,"Error at finding value"))</f>
        <v>5.0199999999999996</v>
      </c>
      <c r="AB727" s="15">
        <f t="shared" si="263"/>
        <v>0</v>
      </c>
    </row>
    <row r="728" spans="1:28" x14ac:dyDescent="0.25">
      <c r="A728" s="16">
        <f>OrdersTable!A728</f>
        <v>285</v>
      </c>
      <c r="B728" s="15" t="str">
        <f t="shared" si="243"/>
        <v>Mr</v>
      </c>
      <c r="C728" s="15" t="str">
        <f t="shared" si="264"/>
        <v>Temple Morgan</v>
      </c>
      <c r="D728" s="15" t="str">
        <f t="shared" si="244"/>
        <v>Mathew Peter</v>
      </c>
      <c r="E728" s="15" t="str">
        <f t="shared" si="245"/>
        <v>19 Tansky Court</v>
      </c>
      <c r="F728" s="15" t="str">
        <f t="shared" si="246"/>
        <v>Belford</v>
      </c>
      <c r="G728" s="15" t="str">
        <f t="shared" si="247"/>
        <v>NSW</v>
      </c>
      <c r="H728" s="15">
        <f t="shared" si="248"/>
        <v>2335</v>
      </c>
      <c r="I728" s="15">
        <f t="shared" si="259"/>
        <v>716</v>
      </c>
      <c r="J728" s="15">
        <f>OrdersTable!B728</f>
        <v>740</v>
      </c>
      <c r="K728" s="15" t="str">
        <f t="shared" si="249"/>
        <v>Props and Replicas</v>
      </c>
      <c r="L728" s="15" t="str">
        <f t="shared" si="250"/>
        <v>Doctor Who: River Song Squareness Blaster</v>
      </c>
      <c r="M728" s="15" t="str">
        <f t="shared" si="251"/>
        <v>-</v>
      </c>
      <c r="N728" s="15">
        <f t="shared" si="252"/>
        <v>14.8</v>
      </c>
      <c r="O728" s="15" t="str">
        <f t="shared" si="253"/>
        <v>A40</v>
      </c>
      <c r="P728" s="15" t="str">
        <f t="shared" si="254"/>
        <v>Romana Imports</v>
      </c>
      <c r="Q728" s="15" t="str">
        <f t="shared" si="255"/>
        <v>17 Lalla Ward Road</v>
      </c>
      <c r="R728" s="3">
        <f>OrdersTable!C728</f>
        <v>44614</v>
      </c>
      <c r="S728" s="15">
        <f>OrdersTable!E728</f>
        <v>6</v>
      </c>
      <c r="T728" s="15">
        <f t="shared" si="256"/>
        <v>295.99</v>
      </c>
      <c r="U728" s="15">
        <f t="shared" si="257"/>
        <v>403.84</v>
      </c>
      <c r="V728" s="15">
        <f t="shared" si="258"/>
        <v>479.5</v>
      </c>
      <c r="W728" s="15">
        <f>IF(MarkupType="Store Markup",ROUND(V728+V728*StoreMarkup,2),IF(MarkupType="Supplier Markup",V728+V728*SupplierMarkup,"Error at finding value"))</f>
        <v>755.21</v>
      </c>
      <c r="X728" s="32">
        <f t="shared" si="260"/>
        <v>53.81</v>
      </c>
      <c r="Y728" s="15">
        <f t="shared" si="261"/>
        <v>2877</v>
      </c>
      <c r="Z728" s="15">
        <f t="shared" si="262"/>
        <v>4208.3999999999996</v>
      </c>
      <c r="AA728" s="15">
        <f>IF(FreightType="Lethbridge-Stewart Freight ",ROUND(2.99+IF(N728&gt;0.75,(N728-0.75)*2.25,0)*S728,2),IF(MarkupType="Supplier Markup",V728+V728*SupplierMarkup,"Error at finding value"))</f>
        <v>192.67</v>
      </c>
      <c r="AB728" s="15">
        <f t="shared" si="263"/>
        <v>322.86</v>
      </c>
    </row>
    <row r="729" spans="1:28" x14ac:dyDescent="0.25">
      <c r="A729" s="16">
        <f>OrdersTable!A729</f>
        <v>531</v>
      </c>
      <c r="B729" s="15" t="str">
        <f t="shared" si="243"/>
        <v>Ms</v>
      </c>
      <c r="C729" s="15" t="str">
        <f t="shared" si="264"/>
        <v>Stanton</v>
      </c>
      <c r="D729" s="15" t="str">
        <f t="shared" si="244"/>
        <v>Sharaze</v>
      </c>
      <c r="E729" s="15" t="str">
        <f t="shared" si="245"/>
        <v>1 Siddons Crescent</v>
      </c>
      <c r="F729" s="15" t="str">
        <f t="shared" si="246"/>
        <v>Alfredtown</v>
      </c>
      <c r="G729" s="15" t="str">
        <f t="shared" si="247"/>
        <v>NSW</v>
      </c>
      <c r="H729" s="15">
        <f t="shared" si="248"/>
        <v>2650</v>
      </c>
      <c r="I729" s="15">
        <f t="shared" si="259"/>
        <v>1124</v>
      </c>
      <c r="J729" s="15">
        <f>OrdersTable!B729</f>
        <v>607</v>
      </c>
      <c r="K729" s="15" t="str">
        <f t="shared" si="249"/>
        <v>iPhone Skins</v>
      </c>
      <c r="L729" s="15" t="str">
        <f t="shared" si="250"/>
        <v>Doctor Who: iPhone Skin: Keep Calm I'm The Doctor</v>
      </c>
      <c r="M729" s="15" t="str">
        <f t="shared" si="251"/>
        <v>-</v>
      </c>
      <c r="N729" s="15">
        <f t="shared" si="252"/>
        <v>0.5</v>
      </c>
      <c r="O729" s="15" t="str">
        <f t="shared" si="253"/>
        <v>A40</v>
      </c>
      <c r="P729" s="15" t="str">
        <f t="shared" si="254"/>
        <v>Romana Imports</v>
      </c>
      <c r="Q729" s="15" t="str">
        <f t="shared" si="255"/>
        <v>17 Lalla Ward Road</v>
      </c>
      <c r="R729" s="3">
        <f>OrdersTable!C729</f>
        <v>44614</v>
      </c>
      <c r="S729" s="15">
        <f>OrdersTable!E729</f>
        <v>2</v>
      </c>
      <c r="T729" s="15">
        <f t="shared" si="256"/>
        <v>9.99</v>
      </c>
      <c r="U729" s="15">
        <f t="shared" si="257"/>
        <v>13.81</v>
      </c>
      <c r="V729" s="15">
        <f t="shared" si="258"/>
        <v>16.18</v>
      </c>
      <c r="W729" s="15">
        <f>IF(MarkupType="Store Markup",ROUND(V729+V729*StoreMarkup,2),IF(MarkupType="Supplier Markup",V729+V729*SupplierMarkup,"Error at finding value"))</f>
        <v>25.48</v>
      </c>
      <c r="X729" s="32" t="str">
        <f t="shared" si="260"/>
        <v>0.00</v>
      </c>
      <c r="Y729" s="15">
        <f t="shared" si="261"/>
        <v>32.36</v>
      </c>
      <c r="Z729" s="15">
        <f t="shared" si="262"/>
        <v>50.96</v>
      </c>
      <c r="AA729" s="15">
        <f>IF(FreightType="Lethbridge-Stewart Freight ",ROUND(2.99+IF(N729&gt;0.75,(N729-0.75)*2.25,0)*S729,2),IF(MarkupType="Supplier Markup",V729+V729*SupplierMarkup,"Error at finding value"))</f>
        <v>2.99</v>
      </c>
      <c r="AB729" s="15">
        <f t="shared" si="263"/>
        <v>0</v>
      </c>
    </row>
    <row r="730" spans="1:28" x14ac:dyDescent="0.25">
      <c r="A730" s="16">
        <f>OrdersTable!A730</f>
        <v>538</v>
      </c>
      <c r="B730" s="15" t="str">
        <f t="shared" si="243"/>
        <v>Dr</v>
      </c>
      <c r="C730" s="15" t="str">
        <f t="shared" si="264"/>
        <v>Radovic</v>
      </c>
      <c r="D730" s="15" t="str">
        <f t="shared" si="244"/>
        <v>Harley Benjamin</v>
      </c>
      <c r="E730" s="15" t="str">
        <f t="shared" si="245"/>
        <v>50 Hocking Way</v>
      </c>
      <c r="F730" s="15" t="str">
        <f t="shared" si="246"/>
        <v>Bray Park</v>
      </c>
      <c r="G730" s="15" t="str">
        <f t="shared" si="247"/>
        <v>QLD</v>
      </c>
      <c r="H730" s="15">
        <f t="shared" si="248"/>
        <v>4500</v>
      </c>
      <c r="I730" s="15">
        <f t="shared" si="259"/>
        <v>139</v>
      </c>
      <c r="J730" s="15">
        <f>OrdersTable!B730</f>
        <v>673</v>
      </c>
      <c r="K730" s="15" t="str">
        <f t="shared" si="249"/>
        <v>Mugs</v>
      </c>
      <c r="L730" s="15" t="str">
        <f t="shared" si="250"/>
        <v>Doctor Who: Mug: TARDIS With Lid</v>
      </c>
      <c r="M730" s="15" t="str">
        <f t="shared" si="251"/>
        <v>-</v>
      </c>
      <c r="N730" s="15">
        <f t="shared" si="252"/>
        <v>0.58499999999999996</v>
      </c>
      <c r="O730" s="15" t="str">
        <f t="shared" si="253"/>
        <v>A10</v>
      </c>
      <c r="P730" s="15" t="str">
        <f t="shared" si="254"/>
        <v>Gallifrey International</v>
      </c>
      <c r="Q730" s="15" t="str">
        <f t="shared" si="255"/>
        <v>181 Arcadia Street</v>
      </c>
      <c r="R730" s="3">
        <f>OrdersTable!C730</f>
        <v>44614</v>
      </c>
      <c r="S730" s="15">
        <f>OrdersTable!E730</f>
        <v>4</v>
      </c>
      <c r="T730" s="15">
        <f t="shared" si="256"/>
        <v>11.69</v>
      </c>
      <c r="U730" s="15">
        <f t="shared" si="257"/>
        <v>16.190000000000001</v>
      </c>
      <c r="V730" s="15">
        <f t="shared" si="258"/>
        <v>18.940000000000001</v>
      </c>
      <c r="W730" s="15">
        <f>IF(MarkupType="Store Markup",ROUND(V730+V730*StoreMarkup,2),IF(MarkupType="Supplier Markup",V730+V730*SupplierMarkup,"Error at finding value"))</f>
        <v>29.83</v>
      </c>
      <c r="X730" s="32" t="str">
        <f t="shared" si="260"/>
        <v>0.00</v>
      </c>
      <c r="Y730" s="15">
        <f t="shared" si="261"/>
        <v>75.760000000000005</v>
      </c>
      <c r="Z730" s="15">
        <f t="shared" si="262"/>
        <v>119.32</v>
      </c>
      <c r="AA730" s="15">
        <f>IF(FreightType="Lethbridge-Stewart Freight ",ROUND(2.99+IF(N730&gt;0.75,(N730-0.75)*2.25,0)*S730,2),IF(MarkupType="Supplier Markup",V730+V730*SupplierMarkup,"Error at finding value"))</f>
        <v>2.99</v>
      </c>
      <c r="AB730" s="15">
        <f t="shared" si="263"/>
        <v>0</v>
      </c>
    </row>
    <row r="731" spans="1:28" x14ac:dyDescent="0.25">
      <c r="A731" s="16">
        <f>OrdersTable!A731</f>
        <v>544</v>
      </c>
      <c r="B731" s="15" t="str">
        <f t="shared" si="243"/>
        <v>Mr</v>
      </c>
      <c r="C731" s="15" t="str">
        <f t="shared" si="264"/>
        <v>Sullivan</v>
      </c>
      <c r="D731" s="15" t="str">
        <f t="shared" si="244"/>
        <v>Lawrence Bernard</v>
      </c>
      <c r="E731" s="15" t="str">
        <f t="shared" si="245"/>
        <v>11 Haydon Boulevard</v>
      </c>
      <c r="F731" s="15" t="str">
        <f t="shared" si="246"/>
        <v>Breakwater</v>
      </c>
      <c r="G731" s="15" t="str">
        <f t="shared" si="247"/>
        <v>VIC</v>
      </c>
      <c r="H731" s="15">
        <f t="shared" si="248"/>
        <v>3219</v>
      </c>
      <c r="I731" s="15">
        <f t="shared" si="259"/>
        <v>1596</v>
      </c>
      <c r="J731" s="15">
        <f>OrdersTable!B731</f>
        <v>282</v>
      </c>
      <c r="K731" s="15" t="str">
        <f t="shared" si="249"/>
        <v>Clothing and Apparel</v>
      </c>
      <c r="L731" s="15" t="str">
        <f t="shared" si="250"/>
        <v>Doctor Who: Tardis Laplander Hat</v>
      </c>
      <c r="M731" s="15" t="str">
        <f t="shared" si="251"/>
        <v>-</v>
      </c>
      <c r="N731" s="15">
        <f t="shared" si="252"/>
        <v>0.97499999999999998</v>
      </c>
      <c r="O731" s="15" t="str">
        <f t="shared" si="253"/>
        <v>A10</v>
      </c>
      <c r="P731" s="15" t="str">
        <f t="shared" si="254"/>
        <v>Gallifrey International</v>
      </c>
      <c r="Q731" s="15" t="str">
        <f t="shared" si="255"/>
        <v>181 Arcadia Street</v>
      </c>
      <c r="R731" s="3">
        <f>OrdersTable!C731</f>
        <v>44614</v>
      </c>
      <c r="S731" s="15">
        <f>OrdersTable!E731</f>
        <v>7</v>
      </c>
      <c r="T731" s="15">
        <f t="shared" si="256"/>
        <v>19.5</v>
      </c>
      <c r="U731" s="15">
        <f t="shared" si="257"/>
        <v>26.93</v>
      </c>
      <c r="V731" s="15">
        <f t="shared" si="258"/>
        <v>31.59</v>
      </c>
      <c r="W731" s="15">
        <f>IF(MarkupType="Store Markup",ROUND(V731+V731*StoreMarkup,2),IF(MarkupType="Supplier Markup",V731+V731*SupplierMarkup,"Error at finding value"))</f>
        <v>49.75</v>
      </c>
      <c r="X731" s="32" t="str">
        <f t="shared" si="260"/>
        <v>0.00</v>
      </c>
      <c r="Y731" s="15">
        <f t="shared" si="261"/>
        <v>221.13</v>
      </c>
      <c r="Z731" s="15">
        <f t="shared" si="262"/>
        <v>348.25</v>
      </c>
      <c r="AA731" s="15">
        <f>IF(FreightType="Lethbridge-Stewart Freight ",ROUND(2.99+IF(N731&gt;0.75,(N731-0.75)*2.25,0)*S731,2),IF(MarkupType="Supplier Markup",V731+V731*SupplierMarkup,"Error at finding value"))</f>
        <v>6.53</v>
      </c>
      <c r="AB731" s="15">
        <f t="shared" si="263"/>
        <v>0</v>
      </c>
    </row>
    <row r="732" spans="1:28" x14ac:dyDescent="0.25">
      <c r="A732" s="16">
        <f>OrdersTable!A732</f>
        <v>586</v>
      </c>
      <c r="B732" s="15" t="str">
        <f t="shared" si="243"/>
        <v>Dr</v>
      </c>
      <c r="C732" s="15" t="str">
        <f t="shared" si="264"/>
        <v>Coetzee</v>
      </c>
      <c r="D732" s="15" t="str">
        <f t="shared" si="244"/>
        <v>Riekert</v>
      </c>
      <c r="E732" s="15" t="str">
        <f t="shared" si="245"/>
        <v>5 Western Road</v>
      </c>
      <c r="F732" s="15" t="str">
        <f t="shared" si="246"/>
        <v>Alfredtown</v>
      </c>
      <c r="G732" s="15" t="str">
        <f t="shared" si="247"/>
        <v>NSW</v>
      </c>
      <c r="H732" s="15">
        <f t="shared" si="248"/>
        <v>2650</v>
      </c>
      <c r="I732" s="15">
        <f t="shared" si="259"/>
        <v>1124</v>
      </c>
      <c r="J732" s="15">
        <f>OrdersTable!B732</f>
        <v>582</v>
      </c>
      <c r="K732" s="15" t="str">
        <f t="shared" si="249"/>
        <v>Giftware</v>
      </c>
      <c r="L732" s="15" t="str">
        <f t="shared" si="250"/>
        <v>Doctor Who: Wallpaper: Classic TARDIS Roundels</v>
      </c>
      <c r="M732" s="15" t="str">
        <f t="shared" si="251"/>
        <v>-</v>
      </c>
      <c r="N732" s="15">
        <f t="shared" si="252"/>
        <v>1.75</v>
      </c>
      <c r="O732" s="15" t="str">
        <f t="shared" si="253"/>
        <v>A40</v>
      </c>
      <c r="P732" s="15" t="str">
        <f t="shared" si="254"/>
        <v>Romana Imports</v>
      </c>
      <c r="Q732" s="15" t="str">
        <f t="shared" si="255"/>
        <v>17 Lalla Ward Road</v>
      </c>
      <c r="R732" s="3">
        <f>OrdersTable!C732</f>
        <v>44614</v>
      </c>
      <c r="S732" s="15">
        <f>OrdersTable!E732</f>
        <v>1</v>
      </c>
      <c r="T732" s="15">
        <f t="shared" si="256"/>
        <v>34.99</v>
      </c>
      <c r="U732" s="15">
        <f t="shared" si="257"/>
        <v>47.77</v>
      </c>
      <c r="V732" s="15">
        <f t="shared" si="258"/>
        <v>56.68</v>
      </c>
      <c r="W732" s="15">
        <f>IF(MarkupType="Store Markup",ROUND(V732+V732*StoreMarkup,2),IF(MarkupType="Supplier Markup",V732+V732*SupplierMarkup,"Error at finding value"))</f>
        <v>89.27</v>
      </c>
      <c r="X732" s="32" t="str">
        <f t="shared" si="260"/>
        <v>0.00</v>
      </c>
      <c r="Y732" s="15">
        <f t="shared" si="261"/>
        <v>56.68</v>
      </c>
      <c r="Z732" s="15">
        <f t="shared" si="262"/>
        <v>89.27</v>
      </c>
      <c r="AA732" s="15">
        <f>IF(FreightType="Lethbridge-Stewart Freight ",ROUND(2.99+IF(N732&gt;0.75,(N732-0.75)*2.25,0)*S732,2),IF(MarkupType="Supplier Markup",V732+V732*SupplierMarkup,"Error at finding value"))</f>
        <v>5.24</v>
      </c>
      <c r="AB732" s="15">
        <f t="shared" si="263"/>
        <v>0</v>
      </c>
    </row>
    <row r="733" spans="1:28" x14ac:dyDescent="0.25">
      <c r="A733" s="16">
        <f>OrdersTable!A733</f>
        <v>761</v>
      </c>
      <c r="B733" s="15" t="str">
        <f t="shared" si="243"/>
        <v>Miss</v>
      </c>
      <c r="C733" s="15" t="str">
        <f t="shared" si="264"/>
        <v>Randall</v>
      </c>
      <c r="D733" s="15" t="str">
        <f t="shared" si="244"/>
        <v>Kylee</v>
      </c>
      <c r="E733" s="15" t="str">
        <f t="shared" si="245"/>
        <v>45 Cremasco Avenue</v>
      </c>
      <c r="F733" s="15" t="str">
        <f t="shared" si="246"/>
        <v>Breakwater</v>
      </c>
      <c r="G733" s="15" t="str">
        <f t="shared" si="247"/>
        <v>VIC</v>
      </c>
      <c r="H733" s="15">
        <f t="shared" si="248"/>
        <v>3219</v>
      </c>
      <c r="I733" s="15">
        <f t="shared" si="259"/>
        <v>1596</v>
      </c>
      <c r="J733" s="15">
        <f>OrdersTable!B733</f>
        <v>692</v>
      </c>
      <c r="K733" s="15" t="str">
        <f t="shared" si="249"/>
        <v>Posters, Prints and Standees</v>
      </c>
      <c r="L733" s="15" t="str">
        <f t="shared" si="250"/>
        <v>Doctor Who: 16'x12' Framed Print: Exploding TARDIS</v>
      </c>
      <c r="M733" s="15" t="str">
        <f t="shared" si="251"/>
        <v>-</v>
      </c>
      <c r="N733" s="15">
        <f t="shared" si="252"/>
        <v>0.75</v>
      </c>
      <c r="O733" s="15" t="str">
        <f t="shared" si="253"/>
        <v>A30</v>
      </c>
      <c r="P733" s="15" t="str">
        <f t="shared" si="254"/>
        <v>Chesterton Enterprises</v>
      </c>
      <c r="Q733" s="15" t="str">
        <f t="shared" si="255"/>
        <v>41 William Russell Road</v>
      </c>
      <c r="R733" s="3">
        <f>OrdersTable!C733</f>
        <v>44614</v>
      </c>
      <c r="S733" s="15">
        <f>OrdersTable!E733</f>
        <v>3</v>
      </c>
      <c r="T733" s="15">
        <f t="shared" si="256"/>
        <v>14.99</v>
      </c>
      <c r="U733" s="15">
        <f t="shared" si="257"/>
        <v>20.54</v>
      </c>
      <c r="V733" s="15">
        <f t="shared" si="258"/>
        <v>24.28</v>
      </c>
      <c r="W733" s="15">
        <f>IF(MarkupType="Store Markup",ROUND(V733+V733*StoreMarkup,2),IF(MarkupType="Supplier Markup",V733+V733*SupplierMarkup,"Error at finding value"))</f>
        <v>38.24</v>
      </c>
      <c r="X733" s="32" t="str">
        <f t="shared" si="260"/>
        <v>0.00</v>
      </c>
      <c r="Y733" s="15">
        <f t="shared" si="261"/>
        <v>72.84</v>
      </c>
      <c r="Z733" s="15">
        <f t="shared" si="262"/>
        <v>114.72</v>
      </c>
      <c r="AA733" s="15">
        <f>IF(FreightType="Lethbridge-Stewart Freight ",ROUND(2.99+IF(N733&gt;0.75,(N733-0.75)*2.25,0)*S733,2),IF(MarkupType="Supplier Markup",V733+V733*SupplierMarkup,"Error at finding value"))</f>
        <v>2.99</v>
      </c>
      <c r="AB733" s="15">
        <f t="shared" si="263"/>
        <v>0</v>
      </c>
    </row>
    <row r="734" spans="1:28" x14ac:dyDescent="0.25">
      <c r="A734" s="16">
        <f>OrdersTable!A734</f>
        <v>771</v>
      </c>
      <c r="B734" s="15" t="str">
        <f t="shared" si="243"/>
        <v>Dr</v>
      </c>
      <c r="C734" s="15" t="str">
        <f t="shared" si="264"/>
        <v>Virk</v>
      </c>
      <c r="D734" s="15" t="str">
        <f t="shared" si="244"/>
        <v>Balraj Singh</v>
      </c>
      <c r="E734" s="15" t="str">
        <f t="shared" si="245"/>
        <v>39 Napanje Drive</v>
      </c>
      <c r="F734" s="15" t="str">
        <f t="shared" si="246"/>
        <v>Abington</v>
      </c>
      <c r="G734" s="15" t="str">
        <f t="shared" si="247"/>
        <v>QLD</v>
      </c>
      <c r="H734" s="15">
        <f t="shared" si="248"/>
        <v>4660</v>
      </c>
      <c r="I734" s="15">
        <f t="shared" si="259"/>
        <v>336</v>
      </c>
      <c r="J734" s="15">
        <f>OrdersTable!B734</f>
        <v>673</v>
      </c>
      <c r="K734" s="15" t="str">
        <f t="shared" si="249"/>
        <v>Mugs</v>
      </c>
      <c r="L734" s="15" t="str">
        <f t="shared" si="250"/>
        <v>Doctor Who: Mug: TARDIS With Lid</v>
      </c>
      <c r="M734" s="15" t="str">
        <f t="shared" si="251"/>
        <v>-</v>
      </c>
      <c r="N734" s="15">
        <f t="shared" si="252"/>
        <v>0.58499999999999996</v>
      </c>
      <c r="O734" s="15" t="str">
        <f t="shared" si="253"/>
        <v>A10</v>
      </c>
      <c r="P734" s="15" t="str">
        <f t="shared" si="254"/>
        <v>Gallifrey International</v>
      </c>
      <c r="Q734" s="15" t="str">
        <f t="shared" si="255"/>
        <v>181 Arcadia Street</v>
      </c>
      <c r="R734" s="3">
        <f>OrdersTable!C734</f>
        <v>44614</v>
      </c>
      <c r="S734" s="15">
        <f>OrdersTable!E734</f>
        <v>1</v>
      </c>
      <c r="T734" s="15">
        <f t="shared" si="256"/>
        <v>11.69</v>
      </c>
      <c r="U734" s="15">
        <f t="shared" si="257"/>
        <v>16.190000000000001</v>
      </c>
      <c r="V734" s="15">
        <f t="shared" si="258"/>
        <v>18.940000000000001</v>
      </c>
      <c r="W734" s="15">
        <f>IF(MarkupType="Store Markup",ROUND(V734+V734*StoreMarkup,2),IF(MarkupType="Supplier Markup",V734+V734*SupplierMarkup,"Error at finding value"))</f>
        <v>29.83</v>
      </c>
      <c r="X734" s="32" t="str">
        <f t="shared" si="260"/>
        <v>0.00</v>
      </c>
      <c r="Y734" s="15">
        <f t="shared" si="261"/>
        <v>18.940000000000001</v>
      </c>
      <c r="Z734" s="15">
        <f t="shared" si="262"/>
        <v>29.83</v>
      </c>
      <c r="AA734" s="15">
        <f>IF(FreightType="Lethbridge-Stewart Freight ",ROUND(2.99+IF(N734&gt;0.75,(N734-0.75)*2.25,0)*S734,2),IF(MarkupType="Supplier Markup",V734+V734*SupplierMarkup,"Error at finding value"))</f>
        <v>2.99</v>
      </c>
      <c r="AB734" s="15">
        <f t="shared" si="263"/>
        <v>0</v>
      </c>
    </row>
    <row r="735" spans="1:28" x14ac:dyDescent="0.25">
      <c r="A735" s="16">
        <f>OrdersTable!A735</f>
        <v>784</v>
      </c>
      <c r="B735" s="15" t="str">
        <f t="shared" si="243"/>
        <v>Ms</v>
      </c>
      <c r="C735" s="15" t="str">
        <f t="shared" si="264"/>
        <v>Hansen</v>
      </c>
      <c r="D735" s="15" t="str">
        <f t="shared" si="244"/>
        <v>Courtney Michelle</v>
      </c>
      <c r="E735" s="15" t="str">
        <f t="shared" si="245"/>
        <v>22 Elliot Crescent</v>
      </c>
      <c r="F735" s="15" t="str">
        <f t="shared" si="246"/>
        <v>Alfredtown</v>
      </c>
      <c r="G735" s="15" t="str">
        <f t="shared" si="247"/>
        <v>NSW</v>
      </c>
      <c r="H735" s="15">
        <f t="shared" si="248"/>
        <v>2650</v>
      </c>
      <c r="I735" s="15">
        <f t="shared" si="259"/>
        <v>1124</v>
      </c>
      <c r="J735" s="15">
        <f>OrdersTable!B735</f>
        <v>373</v>
      </c>
      <c r="K735" s="15" t="str">
        <f t="shared" si="249"/>
        <v>Clothing and Apparel</v>
      </c>
      <c r="L735" s="15" t="str">
        <f t="shared" si="250"/>
        <v xml:space="preserve">Doctor Who: T-Shirts: 5th Doctor Costume </v>
      </c>
      <c r="M735" s="15" t="str">
        <f t="shared" si="251"/>
        <v>L</v>
      </c>
      <c r="N735" s="15">
        <f t="shared" si="252"/>
        <v>0.8</v>
      </c>
      <c r="O735" s="15" t="str">
        <f t="shared" si="253"/>
        <v>A20</v>
      </c>
      <c r="P735" s="15" t="str">
        <f t="shared" si="254"/>
        <v>Morbius Inc.</v>
      </c>
      <c r="Q735" s="15" t="str">
        <f t="shared" si="255"/>
        <v>56 Michael Spice Hwy</v>
      </c>
      <c r="R735" s="3">
        <f>OrdersTable!C735</f>
        <v>44614</v>
      </c>
      <c r="S735" s="15">
        <f>OrdersTable!E735</f>
        <v>6</v>
      </c>
      <c r="T735" s="15">
        <f t="shared" si="256"/>
        <v>15.99</v>
      </c>
      <c r="U735" s="15">
        <f t="shared" si="257"/>
        <v>22.09</v>
      </c>
      <c r="V735" s="15">
        <f t="shared" si="258"/>
        <v>25.9</v>
      </c>
      <c r="W735" s="15">
        <f>IF(MarkupType="Store Markup",ROUND(V735+V735*StoreMarkup,2),IF(MarkupType="Supplier Markup",V735+V735*SupplierMarkup,"Error at finding value"))</f>
        <v>40.79</v>
      </c>
      <c r="X735" s="32" t="str">
        <f t="shared" si="260"/>
        <v>0.00</v>
      </c>
      <c r="Y735" s="15">
        <f t="shared" si="261"/>
        <v>155.4</v>
      </c>
      <c r="Z735" s="15">
        <f t="shared" si="262"/>
        <v>244.74</v>
      </c>
      <c r="AA735" s="15">
        <f>IF(FreightType="Lethbridge-Stewart Freight ",ROUND(2.99+IF(N735&gt;0.75,(N735-0.75)*2.25,0)*S735,2),IF(MarkupType="Supplier Markup",V735+V735*SupplierMarkup,"Error at finding value"))</f>
        <v>3.67</v>
      </c>
      <c r="AB735" s="15">
        <f t="shared" si="263"/>
        <v>0</v>
      </c>
    </row>
    <row r="736" spans="1:28" x14ac:dyDescent="0.25">
      <c r="A736" s="16">
        <f>OrdersTable!A736</f>
        <v>830</v>
      </c>
      <c r="B736" s="15" t="str">
        <f t="shared" si="243"/>
        <v>Miss</v>
      </c>
      <c r="C736" s="15" t="str">
        <f t="shared" si="264"/>
        <v>Blakeney</v>
      </c>
      <c r="D736" s="15" t="str">
        <f t="shared" si="244"/>
        <v>Hannah</v>
      </c>
      <c r="E736" s="15" t="str">
        <f t="shared" si="245"/>
        <v>31 Sproule Street</v>
      </c>
      <c r="F736" s="15" t="str">
        <f t="shared" si="246"/>
        <v>Belford</v>
      </c>
      <c r="G736" s="15" t="str">
        <f t="shared" si="247"/>
        <v>NSW</v>
      </c>
      <c r="H736" s="15">
        <f t="shared" si="248"/>
        <v>2335</v>
      </c>
      <c r="I736" s="15">
        <f t="shared" si="259"/>
        <v>716</v>
      </c>
      <c r="J736" s="15">
        <f>OrdersTable!B736</f>
        <v>683</v>
      </c>
      <c r="K736" s="15" t="str">
        <f t="shared" si="249"/>
        <v>Mugs</v>
      </c>
      <c r="L736" s="15" t="str">
        <f t="shared" si="250"/>
        <v>Doctor Who: Mug: The Tenth Doctor</v>
      </c>
      <c r="M736" s="15" t="str">
        <f t="shared" si="251"/>
        <v>-</v>
      </c>
      <c r="N736" s="15">
        <f t="shared" si="252"/>
        <v>0.45</v>
      </c>
      <c r="O736" s="15" t="str">
        <f t="shared" si="253"/>
        <v>A20</v>
      </c>
      <c r="P736" s="15" t="str">
        <f t="shared" si="254"/>
        <v>Morbius Inc.</v>
      </c>
      <c r="Q736" s="15" t="str">
        <f t="shared" si="255"/>
        <v>56 Michael Spice Hwy</v>
      </c>
      <c r="R736" s="3">
        <f>OrdersTable!C736</f>
        <v>44614</v>
      </c>
      <c r="S736" s="15">
        <f>OrdersTable!E736</f>
        <v>4</v>
      </c>
      <c r="T736" s="15">
        <f t="shared" si="256"/>
        <v>8.99</v>
      </c>
      <c r="U736" s="15">
        <f t="shared" si="257"/>
        <v>12.54</v>
      </c>
      <c r="V736" s="15">
        <f t="shared" si="258"/>
        <v>14.56</v>
      </c>
      <c r="W736" s="15">
        <f>IF(MarkupType="Store Markup",ROUND(V736+V736*StoreMarkup,2),IF(MarkupType="Supplier Markup",V736+V736*SupplierMarkup,"Error at finding value"))</f>
        <v>22.93</v>
      </c>
      <c r="X736" s="32" t="str">
        <f t="shared" si="260"/>
        <v>0.00</v>
      </c>
      <c r="Y736" s="15">
        <f t="shared" si="261"/>
        <v>58.24</v>
      </c>
      <c r="Z736" s="15">
        <f t="shared" si="262"/>
        <v>91.72</v>
      </c>
      <c r="AA736" s="15">
        <f>IF(FreightType="Lethbridge-Stewart Freight ",ROUND(2.99+IF(N736&gt;0.75,(N736-0.75)*2.25,0)*S736,2),IF(MarkupType="Supplier Markup",V736+V736*SupplierMarkup,"Error at finding value"))</f>
        <v>2.99</v>
      </c>
      <c r="AB736" s="15">
        <f t="shared" si="263"/>
        <v>0</v>
      </c>
    </row>
    <row r="737" spans="1:28" x14ac:dyDescent="0.25">
      <c r="A737" s="16">
        <f>OrdersTable!A737</f>
        <v>42</v>
      </c>
      <c r="B737" s="15" t="str">
        <f t="shared" si="243"/>
        <v>Mr</v>
      </c>
      <c r="C737" s="15" t="str">
        <f t="shared" si="264"/>
        <v>Ballantyne</v>
      </c>
      <c r="D737" s="15" t="str">
        <f t="shared" si="244"/>
        <v>Barry John</v>
      </c>
      <c r="E737" s="15" t="str">
        <f t="shared" si="245"/>
        <v>14 Bachmann Drive</v>
      </c>
      <c r="F737" s="15" t="str">
        <f t="shared" si="246"/>
        <v>Alleena</v>
      </c>
      <c r="G737" s="15" t="str">
        <f t="shared" si="247"/>
        <v>NSW</v>
      </c>
      <c r="H737" s="15">
        <f t="shared" si="248"/>
        <v>2671</v>
      </c>
      <c r="I737" s="15">
        <f t="shared" si="259"/>
        <v>988</v>
      </c>
      <c r="J737" s="15">
        <f>OrdersTable!B737</f>
        <v>853</v>
      </c>
      <c r="K737" s="15" t="str">
        <f t="shared" si="249"/>
        <v>Statues and Busts</v>
      </c>
      <c r="L737" s="15" t="str">
        <f t="shared" si="250"/>
        <v>Doctor Who: Statue: The Master And Auton</v>
      </c>
      <c r="M737" s="15" t="str">
        <f t="shared" si="251"/>
        <v>-</v>
      </c>
      <c r="N737" s="15">
        <f t="shared" si="252"/>
        <v>3.5</v>
      </c>
      <c r="O737" s="15" t="str">
        <f t="shared" si="253"/>
        <v>A50</v>
      </c>
      <c r="P737" s="15" t="str">
        <f t="shared" si="254"/>
        <v>Rassilon Ltd.</v>
      </c>
      <c r="Q737" s="15" t="str">
        <f t="shared" si="255"/>
        <v>82 Richard Mathews Road</v>
      </c>
      <c r="R737" s="3">
        <f>OrdersTable!C737</f>
        <v>44615</v>
      </c>
      <c r="S737" s="15">
        <f>OrdersTable!E737</f>
        <v>1</v>
      </c>
      <c r="T737" s="15">
        <f t="shared" si="256"/>
        <v>69.989999999999995</v>
      </c>
      <c r="U737" s="15">
        <f t="shared" si="257"/>
        <v>95.51</v>
      </c>
      <c r="V737" s="15">
        <f t="shared" si="258"/>
        <v>113.38</v>
      </c>
      <c r="W737" s="15">
        <f>IF(MarkupType="Store Markup",ROUND(V737+V737*StoreMarkup,2),IF(MarkupType="Supplier Markup",V737+V737*SupplierMarkup,"Error at finding value"))</f>
        <v>178.57</v>
      </c>
      <c r="X737" s="32" t="str">
        <f t="shared" si="260"/>
        <v>0.00</v>
      </c>
      <c r="Y737" s="15">
        <f t="shared" si="261"/>
        <v>113.38</v>
      </c>
      <c r="Z737" s="15">
        <f t="shared" si="262"/>
        <v>178.57</v>
      </c>
      <c r="AA737" s="15">
        <f>IF(FreightType="Lethbridge-Stewart Freight ",ROUND(2.99+IF(N737&gt;0.75,(N737-0.75)*2.25,0)*S737,2),IF(MarkupType="Supplier Markup",V737+V737*SupplierMarkup,"Error at finding value"))</f>
        <v>9.18</v>
      </c>
      <c r="AB737" s="15">
        <f t="shared" si="263"/>
        <v>0</v>
      </c>
    </row>
    <row r="738" spans="1:28" x14ac:dyDescent="0.25">
      <c r="A738" s="16">
        <f>OrdersTable!A738</f>
        <v>46</v>
      </c>
      <c r="B738" s="15" t="str">
        <f t="shared" si="243"/>
        <v>Mrs</v>
      </c>
      <c r="C738" s="15" t="str">
        <f t="shared" si="264"/>
        <v>Dovey</v>
      </c>
      <c r="D738" s="15" t="str">
        <f t="shared" si="244"/>
        <v>Aisha Jade</v>
      </c>
      <c r="E738" s="15" t="str">
        <f t="shared" si="245"/>
        <v>43 Wilkes Circuit</v>
      </c>
      <c r="F738" s="15" t="str">
        <f t="shared" si="246"/>
        <v>Alfredtown</v>
      </c>
      <c r="G738" s="15" t="str">
        <f t="shared" si="247"/>
        <v>NSW</v>
      </c>
      <c r="H738" s="15">
        <f t="shared" si="248"/>
        <v>2650</v>
      </c>
      <c r="I738" s="15">
        <f t="shared" si="259"/>
        <v>1124</v>
      </c>
      <c r="J738" s="15">
        <f>OrdersTable!B738</f>
        <v>213</v>
      </c>
      <c r="K738" s="15" t="str">
        <f t="shared" si="249"/>
        <v>Clothing and Apparel</v>
      </c>
      <c r="L738" s="15" t="str">
        <f t="shared" si="250"/>
        <v>Doctor Who: Fez and Bow Tie</v>
      </c>
      <c r="M738" s="15" t="str">
        <f t="shared" si="251"/>
        <v>-</v>
      </c>
      <c r="N738" s="15">
        <f t="shared" si="252"/>
        <v>0.97499999999999998</v>
      </c>
      <c r="O738" s="15" t="str">
        <f t="shared" si="253"/>
        <v>A50</v>
      </c>
      <c r="P738" s="15" t="str">
        <f t="shared" si="254"/>
        <v>Rassilon Ltd.</v>
      </c>
      <c r="Q738" s="15" t="str">
        <f t="shared" si="255"/>
        <v>82 Richard Mathews Road</v>
      </c>
      <c r="R738" s="3">
        <f>OrdersTable!C738</f>
        <v>44615</v>
      </c>
      <c r="S738" s="15">
        <f>OrdersTable!E738</f>
        <v>6</v>
      </c>
      <c r="T738" s="15">
        <f t="shared" si="256"/>
        <v>19.5</v>
      </c>
      <c r="U738" s="15">
        <f t="shared" si="257"/>
        <v>26.88</v>
      </c>
      <c r="V738" s="15">
        <f t="shared" si="258"/>
        <v>31.59</v>
      </c>
      <c r="W738" s="15">
        <f>IF(MarkupType="Store Markup",ROUND(V738+V738*StoreMarkup,2),IF(MarkupType="Supplier Markup",V738+V738*SupplierMarkup,"Error at finding value"))</f>
        <v>49.75</v>
      </c>
      <c r="X738" s="32" t="str">
        <f t="shared" si="260"/>
        <v>0.00</v>
      </c>
      <c r="Y738" s="15">
        <f t="shared" si="261"/>
        <v>189.54</v>
      </c>
      <c r="Z738" s="15">
        <f t="shared" si="262"/>
        <v>298.5</v>
      </c>
      <c r="AA738" s="15">
        <f>IF(FreightType="Lethbridge-Stewart Freight ",ROUND(2.99+IF(N738&gt;0.75,(N738-0.75)*2.25,0)*S738,2),IF(MarkupType="Supplier Markup",V738+V738*SupplierMarkup,"Error at finding value"))</f>
        <v>6.03</v>
      </c>
      <c r="AB738" s="15">
        <f t="shared" si="263"/>
        <v>0</v>
      </c>
    </row>
    <row r="739" spans="1:28" x14ac:dyDescent="0.25">
      <c r="A739" s="16">
        <f>OrdersTable!A739</f>
        <v>55</v>
      </c>
      <c r="B739" s="15" t="str">
        <f t="shared" si="243"/>
        <v>Mr</v>
      </c>
      <c r="C739" s="15" t="str">
        <f t="shared" si="264"/>
        <v>Myers</v>
      </c>
      <c r="D739" s="15" t="str">
        <f t="shared" si="244"/>
        <v>Luke Charles</v>
      </c>
      <c r="E739" s="15" t="str">
        <f t="shared" si="245"/>
        <v>25 Penrose Street</v>
      </c>
      <c r="F739" s="15" t="str">
        <f t="shared" si="246"/>
        <v>Black Hills</v>
      </c>
      <c r="G739" s="15" t="str">
        <f t="shared" si="247"/>
        <v>TAS</v>
      </c>
      <c r="H739" s="15">
        <f t="shared" si="248"/>
        <v>7140</v>
      </c>
      <c r="I739" s="15">
        <f t="shared" si="259"/>
        <v>2191</v>
      </c>
      <c r="J739" s="15">
        <f>OrdersTable!B739</f>
        <v>699</v>
      </c>
      <c r="K739" s="15" t="str">
        <f t="shared" si="249"/>
        <v>Posters, Prints and Standees</v>
      </c>
      <c r="L739" s="15" t="str">
        <f t="shared" si="250"/>
        <v>Doctor Who: Half Sized Standee: The Master</v>
      </c>
      <c r="M739" s="15" t="str">
        <f t="shared" si="251"/>
        <v>-</v>
      </c>
      <c r="N739" s="15">
        <f t="shared" si="252"/>
        <v>0.5</v>
      </c>
      <c r="O739" s="15" t="str">
        <f t="shared" si="253"/>
        <v>A20</v>
      </c>
      <c r="P739" s="15" t="str">
        <f t="shared" si="254"/>
        <v>Morbius Inc.</v>
      </c>
      <c r="Q739" s="15" t="str">
        <f t="shared" si="255"/>
        <v>56 Michael Spice Hwy</v>
      </c>
      <c r="R739" s="3">
        <f>OrdersTable!C739</f>
        <v>44615</v>
      </c>
      <c r="S739" s="15">
        <f>OrdersTable!E739</f>
        <v>8</v>
      </c>
      <c r="T739" s="15">
        <f t="shared" si="256"/>
        <v>9.99</v>
      </c>
      <c r="U739" s="15">
        <f t="shared" si="257"/>
        <v>13.79</v>
      </c>
      <c r="V739" s="15">
        <f t="shared" si="258"/>
        <v>16.18</v>
      </c>
      <c r="W739" s="15">
        <f>IF(MarkupType="Store Markup",ROUND(V739+V739*StoreMarkup,2),IF(MarkupType="Supplier Markup",V739+V739*SupplierMarkup,"Error at finding value"))</f>
        <v>25.48</v>
      </c>
      <c r="X739" s="32" t="str">
        <f t="shared" si="260"/>
        <v>0.00</v>
      </c>
      <c r="Y739" s="15">
        <f t="shared" si="261"/>
        <v>129.44</v>
      </c>
      <c r="Z739" s="15">
        <f t="shared" si="262"/>
        <v>203.84</v>
      </c>
      <c r="AA739" s="15">
        <f>IF(FreightType="Lethbridge-Stewart Freight ",ROUND(2.99+IF(N739&gt;0.75,(N739-0.75)*2.25,0)*S739,2),IF(MarkupType="Supplier Markup",V739+V739*SupplierMarkup,"Error at finding value"))</f>
        <v>2.99</v>
      </c>
      <c r="AB739" s="15">
        <f t="shared" si="263"/>
        <v>0</v>
      </c>
    </row>
    <row r="740" spans="1:28" x14ac:dyDescent="0.25">
      <c r="A740" s="16">
        <f>OrdersTable!A740</f>
        <v>158</v>
      </c>
      <c r="B740" s="15" t="str">
        <f t="shared" si="243"/>
        <v>Mr</v>
      </c>
      <c r="C740" s="15" t="str">
        <f t="shared" si="264"/>
        <v>Fowler</v>
      </c>
      <c r="D740" s="15" t="str">
        <f t="shared" si="244"/>
        <v>James</v>
      </c>
      <c r="E740" s="15" t="str">
        <f t="shared" si="245"/>
        <v>30 Virk Court</v>
      </c>
      <c r="F740" s="15" t="str">
        <f t="shared" si="246"/>
        <v>Black Hills</v>
      </c>
      <c r="G740" s="15" t="str">
        <f t="shared" si="247"/>
        <v>TAS</v>
      </c>
      <c r="H740" s="15">
        <f t="shared" si="248"/>
        <v>7140</v>
      </c>
      <c r="I740" s="15">
        <f t="shared" si="259"/>
        <v>2191</v>
      </c>
      <c r="J740" s="15">
        <f>OrdersTable!B740</f>
        <v>696</v>
      </c>
      <c r="K740" s="15" t="str">
        <f t="shared" si="249"/>
        <v>Posters, Prints and Standees</v>
      </c>
      <c r="L740" s="15" t="str">
        <f t="shared" si="250"/>
        <v xml:space="preserve">Doctor Who: 50th Anniversary: Poster: To Victory </v>
      </c>
      <c r="M740" s="15" t="str">
        <f t="shared" si="251"/>
        <v>-</v>
      </c>
      <c r="N740" s="15">
        <f t="shared" si="252"/>
        <v>0.2</v>
      </c>
      <c r="O740" s="15" t="str">
        <f t="shared" si="253"/>
        <v>A40</v>
      </c>
      <c r="P740" s="15" t="str">
        <f t="shared" si="254"/>
        <v>Romana Imports</v>
      </c>
      <c r="Q740" s="15" t="str">
        <f t="shared" si="255"/>
        <v>17 Lalla Ward Road</v>
      </c>
      <c r="R740" s="3">
        <f>OrdersTable!C740</f>
        <v>44615</v>
      </c>
      <c r="S740" s="15">
        <f>OrdersTable!E740</f>
        <v>5</v>
      </c>
      <c r="T740" s="15">
        <f t="shared" si="256"/>
        <v>3.99</v>
      </c>
      <c r="U740" s="15">
        <f t="shared" si="257"/>
        <v>5.6</v>
      </c>
      <c r="V740" s="15">
        <f t="shared" si="258"/>
        <v>6.46</v>
      </c>
      <c r="W740" s="15">
        <f>IF(MarkupType="Store Markup",ROUND(V740+V740*StoreMarkup,2),IF(MarkupType="Supplier Markup",V740+V740*SupplierMarkup,"Error at finding value"))</f>
        <v>10.17</v>
      </c>
      <c r="X740" s="32" t="str">
        <f t="shared" si="260"/>
        <v>0.00</v>
      </c>
      <c r="Y740" s="15">
        <f t="shared" si="261"/>
        <v>32.299999999999997</v>
      </c>
      <c r="Z740" s="15">
        <f t="shared" si="262"/>
        <v>50.85</v>
      </c>
      <c r="AA740" s="15">
        <f>IF(FreightType="Lethbridge-Stewart Freight ",ROUND(2.99+IF(N740&gt;0.75,(N740-0.75)*2.25,0)*S740,2),IF(MarkupType="Supplier Markup",V740+V740*SupplierMarkup,"Error at finding value"))</f>
        <v>2.99</v>
      </c>
      <c r="AB740" s="15">
        <f t="shared" si="263"/>
        <v>0</v>
      </c>
    </row>
    <row r="741" spans="1:28" x14ac:dyDescent="0.25">
      <c r="A741" s="16">
        <f>OrdersTable!A741</f>
        <v>285</v>
      </c>
      <c r="B741" s="15" t="str">
        <f t="shared" si="243"/>
        <v>Mr</v>
      </c>
      <c r="C741" s="15" t="str">
        <f t="shared" si="264"/>
        <v>Temple Morgan</v>
      </c>
      <c r="D741" s="15" t="str">
        <f t="shared" si="244"/>
        <v>Mathew Peter</v>
      </c>
      <c r="E741" s="15" t="str">
        <f t="shared" si="245"/>
        <v>19 Tansky Court</v>
      </c>
      <c r="F741" s="15" t="str">
        <f t="shared" si="246"/>
        <v>Belford</v>
      </c>
      <c r="G741" s="15" t="str">
        <f t="shared" si="247"/>
        <v>NSW</v>
      </c>
      <c r="H741" s="15">
        <f t="shared" si="248"/>
        <v>2335</v>
      </c>
      <c r="I741" s="15">
        <f t="shared" si="259"/>
        <v>716</v>
      </c>
      <c r="J741" s="15">
        <f>OrdersTable!B741</f>
        <v>436</v>
      </c>
      <c r="K741" s="15" t="str">
        <f t="shared" si="249"/>
        <v>Giftware</v>
      </c>
      <c r="L741" s="15" t="str">
        <f t="shared" si="250"/>
        <v>Doctor Who: Adult Watch: TARDIS</v>
      </c>
      <c r="M741" s="15" t="str">
        <f t="shared" si="251"/>
        <v>-</v>
      </c>
      <c r="N741" s="15">
        <f t="shared" si="252"/>
        <v>1.5</v>
      </c>
      <c r="O741" s="15" t="str">
        <f t="shared" si="253"/>
        <v>A20</v>
      </c>
      <c r="P741" s="15" t="str">
        <f t="shared" si="254"/>
        <v>Morbius Inc.</v>
      </c>
      <c r="Q741" s="15" t="str">
        <f t="shared" si="255"/>
        <v>56 Michael Spice Hwy</v>
      </c>
      <c r="R741" s="3">
        <f>OrdersTable!C741</f>
        <v>44615</v>
      </c>
      <c r="S741" s="15">
        <f>OrdersTable!E741</f>
        <v>8</v>
      </c>
      <c r="T741" s="15">
        <f t="shared" si="256"/>
        <v>29.99</v>
      </c>
      <c r="U741" s="15">
        <f t="shared" si="257"/>
        <v>40.96</v>
      </c>
      <c r="V741" s="15">
        <f t="shared" si="258"/>
        <v>48.58</v>
      </c>
      <c r="W741" s="15">
        <f>IF(MarkupType="Store Markup",ROUND(V741+V741*StoreMarkup,2),IF(MarkupType="Supplier Markup",V741+V741*SupplierMarkup,"Error at finding value"))</f>
        <v>76.510000000000005</v>
      </c>
      <c r="X741" s="32" t="str">
        <f t="shared" si="260"/>
        <v>0.00</v>
      </c>
      <c r="Y741" s="15">
        <f t="shared" si="261"/>
        <v>388.64</v>
      </c>
      <c r="Z741" s="15">
        <f t="shared" si="262"/>
        <v>612.08000000000004</v>
      </c>
      <c r="AA741" s="15">
        <f>IF(FreightType="Lethbridge-Stewart Freight ",ROUND(2.99+IF(N741&gt;0.75,(N741-0.75)*2.25,0)*S741,2),IF(MarkupType="Supplier Markup",V741+V741*SupplierMarkup,"Error at finding value"))</f>
        <v>16.489999999999998</v>
      </c>
      <c r="AB741" s="15">
        <f t="shared" si="263"/>
        <v>0</v>
      </c>
    </row>
    <row r="742" spans="1:28" x14ac:dyDescent="0.25">
      <c r="A742" s="16">
        <f>OrdersTable!A742</f>
        <v>328</v>
      </c>
      <c r="B742" s="15" t="str">
        <f t="shared" si="243"/>
        <v>Dr</v>
      </c>
      <c r="C742" s="15" t="str">
        <f t="shared" si="264"/>
        <v>Ward</v>
      </c>
      <c r="D742" s="15" t="str">
        <f t="shared" si="244"/>
        <v>Keiren Nicholas</v>
      </c>
      <c r="E742" s="15" t="str">
        <f t="shared" si="245"/>
        <v>13 Green Crescent</v>
      </c>
      <c r="F742" s="15" t="str">
        <f t="shared" si="246"/>
        <v>Breakwater</v>
      </c>
      <c r="G742" s="15" t="str">
        <f t="shared" si="247"/>
        <v>VIC</v>
      </c>
      <c r="H742" s="15">
        <f t="shared" si="248"/>
        <v>3219</v>
      </c>
      <c r="I742" s="15">
        <f t="shared" si="259"/>
        <v>1596</v>
      </c>
      <c r="J742" s="15">
        <f>OrdersTable!B742</f>
        <v>679</v>
      </c>
      <c r="K742" s="15" t="str">
        <f t="shared" si="249"/>
        <v>Mugs</v>
      </c>
      <c r="L742" s="15" t="str">
        <f t="shared" si="250"/>
        <v>Doctor Who: Mug: The Fifth Doctor</v>
      </c>
      <c r="M742" s="15" t="str">
        <f t="shared" si="251"/>
        <v>-</v>
      </c>
      <c r="N742" s="15">
        <f t="shared" si="252"/>
        <v>0.45</v>
      </c>
      <c r="O742" s="15" t="str">
        <f t="shared" si="253"/>
        <v>A40</v>
      </c>
      <c r="P742" s="15" t="str">
        <f t="shared" si="254"/>
        <v>Romana Imports</v>
      </c>
      <c r="Q742" s="15" t="str">
        <f t="shared" si="255"/>
        <v>17 Lalla Ward Road</v>
      </c>
      <c r="R742" s="3">
        <f>OrdersTable!C742</f>
        <v>44615</v>
      </c>
      <c r="S742" s="15">
        <f>OrdersTable!E742</f>
        <v>2</v>
      </c>
      <c r="T742" s="15">
        <f t="shared" si="256"/>
        <v>8.99</v>
      </c>
      <c r="U742" s="15">
        <f t="shared" si="257"/>
        <v>12.28</v>
      </c>
      <c r="V742" s="15">
        <f t="shared" si="258"/>
        <v>14.56</v>
      </c>
      <c r="W742" s="15">
        <f>IF(MarkupType="Store Markup",ROUND(V742+V742*StoreMarkup,2),IF(MarkupType="Supplier Markup",V742+V742*SupplierMarkup,"Error at finding value"))</f>
        <v>22.93</v>
      </c>
      <c r="X742" s="32" t="str">
        <f t="shared" si="260"/>
        <v>0.00</v>
      </c>
      <c r="Y742" s="15">
        <f t="shared" si="261"/>
        <v>29.12</v>
      </c>
      <c r="Z742" s="15">
        <f t="shared" si="262"/>
        <v>45.86</v>
      </c>
      <c r="AA742" s="15">
        <f>IF(FreightType="Lethbridge-Stewart Freight ",ROUND(2.99+IF(N742&gt;0.75,(N742-0.75)*2.25,0)*S742,2),IF(MarkupType="Supplier Markup",V742+V742*SupplierMarkup,"Error at finding value"))</f>
        <v>2.99</v>
      </c>
      <c r="AB742" s="15">
        <f t="shared" si="263"/>
        <v>0</v>
      </c>
    </row>
    <row r="743" spans="1:28" x14ac:dyDescent="0.25">
      <c r="A743" s="16">
        <f>OrdersTable!A743</f>
        <v>332</v>
      </c>
      <c r="B743" s="15" t="str">
        <f t="shared" si="243"/>
        <v>Mr</v>
      </c>
      <c r="C743" s="15" t="str">
        <f t="shared" si="264"/>
        <v>Selman</v>
      </c>
      <c r="D743" s="15" t="str">
        <f t="shared" si="244"/>
        <v>Jack Ryan</v>
      </c>
      <c r="E743" s="15" t="str">
        <f t="shared" si="245"/>
        <v>17 Van Essen Street</v>
      </c>
      <c r="F743" s="15" t="str">
        <f t="shared" si="246"/>
        <v>Airly</v>
      </c>
      <c r="G743" s="15" t="str">
        <f t="shared" si="247"/>
        <v>VIC</v>
      </c>
      <c r="H743" s="15">
        <f t="shared" si="248"/>
        <v>3851</v>
      </c>
      <c r="I743" s="15">
        <f t="shared" si="259"/>
        <v>1583</v>
      </c>
      <c r="J743" s="15">
        <f>OrdersTable!B743</f>
        <v>867</v>
      </c>
      <c r="K743" s="15" t="str">
        <f t="shared" si="249"/>
        <v>Statues and Busts</v>
      </c>
      <c r="L743" s="15" t="str">
        <f t="shared" si="250"/>
        <v>Doctor Who: TITANS: The 11th Doctor</v>
      </c>
      <c r="M743" s="15" t="str">
        <f t="shared" si="251"/>
        <v>-</v>
      </c>
      <c r="N743" s="15">
        <f t="shared" si="252"/>
        <v>0.4</v>
      </c>
      <c r="O743" s="15" t="str">
        <f t="shared" si="253"/>
        <v>A20</v>
      </c>
      <c r="P743" s="15" t="str">
        <f t="shared" si="254"/>
        <v>Morbius Inc.</v>
      </c>
      <c r="Q743" s="15" t="str">
        <f t="shared" si="255"/>
        <v>56 Michael Spice Hwy</v>
      </c>
      <c r="R743" s="3">
        <f>OrdersTable!C743</f>
        <v>44615</v>
      </c>
      <c r="S743" s="15">
        <f>OrdersTable!E743</f>
        <v>5</v>
      </c>
      <c r="T743" s="15">
        <f t="shared" si="256"/>
        <v>7.99</v>
      </c>
      <c r="U743" s="15">
        <f t="shared" si="257"/>
        <v>11.1</v>
      </c>
      <c r="V743" s="15">
        <f t="shared" si="258"/>
        <v>12.94</v>
      </c>
      <c r="W743" s="15">
        <f>IF(MarkupType="Store Markup",ROUND(V743+V743*StoreMarkup,2),IF(MarkupType="Supplier Markup",V743+V743*SupplierMarkup,"Error at finding value"))</f>
        <v>20.38</v>
      </c>
      <c r="X743" s="32" t="str">
        <f t="shared" si="260"/>
        <v>0.00</v>
      </c>
      <c r="Y743" s="15">
        <f t="shared" si="261"/>
        <v>64.7</v>
      </c>
      <c r="Z743" s="15">
        <f t="shared" si="262"/>
        <v>101.9</v>
      </c>
      <c r="AA743" s="15">
        <f>IF(FreightType="Lethbridge-Stewart Freight ",ROUND(2.99+IF(N743&gt;0.75,(N743-0.75)*2.25,0)*S743,2),IF(MarkupType="Supplier Markup",V743+V743*SupplierMarkup,"Error at finding value"))</f>
        <v>2.99</v>
      </c>
      <c r="AB743" s="15">
        <f t="shared" si="263"/>
        <v>0</v>
      </c>
    </row>
    <row r="744" spans="1:28" x14ac:dyDescent="0.25">
      <c r="A744" s="16">
        <f>OrdersTable!A744</f>
        <v>338</v>
      </c>
      <c r="B744" s="15" t="str">
        <f t="shared" si="243"/>
        <v>Miss</v>
      </c>
      <c r="C744" s="15" t="str">
        <f t="shared" si="264"/>
        <v>Pellegrino</v>
      </c>
      <c r="D744" s="15" t="str">
        <f t="shared" si="244"/>
        <v>Samantha</v>
      </c>
      <c r="E744" s="15" t="str">
        <f t="shared" si="245"/>
        <v>38 McKeown Street</v>
      </c>
      <c r="F744" s="15" t="str">
        <f t="shared" si="246"/>
        <v>Avon Plains</v>
      </c>
      <c r="G744" s="15" t="str">
        <f t="shared" si="247"/>
        <v>VIC</v>
      </c>
      <c r="H744" s="15">
        <f t="shared" si="248"/>
        <v>3477</v>
      </c>
      <c r="I744" s="15">
        <f t="shared" si="259"/>
        <v>1565</v>
      </c>
      <c r="J744" s="15">
        <f>OrdersTable!B744</f>
        <v>769</v>
      </c>
      <c r="K744" s="15" t="str">
        <f t="shared" si="249"/>
        <v>Statues and Busts</v>
      </c>
      <c r="L744" s="15" t="str">
        <f t="shared" si="250"/>
        <v>Doctor Who: Legends Forever Bust: Tom Baker</v>
      </c>
      <c r="M744" s="15" t="str">
        <f t="shared" si="251"/>
        <v>-</v>
      </c>
      <c r="N744" s="15">
        <f t="shared" si="252"/>
        <v>1.375</v>
      </c>
      <c r="O744" s="15" t="str">
        <f t="shared" si="253"/>
        <v>A30</v>
      </c>
      <c r="P744" s="15" t="str">
        <f t="shared" si="254"/>
        <v>Chesterton Enterprises</v>
      </c>
      <c r="Q744" s="15" t="str">
        <f t="shared" si="255"/>
        <v>41 William Russell Road</v>
      </c>
      <c r="R744" s="3">
        <f>OrdersTable!C744</f>
        <v>44615</v>
      </c>
      <c r="S744" s="15">
        <f>OrdersTable!E744</f>
        <v>10</v>
      </c>
      <c r="T744" s="15">
        <f t="shared" si="256"/>
        <v>27.5</v>
      </c>
      <c r="U744" s="15">
        <f t="shared" si="257"/>
        <v>37.76</v>
      </c>
      <c r="V744" s="15">
        <f t="shared" si="258"/>
        <v>44.55</v>
      </c>
      <c r="W744" s="15">
        <f>IF(MarkupType="Store Markup",ROUND(V744+V744*StoreMarkup,2),IF(MarkupType="Supplier Markup",V744+V744*SupplierMarkup,"Error at finding value"))</f>
        <v>70.17</v>
      </c>
      <c r="X744" s="32" t="str">
        <f t="shared" si="260"/>
        <v>0.00</v>
      </c>
      <c r="Y744" s="15">
        <f t="shared" si="261"/>
        <v>445.5</v>
      </c>
      <c r="Z744" s="15">
        <f t="shared" si="262"/>
        <v>701.7</v>
      </c>
      <c r="AA744" s="15">
        <f>IF(FreightType="Lethbridge-Stewart Freight ",ROUND(2.99+IF(N744&gt;0.75,(N744-0.75)*2.25,0)*S744,2),IF(MarkupType="Supplier Markup",V744+V744*SupplierMarkup,"Error at finding value"))</f>
        <v>17.05</v>
      </c>
      <c r="AB744" s="15">
        <f t="shared" si="263"/>
        <v>0</v>
      </c>
    </row>
    <row r="745" spans="1:28" x14ac:dyDescent="0.25">
      <c r="A745" s="16">
        <f>OrdersTable!A745</f>
        <v>474</v>
      </c>
      <c r="B745" s="15" t="str">
        <f t="shared" si="243"/>
        <v>Mr</v>
      </c>
      <c r="C745" s="15" t="str">
        <f t="shared" si="264"/>
        <v>Jooste</v>
      </c>
      <c r="D745" s="15" t="str">
        <f t="shared" si="244"/>
        <v>Nicholas</v>
      </c>
      <c r="E745" s="15" t="str">
        <f t="shared" si="245"/>
        <v>32 Dover Road</v>
      </c>
      <c r="F745" s="15" t="str">
        <f t="shared" si="246"/>
        <v>Belford</v>
      </c>
      <c r="G745" s="15" t="str">
        <f t="shared" si="247"/>
        <v>NSW</v>
      </c>
      <c r="H745" s="15">
        <f t="shared" si="248"/>
        <v>2335</v>
      </c>
      <c r="I745" s="15">
        <f t="shared" si="259"/>
        <v>716</v>
      </c>
      <c r="J745" s="15">
        <f>OrdersTable!B745</f>
        <v>840</v>
      </c>
      <c r="K745" s="15" t="str">
        <f t="shared" si="249"/>
        <v>Statues and Busts</v>
      </c>
      <c r="L745" s="15" t="str">
        <f t="shared" si="250"/>
        <v>Doctor Who: Signature Edition Statue: Gallifrey Edition: Patrick Troughton</v>
      </c>
      <c r="M745" s="15" t="str">
        <f t="shared" si="251"/>
        <v>-</v>
      </c>
      <c r="N745" s="15">
        <f t="shared" si="252"/>
        <v>2.5</v>
      </c>
      <c r="O745" s="15" t="str">
        <f t="shared" si="253"/>
        <v>A40</v>
      </c>
      <c r="P745" s="15" t="str">
        <f t="shared" si="254"/>
        <v>Romana Imports</v>
      </c>
      <c r="Q745" s="15" t="str">
        <f t="shared" si="255"/>
        <v>17 Lalla Ward Road</v>
      </c>
      <c r="R745" s="3">
        <f>OrdersTable!C745</f>
        <v>44615</v>
      </c>
      <c r="S745" s="15">
        <f>OrdersTable!E745</f>
        <v>8</v>
      </c>
      <c r="T745" s="15">
        <f t="shared" si="256"/>
        <v>49.99</v>
      </c>
      <c r="U745" s="15">
        <f t="shared" si="257"/>
        <v>68.510000000000005</v>
      </c>
      <c r="V745" s="15">
        <f t="shared" si="258"/>
        <v>80.98</v>
      </c>
      <c r="W745" s="15">
        <f>IF(MarkupType="Store Markup",ROUND(V745+V745*StoreMarkup,2),IF(MarkupType="Supplier Markup",V745+V745*SupplierMarkup,"Error at finding value"))</f>
        <v>127.54</v>
      </c>
      <c r="X745" s="32">
        <f t="shared" si="260"/>
        <v>9.09</v>
      </c>
      <c r="Y745" s="15">
        <f t="shared" si="261"/>
        <v>647.84</v>
      </c>
      <c r="Z745" s="15">
        <f t="shared" si="262"/>
        <v>947.6</v>
      </c>
      <c r="AA745" s="15">
        <f>IF(FreightType="Lethbridge-Stewart Freight ",ROUND(2.99+IF(N745&gt;0.75,(N745-0.75)*2.25,0)*S745,2),IF(MarkupType="Supplier Markup",V745+V745*SupplierMarkup,"Error at finding value"))</f>
        <v>34.49</v>
      </c>
      <c r="AB745" s="15">
        <f t="shared" si="263"/>
        <v>72.72</v>
      </c>
    </row>
    <row r="746" spans="1:28" x14ac:dyDescent="0.25">
      <c r="A746" s="16">
        <f>OrdersTable!A746</f>
        <v>491</v>
      </c>
      <c r="B746" s="15" t="str">
        <f t="shared" si="243"/>
        <v>Miss</v>
      </c>
      <c r="C746" s="15" t="str">
        <f t="shared" si="264"/>
        <v>Winks</v>
      </c>
      <c r="D746" s="15" t="str">
        <f t="shared" si="244"/>
        <v>Lori-Ann</v>
      </c>
      <c r="E746" s="15" t="str">
        <f t="shared" si="245"/>
        <v>40 Lyne Street</v>
      </c>
      <c r="F746" s="15" t="str">
        <f t="shared" si="246"/>
        <v>Bray Park</v>
      </c>
      <c r="G746" s="15" t="str">
        <f t="shared" si="247"/>
        <v>QLD</v>
      </c>
      <c r="H746" s="15">
        <f t="shared" si="248"/>
        <v>4500</v>
      </c>
      <c r="I746" s="15">
        <f t="shared" si="259"/>
        <v>139</v>
      </c>
      <c r="J746" s="15">
        <f>OrdersTable!B746</f>
        <v>683</v>
      </c>
      <c r="K746" s="15" t="str">
        <f t="shared" si="249"/>
        <v>Mugs</v>
      </c>
      <c r="L746" s="15" t="str">
        <f t="shared" si="250"/>
        <v>Doctor Who: Mug: The Tenth Doctor</v>
      </c>
      <c r="M746" s="15" t="str">
        <f t="shared" si="251"/>
        <v>-</v>
      </c>
      <c r="N746" s="15">
        <f t="shared" si="252"/>
        <v>0.45</v>
      </c>
      <c r="O746" s="15" t="str">
        <f t="shared" si="253"/>
        <v>A20</v>
      </c>
      <c r="P746" s="15" t="str">
        <f t="shared" si="254"/>
        <v>Morbius Inc.</v>
      </c>
      <c r="Q746" s="15" t="str">
        <f t="shared" si="255"/>
        <v>56 Michael Spice Hwy</v>
      </c>
      <c r="R746" s="3">
        <f>OrdersTable!C746</f>
        <v>44615</v>
      </c>
      <c r="S746" s="15">
        <f>OrdersTable!E746</f>
        <v>1</v>
      </c>
      <c r="T746" s="15">
        <f t="shared" si="256"/>
        <v>8.99</v>
      </c>
      <c r="U746" s="15">
        <f t="shared" si="257"/>
        <v>12.54</v>
      </c>
      <c r="V746" s="15">
        <f t="shared" si="258"/>
        <v>14.56</v>
      </c>
      <c r="W746" s="15">
        <f>IF(MarkupType="Store Markup",ROUND(V746+V746*StoreMarkup,2),IF(MarkupType="Supplier Markup",V746+V746*SupplierMarkup,"Error at finding value"))</f>
        <v>22.93</v>
      </c>
      <c r="X746" s="32" t="str">
        <f t="shared" si="260"/>
        <v>0.00</v>
      </c>
      <c r="Y746" s="15">
        <f t="shared" si="261"/>
        <v>14.56</v>
      </c>
      <c r="Z746" s="15">
        <f t="shared" si="262"/>
        <v>22.93</v>
      </c>
      <c r="AA746" s="15">
        <f>IF(FreightType="Lethbridge-Stewart Freight ",ROUND(2.99+IF(N746&gt;0.75,(N746-0.75)*2.25,0)*S746,2),IF(MarkupType="Supplier Markup",V746+V746*SupplierMarkup,"Error at finding value"))</f>
        <v>2.99</v>
      </c>
      <c r="AB746" s="15">
        <f t="shared" si="263"/>
        <v>0</v>
      </c>
    </row>
    <row r="747" spans="1:28" x14ac:dyDescent="0.25">
      <c r="A747" s="16">
        <f>OrdersTable!A747</f>
        <v>500</v>
      </c>
      <c r="B747" s="15" t="str">
        <f t="shared" si="243"/>
        <v>Ms</v>
      </c>
      <c r="C747" s="15" t="str">
        <f t="shared" si="264"/>
        <v>Helmers</v>
      </c>
      <c r="D747" s="15" t="str">
        <f t="shared" si="244"/>
        <v>Kristy-Lee</v>
      </c>
      <c r="E747" s="15" t="str">
        <f t="shared" si="245"/>
        <v>43 Welthagen Court</v>
      </c>
      <c r="F747" s="15" t="str">
        <f t="shared" si="246"/>
        <v>Areegra</v>
      </c>
      <c r="G747" s="15" t="str">
        <f t="shared" si="247"/>
        <v>VIC</v>
      </c>
      <c r="H747" s="15">
        <f t="shared" si="248"/>
        <v>3480</v>
      </c>
      <c r="I747" s="15">
        <f t="shared" si="259"/>
        <v>1559</v>
      </c>
      <c r="J747" s="15">
        <f>OrdersTable!B747</f>
        <v>701</v>
      </c>
      <c r="K747" s="15" t="str">
        <f t="shared" si="249"/>
        <v>Posters, Prints and Standees</v>
      </c>
      <c r="L747" s="15" t="str">
        <f t="shared" si="250"/>
        <v>Doctor Who: Half Sized Standee: The TARDIS</v>
      </c>
      <c r="M747" s="15" t="str">
        <f t="shared" si="251"/>
        <v>-</v>
      </c>
      <c r="N747" s="15">
        <f t="shared" si="252"/>
        <v>0.5</v>
      </c>
      <c r="O747" s="15" t="str">
        <f t="shared" si="253"/>
        <v>A40</v>
      </c>
      <c r="P747" s="15" t="str">
        <f t="shared" si="254"/>
        <v>Romana Imports</v>
      </c>
      <c r="Q747" s="15" t="str">
        <f t="shared" si="255"/>
        <v>17 Lalla Ward Road</v>
      </c>
      <c r="R747" s="3">
        <f>OrdersTable!C747</f>
        <v>44615</v>
      </c>
      <c r="S747" s="15">
        <f>OrdersTable!E747</f>
        <v>6</v>
      </c>
      <c r="T747" s="15">
        <f t="shared" si="256"/>
        <v>9.99</v>
      </c>
      <c r="U747" s="15">
        <f t="shared" si="257"/>
        <v>13.83</v>
      </c>
      <c r="V747" s="15">
        <f t="shared" si="258"/>
        <v>16.18</v>
      </c>
      <c r="W747" s="15">
        <f>IF(MarkupType="Store Markup",ROUND(V747+V747*StoreMarkup,2),IF(MarkupType="Supplier Markup",V747+V747*SupplierMarkup,"Error at finding value"))</f>
        <v>25.48</v>
      </c>
      <c r="X747" s="32" t="str">
        <f t="shared" si="260"/>
        <v>0.00</v>
      </c>
      <c r="Y747" s="15">
        <f t="shared" si="261"/>
        <v>97.08</v>
      </c>
      <c r="Z747" s="15">
        <f t="shared" si="262"/>
        <v>152.88</v>
      </c>
      <c r="AA747" s="15">
        <f>IF(FreightType="Lethbridge-Stewart Freight ",ROUND(2.99+IF(N747&gt;0.75,(N747-0.75)*2.25,0)*S747,2),IF(MarkupType="Supplier Markup",V747+V747*SupplierMarkup,"Error at finding value"))</f>
        <v>2.99</v>
      </c>
      <c r="AB747" s="15">
        <f t="shared" si="263"/>
        <v>0</v>
      </c>
    </row>
    <row r="748" spans="1:28" x14ac:dyDescent="0.25">
      <c r="A748" s="16">
        <f>OrdersTable!A748</f>
        <v>527</v>
      </c>
      <c r="B748" s="15" t="str">
        <f t="shared" si="243"/>
        <v>Mr</v>
      </c>
      <c r="C748" s="15" t="str">
        <f t="shared" si="264"/>
        <v>McTaggart</v>
      </c>
      <c r="D748" s="15" t="str">
        <f t="shared" si="244"/>
        <v>Daniel</v>
      </c>
      <c r="E748" s="15" t="str">
        <f t="shared" si="245"/>
        <v>24 Mulholland Avenue</v>
      </c>
      <c r="F748" s="15" t="str">
        <f t="shared" si="246"/>
        <v>Belconnen</v>
      </c>
      <c r="G748" s="15" t="str">
        <f t="shared" si="247"/>
        <v>ACT</v>
      </c>
      <c r="H748" s="15">
        <f t="shared" si="248"/>
        <v>2617</v>
      </c>
      <c r="I748" s="15">
        <f t="shared" si="259"/>
        <v>1194</v>
      </c>
      <c r="J748" s="15">
        <f>OrdersTable!B748</f>
        <v>698</v>
      </c>
      <c r="K748" s="15" t="str">
        <f t="shared" si="249"/>
        <v>Posters, Prints and Standees</v>
      </c>
      <c r="L748" s="15" t="str">
        <f t="shared" si="250"/>
        <v>Doctor Who: Art Print: My Mysterious Doctor</v>
      </c>
      <c r="M748" s="15" t="str">
        <f t="shared" si="251"/>
        <v>-</v>
      </c>
      <c r="N748" s="15">
        <f t="shared" si="252"/>
        <v>0.75</v>
      </c>
      <c r="O748" s="15" t="str">
        <f t="shared" si="253"/>
        <v>A30</v>
      </c>
      <c r="P748" s="15" t="str">
        <f t="shared" si="254"/>
        <v>Chesterton Enterprises</v>
      </c>
      <c r="Q748" s="15" t="str">
        <f t="shared" si="255"/>
        <v>41 William Russell Road</v>
      </c>
      <c r="R748" s="3">
        <f>OrdersTable!C748</f>
        <v>44615</v>
      </c>
      <c r="S748" s="15">
        <f>OrdersTable!E748</f>
        <v>7</v>
      </c>
      <c r="T748" s="15">
        <f t="shared" si="256"/>
        <v>14.99</v>
      </c>
      <c r="U748" s="15">
        <f t="shared" si="257"/>
        <v>20.56</v>
      </c>
      <c r="V748" s="15">
        <f t="shared" si="258"/>
        <v>24.28</v>
      </c>
      <c r="W748" s="15">
        <f>IF(MarkupType="Store Markup",ROUND(V748+V748*StoreMarkup,2),IF(MarkupType="Supplier Markup",V748+V748*SupplierMarkup,"Error at finding value"))</f>
        <v>38.24</v>
      </c>
      <c r="X748" s="32" t="str">
        <f t="shared" si="260"/>
        <v>0.00</v>
      </c>
      <c r="Y748" s="15">
        <f t="shared" si="261"/>
        <v>169.96</v>
      </c>
      <c r="Z748" s="15">
        <f t="shared" si="262"/>
        <v>267.68</v>
      </c>
      <c r="AA748" s="15">
        <f>IF(FreightType="Lethbridge-Stewart Freight ",ROUND(2.99+IF(N748&gt;0.75,(N748-0.75)*2.25,0)*S748,2),IF(MarkupType="Supplier Markup",V748+V748*SupplierMarkup,"Error at finding value"))</f>
        <v>2.99</v>
      </c>
      <c r="AB748" s="15">
        <f t="shared" si="263"/>
        <v>0</v>
      </c>
    </row>
    <row r="749" spans="1:28" x14ac:dyDescent="0.25">
      <c r="A749" s="16">
        <f>OrdersTable!A749</f>
        <v>538</v>
      </c>
      <c r="B749" s="15" t="str">
        <f t="shared" si="243"/>
        <v>Dr</v>
      </c>
      <c r="C749" s="15" t="str">
        <f t="shared" si="264"/>
        <v>Radovic</v>
      </c>
      <c r="D749" s="15" t="str">
        <f t="shared" si="244"/>
        <v>Harley Benjamin</v>
      </c>
      <c r="E749" s="15" t="str">
        <f t="shared" si="245"/>
        <v>50 Hocking Way</v>
      </c>
      <c r="F749" s="15" t="str">
        <f t="shared" si="246"/>
        <v>Bray Park</v>
      </c>
      <c r="G749" s="15" t="str">
        <f t="shared" si="247"/>
        <v>QLD</v>
      </c>
      <c r="H749" s="15">
        <f t="shared" si="248"/>
        <v>4500</v>
      </c>
      <c r="I749" s="15">
        <f t="shared" si="259"/>
        <v>139</v>
      </c>
      <c r="J749" s="15">
        <f>OrdersTable!B749</f>
        <v>196</v>
      </c>
      <c r="K749" s="15" t="str">
        <f t="shared" si="249"/>
        <v>Clothing and Apparel</v>
      </c>
      <c r="L749" s="15" t="str">
        <f t="shared" si="250"/>
        <v>Doctor Who: 12 Foot Tom Baker Scarf</v>
      </c>
      <c r="M749" s="15" t="str">
        <f t="shared" si="251"/>
        <v>-</v>
      </c>
      <c r="N749" s="15">
        <f t="shared" si="252"/>
        <v>2.5</v>
      </c>
      <c r="O749" s="15" t="str">
        <f t="shared" si="253"/>
        <v>A40</v>
      </c>
      <c r="P749" s="15" t="str">
        <f t="shared" si="254"/>
        <v>Romana Imports</v>
      </c>
      <c r="Q749" s="15" t="str">
        <f t="shared" si="255"/>
        <v>17 Lalla Ward Road</v>
      </c>
      <c r="R749" s="3">
        <f>OrdersTable!C749</f>
        <v>44615</v>
      </c>
      <c r="S749" s="15">
        <f>OrdersTable!E749</f>
        <v>7</v>
      </c>
      <c r="T749" s="15">
        <f t="shared" si="256"/>
        <v>49.99</v>
      </c>
      <c r="U749" s="15">
        <f t="shared" si="257"/>
        <v>68.28</v>
      </c>
      <c r="V749" s="15">
        <f t="shared" si="258"/>
        <v>80.98</v>
      </c>
      <c r="W749" s="15">
        <f>IF(MarkupType="Store Markup",ROUND(V749+V749*StoreMarkup,2),IF(MarkupType="Supplier Markup",V749+V749*SupplierMarkup,"Error at finding value"))</f>
        <v>127.54</v>
      </c>
      <c r="X749" s="32">
        <f t="shared" si="260"/>
        <v>9.09</v>
      </c>
      <c r="Y749" s="15">
        <f t="shared" si="261"/>
        <v>566.86</v>
      </c>
      <c r="Z749" s="15">
        <f t="shared" si="262"/>
        <v>829.15</v>
      </c>
      <c r="AA749" s="15">
        <f>IF(FreightType="Lethbridge-Stewart Freight ",ROUND(2.99+IF(N749&gt;0.75,(N749-0.75)*2.25,0)*S749,2),IF(MarkupType="Supplier Markup",V749+V749*SupplierMarkup,"Error at finding value"))</f>
        <v>30.55</v>
      </c>
      <c r="AB749" s="15">
        <f t="shared" si="263"/>
        <v>63.63</v>
      </c>
    </row>
    <row r="750" spans="1:28" x14ac:dyDescent="0.25">
      <c r="A750" s="16">
        <f>OrdersTable!A750</f>
        <v>546</v>
      </c>
      <c r="B750" s="15" t="str">
        <f t="shared" si="243"/>
        <v>Ms</v>
      </c>
      <c r="C750" s="15" t="str">
        <f t="shared" si="264"/>
        <v>Shortt</v>
      </c>
      <c r="D750" s="15" t="str">
        <f t="shared" si="244"/>
        <v>Rickylee Sidonia</v>
      </c>
      <c r="E750" s="15" t="str">
        <f t="shared" si="245"/>
        <v>4 Hughes Road</v>
      </c>
      <c r="F750" s="15" t="str">
        <f t="shared" si="246"/>
        <v>Glenfern</v>
      </c>
      <c r="G750" s="15" t="str">
        <f t="shared" si="247"/>
        <v>QLD</v>
      </c>
      <c r="H750" s="15">
        <f t="shared" si="248"/>
        <v>4515</v>
      </c>
      <c r="I750" s="15">
        <f t="shared" si="259"/>
        <v>128</v>
      </c>
      <c r="J750" s="15">
        <f>OrdersTable!B750</f>
        <v>702</v>
      </c>
      <c r="K750" s="15" t="str">
        <f t="shared" si="249"/>
        <v>Posters, Prints and Standees</v>
      </c>
      <c r="L750" s="15" t="str">
        <f t="shared" si="250"/>
        <v>Doctor Who: Poster: Daleks</v>
      </c>
      <c r="M750" s="15" t="str">
        <f t="shared" si="251"/>
        <v>-</v>
      </c>
      <c r="N750" s="15">
        <f t="shared" si="252"/>
        <v>0.2</v>
      </c>
      <c r="O750" s="15" t="str">
        <f t="shared" si="253"/>
        <v>A50</v>
      </c>
      <c r="P750" s="15" t="str">
        <f t="shared" si="254"/>
        <v>Rassilon Ltd.</v>
      </c>
      <c r="Q750" s="15" t="str">
        <f t="shared" si="255"/>
        <v>82 Richard Mathews Road</v>
      </c>
      <c r="R750" s="3">
        <f>OrdersTable!C750</f>
        <v>44615</v>
      </c>
      <c r="S750" s="15">
        <f>OrdersTable!E750</f>
        <v>6</v>
      </c>
      <c r="T750" s="15">
        <f t="shared" si="256"/>
        <v>3.99</v>
      </c>
      <c r="U750" s="15">
        <f t="shared" si="257"/>
        <v>5.46</v>
      </c>
      <c r="V750" s="15">
        <f t="shared" si="258"/>
        <v>6.46</v>
      </c>
      <c r="W750" s="15">
        <f>IF(MarkupType="Store Markup",ROUND(V750+V750*StoreMarkup,2),IF(MarkupType="Supplier Markup",V750+V750*SupplierMarkup,"Error at finding value"))</f>
        <v>10.17</v>
      </c>
      <c r="X750" s="32" t="str">
        <f t="shared" si="260"/>
        <v>0.00</v>
      </c>
      <c r="Y750" s="15">
        <f t="shared" si="261"/>
        <v>38.76</v>
      </c>
      <c r="Z750" s="15">
        <f t="shared" si="262"/>
        <v>61.02</v>
      </c>
      <c r="AA750" s="15">
        <f>IF(FreightType="Lethbridge-Stewart Freight ",ROUND(2.99+IF(N750&gt;0.75,(N750-0.75)*2.25,0)*S750,2),IF(MarkupType="Supplier Markup",V750+V750*SupplierMarkup,"Error at finding value"))</f>
        <v>2.99</v>
      </c>
      <c r="AB750" s="15">
        <f t="shared" si="263"/>
        <v>0</v>
      </c>
    </row>
    <row r="751" spans="1:28" x14ac:dyDescent="0.25">
      <c r="A751" s="16">
        <f>OrdersTable!A751</f>
        <v>750</v>
      </c>
      <c r="B751" s="15" t="str">
        <f t="shared" si="243"/>
        <v>Ms</v>
      </c>
      <c r="C751" s="15" t="str">
        <f t="shared" si="264"/>
        <v>Talbot</v>
      </c>
      <c r="D751" s="15" t="str">
        <f t="shared" si="244"/>
        <v>Carlie Wenderly</v>
      </c>
      <c r="E751" s="15" t="str">
        <f t="shared" si="245"/>
        <v>31 Somerville Way</v>
      </c>
      <c r="F751" s="15" t="str">
        <f t="shared" si="246"/>
        <v>Boston</v>
      </c>
      <c r="G751" s="15" t="str">
        <f t="shared" si="247"/>
        <v>SA</v>
      </c>
      <c r="H751" s="15">
        <f t="shared" si="248"/>
        <v>5607</v>
      </c>
      <c r="I751" s="15">
        <f t="shared" si="259"/>
        <v>2076</v>
      </c>
      <c r="J751" s="15">
        <f>OrdersTable!B751</f>
        <v>813</v>
      </c>
      <c r="K751" s="15" t="str">
        <f t="shared" si="249"/>
        <v>Statues and Busts</v>
      </c>
      <c r="L751" s="15" t="str">
        <f t="shared" si="250"/>
        <v>Doctor Who: Masterpiece Collection Maxi Bust: Leela</v>
      </c>
      <c r="M751" s="15" t="str">
        <f t="shared" si="251"/>
        <v>-</v>
      </c>
      <c r="N751" s="15">
        <f t="shared" si="252"/>
        <v>2.5</v>
      </c>
      <c r="O751" s="15" t="str">
        <f t="shared" si="253"/>
        <v>A30</v>
      </c>
      <c r="P751" s="15" t="str">
        <f t="shared" si="254"/>
        <v>Chesterton Enterprises</v>
      </c>
      <c r="Q751" s="15" t="str">
        <f t="shared" si="255"/>
        <v>41 William Russell Road</v>
      </c>
      <c r="R751" s="3">
        <f>OrdersTable!C751</f>
        <v>44615</v>
      </c>
      <c r="S751" s="15">
        <f>OrdersTable!E751</f>
        <v>10</v>
      </c>
      <c r="T751" s="15">
        <f t="shared" si="256"/>
        <v>49.99</v>
      </c>
      <c r="U751" s="15">
        <f t="shared" si="257"/>
        <v>68.319999999999993</v>
      </c>
      <c r="V751" s="15">
        <f t="shared" si="258"/>
        <v>80.98</v>
      </c>
      <c r="W751" s="15">
        <f>IF(MarkupType="Store Markup",ROUND(V751+V751*StoreMarkup,2),IF(MarkupType="Supplier Markup",V751+V751*SupplierMarkup,"Error at finding value"))</f>
        <v>127.54</v>
      </c>
      <c r="X751" s="32">
        <f t="shared" si="260"/>
        <v>9.09</v>
      </c>
      <c r="Y751" s="15">
        <f t="shared" si="261"/>
        <v>809.8</v>
      </c>
      <c r="Z751" s="15">
        <f t="shared" si="262"/>
        <v>1184.5</v>
      </c>
      <c r="AA751" s="15">
        <f>IF(FreightType="Lethbridge-Stewart Freight ",ROUND(2.99+IF(N751&gt;0.75,(N751-0.75)*2.25,0)*S751,2),IF(MarkupType="Supplier Markup",V751+V751*SupplierMarkup,"Error at finding value"))</f>
        <v>42.37</v>
      </c>
      <c r="AB751" s="15">
        <f t="shared" si="263"/>
        <v>90.9</v>
      </c>
    </row>
    <row r="752" spans="1:28" x14ac:dyDescent="0.25">
      <c r="A752" s="16">
        <f>OrdersTable!A752</f>
        <v>843</v>
      </c>
      <c r="B752" s="15" t="str">
        <f t="shared" si="243"/>
        <v>Mr</v>
      </c>
      <c r="C752" s="15" t="str">
        <f t="shared" si="264"/>
        <v>Goodwin</v>
      </c>
      <c r="D752" s="15" t="str">
        <f t="shared" si="244"/>
        <v>Damon Joel</v>
      </c>
      <c r="E752" s="15" t="str">
        <f t="shared" si="245"/>
        <v>40 Powell Boulevard</v>
      </c>
      <c r="F752" s="15" t="str">
        <f t="shared" si="246"/>
        <v>Abington</v>
      </c>
      <c r="G752" s="15" t="str">
        <f t="shared" si="247"/>
        <v>QLD</v>
      </c>
      <c r="H752" s="15">
        <f t="shared" si="248"/>
        <v>4660</v>
      </c>
      <c r="I752" s="15">
        <f t="shared" si="259"/>
        <v>336</v>
      </c>
      <c r="J752" s="15">
        <f>OrdersTable!B752</f>
        <v>702</v>
      </c>
      <c r="K752" s="15" t="str">
        <f t="shared" si="249"/>
        <v>Posters, Prints and Standees</v>
      </c>
      <c r="L752" s="15" t="str">
        <f t="shared" si="250"/>
        <v>Doctor Who: Poster: Daleks</v>
      </c>
      <c r="M752" s="15" t="str">
        <f t="shared" si="251"/>
        <v>-</v>
      </c>
      <c r="N752" s="15">
        <f t="shared" si="252"/>
        <v>0.2</v>
      </c>
      <c r="O752" s="15" t="str">
        <f t="shared" si="253"/>
        <v>A50</v>
      </c>
      <c r="P752" s="15" t="str">
        <f t="shared" si="254"/>
        <v>Rassilon Ltd.</v>
      </c>
      <c r="Q752" s="15" t="str">
        <f t="shared" si="255"/>
        <v>82 Richard Mathews Road</v>
      </c>
      <c r="R752" s="3">
        <f>OrdersTable!C752</f>
        <v>44615</v>
      </c>
      <c r="S752" s="15">
        <f>OrdersTable!E752</f>
        <v>8</v>
      </c>
      <c r="T752" s="15">
        <f t="shared" si="256"/>
        <v>3.99</v>
      </c>
      <c r="U752" s="15">
        <f t="shared" si="257"/>
        <v>5.46</v>
      </c>
      <c r="V752" s="15">
        <f t="shared" si="258"/>
        <v>6.46</v>
      </c>
      <c r="W752" s="15">
        <f>IF(MarkupType="Store Markup",ROUND(V752+V752*StoreMarkup,2),IF(MarkupType="Supplier Markup",V752+V752*SupplierMarkup,"Error at finding value"))</f>
        <v>10.17</v>
      </c>
      <c r="X752" s="32" t="str">
        <f t="shared" si="260"/>
        <v>0.00</v>
      </c>
      <c r="Y752" s="15">
        <f t="shared" si="261"/>
        <v>51.68</v>
      </c>
      <c r="Z752" s="15">
        <f t="shared" si="262"/>
        <v>81.36</v>
      </c>
      <c r="AA752" s="15">
        <f>IF(FreightType="Lethbridge-Stewart Freight ",ROUND(2.99+IF(N752&gt;0.75,(N752-0.75)*2.25,0)*S752,2),IF(MarkupType="Supplier Markup",V752+V752*SupplierMarkup,"Error at finding value"))</f>
        <v>2.99</v>
      </c>
      <c r="AB752" s="15">
        <f t="shared" si="263"/>
        <v>0</v>
      </c>
    </row>
    <row r="753" spans="1:28" x14ac:dyDescent="0.25">
      <c r="A753" s="16">
        <f>OrdersTable!A753</f>
        <v>923</v>
      </c>
      <c r="B753" s="15" t="str">
        <f t="shared" si="243"/>
        <v>Ms</v>
      </c>
      <c r="C753" s="15" t="str">
        <f t="shared" si="264"/>
        <v>Savage</v>
      </c>
      <c r="D753" s="15" t="str">
        <f t="shared" si="244"/>
        <v>Eliza Margaret</v>
      </c>
      <c r="E753" s="15" t="str">
        <f t="shared" si="245"/>
        <v>28 Whisson Crescent</v>
      </c>
      <c r="F753" s="15" t="str">
        <f t="shared" si="246"/>
        <v>Belconnen</v>
      </c>
      <c r="G753" s="15" t="str">
        <f t="shared" si="247"/>
        <v>ACT</v>
      </c>
      <c r="H753" s="15">
        <f t="shared" si="248"/>
        <v>2617</v>
      </c>
      <c r="I753" s="15">
        <f t="shared" si="259"/>
        <v>1194</v>
      </c>
      <c r="J753" s="15">
        <f>OrdersTable!B753</f>
        <v>177</v>
      </c>
      <c r="K753" s="15" t="str">
        <f t="shared" si="249"/>
        <v>Bobbleheads</v>
      </c>
      <c r="L753" s="15" t="str">
        <f t="shared" si="250"/>
        <v>Doctor Who: Bobblehead: TARDIS (With Sound)</v>
      </c>
      <c r="M753" s="15" t="str">
        <f t="shared" si="251"/>
        <v>-</v>
      </c>
      <c r="N753" s="15">
        <f t="shared" si="252"/>
        <v>1</v>
      </c>
      <c r="O753" s="15" t="str">
        <f t="shared" si="253"/>
        <v>A30</v>
      </c>
      <c r="P753" s="15" t="str">
        <f t="shared" si="254"/>
        <v>Chesterton Enterprises</v>
      </c>
      <c r="Q753" s="15" t="str">
        <f t="shared" si="255"/>
        <v>41 William Russell Road</v>
      </c>
      <c r="R753" s="3">
        <f>OrdersTable!C753</f>
        <v>44615</v>
      </c>
      <c r="S753" s="15">
        <f>OrdersTable!E753</f>
        <v>7</v>
      </c>
      <c r="T753" s="15">
        <f t="shared" si="256"/>
        <v>19.989999999999998</v>
      </c>
      <c r="U753" s="15">
        <f t="shared" si="257"/>
        <v>27.6</v>
      </c>
      <c r="V753" s="15">
        <f t="shared" si="258"/>
        <v>32.380000000000003</v>
      </c>
      <c r="W753" s="15">
        <f>IF(MarkupType="Store Markup",ROUND(V753+V753*StoreMarkup,2),IF(MarkupType="Supplier Markup",V753+V753*SupplierMarkup,"Error at finding value"))</f>
        <v>51</v>
      </c>
      <c r="X753" s="32" t="str">
        <f t="shared" si="260"/>
        <v>0.00</v>
      </c>
      <c r="Y753" s="15">
        <f t="shared" si="261"/>
        <v>226.66</v>
      </c>
      <c r="Z753" s="15">
        <f t="shared" si="262"/>
        <v>357</v>
      </c>
      <c r="AA753" s="15">
        <f>IF(FreightType="Lethbridge-Stewart Freight ",ROUND(2.99+IF(N753&gt;0.75,(N753-0.75)*2.25,0)*S753,2),IF(MarkupType="Supplier Markup",V753+V753*SupplierMarkup,"Error at finding value"))</f>
        <v>6.93</v>
      </c>
      <c r="AB753" s="15">
        <f t="shared" si="263"/>
        <v>0</v>
      </c>
    </row>
    <row r="754" spans="1:28" x14ac:dyDescent="0.25">
      <c r="A754" s="16">
        <f>OrdersTable!A754</f>
        <v>158</v>
      </c>
      <c r="B754" s="15" t="str">
        <f t="shared" si="243"/>
        <v>Mr</v>
      </c>
      <c r="C754" s="15" t="str">
        <f t="shared" si="264"/>
        <v>Fowler</v>
      </c>
      <c r="D754" s="15" t="str">
        <f t="shared" si="244"/>
        <v>James</v>
      </c>
      <c r="E754" s="15" t="str">
        <f t="shared" si="245"/>
        <v>30 Virk Court</v>
      </c>
      <c r="F754" s="15" t="str">
        <f t="shared" si="246"/>
        <v>Black Hills</v>
      </c>
      <c r="G754" s="15" t="str">
        <f t="shared" si="247"/>
        <v>TAS</v>
      </c>
      <c r="H754" s="15">
        <f t="shared" si="248"/>
        <v>7140</v>
      </c>
      <c r="I754" s="15">
        <f t="shared" si="259"/>
        <v>2191</v>
      </c>
      <c r="J754" s="15">
        <f>OrdersTable!B754</f>
        <v>164</v>
      </c>
      <c r="K754" s="15" t="str">
        <f t="shared" si="249"/>
        <v>Bobbleheads</v>
      </c>
      <c r="L754" s="15" t="str">
        <f t="shared" si="250"/>
        <v>Doctor Who: Bobblehead: Fourth Doctor</v>
      </c>
      <c r="M754" s="15" t="str">
        <f t="shared" si="251"/>
        <v>-</v>
      </c>
      <c r="N754" s="15">
        <f t="shared" si="252"/>
        <v>0.75</v>
      </c>
      <c r="O754" s="15" t="str">
        <f t="shared" si="253"/>
        <v>A40</v>
      </c>
      <c r="P754" s="15" t="str">
        <f t="shared" si="254"/>
        <v>Romana Imports</v>
      </c>
      <c r="Q754" s="15" t="str">
        <f t="shared" si="255"/>
        <v>17 Lalla Ward Road</v>
      </c>
      <c r="R754" s="3">
        <f>OrdersTable!C754</f>
        <v>44616</v>
      </c>
      <c r="S754" s="15">
        <f>OrdersTable!E754</f>
        <v>10</v>
      </c>
      <c r="T754" s="15">
        <f t="shared" si="256"/>
        <v>14.99</v>
      </c>
      <c r="U754" s="15">
        <f t="shared" si="257"/>
        <v>20.53</v>
      </c>
      <c r="V754" s="15">
        <f t="shared" si="258"/>
        <v>24.28</v>
      </c>
      <c r="W754" s="15">
        <f>IF(MarkupType="Store Markup",ROUND(V754+V754*StoreMarkup,2),IF(MarkupType="Supplier Markup",V754+V754*SupplierMarkup,"Error at finding value"))</f>
        <v>38.24</v>
      </c>
      <c r="X754" s="32" t="str">
        <f t="shared" si="260"/>
        <v>0.00</v>
      </c>
      <c r="Y754" s="15">
        <f t="shared" si="261"/>
        <v>242.8</v>
      </c>
      <c r="Z754" s="15">
        <f t="shared" si="262"/>
        <v>382.4</v>
      </c>
      <c r="AA754" s="15">
        <f>IF(FreightType="Lethbridge-Stewart Freight ",ROUND(2.99+IF(N754&gt;0.75,(N754-0.75)*2.25,0)*S754,2),IF(MarkupType="Supplier Markup",V754+V754*SupplierMarkup,"Error at finding value"))</f>
        <v>2.99</v>
      </c>
      <c r="AB754" s="15">
        <f t="shared" si="263"/>
        <v>0</v>
      </c>
    </row>
    <row r="755" spans="1:28" x14ac:dyDescent="0.25">
      <c r="A755" s="16">
        <f>OrdersTable!A755</f>
        <v>180</v>
      </c>
      <c r="B755" s="15" t="str">
        <f t="shared" si="243"/>
        <v>Mrs</v>
      </c>
      <c r="C755" s="15" t="str">
        <f t="shared" si="264"/>
        <v>Feeney</v>
      </c>
      <c r="D755" s="15" t="str">
        <f t="shared" si="244"/>
        <v>Jennifer Ruth</v>
      </c>
      <c r="E755" s="15" t="str">
        <f t="shared" si="245"/>
        <v>18 Cook Avenue</v>
      </c>
      <c r="F755" s="15" t="str">
        <f t="shared" si="246"/>
        <v>Nayook</v>
      </c>
      <c r="G755" s="15" t="str">
        <f t="shared" si="247"/>
        <v>VIC</v>
      </c>
      <c r="H755" s="15">
        <f t="shared" si="248"/>
        <v>3832</v>
      </c>
      <c r="I755" s="15">
        <f t="shared" si="259"/>
        <v>1552</v>
      </c>
      <c r="J755" s="15">
        <f>OrdersTable!B755</f>
        <v>685</v>
      </c>
      <c r="K755" s="15" t="str">
        <f t="shared" si="249"/>
        <v>Mugs</v>
      </c>
      <c r="L755" s="15" t="str">
        <f t="shared" si="250"/>
        <v>Doctor Who: Teapot: Sliver TARDIS</v>
      </c>
      <c r="M755" s="15" t="str">
        <f t="shared" si="251"/>
        <v>-</v>
      </c>
      <c r="N755" s="15">
        <f t="shared" si="252"/>
        <v>1.35</v>
      </c>
      <c r="O755" s="15" t="str">
        <f t="shared" si="253"/>
        <v>A30</v>
      </c>
      <c r="P755" s="15" t="str">
        <f t="shared" si="254"/>
        <v>Chesterton Enterprises</v>
      </c>
      <c r="Q755" s="15" t="str">
        <f t="shared" si="255"/>
        <v>41 William Russell Road</v>
      </c>
      <c r="R755" s="3">
        <f>OrdersTable!C755</f>
        <v>44616</v>
      </c>
      <c r="S755" s="15">
        <f>OrdersTable!E755</f>
        <v>2</v>
      </c>
      <c r="T755" s="15">
        <f t="shared" si="256"/>
        <v>26.99</v>
      </c>
      <c r="U755" s="15">
        <f t="shared" si="257"/>
        <v>36.869999999999997</v>
      </c>
      <c r="V755" s="15">
        <f t="shared" si="258"/>
        <v>43.72</v>
      </c>
      <c r="W755" s="15">
        <f>IF(MarkupType="Store Markup",ROUND(V755+V755*StoreMarkup,2),IF(MarkupType="Supplier Markup",V755+V755*SupplierMarkup,"Error at finding value"))</f>
        <v>68.86</v>
      </c>
      <c r="X755" s="32" t="str">
        <f t="shared" si="260"/>
        <v>0.00</v>
      </c>
      <c r="Y755" s="15">
        <f t="shared" si="261"/>
        <v>87.44</v>
      </c>
      <c r="Z755" s="15">
        <f t="shared" si="262"/>
        <v>137.72</v>
      </c>
      <c r="AA755" s="15">
        <f>IF(FreightType="Lethbridge-Stewart Freight ",ROUND(2.99+IF(N755&gt;0.75,(N755-0.75)*2.25,0)*S755,2),IF(MarkupType="Supplier Markup",V755+V755*SupplierMarkup,"Error at finding value"))</f>
        <v>5.69</v>
      </c>
      <c r="AB755" s="15">
        <f t="shared" si="263"/>
        <v>0</v>
      </c>
    </row>
    <row r="756" spans="1:28" x14ac:dyDescent="0.25">
      <c r="A756" s="16">
        <f>OrdersTable!A756</f>
        <v>249</v>
      </c>
      <c r="B756" s="15" t="str">
        <f t="shared" si="243"/>
        <v>Mr</v>
      </c>
      <c r="C756" s="15" t="str">
        <f t="shared" si="264"/>
        <v>Sinclair</v>
      </c>
      <c r="D756" s="15" t="str">
        <f t="shared" si="244"/>
        <v>Travis James Foord</v>
      </c>
      <c r="E756" s="15" t="str">
        <f t="shared" si="245"/>
        <v>25 Leunen Avenue</v>
      </c>
      <c r="F756" s="15" t="str">
        <f t="shared" si="246"/>
        <v>Batlow</v>
      </c>
      <c r="G756" s="15" t="str">
        <f t="shared" si="247"/>
        <v>NSW</v>
      </c>
      <c r="H756" s="15">
        <f t="shared" si="248"/>
        <v>2730</v>
      </c>
      <c r="I756" s="15">
        <f t="shared" si="259"/>
        <v>1138</v>
      </c>
      <c r="J756" s="15">
        <f>OrdersTable!B756</f>
        <v>145</v>
      </c>
      <c r="K756" s="15" t="str">
        <f t="shared" si="249"/>
        <v>Bobbleheads</v>
      </c>
      <c r="L756" s="15" t="str">
        <f t="shared" si="250"/>
        <v>Doctor Who: Bobblehead: Eleventh Doctor</v>
      </c>
      <c r="M756" s="15" t="str">
        <f t="shared" si="251"/>
        <v>-</v>
      </c>
      <c r="N756" s="15">
        <f t="shared" si="252"/>
        <v>1</v>
      </c>
      <c r="O756" s="15" t="str">
        <f t="shared" si="253"/>
        <v>A30</v>
      </c>
      <c r="P756" s="15" t="str">
        <f t="shared" si="254"/>
        <v>Chesterton Enterprises</v>
      </c>
      <c r="Q756" s="15" t="str">
        <f t="shared" si="255"/>
        <v>41 William Russell Road</v>
      </c>
      <c r="R756" s="3">
        <f>OrdersTable!C756</f>
        <v>44616</v>
      </c>
      <c r="S756" s="15">
        <f>OrdersTable!E756</f>
        <v>3</v>
      </c>
      <c r="T756" s="15">
        <f t="shared" si="256"/>
        <v>19.989999999999998</v>
      </c>
      <c r="U756" s="15">
        <f t="shared" si="257"/>
        <v>27.54</v>
      </c>
      <c r="V756" s="15">
        <f t="shared" si="258"/>
        <v>32.380000000000003</v>
      </c>
      <c r="W756" s="15">
        <f>IF(MarkupType="Store Markup",ROUND(V756+V756*StoreMarkup,2),IF(MarkupType="Supplier Markup",V756+V756*SupplierMarkup,"Error at finding value"))</f>
        <v>51</v>
      </c>
      <c r="X756" s="32" t="str">
        <f t="shared" si="260"/>
        <v>0.00</v>
      </c>
      <c r="Y756" s="15">
        <f t="shared" si="261"/>
        <v>97.14</v>
      </c>
      <c r="Z756" s="15">
        <f t="shared" si="262"/>
        <v>153</v>
      </c>
      <c r="AA756" s="15">
        <f>IF(FreightType="Lethbridge-Stewart Freight ",ROUND(2.99+IF(N756&gt;0.75,(N756-0.75)*2.25,0)*S756,2),IF(MarkupType="Supplier Markup",V756+V756*SupplierMarkup,"Error at finding value"))</f>
        <v>4.68</v>
      </c>
      <c r="AB756" s="15">
        <f t="shared" si="263"/>
        <v>0</v>
      </c>
    </row>
    <row r="757" spans="1:28" x14ac:dyDescent="0.25">
      <c r="A757" s="16">
        <f>OrdersTable!A757</f>
        <v>249</v>
      </c>
      <c r="B757" s="15" t="str">
        <f t="shared" si="243"/>
        <v>Mr</v>
      </c>
      <c r="C757" s="15" t="str">
        <f t="shared" si="264"/>
        <v>Sinclair</v>
      </c>
      <c r="D757" s="15" t="str">
        <f t="shared" si="244"/>
        <v>Travis James Foord</v>
      </c>
      <c r="E757" s="15" t="str">
        <f t="shared" si="245"/>
        <v>25 Leunen Avenue</v>
      </c>
      <c r="F757" s="15" t="str">
        <f t="shared" si="246"/>
        <v>Batlow</v>
      </c>
      <c r="G757" s="15" t="str">
        <f t="shared" si="247"/>
        <v>NSW</v>
      </c>
      <c r="H757" s="15">
        <f t="shared" si="248"/>
        <v>2730</v>
      </c>
      <c r="I757" s="15">
        <f t="shared" si="259"/>
        <v>1138</v>
      </c>
      <c r="J757" s="15">
        <f>OrdersTable!B757</f>
        <v>726</v>
      </c>
      <c r="K757" s="15" t="str">
        <f t="shared" si="249"/>
        <v>Props and Replicas</v>
      </c>
      <c r="L757" s="15" t="str">
        <f t="shared" si="250"/>
        <v>Doctor Who: Dalek Death Ray</v>
      </c>
      <c r="M757" s="15" t="str">
        <f t="shared" si="251"/>
        <v>-</v>
      </c>
      <c r="N757" s="15">
        <f t="shared" si="252"/>
        <v>18</v>
      </c>
      <c r="O757" s="15" t="str">
        <f t="shared" si="253"/>
        <v>A30</v>
      </c>
      <c r="P757" s="15" t="str">
        <f t="shared" si="254"/>
        <v>Chesterton Enterprises</v>
      </c>
      <c r="Q757" s="15" t="str">
        <f t="shared" si="255"/>
        <v>41 William Russell Road</v>
      </c>
      <c r="R757" s="3">
        <f>OrdersTable!C757</f>
        <v>44616</v>
      </c>
      <c r="S757" s="15">
        <f>OrdersTable!E757</f>
        <v>4</v>
      </c>
      <c r="T757" s="15">
        <f t="shared" si="256"/>
        <v>359.99</v>
      </c>
      <c r="U757" s="15">
        <f t="shared" si="257"/>
        <v>491.12</v>
      </c>
      <c r="V757" s="15">
        <f t="shared" si="258"/>
        <v>583.17999999999995</v>
      </c>
      <c r="W757" s="15">
        <f>IF(MarkupType="Store Markup",ROUND(V757+V757*StoreMarkup,2),IF(MarkupType="Supplier Markup",V757+V757*SupplierMarkup,"Error at finding value"))</f>
        <v>918.51</v>
      </c>
      <c r="X757" s="32">
        <f t="shared" si="260"/>
        <v>65.44</v>
      </c>
      <c r="Y757" s="15">
        <f t="shared" si="261"/>
        <v>2332.7199999999998</v>
      </c>
      <c r="Z757" s="15">
        <f t="shared" si="262"/>
        <v>3412.28</v>
      </c>
      <c r="AA757" s="15">
        <f>IF(FreightType="Lethbridge-Stewart Freight ",ROUND(2.99+IF(N757&gt;0.75,(N757-0.75)*2.25,0)*S757,2),IF(MarkupType="Supplier Markup",V757+V757*SupplierMarkup,"Error at finding value"))</f>
        <v>158.24</v>
      </c>
      <c r="AB757" s="15">
        <f t="shared" si="263"/>
        <v>261.76</v>
      </c>
    </row>
    <row r="758" spans="1:28" x14ac:dyDescent="0.25">
      <c r="A758" s="16">
        <f>OrdersTable!A758</f>
        <v>254</v>
      </c>
      <c r="B758" s="15" t="str">
        <f t="shared" si="243"/>
        <v>Miss</v>
      </c>
      <c r="C758" s="15" t="str">
        <f t="shared" si="264"/>
        <v>Hoolihan</v>
      </c>
      <c r="D758" s="15" t="str">
        <f t="shared" si="244"/>
        <v>Crystal Claire Grace</v>
      </c>
      <c r="E758" s="15" t="str">
        <f t="shared" si="245"/>
        <v>7 Van Riet Avenue</v>
      </c>
      <c r="F758" s="15" t="str">
        <f t="shared" si="246"/>
        <v>Aberfoyle</v>
      </c>
      <c r="G758" s="15" t="str">
        <f t="shared" si="247"/>
        <v>NSW</v>
      </c>
      <c r="H758" s="15">
        <f t="shared" si="248"/>
        <v>2350</v>
      </c>
      <c r="I758" s="15">
        <f t="shared" si="259"/>
        <v>363</v>
      </c>
      <c r="J758" s="15">
        <f>OrdersTable!B758</f>
        <v>543</v>
      </c>
      <c r="K758" s="15" t="str">
        <f t="shared" si="249"/>
        <v>Giftware</v>
      </c>
      <c r="L758" s="15" t="str">
        <f t="shared" si="250"/>
        <v>Doctor Who: Sonic Screwdriver Pen</v>
      </c>
      <c r="M758" s="15" t="str">
        <f t="shared" si="251"/>
        <v>-</v>
      </c>
      <c r="N758" s="15">
        <f t="shared" si="252"/>
        <v>0.65</v>
      </c>
      <c r="O758" s="15" t="str">
        <f t="shared" si="253"/>
        <v>A20</v>
      </c>
      <c r="P758" s="15" t="str">
        <f t="shared" si="254"/>
        <v>Morbius Inc.</v>
      </c>
      <c r="Q758" s="15" t="str">
        <f t="shared" si="255"/>
        <v>56 Michael Spice Hwy</v>
      </c>
      <c r="R758" s="3">
        <f>OrdersTable!C758</f>
        <v>44616</v>
      </c>
      <c r="S758" s="15">
        <f>OrdersTable!E758</f>
        <v>4</v>
      </c>
      <c r="T758" s="15">
        <f t="shared" si="256"/>
        <v>12.99</v>
      </c>
      <c r="U758" s="15">
        <f t="shared" si="257"/>
        <v>18.02</v>
      </c>
      <c r="V758" s="15">
        <f t="shared" si="258"/>
        <v>21.04</v>
      </c>
      <c r="W758" s="15">
        <f>IF(MarkupType="Store Markup",ROUND(V758+V758*StoreMarkup,2),IF(MarkupType="Supplier Markup",V758+V758*SupplierMarkup,"Error at finding value"))</f>
        <v>33.14</v>
      </c>
      <c r="X758" s="32" t="str">
        <f t="shared" si="260"/>
        <v>0.00</v>
      </c>
      <c r="Y758" s="15">
        <f t="shared" si="261"/>
        <v>84.16</v>
      </c>
      <c r="Z758" s="15">
        <f t="shared" si="262"/>
        <v>132.56</v>
      </c>
      <c r="AA758" s="15">
        <f>IF(FreightType="Lethbridge-Stewart Freight ",ROUND(2.99+IF(N758&gt;0.75,(N758-0.75)*2.25,0)*S758,2),IF(MarkupType="Supplier Markup",V758+V758*SupplierMarkup,"Error at finding value"))</f>
        <v>2.99</v>
      </c>
      <c r="AB758" s="15">
        <f t="shared" si="263"/>
        <v>0</v>
      </c>
    </row>
    <row r="759" spans="1:28" x14ac:dyDescent="0.25">
      <c r="A759" s="16">
        <f>OrdersTable!A759</f>
        <v>302</v>
      </c>
      <c r="B759" s="15" t="str">
        <f t="shared" si="243"/>
        <v>Ms</v>
      </c>
      <c r="C759" s="15" t="str">
        <f t="shared" si="264"/>
        <v>Lamshed</v>
      </c>
      <c r="D759" s="15" t="str">
        <f t="shared" si="244"/>
        <v>Laura Clare</v>
      </c>
      <c r="E759" s="15" t="str">
        <f t="shared" si="245"/>
        <v>22 Edser Drive</v>
      </c>
      <c r="F759" s="15" t="str">
        <f t="shared" si="246"/>
        <v>Caliph</v>
      </c>
      <c r="G759" s="15" t="str">
        <f t="shared" si="247"/>
        <v>SA</v>
      </c>
      <c r="H759" s="15">
        <f t="shared" si="248"/>
        <v>5310</v>
      </c>
      <c r="I759" s="15">
        <f t="shared" si="259"/>
        <v>1720</v>
      </c>
      <c r="J759" s="15">
        <f>OrdersTable!B759</f>
        <v>563</v>
      </c>
      <c r="K759" s="15" t="str">
        <f t="shared" si="249"/>
        <v>Giftware</v>
      </c>
      <c r="L759" s="15" t="str">
        <f t="shared" si="250"/>
        <v>Doctor Who: TARDIS Jewellery Box</v>
      </c>
      <c r="M759" s="15" t="str">
        <f t="shared" si="251"/>
        <v>-</v>
      </c>
      <c r="N759" s="15">
        <f t="shared" si="252"/>
        <v>1.1499999999999999</v>
      </c>
      <c r="O759" s="15" t="str">
        <f t="shared" si="253"/>
        <v>A50</v>
      </c>
      <c r="P759" s="15" t="str">
        <f t="shared" si="254"/>
        <v>Rassilon Ltd.</v>
      </c>
      <c r="Q759" s="15" t="str">
        <f t="shared" si="255"/>
        <v>82 Richard Mathews Road</v>
      </c>
      <c r="R759" s="3">
        <f>OrdersTable!C759</f>
        <v>44616</v>
      </c>
      <c r="S759" s="15">
        <f>OrdersTable!E759</f>
        <v>10</v>
      </c>
      <c r="T759" s="15">
        <f t="shared" si="256"/>
        <v>22.99</v>
      </c>
      <c r="U759" s="15">
        <f t="shared" si="257"/>
        <v>31.63</v>
      </c>
      <c r="V759" s="15">
        <f t="shared" si="258"/>
        <v>37.24</v>
      </c>
      <c r="W759" s="15">
        <f>IF(MarkupType="Store Markup",ROUND(V759+V759*StoreMarkup,2),IF(MarkupType="Supplier Markup",V759+V759*SupplierMarkup,"Error at finding value"))</f>
        <v>58.65</v>
      </c>
      <c r="X759" s="32" t="str">
        <f t="shared" si="260"/>
        <v>0.00</v>
      </c>
      <c r="Y759" s="15">
        <f t="shared" si="261"/>
        <v>372.4</v>
      </c>
      <c r="Z759" s="15">
        <f t="shared" si="262"/>
        <v>586.5</v>
      </c>
      <c r="AA759" s="15">
        <f>IF(FreightType="Lethbridge-Stewart Freight ",ROUND(2.99+IF(N759&gt;0.75,(N759-0.75)*2.25,0)*S759,2),IF(MarkupType="Supplier Markup",V759+V759*SupplierMarkup,"Error at finding value"))</f>
        <v>11.99</v>
      </c>
      <c r="AB759" s="15">
        <f t="shared" si="263"/>
        <v>0</v>
      </c>
    </row>
    <row r="760" spans="1:28" x14ac:dyDescent="0.25">
      <c r="A760" s="16">
        <f>OrdersTable!A760</f>
        <v>323</v>
      </c>
      <c r="B760" s="15" t="str">
        <f t="shared" si="243"/>
        <v>Dr</v>
      </c>
      <c r="C760" s="15" t="str">
        <f t="shared" si="264"/>
        <v>King</v>
      </c>
      <c r="D760" s="15" t="str">
        <f t="shared" si="244"/>
        <v>Leith</v>
      </c>
      <c r="E760" s="15" t="str">
        <f t="shared" si="245"/>
        <v>25 Carbone Court</v>
      </c>
      <c r="F760" s="15" t="str">
        <f t="shared" si="246"/>
        <v>Nayook</v>
      </c>
      <c r="G760" s="15" t="str">
        <f t="shared" si="247"/>
        <v>VIC</v>
      </c>
      <c r="H760" s="15">
        <f t="shared" si="248"/>
        <v>3832</v>
      </c>
      <c r="I760" s="15">
        <f t="shared" si="259"/>
        <v>1552</v>
      </c>
      <c r="J760" s="15">
        <f>OrdersTable!B760</f>
        <v>692</v>
      </c>
      <c r="K760" s="15" t="str">
        <f t="shared" si="249"/>
        <v>Posters, Prints and Standees</v>
      </c>
      <c r="L760" s="15" t="str">
        <f t="shared" si="250"/>
        <v>Doctor Who: 16'x12' Framed Print: Exploding TARDIS</v>
      </c>
      <c r="M760" s="15" t="str">
        <f t="shared" si="251"/>
        <v>-</v>
      </c>
      <c r="N760" s="15">
        <f t="shared" si="252"/>
        <v>0.75</v>
      </c>
      <c r="O760" s="15" t="str">
        <f t="shared" si="253"/>
        <v>A30</v>
      </c>
      <c r="P760" s="15" t="str">
        <f t="shared" si="254"/>
        <v>Chesterton Enterprises</v>
      </c>
      <c r="Q760" s="15" t="str">
        <f t="shared" si="255"/>
        <v>41 William Russell Road</v>
      </c>
      <c r="R760" s="3">
        <f>OrdersTable!C760</f>
        <v>44616</v>
      </c>
      <c r="S760" s="15">
        <f>OrdersTable!E760</f>
        <v>1</v>
      </c>
      <c r="T760" s="15">
        <f t="shared" si="256"/>
        <v>14.99</v>
      </c>
      <c r="U760" s="15">
        <f t="shared" si="257"/>
        <v>20.54</v>
      </c>
      <c r="V760" s="15">
        <f t="shared" si="258"/>
        <v>24.28</v>
      </c>
      <c r="W760" s="15">
        <f>IF(MarkupType="Store Markup",ROUND(V760+V760*StoreMarkup,2),IF(MarkupType="Supplier Markup",V760+V760*SupplierMarkup,"Error at finding value"))</f>
        <v>38.24</v>
      </c>
      <c r="X760" s="32" t="str">
        <f t="shared" si="260"/>
        <v>0.00</v>
      </c>
      <c r="Y760" s="15">
        <f t="shared" si="261"/>
        <v>24.28</v>
      </c>
      <c r="Z760" s="15">
        <f t="shared" si="262"/>
        <v>38.24</v>
      </c>
      <c r="AA760" s="15">
        <f>IF(FreightType="Lethbridge-Stewart Freight ",ROUND(2.99+IF(N760&gt;0.75,(N760-0.75)*2.25,0)*S760,2),IF(MarkupType="Supplier Markup",V760+V760*SupplierMarkup,"Error at finding value"))</f>
        <v>2.99</v>
      </c>
      <c r="AB760" s="15">
        <f t="shared" si="263"/>
        <v>0</v>
      </c>
    </row>
    <row r="761" spans="1:28" x14ac:dyDescent="0.25">
      <c r="A761" s="16">
        <f>OrdersTable!A761</f>
        <v>370</v>
      </c>
      <c r="B761" s="15" t="str">
        <f t="shared" si="243"/>
        <v>Mr</v>
      </c>
      <c r="C761" s="15" t="str">
        <f t="shared" si="264"/>
        <v>Kennedy</v>
      </c>
      <c r="D761" s="15" t="str">
        <f t="shared" si="244"/>
        <v>Joseph Dominic</v>
      </c>
      <c r="E761" s="15" t="str">
        <f t="shared" si="245"/>
        <v>43 Barton Road</v>
      </c>
      <c r="F761" s="15" t="str">
        <f t="shared" si="246"/>
        <v>Boston</v>
      </c>
      <c r="G761" s="15" t="str">
        <f t="shared" si="247"/>
        <v>SA</v>
      </c>
      <c r="H761" s="15">
        <f t="shared" si="248"/>
        <v>5607</v>
      </c>
      <c r="I761" s="15">
        <f t="shared" si="259"/>
        <v>2076</v>
      </c>
      <c r="J761" s="15">
        <f>OrdersTable!B761</f>
        <v>769</v>
      </c>
      <c r="K761" s="15" t="str">
        <f t="shared" si="249"/>
        <v>Statues and Busts</v>
      </c>
      <c r="L761" s="15" t="str">
        <f t="shared" si="250"/>
        <v>Doctor Who: Legends Forever Bust: Tom Baker</v>
      </c>
      <c r="M761" s="15" t="str">
        <f t="shared" si="251"/>
        <v>-</v>
      </c>
      <c r="N761" s="15">
        <f t="shared" si="252"/>
        <v>1.375</v>
      </c>
      <c r="O761" s="15" t="str">
        <f t="shared" si="253"/>
        <v>A30</v>
      </c>
      <c r="P761" s="15" t="str">
        <f t="shared" si="254"/>
        <v>Chesterton Enterprises</v>
      </c>
      <c r="Q761" s="15" t="str">
        <f t="shared" si="255"/>
        <v>41 William Russell Road</v>
      </c>
      <c r="R761" s="3">
        <f>OrdersTable!C761</f>
        <v>44616</v>
      </c>
      <c r="S761" s="15">
        <f>OrdersTable!E761</f>
        <v>8</v>
      </c>
      <c r="T761" s="15">
        <f t="shared" si="256"/>
        <v>27.5</v>
      </c>
      <c r="U761" s="15">
        <f t="shared" si="257"/>
        <v>37.76</v>
      </c>
      <c r="V761" s="15">
        <f t="shared" si="258"/>
        <v>44.55</v>
      </c>
      <c r="W761" s="15">
        <f>IF(MarkupType="Store Markup",ROUND(V761+V761*StoreMarkup,2),IF(MarkupType="Supplier Markup",V761+V761*SupplierMarkup,"Error at finding value"))</f>
        <v>70.17</v>
      </c>
      <c r="X761" s="32" t="str">
        <f t="shared" si="260"/>
        <v>0.00</v>
      </c>
      <c r="Y761" s="15">
        <f t="shared" si="261"/>
        <v>356.4</v>
      </c>
      <c r="Z761" s="15">
        <f t="shared" si="262"/>
        <v>561.36</v>
      </c>
      <c r="AA761" s="15">
        <f>IF(FreightType="Lethbridge-Stewart Freight ",ROUND(2.99+IF(N761&gt;0.75,(N761-0.75)*2.25,0)*S761,2),IF(MarkupType="Supplier Markup",V761+V761*SupplierMarkup,"Error at finding value"))</f>
        <v>14.24</v>
      </c>
      <c r="AB761" s="15">
        <f t="shared" si="263"/>
        <v>0</v>
      </c>
    </row>
    <row r="762" spans="1:28" x14ac:dyDescent="0.25">
      <c r="A762" s="16">
        <f>OrdersTable!A762</f>
        <v>501</v>
      </c>
      <c r="B762" s="15" t="str">
        <f t="shared" si="243"/>
        <v>Miss</v>
      </c>
      <c r="C762" s="15" t="str">
        <f t="shared" si="264"/>
        <v>Tharenou</v>
      </c>
      <c r="D762" s="15" t="str">
        <f t="shared" si="244"/>
        <v>Kimberley Jacinta</v>
      </c>
      <c r="E762" s="15" t="str">
        <f t="shared" si="245"/>
        <v>49 Moncada Circuit</v>
      </c>
      <c r="F762" s="15" t="str">
        <f t="shared" si="246"/>
        <v>Belford</v>
      </c>
      <c r="G762" s="15" t="str">
        <f t="shared" si="247"/>
        <v>NSW</v>
      </c>
      <c r="H762" s="15">
        <f t="shared" si="248"/>
        <v>2335</v>
      </c>
      <c r="I762" s="15">
        <f t="shared" si="259"/>
        <v>716</v>
      </c>
      <c r="J762" s="15">
        <f>OrdersTable!B762</f>
        <v>849</v>
      </c>
      <c r="K762" s="15" t="str">
        <f t="shared" si="249"/>
        <v>Statues and Busts</v>
      </c>
      <c r="L762" s="15" t="str">
        <f t="shared" si="250"/>
        <v>Doctor Who: Statue: Cyber Controller</v>
      </c>
      <c r="M762" s="15" t="str">
        <f t="shared" si="251"/>
        <v>-</v>
      </c>
      <c r="N762" s="15">
        <f t="shared" si="252"/>
        <v>5</v>
      </c>
      <c r="O762" s="15" t="str">
        <f t="shared" si="253"/>
        <v>A10</v>
      </c>
      <c r="P762" s="15" t="str">
        <f t="shared" si="254"/>
        <v>Gallifrey International</v>
      </c>
      <c r="Q762" s="15" t="str">
        <f t="shared" si="255"/>
        <v>181 Arcadia Street</v>
      </c>
      <c r="R762" s="3">
        <f>OrdersTable!C762</f>
        <v>44616</v>
      </c>
      <c r="S762" s="15">
        <f>OrdersTable!E762</f>
        <v>7</v>
      </c>
      <c r="T762" s="15">
        <f t="shared" si="256"/>
        <v>99.99</v>
      </c>
      <c r="U762" s="15">
        <f t="shared" si="257"/>
        <v>136.41</v>
      </c>
      <c r="V762" s="15">
        <f t="shared" si="258"/>
        <v>161.97999999999999</v>
      </c>
      <c r="W762" s="15">
        <f>IF(MarkupType="Store Markup",ROUND(V762+V762*StoreMarkup,2),IF(MarkupType="Supplier Markup",V762+V762*SupplierMarkup,"Error at finding value"))</f>
        <v>255.12</v>
      </c>
      <c r="X762" s="32">
        <f t="shared" si="260"/>
        <v>18.18</v>
      </c>
      <c r="Y762" s="15">
        <f t="shared" si="261"/>
        <v>1133.8599999999999</v>
      </c>
      <c r="Z762" s="15">
        <f t="shared" si="262"/>
        <v>1658.58</v>
      </c>
      <c r="AA762" s="15">
        <f>IF(FreightType="Lethbridge-Stewart Freight ",ROUND(2.99+IF(N762&gt;0.75,(N762-0.75)*2.25,0)*S762,2),IF(MarkupType="Supplier Markup",V762+V762*SupplierMarkup,"Error at finding value"))</f>
        <v>69.930000000000007</v>
      </c>
      <c r="AB762" s="15">
        <f t="shared" si="263"/>
        <v>127.26</v>
      </c>
    </row>
    <row r="763" spans="1:28" x14ac:dyDescent="0.25">
      <c r="A763" s="16">
        <f>OrdersTable!A763</f>
        <v>543</v>
      </c>
      <c r="B763" s="15" t="str">
        <f t="shared" si="243"/>
        <v>Ms</v>
      </c>
      <c r="C763" s="15" t="str">
        <f t="shared" si="264"/>
        <v>Mendezona</v>
      </c>
      <c r="D763" s="15" t="str">
        <f t="shared" si="244"/>
        <v>Tara Colleen-Mary</v>
      </c>
      <c r="E763" s="15" t="str">
        <f t="shared" si="245"/>
        <v>27 Picone Drive</v>
      </c>
      <c r="F763" s="15" t="str">
        <f t="shared" si="246"/>
        <v>Aberfoyle</v>
      </c>
      <c r="G763" s="15" t="str">
        <f t="shared" si="247"/>
        <v>NSW</v>
      </c>
      <c r="H763" s="15">
        <f t="shared" si="248"/>
        <v>2350</v>
      </c>
      <c r="I763" s="15">
        <f t="shared" si="259"/>
        <v>363</v>
      </c>
      <c r="J763" s="15">
        <f>OrdersTable!B763</f>
        <v>594</v>
      </c>
      <c r="K763" s="15" t="str">
        <f t="shared" si="249"/>
        <v>iPhone Skins</v>
      </c>
      <c r="L763" s="15" t="str">
        <f t="shared" si="250"/>
        <v>Doctor Who: iPhone Skin: Keep Calm And Don't Blink</v>
      </c>
      <c r="M763" s="15" t="str">
        <f t="shared" si="251"/>
        <v>-</v>
      </c>
      <c r="N763" s="15">
        <f t="shared" si="252"/>
        <v>0.5</v>
      </c>
      <c r="O763" s="15" t="str">
        <f t="shared" si="253"/>
        <v>A20</v>
      </c>
      <c r="P763" s="15" t="str">
        <f t="shared" si="254"/>
        <v>Morbius Inc.</v>
      </c>
      <c r="Q763" s="15" t="str">
        <f t="shared" si="255"/>
        <v>56 Michael Spice Hwy</v>
      </c>
      <c r="R763" s="3">
        <f>OrdersTable!C763</f>
        <v>44616</v>
      </c>
      <c r="S763" s="15">
        <f>OrdersTable!E763</f>
        <v>3</v>
      </c>
      <c r="T763" s="15">
        <f t="shared" si="256"/>
        <v>9.99</v>
      </c>
      <c r="U763" s="15">
        <f t="shared" si="257"/>
        <v>13.88</v>
      </c>
      <c r="V763" s="15">
        <f t="shared" si="258"/>
        <v>16.18</v>
      </c>
      <c r="W763" s="15">
        <f>IF(MarkupType="Store Markup",ROUND(V763+V763*StoreMarkup,2),IF(MarkupType="Supplier Markup",V763+V763*SupplierMarkup,"Error at finding value"))</f>
        <v>25.48</v>
      </c>
      <c r="X763" s="32" t="str">
        <f t="shared" si="260"/>
        <v>0.00</v>
      </c>
      <c r="Y763" s="15">
        <f t="shared" si="261"/>
        <v>48.54</v>
      </c>
      <c r="Z763" s="15">
        <f t="shared" si="262"/>
        <v>76.44</v>
      </c>
      <c r="AA763" s="15">
        <f>IF(FreightType="Lethbridge-Stewart Freight ",ROUND(2.99+IF(N763&gt;0.75,(N763-0.75)*2.25,0)*S763,2),IF(MarkupType="Supplier Markup",V763+V763*SupplierMarkup,"Error at finding value"))</f>
        <v>2.99</v>
      </c>
      <c r="AB763" s="15">
        <f t="shared" si="263"/>
        <v>0</v>
      </c>
    </row>
    <row r="764" spans="1:28" x14ac:dyDescent="0.25">
      <c r="A764" s="16">
        <f>OrdersTable!A764</f>
        <v>561</v>
      </c>
      <c r="B764" s="15" t="str">
        <f t="shared" si="243"/>
        <v>Ms</v>
      </c>
      <c r="C764" s="15" t="str">
        <f t="shared" si="264"/>
        <v>Mulcahy</v>
      </c>
      <c r="D764" s="15" t="str">
        <f t="shared" si="244"/>
        <v>Jodie Leigh</v>
      </c>
      <c r="E764" s="15" t="str">
        <f t="shared" si="245"/>
        <v>32 Scott Crescent</v>
      </c>
      <c r="F764" s="15" t="str">
        <f t="shared" si="246"/>
        <v>Bray Park</v>
      </c>
      <c r="G764" s="15" t="str">
        <f t="shared" si="247"/>
        <v>QLD</v>
      </c>
      <c r="H764" s="15">
        <f t="shared" si="248"/>
        <v>4500</v>
      </c>
      <c r="I764" s="15">
        <f t="shared" si="259"/>
        <v>139</v>
      </c>
      <c r="J764" s="15">
        <f>OrdersTable!B764</f>
        <v>726</v>
      </c>
      <c r="K764" s="15" t="str">
        <f t="shared" si="249"/>
        <v>Props and Replicas</v>
      </c>
      <c r="L764" s="15" t="str">
        <f t="shared" si="250"/>
        <v>Doctor Who: Dalek Death Ray</v>
      </c>
      <c r="M764" s="15" t="str">
        <f t="shared" si="251"/>
        <v>-</v>
      </c>
      <c r="N764" s="15">
        <f t="shared" si="252"/>
        <v>18</v>
      </c>
      <c r="O764" s="15" t="str">
        <f t="shared" si="253"/>
        <v>A30</v>
      </c>
      <c r="P764" s="15" t="str">
        <f t="shared" si="254"/>
        <v>Chesterton Enterprises</v>
      </c>
      <c r="Q764" s="15" t="str">
        <f t="shared" si="255"/>
        <v>41 William Russell Road</v>
      </c>
      <c r="R764" s="3">
        <f>OrdersTable!C764</f>
        <v>44616</v>
      </c>
      <c r="S764" s="15">
        <f>OrdersTable!E764</f>
        <v>5</v>
      </c>
      <c r="T764" s="15">
        <f t="shared" si="256"/>
        <v>359.99</v>
      </c>
      <c r="U764" s="15">
        <f t="shared" si="257"/>
        <v>491.12</v>
      </c>
      <c r="V764" s="15">
        <f t="shared" si="258"/>
        <v>583.17999999999995</v>
      </c>
      <c r="W764" s="15">
        <f>IF(MarkupType="Store Markup",ROUND(V764+V764*StoreMarkup,2),IF(MarkupType="Supplier Markup",V764+V764*SupplierMarkup,"Error at finding value"))</f>
        <v>918.51</v>
      </c>
      <c r="X764" s="32">
        <f t="shared" si="260"/>
        <v>65.44</v>
      </c>
      <c r="Y764" s="15">
        <f t="shared" si="261"/>
        <v>2915.9</v>
      </c>
      <c r="Z764" s="15">
        <f t="shared" si="262"/>
        <v>4265.3500000000004</v>
      </c>
      <c r="AA764" s="15">
        <f>IF(FreightType="Lethbridge-Stewart Freight ",ROUND(2.99+IF(N764&gt;0.75,(N764-0.75)*2.25,0)*S764,2),IF(MarkupType="Supplier Markup",V764+V764*SupplierMarkup,"Error at finding value"))</f>
        <v>197.05</v>
      </c>
      <c r="AB764" s="15">
        <f t="shared" si="263"/>
        <v>327.2</v>
      </c>
    </row>
    <row r="765" spans="1:28" x14ac:dyDescent="0.25">
      <c r="A765" s="16">
        <f>OrdersTable!A765</f>
        <v>784</v>
      </c>
      <c r="B765" s="15" t="str">
        <f t="shared" si="243"/>
        <v>Ms</v>
      </c>
      <c r="C765" s="15" t="str">
        <f t="shared" si="264"/>
        <v>Hansen</v>
      </c>
      <c r="D765" s="15" t="str">
        <f t="shared" si="244"/>
        <v>Courtney Michelle</v>
      </c>
      <c r="E765" s="15" t="str">
        <f t="shared" si="245"/>
        <v>22 Elliot Crescent</v>
      </c>
      <c r="F765" s="15" t="str">
        <f t="shared" si="246"/>
        <v>Alfredtown</v>
      </c>
      <c r="G765" s="15" t="str">
        <f t="shared" si="247"/>
        <v>NSW</v>
      </c>
      <c r="H765" s="15">
        <f t="shared" si="248"/>
        <v>2650</v>
      </c>
      <c r="I765" s="15">
        <f t="shared" si="259"/>
        <v>1124</v>
      </c>
      <c r="J765" s="15">
        <f>OrdersTable!B765</f>
        <v>852</v>
      </c>
      <c r="K765" s="15" t="str">
        <f t="shared" si="249"/>
        <v>Statues and Busts</v>
      </c>
      <c r="L765" s="15" t="str">
        <f t="shared" si="250"/>
        <v>Doctor Who: Statue: Revenge Of The Cybermen Cyberleader</v>
      </c>
      <c r="M765" s="15" t="str">
        <f t="shared" si="251"/>
        <v>-</v>
      </c>
      <c r="N765" s="15">
        <f t="shared" si="252"/>
        <v>5.4</v>
      </c>
      <c r="O765" s="15" t="str">
        <f t="shared" si="253"/>
        <v>A50</v>
      </c>
      <c r="P765" s="15" t="str">
        <f t="shared" si="254"/>
        <v>Rassilon Ltd.</v>
      </c>
      <c r="Q765" s="15" t="str">
        <f t="shared" si="255"/>
        <v>82 Richard Mathews Road</v>
      </c>
      <c r="R765" s="3">
        <f>OrdersTable!C765</f>
        <v>44616</v>
      </c>
      <c r="S765" s="15">
        <f>OrdersTable!E765</f>
        <v>4</v>
      </c>
      <c r="T765" s="15">
        <f t="shared" si="256"/>
        <v>108</v>
      </c>
      <c r="U765" s="15">
        <f t="shared" si="257"/>
        <v>147.29</v>
      </c>
      <c r="V765" s="15">
        <f t="shared" si="258"/>
        <v>174.96</v>
      </c>
      <c r="W765" s="15">
        <f>IF(MarkupType="Store Markup",ROUND(V765+V765*StoreMarkup,2),IF(MarkupType="Supplier Markup",V765+V765*SupplierMarkup,"Error at finding value"))</f>
        <v>275.56</v>
      </c>
      <c r="X765" s="32">
        <f t="shared" si="260"/>
        <v>19.63</v>
      </c>
      <c r="Y765" s="15">
        <f t="shared" si="261"/>
        <v>699.84</v>
      </c>
      <c r="Z765" s="15">
        <f t="shared" si="262"/>
        <v>1023.72</v>
      </c>
      <c r="AA765" s="15">
        <f>IF(FreightType="Lethbridge-Stewart Freight ",ROUND(2.99+IF(N765&gt;0.75,(N765-0.75)*2.25,0)*S765,2),IF(MarkupType="Supplier Markup",V765+V765*SupplierMarkup,"Error at finding value"))</f>
        <v>44.84</v>
      </c>
      <c r="AB765" s="15">
        <f t="shared" si="263"/>
        <v>78.52</v>
      </c>
    </row>
    <row r="766" spans="1:28" x14ac:dyDescent="0.25">
      <c r="A766" s="16">
        <f>OrdersTable!A766</f>
        <v>884</v>
      </c>
      <c r="B766" s="15" t="str">
        <f t="shared" si="243"/>
        <v>Mr</v>
      </c>
      <c r="C766" s="15" t="str">
        <f t="shared" si="264"/>
        <v>Smy</v>
      </c>
      <c r="D766" s="15" t="str">
        <f t="shared" si="244"/>
        <v>Corey Alexander</v>
      </c>
      <c r="E766" s="15" t="str">
        <f t="shared" si="245"/>
        <v>47 Lindsay Circuit</v>
      </c>
      <c r="F766" s="15" t="str">
        <f t="shared" si="246"/>
        <v>Boston</v>
      </c>
      <c r="G766" s="15" t="str">
        <f t="shared" si="247"/>
        <v>SA</v>
      </c>
      <c r="H766" s="15">
        <f t="shared" si="248"/>
        <v>5607</v>
      </c>
      <c r="I766" s="15">
        <f t="shared" si="259"/>
        <v>2076</v>
      </c>
      <c r="J766" s="15">
        <f>OrdersTable!B766</f>
        <v>843</v>
      </c>
      <c r="K766" s="15" t="str">
        <f t="shared" si="249"/>
        <v>Statues and Busts</v>
      </c>
      <c r="L766" s="15" t="str">
        <f t="shared" si="250"/>
        <v>Doctor Who: Signature Edition Statue: Gallifrey Edition: Tom Baker</v>
      </c>
      <c r="M766" s="15" t="str">
        <f t="shared" si="251"/>
        <v>-</v>
      </c>
      <c r="N766" s="15">
        <f t="shared" si="252"/>
        <v>2.5</v>
      </c>
      <c r="O766" s="15" t="str">
        <f t="shared" si="253"/>
        <v>A20</v>
      </c>
      <c r="P766" s="15" t="str">
        <f t="shared" si="254"/>
        <v>Morbius Inc.</v>
      </c>
      <c r="Q766" s="15" t="str">
        <f t="shared" si="255"/>
        <v>56 Michael Spice Hwy</v>
      </c>
      <c r="R766" s="3">
        <f>OrdersTable!C766</f>
        <v>44616</v>
      </c>
      <c r="S766" s="15">
        <f>OrdersTable!E766</f>
        <v>7</v>
      </c>
      <c r="T766" s="15">
        <f t="shared" si="256"/>
        <v>49.99</v>
      </c>
      <c r="U766" s="15">
        <f t="shared" si="257"/>
        <v>68.33</v>
      </c>
      <c r="V766" s="15">
        <f t="shared" si="258"/>
        <v>80.98</v>
      </c>
      <c r="W766" s="15">
        <f>IF(MarkupType="Store Markup",ROUND(V766+V766*StoreMarkup,2),IF(MarkupType="Supplier Markup",V766+V766*SupplierMarkup,"Error at finding value"))</f>
        <v>127.54</v>
      </c>
      <c r="X766" s="32">
        <f t="shared" si="260"/>
        <v>9.09</v>
      </c>
      <c r="Y766" s="15">
        <f t="shared" si="261"/>
        <v>566.86</v>
      </c>
      <c r="Z766" s="15">
        <f t="shared" si="262"/>
        <v>829.15</v>
      </c>
      <c r="AA766" s="15">
        <f>IF(FreightType="Lethbridge-Stewart Freight ",ROUND(2.99+IF(N766&gt;0.75,(N766-0.75)*2.25,0)*S766,2),IF(MarkupType="Supplier Markup",V766+V766*SupplierMarkup,"Error at finding value"))</f>
        <v>30.55</v>
      </c>
      <c r="AB766" s="15">
        <f t="shared" si="263"/>
        <v>63.63</v>
      </c>
    </row>
    <row r="767" spans="1:28" x14ac:dyDescent="0.25">
      <c r="A767" s="16">
        <f>OrdersTable!A767</f>
        <v>972</v>
      </c>
      <c r="B767" s="15" t="str">
        <f t="shared" si="243"/>
        <v>Miss</v>
      </c>
      <c r="C767" s="15" t="str">
        <f t="shared" si="264"/>
        <v>Walsh</v>
      </c>
      <c r="D767" s="15" t="str">
        <f t="shared" si="244"/>
        <v>Alana Jane</v>
      </c>
      <c r="E767" s="15" t="str">
        <f t="shared" si="245"/>
        <v>40 Betts Crescent</v>
      </c>
      <c r="F767" s="15" t="str">
        <f t="shared" si="246"/>
        <v>Alleena</v>
      </c>
      <c r="G767" s="15" t="str">
        <f t="shared" si="247"/>
        <v>NSW</v>
      </c>
      <c r="H767" s="15">
        <f t="shared" si="248"/>
        <v>2671</v>
      </c>
      <c r="I767" s="15">
        <f t="shared" si="259"/>
        <v>988</v>
      </c>
      <c r="J767" s="15">
        <f>OrdersTable!B767</f>
        <v>689</v>
      </c>
      <c r="K767" s="15" t="str">
        <f t="shared" si="249"/>
        <v>Posters, Prints and Standees</v>
      </c>
      <c r="L767" s="15" t="str">
        <f t="shared" si="250"/>
        <v>Doctor Who: 16'x12' Framed Print: Cold War</v>
      </c>
      <c r="M767" s="15" t="str">
        <f t="shared" si="251"/>
        <v>-</v>
      </c>
      <c r="N767" s="15">
        <f t="shared" si="252"/>
        <v>0.75</v>
      </c>
      <c r="O767" s="15" t="str">
        <f t="shared" si="253"/>
        <v>A50</v>
      </c>
      <c r="P767" s="15" t="str">
        <f t="shared" si="254"/>
        <v>Rassilon Ltd.</v>
      </c>
      <c r="Q767" s="15" t="str">
        <f t="shared" si="255"/>
        <v>82 Richard Mathews Road</v>
      </c>
      <c r="R767" s="3">
        <f>OrdersTable!C767</f>
        <v>44616</v>
      </c>
      <c r="S767" s="15">
        <f>OrdersTable!E767</f>
        <v>2</v>
      </c>
      <c r="T767" s="15">
        <f t="shared" si="256"/>
        <v>14.99</v>
      </c>
      <c r="U767" s="15">
        <f t="shared" si="257"/>
        <v>20.77</v>
      </c>
      <c r="V767" s="15">
        <f t="shared" si="258"/>
        <v>24.28</v>
      </c>
      <c r="W767" s="15">
        <f>IF(MarkupType="Store Markup",ROUND(V767+V767*StoreMarkup,2),IF(MarkupType="Supplier Markup",V767+V767*SupplierMarkup,"Error at finding value"))</f>
        <v>38.24</v>
      </c>
      <c r="X767" s="32" t="str">
        <f t="shared" si="260"/>
        <v>0.00</v>
      </c>
      <c r="Y767" s="15">
        <f t="shared" si="261"/>
        <v>48.56</v>
      </c>
      <c r="Z767" s="15">
        <f t="shared" si="262"/>
        <v>76.48</v>
      </c>
      <c r="AA767" s="15">
        <f>IF(FreightType="Lethbridge-Stewart Freight ",ROUND(2.99+IF(N767&gt;0.75,(N767-0.75)*2.25,0)*S767,2),IF(MarkupType="Supplier Markup",V767+V767*SupplierMarkup,"Error at finding value"))</f>
        <v>2.99</v>
      </c>
      <c r="AB767" s="15">
        <f t="shared" si="263"/>
        <v>0</v>
      </c>
    </row>
    <row r="768" spans="1:28" x14ac:dyDescent="0.25">
      <c r="A768" s="16">
        <f>OrdersTable!A768</f>
        <v>989</v>
      </c>
      <c r="B768" s="15" t="str">
        <f t="shared" si="243"/>
        <v>Miss</v>
      </c>
      <c r="C768" s="15" t="str">
        <f t="shared" si="264"/>
        <v>McInnes</v>
      </c>
      <c r="D768" s="15" t="str">
        <f t="shared" si="244"/>
        <v>Nina Marie</v>
      </c>
      <c r="E768" s="15" t="str">
        <f t="shared" si="245"/>
        <v>28 Caruss Road</v>
      </c>
      <c r="F768" s="15" t="str">
        <f t="shared" si="246"/>
        <v>Belford</v>
      </c>
      <c r="G768" s="15" t="str">
        <f t="shared" si="247"/>
        <v>NSW</v>
      </c>
      <c r="H768" s="15">
        <f t="shared" si="248"/>
        <v>2335</v>
      </c>
      <c r="I768" s="15">
        <f t="shared" si="259"/>
        <v>716</v>
      </c>
      <c r="J768" s="15">
        <f>OrdersTable!B768</f>
        <v>792</v>
      </c>
      <c r="K768" s="15" t="str">
        <f t="shared" si="249"/>
        <v>Statues and Busts</v>
      </c>
      <c r="L768" s="15" t="str">
        <f t="shared" si="250"/>
        <v>Doctor Who: Masterpiece Collection Maxi Bust: 3rd Doctor</v>
      </c>
      <c r="M768" s="15" t="str">
        <f t="shared" si="251"/>
        <v>-</v>
      </c>
      <c r="N768" s="15">
        <f t="shared" si="252"/>
        <v>2.5</v>
      </c>
      <c r="O768" s="15" t="str">
        <f t="shared" si="253"/>
        <v>A20</v>
      </c>
      <c r="P768" s="15" t="str">
        <f t="shared" si="254"/>
        <v>Morbius Inc.</v>
      </c>
      <c r="Q768" s="15" t="str">
        <f t="shared" si="255"/>
        <v>56 Michael Spice Hwy</v>
      </c>
      <c r="R768" s="3">
        <f>OrdersTable!C768</f>
        <v>44616</v>
      </c>
      <c r="S768" s="15">
        <f>OrdersTable!E768</f>
        <v>3</v>
      </c>
      <c r="T768" s="15">
        <f t="shared" si="256"/>
        <v>49.99</v>
      </c>
      <c r="U768" s="15">
        <f t="shared" si="257"/>
        <v>68.39</v>
      </c>
      <c r="V768" s="15">
        <f t="shared" si="258"/>
        <v>80.98</v>
      </c>
      <c r="W768" s="15">
        <f>IF(MarkupType="Store Markup",ROUND(V768+V768*StoreMarkup,2),IF(MarkupType="Supplier Markup",V768+V768*SupplierMarkup,"Error at finding value"))</f>
        <v>127.54</v>
      </c>
      <c r="X768" s="32">
        <f t="shared" si="260"/>
        <v>9.09</v>
      </c>
      <c r="Y768" s="15">
        <f t="shared" si="261"/>
        <v>242.94</v>
      </c>
      <c r="Z768" s="15">
        <f t="shared" si="262"/>
        <v>355.35</v>
      </c>
      <c r="AA768" s="15">
        <f>IF(FreightType="Lethbridge-Stewart Freight ",ROUND(2.99+IF(N768&gt;0.75,(N768-0.75)*2.25,0)*S768,2),IF(MarkupType="Supplier Markup",V768+V768*SupplierMarkup,"Error at finding value"))</f>
        <v>14.8</v>
      </c>
      <c r="AB768" s="15">
        <f t="shared" si="263"/>
        <v>27.27</v>
      </c>
    </row>
    <row r="769" spans="1:28" x14ac:dyDescent="0.25">
      <c r="A769" s="16">
        <f>OrdersTable!A769</f>
        <v>66</v>
      </c>
      <c r="B769" s="15" t="str">
        <f t="shared" si="243"/>
        <v>Mr</v>
      </c>
      <c r="C769" s="15" t="str">
        <f t="shared" si="264"/>
        <v>Bachmann</v>
      </c>
      <c r="D769" s="15" t="str">
        <f t="shared" si="244"/>
        <v>Aaron</v>
      </c>
      <c r="E769" s="15" t="str">
        <f t="shared" si="245"/>
        <v>3 Csabai Avenue</v>
      </c>
      <c r="F769" s="15" t="str">
        <f t="shared" si="246"/>
        <v>Bridgewater</v>
      </c>
      <c r="G769" s="15" t="str">
        <f t="shared" si="247"/>
        <v>VIC</v>
      </c>
      <c r="H769" s="15">
        <f t="shared" si="248"/>
        <v>3516</v>
      </c>
      <c r="I769" s="15">
        <f t="shared" si="259"/>
        <v>1486</v>
      </c>
      <c r="J769" s="15">
        <f>OrdersTable!B769</f>
        <v>812</v>
      </c>
      <c r="K769" s="15" t="str">
        <f t="shared" si="249"/>
        <v>Statues and Busts</v>
      </c>
      <c r="L769" s="15" t="str">
        <f t="shared" si="250"/>
        <v>Doctor Who: Masterpiece Collection Maxi Bust: Dalek: Day Of The Daleks</v>
      </c>
      <c r="M769" s="15" t="str">
        <f t="shared" si="251"/>
        <v>-</v>
      </c>
      <c r="N769" s="15">
        <f t="shared" si="252"/>
        <v>2.5</v>
      </c>
      <c r="O769" s="15" t="str">
        <f t="shared" si="253"/>
        <v>A20</v>
      </c>
      <c r="P769" s="15" t="str">
        <f t="shared" si="254"/>
        <v>Morbius Inc.</v>
      </c>
      <c r="Q769" s="15" t="str">
        <f t="shared" si="255"/>
        <v>56 Michael Spice Hwy</v>
      </c>
      <c r="R769" s="3">
        <f>OrdersTable!C769</f>
        <v>44617</v>
      </c>
      <c r="S769" s="15">
        <f>OrdersTable!E769</f>
        <v>7</v>
      </c>
      <c r="T769" s="15">
        <f t="shared" si="256"/>
        <v>49.99</v>
      </c>
      <c r="U769" s="15">
        <f t="shared" si="257"/>
        <v>68.47</v>
      </c>
      <c r="V769" s="15">
        <f t="shared" si="258"/>
        <v>80.98</v>
      </c>
      <c r="W769" s="15">
        <f>IF(MarkupType="Store Markup",ROUND(V769+V769*StoreMarkup,2),IF(MarkupType="Supplier Markup",V769+V769*SupplierMarkup,"Error at finding value"))</f>
        <v>127.54</v>
      </c>
      <c r="X769" s="32">
        <f t="shared" si="260"/>
        <v>9.09</v>
      </c>
      <c r="Y769" s="15">
        <f t="shared" si="261"/>
        <v>566.86</v>
      </c>
      <c r="Z769" s="15">
        <f t="shared" si="262"/>
        <v>829.15</v>
      </c>
      <c r="AA769" s="15">
        <f>IF(FreightType="Lethbridge-Stewart Freight ",ROUND(2.99+IF(N769&gt;0.75,(N769-0.75)*2.25,0)*S769,2),IF(MarkupType="Supplier Markup",V769+V769*SupplierMarkup,"Error at finding value"))</f>
        <v>30.55</v>
      </c>
      <c r="AB769" s="15">
        <f t="shared" si="263"/>
        <v>63.63</v>
      </c>
    </row>
    <row r="770" spans="1:28" x14ac:dyDescent="0.25">
      <c r="A770" s="16">
        <f>OrdersTable!A770</f>
        <v>200</v>
      </c>
      <c r="B770" s="15" t="str">
        <f t="shared" si="243"/>
        <v>Ms</v>
      </c>
      <c r="C770" s="15" t="str">
        <f t="shared" si="264"/>
        <v>Barton</v>
      </c>
      <c r="D770" s="15" t="str">
        <f t="shared" si="244"/>
        <v>Kimberley</v>
      </c>
      <c r="E770" s="15" t="str">
        <f t="shared" si="245"/>
        <v>9 Decuyper Road</v>
      </c>
      <c r="F770" s="15" t="str">
        <f t="shared" si="246"/>
        <v>Ashford</v>
      </c>
      <c r="G770" s="15" t="str">
        <f t="shared" si="247"/>
        <v>SA</v>
      </c>
      <c r="H770" s="15">
        <f t="shared" si="248"/>
        <v>5035</v>
      </c>
      <c r="I770" s="15">
        <f t="shared" si="259"/>
        <v>1877</v>
      </c>
      <c r="J770" s="15">
        <f>OrdersTable!B770</f>
        <v>676</v>
      </c>
      <c r="K770" s="15" t="str">
        <f t="shared" si="249"/>
        <v>Mugs</v>
      </c>
      <c r="L770" s="15" t="str">
        <f t="shared" si="250"/>
        <v>Doctor Who: Mug: The Eleventh Doctor</v>
      </c>
      <c r="M770" s="15" t="str">
        <f t="shared" si="251"/>
        <v>-</v>
      </c>
      <c r="N770" s="15">
        <f t="shared" si="252"/>
        <v>0.45</v>
      </c>
      <c r="O770" s="15" t="str">
        <f t="shared" si="253"/>
        <v>A20</v>
      </c>
      <c r="P770" s="15" t="str">
        <f t="shared" si="254"/>
        <v>Morbius Inc.</v>
      </c>
      <c r="Q770" s="15" t="str">
        <f t="shared" si="255"/>
        <v>56 Michael Spice Hwy</v>
      </c>
      <c r="R770" s="3">
        <f>OrdersTable!C770</f>
        <v>44617</v>
      </c>
      <c r="S770" s="15">
        <f>OrdersTable!E770</f>
        <v>10</v>
      </c>
      <c r="T770" s="15">
        <f t="shared" si="256"/>
        <v>8.99</v>
      </c>
      <c r="U770" s="15">
        <f t="shared" si="257"/>
        <v>12.55</v>
      </c>
      <c r="V770" s="15">
        <f t="shared" si="258"/>
        <v>14.56</v>
      </c>
      <c r="W770" s="15">
        <f>IF(MarkupType="Store Markup",ROUND(V770+V770*StoreMarkup,2),IF(MarkupType="Supplier Markup",V770+V770*SupplierMarkup,"Error at finding value"))</f>
        <v>22.93</v>
      </c>
      <c r="X770" s="32" t="str">
        <f t="shared" si="260"/>
        <v>0.00</v>
      </c>
      <c r="Y770" s="15">
        <f t="shared" si="261"/>
        <v>145.6</v>
      </c>
      <c r="Z770" s="15">
        <f t="shared" si="262"/>
        <v>229.3</v>
      </c>
      <c r="AA770" s="15">
        <f>IF(FreightType="Lethbridge-Stewart Freight ",ROUND(2.99+IF(N770&gt;0.75,(N770-0.75)*2.25,0)*S770,2),IF(MarkupType="Supplier Markup",V770+V770*SupplierMarkup,"Error at finding value"))</f>
        <v>2.99</v>
      </c>
      <c r="AB770" s="15">
        <f t="shared" si="263"/>
        <v>0</v>
      </c>
    </row>
    <row r="771" spans="1:28" x14ac:dyDescent="0.25">
      <c r="A771" s="16">
        <f>OrdersTable!A771</f>
        <v>302</v>
      </c>
      <c r="B771" s="15" t="str">
        <f t="shared" si="243"/>
        <v>Ms</v>
      </c>
      <c r="C771" s="15" t="str">
        <f t="shared" si="264"/>
        <v>Lamshed</v>
      </c>
      <c r="D771" s="15" t="str">
        <f t="shared" si="244"/>
        <v>Laura Clare</v>
      </c>
      <c r="E771" s="15" t="str">
        <f t="shared" si="245"/>
        <v>22 Edser Drive</v>
      </c>
      <c r="F771" s="15" t="str">
        <f t="shared" si="246"/>
        <v>Caliph</v>
      </c>
      <c r="G771" s="15" t="str">
        <f t="shared" si="247"/>
        <v>SA</v>
      </c>
      <c r="H771" s="15">
        <f t="shared" si="248"/>
        <v>5310</v>
      </c>
      <c r="I771" s="15">
        <f t="shared" si="259"/>
        <v>1720</v>
      </c>
      <c r="J771" s="15">
        <f>OrdersTable!B771</f>
        <v>702</v>
      </c>
      <c r="K771" s="15" t="str">
        <f t="shared" si="249"/>
        <v>Posters, Prints and Standees</v>
      </c>
      <c r="L771" s="15" t="str">
        <f t="shared" si="250"/>
        <v>Doctor Who: Poster: Daleks</v>
      </c>
      <c r="M771" s="15" t="str">
        <f t="shared" si="251"/>
        <v>-</v>
      </c>
      <c r="N771" s="15">
        <f t="shared" si="252"/>
        <v>0.2</v>
      </c>
      <c r="O771" s="15" t="str">
        <f t="shared" si="253"/>
        <v>A50</v>
      </c>
      <c r="P771" s="15" t="str">
        <f t="shared" si="254"/>
        <v>Rassilon Ltd.</v>
      </c>
      <c r="Q771" s="15" t="str">
        <f t="shared" si="255"/>
        <v>82 Richard Mathews Road</v>
      </c>
      <c r="R771" s="3">
        <f>OrdersTable!C771</f>
        <v>44617</v>
      </c>
      <c r="S771" s="15">
        <f>OrdersTable!E771</f>
        <v>4</v>
      </c>
      <c r="T771" s="15">
        <f t="shared" si="256"/>
        <v>3.99</v>
      </c>
      <c r="U771" s="15">
        <f t="shared" si="257"/>
        <v>5.46</v>
      </c>
      <c r="V771" s="15">
        <f t="shared" si="258"/>
        <v>6.46</v>
      </c>
      <c r="W771" s="15">
        <f>IF(MarkupType="Store Markup",ROUND(V771+V771*StoreMarkup,2),IF(MarkupType="Supplier Markup",V771+V771*SupplierMarkup,"Error at finding value"))</f>
        <v>10.17</v>
      </c>
      <c r="X771" s="32" t="str">
        <f t="shared" si="260"/>
        <v>0.00</v>
      </c>
      <c r="Y771" s="15">
        <f t="shared" si="261"/>
        <v>25.84</v>
      </c>
      <c r="Z771" s="15">
        <f t="shared" si="262"/>
        <v>40.68</v>
      </c>
      <c r="AA771" s="15">
        <f>IF(FreightType="Lethbridge-Stewart Freight ",ROUND(2.99+IF(N771&gt;0.75,(N771-0.75)*2.25,0)*S771,2),IF(MarkupType="Supplier Markup",V771+V771*SupplierMarkup,"Error at finding value"))</f>
        <v>2.99</v>
      </c>
      <c r="AB771" s="15">
        <f t="shared" si="263"/>
        <v>0</v>
      </c>
    </row>
    <row r="772" spans="1:28" x14ac:dyDescent="0.25">
      <c r="A772" s="16">
        <f>OrdersTable!A772</f>
        <v>312</v>
      </c>
      <c r="B772" s="15" t="str">
        <f t="shared" ref="B772:B835" si="265">VLOOKUP($A772,Cust,2,0)</f>
        <v>Mr</v>
      </c>
      <c r="C772" s="15" t="str">
        <f t="shared" si="264"/>
        <v>Lloyd</v>
      </c>
      <c r="D772" s="15" t="str">
        <f t="shared" ref="D772:D835" si="266">VLOOKUP($A772,Cust,4,0)</f>
        <v>Ben</v>
      </c>
      <c r="E772" s="15" t="str">
        <f t="shared" ref="E772:E835" si="267">VLOOKUP($A772,Cust,6,0)</f>
        <v>13 Stark Avenue</v>
      </c>
      <c r="F772" s="15" t="str">
        <f t="shared" ref="F772:F835" si="268">VLOOKUP($A772,Cust,7,0)</f>
        <v>Iluka</v>
      </c>
      <c r="G772" s="15" t="str">
        <f t="shared" ref="G772:G835" si="269">VLOOKUP($A772,Cust,8,0)</f>
        <v>NSW</v>
      </c>
      <c r="H772" s="15">
        <f t="shared" ref="H772:H835" si="270">VLOOKUP($A772,Cust,9,0)</f>
        <v>2466</v>
      </c>
      <c r="I772" s="15">
        <f t="shared" si="259"/>
        <v>347</v>
      </c>
      <c r="J772" s="15">
        <f>OrdersTable!B772</f>
        <v>607</v>
      </c>
      <c r="K772" s="15" t="str">
        <f t="shared" ref="K772:K835" si="271">VLOOKUP($J772,Itms,2,0)</f>
        <v>iPhone Skins</v>
      </c>
      <c r="L772" s="15" t="str">
        <f t="shared" ref="L772:L835" si="272">VLOOKUP($J772,Itms,3,0)</f>
        <v>Doctor Who: iPhone Skin: Keep Calm I'm The Doctor</v>
      </c>
      <c r="M772" s="15" t="str">
        <f t="shared" ref="M772:M835" si="273">VLOOKUP($J772,Itms,4,0)</f>
        <v>-</v>
      </c>
      <c r="N772" s="15">
        <f t="shared" ref="N772:N835" si="274">VLOOKUP($J772,Itms,5,0)</f>
        <v>0.5</v>
      </c>
      <c r="O772" s="15" t="str">
        <f t="shared" ref="O772:O835" si="275">VLOOKUP($J772,Itms,6,0)</f>
        <v>A40</v>
      </c>
      <c r="P772" s="15" t="str">
        <f t="shared" ref="P772:P835" si="276">VLOOKUP($O772,Supp,2,0)</f>
        <v>Romana Imports</v>
      </c>
      <c r="Q772" s="15" t="str">
        <f t="shared" ref="Q772:Q835" si="277">VLOOKUP($O772,Supp,3,0)</f>
        <v>17 Lalla Ward Road</v>
      </c>
      <c r="R772" s="3">
        <f>OrdersTable!C772</f>
        <v>44617</v>
      </c>
      <c r="S772" s="15">
        <f>OrdersTable!E772</f>
        <v>6</v>
      </c>
      <c r="T772" s="15">
        <f t="shared" ref="T772:T835" si="278">VLOOKUP($J772,Itms,9,0)</f>
        <v>9.99</v>
      </c>
      <c r="U772" s="15">
        <f t="shared" ref="U772:U835" si="279">VLOOKUP($J772,Itms,10,0)</f>
        <v>13.81</v>
      </c>
      <c r="V772" s="15">
        <f t="shared" ref="V772:V835" si="280">IF(ExchRateType="IR",ROUND(T772*ExchRateIR,2),IF(ExchRateType="CA",ROUND(U772*ExchRateCA,2),"Error at finding value"))</f>
        <v>16.18</v>
      </c>
      <c r="W772" s="15">
        <f>IF(MarkupType="Store Markup",ROUND(V772+V772*StoreMarkup,2),IF(MarkupType="Supplier Markup",V772+V772*SupplierMarkup,"Error at finding value"))</f>
        <v>25.48</v>
      </c>
      <c r="X772" s="32" t="str">
        <f t="shared" si="260"/>
        <v>0.00</v>
      </c>
      <c r="Y772" s="15">
        <f t="shared" si="261"/>
        <v>97.08</v>
      </c>
      <c r="Z772" s="15">
        <f t="shared" si="262"/>
        <v>152.88</v>
      </c>
      <c r="AA772" s="15">
        <f>IF(FreightType="Lethbridge-Stewart Freight ",ROUND(2.99+IF(N772&gt;0.75,(N772-0.75)*2.25,0)*S772,2),IF(MarkupType="Supplier Markup",V772+V772*SupplierMarkup,"Error at finding value"))</f>
        <v>2.99</v>
      </c>
      <c r="AB772" s="15">
        <f t="shared" si="263"/>
        <v>0</v>
      </c>
    </row>
    <row r="773" spans="1:28" x14ac:dyDescent="0.25">
      <c r="A773" s="16">
        <f>OrdersTable!A773</f>
        <v>390</v>
      </c>
      <c r="B773" s="15" t="str">
        <f t="shared" si="265"/>
        <v>Ms</v>
      </c>
      <c r="C773" s="15" t="str">
        <f t="shared" si="264"/>
        <v>Queen</v>
      </c>
      <c r="D773" s="15" t="str">
        <f t="shared" si="266"/>
        <v>Joanne</v>
      </c>
      <c r="E773" s="15" t="str">
        <f t="shared" si="267"/>
        <v>30 Hall Drive</v>
      </c>
      <c r="F773" s="15" t="str">
        <f t="shared" si="268"/>
        <v>Belconnen</v>
      </c>
      <c r="G773" s="15" t="str">
        <f t="shared" si="269"/>
        <v>ACT</v>
      </c>
      <c r="H773" s="15">
        <f t="shared" si="270"/>
        <v>2617</v>
      </c>
      <c r="I773" s="15">
        <f t="shared" ref="I773:I836" si="281">VLOOKUP($A773,Cust,10,0)</f>
        <v>1194</v>
      </c>
      <c r="J773" s="15">
        <f>OrdersTable!B773</f>
        <v>762</v>
      </c>
      <c r="K773" s="15" t="str">
        <f t="shared" si="271"/>
        <v>Statues and Busts</v>
      </c>
      <c r="L773" s="15" t="str">
        <f t="shared" si="272"/>
        <v>Doctor Who: Legends Forever Bust: Patrick Troughton</v>
      </c>
      <c r="M773" s="15" t="str">
        <f t="shared" si="273"/>
        <v>-</v>
      </c>
      <c r="N773" s="15">
        <f t="shared" si="274"/>
        <v>1.375</v>
      </c>
      <c r="O773" s="15" t="str">
        <f t="shared" si="275"/>
        <v>A40</v>
      </c>
      <c r="P773" s="15" t="str">
        <f t="shared" si="276"/>
        <v>Romana Imports</v>
      </c>
      <c r="Q773" s="15" t="str">
        <f t="shared" si="277"/>
        <v>17 Lalla Ward Road</v>
      </c>
      <c r="R773" s="3">
        <f>OrdersTable!C773</f>
        <v>44617</v>
      </c>
      <c r="S773" s="15">
        <f>OrdersTable!E773</f>
        <v>5</v>
      </c>
      <c r="T773" s="15">
        <f t="shared" si="278"/>
        <v>27.5</v>
      </c>
      <c r="U773" s="15">
        <f t="shared" si="279"/>
        <v>37.799999999999997</v>
      </c>
      <c r="V773" s="15">
        <f t="shared" si="280"/>
        <v>44.55</v>
      </c>
      <c r="W773" s="15">
        <f>IF(MarkupType="Store Markup",ROUND(V773+V773*StoreMarkup,2),IF(MarkupType="Supplier Markup",V773+V773*SupplierMarkup,"Error at finding value"))</f>
        <v>70.17</v>
      </c>
      <c r="X773" s="32" t="str">
        <f t="shared" ref="X773:X836" si="282">IF(AND(W773&gt;100,S773&gt;=3),ROUND(0.07125*W773,2),"0.00")</f>
        <v>0.00</v>
      </c>
      <c r="Y773" s="15">
        <f t="shared" ref="Y773:Y836" si="283">ROUND(V773*S773,2)</f>
        <v>222.75</v>
      </c>
      <c r="Z773" s="15">
        <f t="shared" ref="Z773:Z836" si="284">ROUND((W773-X773)*S773,2)</f>
        <v>350.85</v>
      </c>
      <c r="AA773" s="15">
        <f>IF(FreightType="Lethbridge-Stewart Freight ",ROUND(2.99+IF(N773&gt;0.75,(N773-0.75)*2.25,0)*S773,2),IF(MarkupType="Supplier Markup",V773+V773*SupplierMarkup,"Error at finding value"))</f>
        <v>10.02</v>
      </c>
      <c r="AB773" s="15">
        <f t="shared" ref="AB773:AB836" si="285">ROUND(X773*S773,2)</f>
        <v>0</v>
      </c>
    </row>
    <row r="774" spans="1:28" x14ac:dyDescent="0.25">
      <c r="A774" s="16">
        <f>OrdersTable!A774</f>
        <v>474</v>
      </c>
      <c r="B774" s="15" t="str">
        <f t="shared" si="265"/>
        <v>Mr</v>
      </c>
      <c r="C774" s="15" t="str">
        <f t="shared" si="264"/>
        <v>Jooste</v>
      </c>
      <c r="D774" s="15" t="str">
        <f t="shared" si="266"/>
        <v>Nicholas</v>
      </c>
      <c r="E774" s="15" t="str">
        <f t="shared" si="267"/>
        <v>32 Dover Road</v>
      </c>
      <c r="F774" s="15" t="str">
        <f t="shared" si="268"/>
        <v>Belford</v>
      </c>
      <c r="G774" s="15" t="str">
        <f t="shared" si="269"/>
        <v>NSW</v>
      </c>
      <c r="H774" s="15">
        <f t="shared" si="270"/>
        <v>2335</v>
      </c>
      <c r="I774" s="15">
        <f t="shared" si="281"/>
        <v>716</v>
      </c>
      <c r="J774" s="15">
        <f>OrdersTable!B774</f>
        <v>853</v>
      </c>
      <c r="K774" s="15" t="str">
        <f t="shared" si="271"/>
        <v>Statues and Busts</v>
      </c>
      <c r="L774" s="15" t="str">
        <f t="shared" si="272"/>
        <v>Doctor Who: Statue: The Master And Auton</v>
      </c>
      <c r="M774" s="15" t="str">
        <f t="shared" si="273"/>
        <v>-</v>
      </c>
      <c r="N774" s="15">
        <f t="shared" si="274"/>
        <v>3.5</v>
      </c>
      <c r="O774" s="15" t="str">
        <f t="shared" si="275"/>
        <v>A50</v>
      </c>
      <c r="P774" s="15" t="str">
        <f t="shared" si="276"/>
        <v>Rassilon Ltd.</v>
      </c>
      <c r="Q774" s="15" t="str">
        <f t="shared" si="277"/>
        <v>82 Richard Mathews Road</v>
      </c>
      <c r="R774" s="3">
        <f>OrdersTable!C774</f>
        <v>44617</v>
      </c>
      <c r="S774" s="15">
        <f>OrdersTable!E774</f>
        <v>8</v>
      </c>
      <c r="T774" s="15">
        <f t="shared" si="278"/>
        <v>69.989999999999995</v>
      </c>
      <c r="U774" s="15">
        <f t="shared" si="279"/>
        <v>95.51</v>
      </c>
      <c r="V774" s="15">
        <f t="shared" si="280"/>
        <v>113.38</v>
      </c>
      <c r="W774" s="15">
        <f>IF(MarkupType="Store Markup",ROUND(V774+V774*StoreMarkup,2),IF(MarkupType="Supplier Markup",V774+V774*SupplierMarkup,"Error at finding value"))</f>
        <v>178.57</v>
      </c>
      <c r="X774" s="32">
        <f t="shared" si="282"/>
        <v>12.72</v>
      </c>
      <c r="Y774" s="15">
        <f t="shared" si="283"/>
        <v>907.04</v>
      </c>
      <c r="Z774" s="15">
        <f t="shared" si="284"/>
        <v>1326.8</v>
      </c>
      <c r="AA774" s="15">
        <f>IF(FreightType="Lethbridge-Stewart Freight ",ROUND(2.99+IF(N774&gt;0.75,(N774-0.75)*2.25,0)*S774,2),IF(MarkupType="Supplier Markup",V774+V774*SupplierMarkup,"Error at finding value"))</f>
        <v>52.49</v>
      </c>
      <c r="AB774" s="15">
        <f t="shared" si="285"/>
        <v>101.76</v>
      </c>
    </row>
    <row r="775" spans="1:28" x14ac:dyDescent="0.25">
      <c r="A775" s="16">
        <f>OrdersTable!A775</f>
        <v>594</v>
      </c>
      <c r="B775" s="15" t="str">
        <f t="shared" si="265"/>
        <v>Mrs</v>
      </c>
      <c r="C775" s="15" t="str">
        <f t="shared" si="264"/>
        <v>Entriken</v>
      </c>
      <c r="D775" s="15" t="str">
        <f t="shared" si="266"/>
        <v>Gwenda Dawn</v>
      </c>
      <c r="E775" s="15" t="str">
        <f t="shared" si="267"/>
        <v>8 Miljkovic Drive</v>
      </c>
      <c r="F775" s="15" t="str">
        <f t="shared" si="268"/>
        <v>Nayook</v>
      </c>
      <c r="G775" s="15" t="str">
        <f t="shared" si="269"/>
        <v>VIC</v>
      </c>
      <c r="H775" s="15">
        <f t="shared" si="270"/>
        <v>3832</v>
      </c>
      <c r="I775" s="15">
        <f t="shared" si="281"/>
        <v>1552</v>
      </c>
      <c r="J775" s="15">
        <f>OrdersTable!B775</f>
        <v>341</v>
      </c>
      <c r="K775" s="15" t="str">
        <f t="shared" si="271"/>
        <v>Clothing and Apparel</v>
      </c>
      <c r="L775" s="15" t="str">
        <f t="shared" si="272"/>
        <v xml:space="preserve">Doctor Who: T-Shirts: 4th Doctor Costume </v>
      </c>
      <c r="M775" s="15" t="str">
        <f t="shared" si="273"/>
        <v>XL</v>
      </c>
      <c r="N775" s="15">
        <f t="shared" si="274"/>
        <v>0.8</v>
      </c>
      <c r="O775" s="15" t="str">
        <f t="shared" si="275"/>
        <v>A20</v>
      </c>
      <c r="P775" s="15" t="str">
        <f t="shared" si="276"/>
        <v>Morbius Inc.</v>
      </c>
      <c r="Q775" s="15" t="str">
        <f t="shared" si="277"/>
        <v>56 Michael Spice Hwy</v>
      </c>
      <c r="R775" s="3">
        <f>OrdersTable!C775</f>
        <v>44617</v>
      </c>
      <c r="S775" s="15">
        <f>OrdersTable!E775</f>
        <v>10</v>
      </c>
      <c r="T775" s="15">
        <f t="shared" si="278"/>
        <v>15.99</v>
      </c>
      <c r="U775" s="15">
        <f t="shared" si="279"/>
        <v>22.05</v>
      </c>
      <c r="V775" s="15">
        <f t="shared" si="280"/>
        <v>25.9</v>
      </c>
      <c r="W775" s="15">
        <f>IF(MarkupType="Store Markup",ROUND(V775+V775*StoreMarkup,2),IF(MarkupType="Supplier Markup",V775+V775*SupplierMarkup,"Error at finding value"))</f>
        <v>40.79</v>
      </c>
      <c r="X775" s="32" t="str">
        <f t="shared" si="282"/>
        <v>0.00</v>
      </c>
      <c r="Y775" s="15">
        <f t="shared" si="283"/>
        <v>259</v>
      </c>
      <c r="Z775" s="15">
        <f t="shared" si="284"/>
        <v>407.9</v>
      </c>
      <c r="AA775" s="15">
        <f>IF(FreightType="Lethbridge-Stewart Freight ",ROUND(2.99+IF(N775&gt;0.75,(N775-0.75)*2.25,0)*S775,2),IF(MarkupType="Supplier Markup",V775+V775*SupplierMarkup,"Error at finding value"))</f>
        <v>4.12</v>
      </c>
      <c r="AB775" s="15">
        <f t="shared" si="285"/>
        <v>0</v>
      </c>
    </row>
    <row r="776" spans="1:28" x14ac:dyDescent="0.25">
      <c r="A776" s="16">
        <f>OrdersTable!A776</f>
        <v>634</v>
      </c>
      <c r="B776" s="15" t="str">
        <f t="shared" si="265"/>
        <v>Miss</v>
      </c>
      <c r="C776" s="15" t="str">
        <f t="shared" si="264"/>
        <v>Betts</v>
      </c>
      <c r="D776" s="15" t="str">
        <f t="shared" si="266"/>
        <v>Melissa Leigh</v>
      </c>
      <c r="E776" s="15" t="str">
        <f t="shared" si="267"/>
        <v>4 Aitcheson Drive</v>
      </c>
      <c r="F776" s="15" t="str">
        <f t="shared" si="268"/>
        <v>Bray Park</v>
      </c>
      <c r="G776" s="15" t="str">
        <f t="shared" si="269"/>
        <v>QLD</v>
      </c>
      <c r="H776" s="15">
        <f t="shared" si="270"/>
        <v>4500</v>
      </c>
      <c r="I776" s="15">
        <f t="shared" si="281"/>
        <v>139</v>
      </c>
      <c r="J776" s="15">
        <f>OrdersTable!B776</f>
        <v>673</v>
      </c>
      <c r="K776" s="15" t="str">
        <f t="shared" si="271"/>
        <v>Mugs</v>
      </c>
      <c r="L776" s="15" t="str">
        <f t="shared" si="272"/>
        <v>Doctor Who: Mug: TARDIS With Lid</v>
      </c>
      <c r="M776" s="15" t="str">
        <f t="shared" si="273"/>
        <v>-</v>
      </c>
      <c r="N776" s="15">
        <f t="shared" si="274"/>
        <v>0.58499999999999996</v>
      </c>
      <c r="O776" s="15" t="str">
        <f t="shared" si="275"/>
        <v>A10</v>
      </c>
      <c r="P776" s="15" t="str">
        <f t="shared" si="276"/>
        <v>Gallifrey International</v>
      </c>
      <c r="Q776" s="15" t="str">
        <f t="shared" si="277"/>
        <v>181 Arcadia Street</v>
      </c>
      <c r="R776" s="3">
        <f>OrdersTable!C776</f>
        <v>44617</v>
      </c>
      <c r="S776" s="15">
        <f>OrdersTable!E776</f>
        <v>6</v>
      </c>
      <c r="T776" s="15">
        <f t="shared" si="278"/>
        <v>11.69</v>
      </c>
      <c r="U776" s="15">
        <f t="shared" si="279"/>
        <v>16.190000000000001</v>
      </c>
      <c r="V776" s="15">
        <f t="shared" si="280"/>
        <v>18.940000000000001</v>
      </c>
      <c r="W776" s="15">
        <f>IF(MarkupType="Store Markup",ROUND(V776+V776*StoreMarkup,2),IF(MarkupType="Supplier Markup",V776+V776*SupplierMarkup,"Error at finding value"))</f>
        <v>29.83</v>
      </c>
      <c r="X776" s="32" t="str">
        <f t="shared" si="282"/>
        <v>0.00</v>
      </c>
      <c r="Y776" s="15">
        <f t="shared" si="283"/>
        <v>113.64</v>
      </c>
      <c r="Z776" s="15">
        <f t="shared" si="284"/>
        <v>178.98</v>
      </c>
      <c r="AA776" s="15">
        <f>IF(FreightType="Lethbridge-Stewart Freight ",ROUND(2.99+IF(N776&gt;0.75,(N776-0.75)*2.25,0)*S776,2),IF(MarkupType="Supplier Markup",V776+V776*SupplierMarkup,"Error at finding value"))</f>
        <v>2.99</v>
      </c>
      <c r="AB776" s="15">
        <f t="shared" si="285"/>
        <v>0</v>
      </c>
    </row>
    <row r="777" spans="1:28" x14ac:dyDescent="0.25">
      <c r="A777" s="16">
        <f>OrdersTable!A777</f>
        <v>747</v>
      </c>
      <c r="B777" s="15" t="str">
        <f t="shared" si="265"/>
        <v>Miss</v>
      </c>
      <c r="C777" s="15" t="str">
        <f t="shared" si="264"/>
        <v>Coom</v>
      </c>
      <c r="D777" s="15" t="str">
        <f t="shared" si="266"/>
        <v>Mackenzie Megan</v>
      </c>
      <c r="E777" s="15" t="str">
        <f t="shared" si="267"/>
        <v>2 Tsalikis Road</v>
      </c>
      <c r="F777" s="15" t="str">
        <f t="shared" si="268"/>
        <v>Aberfoyle</v>
      </c>
      <c r="G777" s="15" t="str">
        <f t="shared" si="269"/>
        <v>NSW</v>
      </c>
      <c r="H777" s="15">
        <f t="shared" si="270"/>
        <v>2350</v>
      </c>
      <c r="I777" s="15">
        <f t="shared" si="281"/>
        <v>363</v>
      </c>
      <c r="J777" s="15">
        <f>OrdersTable!B777</f>
        <v>679</v>
      </c>
      <c r="K777" s="15" t="str">
        <f t="shared" si="271"/>
        <v>Mugs</v>
      </c>
      <c r="L777" s="15" t="str">
        <f t="shared" si="272"/>
        <v>Doctor Who: Mug: The Fifth Doctor</v>
      </c>
      <c r="M777" s="15" t="str">
        <f t="shared" si="273"/>
        <v>-</v>
      </c>
      <c r="N777" s="15">
        <f t="shared" si="274"/>
        <v>0.45</v>
      </c>
      <c r="O777" s="15" t="str">
        <f t="shared" si="275"/>
        <v>A40</v>
      </c>
      <c r="P777" s="15" t="str">
        <f t="shared" si="276"/>
        <v>Romana Imports</v>
      </c>
      <c r="Q777" s="15" t="str">
        <f t="shared" si="277"/>
        <v>17 Lalla Ward Road</v>
      </c>
      <c r="R777" s="3">
        <f>OrdersTable!C777</f>
        <v>44617</v>
      </c>
      <c r="S777" s="15">
        <f>OrdersTable!E777</f>
        <v>10</v>
      </c>
      <c r="T777" s="15">
        <f t="shared" si="278"/>
        <v>8.99</v>
      </c>
      <c r="U777" s="15">
        <f t="shared" si="279"/>
        <v>12.28</v>
      </c>
      <c r="V777" s="15">
        <f t="shared" si="280"/>
        <v>14.56</v>
      </c>
      <c r="W777" s="15">
        <f>IF(MarkupType="Store Markup",ROUND(V777+V777*StoreMarkup,2),IF(MarkupType="Supplier Markup",V777+V777*SupplierMarkup,"Error at finding value"))</f>
        <v>22.93</v>
      </c>
      <c r="X777" s="32" t="str">
        <f t="shared" si="282"/>
        <v>0.00</v>
      </c>
      <c r="Y777" s="15">
        <f t="shared" si="283"/>
        <v>145.6</v>
      </c>
      <c r="Z777" s="15">
        <f t="shared" si="284"/>
        <v>229.3</v>
      </c>
      <c r="AA777" s="15">
        <f>IF(FreightType="Lethbridge-Stewart Freight ",ROUND(2.99+IF(N777&gt;0.75,(N777-0.75)*2.25,0)*S777,2),IF(MarkupType="Supplier Markup",V777+V777*SupplierMarkup,"Error at finding value"))</f>
        <v>2.99</v>
      </c>
      <c r="AB777" s="15">
        <f t="shared" si="285"/>
        <v>0</v>
      </c>
    </row>
    <row r="778" spans="1:28" x14ac:dyDescent="0.25">
      <c r="A778" s="16">
        <f>OrdersTable!A778</f>
        <v>758</v>
      </c>
      <c r="B778" s="15" t="str">
        <f t="shared" si="265"/>
        <v>Mr</v>
      </c>
      <c r="C778" s="15" t="str">
        <f t="shared" si="264"/>
        <v>Whitehorn</v>
      </c>
      <c r="D778" s="15" t="str">
        <f t="shared" si="266"/>
        <v>James</v>
      </c>
      <c r="E778" s="15" t="str">
        <f t="shared" si="267"/>
        <v>32 Raubenheimer Circuit</v>
      </c>
      <c r="F778" s="15" t="str">
        <f t="shared" si="268"/>
        <v>Belconnen</v>
      </c>
      <c r="G778" s="15" t="str">
        <f t="shared" si="269"/>
        <v>ACT</v>
      </c>
      <c r="H778" s="15">
        <f t="shared" si="270"/>
        <v>2617</v>
      </c>
      <c r="I778" s="15">
        <f t="shared" si="281"/>
        <v>1194</v>
      </c>
      <c r="J778" s="15">
        <f>OrdersTable!B778</f>
        <v>679</v>
      </c>
      <c r="K778" s="15" t="str">
        <f t="shared" si="271"/>
        <v>Mugs</v>
      </c>
      <c r="L778" s="15" t="str">
        <f t="shared" si="272"/>
        <v>Doctor Who: Mug: The Fifth Doctor</v>
      </c>
      <c r="M778" s="15" t="str">
        <f t="shared" si="273"/>
        <v>-</v>
      </c>
      <c r="N778" s="15">
        <f t="shared" si="274"/>
        <v>0.45</v>
      </c>
      <c r="O778" s="15" t="str">
        <f t="shared" si="275"/>
        <v>A40</v>
      </c>
      <c r="P778" s="15" t="str">
        <f t="shared" si="276"/>
        <v>Romana Imports</v>
      </c>
      <c r="Q778" s="15" t="str">
        <f t="shared" si="277"/>
        <v>17 Lalla Ward Road</v>
      </c>
      <c r="R778" s="3">
        <f>OrdersTable!C778</f>
        <v>44617</v>
      </c>
      <c r="S778" s="15">
        <f>OrdersTable!E778</f>
        <v>4</v>
      </c>
      <c r="T778" s="15">
        <f t="shared" si="278"/>
        <v>8.99</v>
      </c>
      <c r="U778" s="15">
        <f t="shared" si="279"/>
        <v>12.28</v>
      </c>
      <c r="V778" s="15">
        <f t="shared" si="280"/>
        <v>14.56</v>
      </c>
      <c r="W778" s="15">
        <f>IF(MarkupType="Store Markup",ROUND(V778+V778*StoreMarkup,2),IF(MarkupType="Supplier Markup",V778+V778*SupplierMarkup,"Error at finding value"))</f>
        <v>22.93</v>
      </c>
      <c r="X778" s="32" t="str">
        <f t="shared" si="282"/>
        <v>0.00</v>
      </c>
      <c r="Y778" s="15">
        <f t="shared" si="283"/>
        <v>58.24</v>
      </c>
      <c r="Z778" s="15">
        <f t="shared" si="284"/>
        <v>91.72</v>
      </c>
      <c r="AA778" s="15">
        <f>IF(FreightType="Lethbridge-Stewart Freight ",ROUND(2.99+IF(N778&gt;0.75,(N778-0.75)*2.25,0)*S778,2),IF(MarkupType="Supplier Markup",V778+V778*SupplierMarkup,"Error at finding value"))</f>
        <v>2.99</v>
      </c>
      <c r="AB778" s="15">
        <f t="shared" si="285"/>
        <v>0</v>
      </c>
    </row>
    <row r="779" spans="1:28" x14ac:dyDescent="0.25">
      <c r="A779" s="16">
        <f>OrdersTable!A779</f>
        <v>906</v>
      </c>
      <c r="B779" s="15" t="str">
        <f t="shared" si="265"/>
        <v>Mrs</v>
      </c>
      <c r="C779" s="15" t="str">
        <f t="shared" ref="C779:C842" si="286">VLOOKUP($A779,Cust,3,0)</f>
        <v>Turner</v>
      </c>
      <c r="D779" s="15" t="str">
        <f t="shared" si="266"/>
        <v>Courtney</v>
      </c>
      <c r="E779" s="15" t="str">
        <f t="shared" si="267"/>
        <v>42 Fearon Avenue</v>
      </c>
      <c r="F779" s="15" t="str">
        <f t="shared" si="268"/>
        <v>Breakwater</v>
      </c>
      <c r="G779" s="15" t="str">
        <f t="shared" si="269"/>
        <v>VIC</v>
      </c>
      <c r="H779" s="15">
        <f t="shared" si="270"/>
        <v>3219</v>
      </c>
      <c r="I779" s="15">
        <f t="shared" si="281"/>
        <v>1596</v>
      </c>
      <c r="J779" s="15">
        <f>OrdersTable!B779</f>
        <v>543</v>
      </c>
      <c r="K779" s="15" t="str">
        <f t="shared" si="271"/>
        <v>Giftware</v>
      </c>
      <c r="L779" s="15" t="str">
        <f t="shared" si="272"/>
        <v>Doctor Who: Sonic Screwdriver Pen</v>
      </c>
      <c r="M779" s="15" t="str">
        <f t="shared" si="273"/>
        <v>-</v>
      </c>
      <c r="N779" s="15">
        <f t="shared" si="274"/>
        <v>0.65</v>
      </c>
      <c r="O779" s="15" t="str">
        <f t="shared" si="275"/>
        <v>A20</v>
      </c>
      <c r="P779" s="15" t="str">
        <f t="shared" si="276"/>
        <v>Morbius Inc.</v>
      </c>
      <c r="Q779" s="15" t="str">
        <f t="shared" si="277"/>
        <v>56 Michael Spice Hwy</v>
      </c>
      <c r="R779" s="3">
        <f>OrdersTable!C779</f>
        <v>44617</v>
      </c>
      <c r="S779" s="15">
        <f>OrdersTable!E779</f>
        <v>2</v>
      </c>
      <c r="T779" s="15">
        <f t="shared" si="278"/>
        <v>12.99</v>
      </c>
      <c r="U779" s="15">
        <f t="shared" si="279"/>
        <v>18.02</v>
      </c>
      <c r="V779" s="15">
        <f t="shared" si="280"/>
        <v>21.04</v>
      </c>
      <c r="W779" s="15">
        <f>IF(MarkupType="Store Markup",ROUND(V779+V779*StoreMarkup,2),IF(MarkupType="Supplier Markup",V779+V779*SupplierMarkup,"Error at finding value"))</f>
        <v>33.14</v>
      </c>
      <c r="X779" s="32" t="str">
        <f t="shared" si="282"/>
        <v>0.00</v>
      </c>
      <c r="Y779" s="15">
        <f t="shared" si="283"/>
        <v>42.08</v>
      </c>
      <c r="Z779" s="15">
        <f t="shared" si="284"/>
        <v>66.28</v>
      </c>
      <c r="AA779" s="15">
        <f>IF(FreightType="Lethbridge-Stewart Freight ",ROUND(2.99+IF(N779&gt;0.75,(N779-0.75)*2.25,0)*S779,2),IF(MarkupType="Supplier Markup",V779+V779*SupplierMarkup,"Error at finding value"))</f>
        <v>2.99</v>
      </c>
      <c r="AB779" s="15">
        <f t="shared" si="285"/>
        <v>0</v>
      </c>
    </row>
    <row r="780" spans="1:28" x14ac:dyDescent="0.25">
      <c r="A780" s="16">
        <f>OrdersTable!A780</f>
        <v>961</v>
      </c>
      <c r="B780" s="15" t="str">
        <f t="shared" si="265"/>
        <v>Ms</v>
      </c>
      <c r="C780" s="15" t="str">
        <f t="shared" si="286"/>
        <v>Schuh</v>
      </c>
      <c r="D780" s="15" t="str">
        <f t="shared" si="266"/>
        <v>Rebecca Anne</v>
      </c>
      <c r="E780" s="15" t="str">
        <f t="shared" si="267"/>
        <v>48 Wilson Court</v>
      </c>
      <c r="F780" s="15" t="str">
        <f t="shared" si="268"/>
        <v>Breakwater</v>
      </c>
      <c r="G780" s="15" t="str">
        <f t="shared" si="269"/>
        <v>VIC</v>
      </c>
      <c r="H780" s="15">
        <f t="shared" si="270"/>
        <v>3219</v>
      </c>
      <c r="I780" s="15">
        <f t="shared" si="281"/>
        <v>1596</v>
      </c>
      <c r="J780" s="15">
        <f>OrdersTable!B780</f>
        <v>740</v>
      </c>
      <c r="K780" s="15" t="str">
        <f t="shared" si="271"/>
        <v>Props and Replicas</v>
      </c>
      <c r="L780" s="15" t="str">
        <f t="shared" si="272"/>
        <v>Doctor Who: River Song Squareness Blaster</v>
      </c>
      <c r="M780" s="15" t="str">
        <f t="shared" si="273"/>
        <v>-</v>
      </c>
      <c r="N780" s="15">
        <f t="shared" si="274"/>
        <v>14.8</v>
      </c>
      <c r="O780" s="15" t="str">
        <f t="shared" si="275"/>
        <v>A40</v>
      </c>
      <c r="P780" s="15" t="str">
        <f t="shared" si="276"/>
        <v>Romana Imports</v>
      </c>
      <c r="Q780" s="15" t="str">
        <f t="shared" si="277"/>
        <v>17 Lalla Ward Road</v>
      </c>
      <c r="R780" s="3">
        <f>OrdersTable!C780</f>
        <v>44617</v>
      </c>
      <c r="S780" s="15">
        <f>OrdersTable!E780</f>
        <v>4</v>
      </c>
      <c r="T780" s="15">
        <f t="shared" si="278"/>
        <v>295.99</v>
      </c>
      <c r="U780" s="15">
        <f t="shared" si="279"/>
        <v>403.84</v>
      </c>
      <c r="V780" s="15">
        <f t="shared" si="280"/>
        <v>479.5</v>
      </c>
      <c r="W780" s="15">
        <f>IF(MarkupType="Store Markup",ROUND(V780+V780*StoreMarkup,2),IF(MarkupType="Supplier Markup",V780+V780*SupplierMarkup,"Error at finding value"))</f>
        <v>755.21</v>
      </c>
      <c r="X780" s="32">
        <f t="shared" si="282"/>
        <v>53.81</v>
      </c>
      <c r="Y780" s="15">
        <f t="shared" si="283"/>
        <v>1918</v>
      </c>
      <c r="Z780" s="15">
        <f t="shared" si="284"/>
        <v>2805.6</v>
      </c>
      <c r="AA780" s="15">
        <f>IF(FreightType="Lethbridge-Stewart Freight ",ROUND(2.99+IF(N780&gt;0.75,(N780-0.75)*2.25,0)*S780,2),IF(MarkupType="Supplier Markup",V780+V780*SupplierMarkup,"Error at finding value"))</f>
        <v>129.44</v>
      </c>
      <c r="AB780" s="15">
        <f t="shared" si="285"/>
        <v>215.24</v>
      </c>
    </row>
    <row r="781" spans="1:28" x14ac:dyDescent="0.25">
      <c r="A781" s="16">
        <f>OrdersTable!A781</f>
        <v>282</v>
      </c>
      <c r="B781" s="15" t="str">
        <f t="shared" si="265"/>
        <v>Dr</v>
      </c>
      <c r="C781" s="15" t="str">
        <f t="shared" si="286"/>
        <v>Johnson</v>
      </c>
      <c r="D781" s="15" t="str">
        <f t="shared" si="266"/>
        <v>Samantha Emily Louise</v>
      </c>
      <c r="E781" s="15" t="str">
        <f t="shared" si="267"/>
        <v>2 Wiggan Avenue</v>
      </c>
      <c r="F781" s="15" t="str">
        <f t="shared" si="268"/>
        <v>Boston</v>
      </c>
      <c r="G781" s="15" t="str">
        <f t="shared" si="269"/>
        <v>SA</v>
      </c>
      <c r="H781" s="15">
        <f t="shared" si="270"/>
        <v>5607</v>
      </c>
      <c r="I781" s="15">
        <f t="shared" si="281"/>
        <v>2076</v>
      </c>
      <c r="J781" s="15">
        <f>OrdersTable!B781</f>
        <v>358</v>
      </c>
      <c r="K781" s="15" t="str">
        <f t="shared" si="271"/>
        <v>Clothing and Apparel</v>
      </c>
      <c r="L781" s="15" t="str">
        <f t="shared" si="272"/>
        <v xml:space="preserve">Doctor Who: T-Shirts: 5th Doctor Costume </v>
      </c>
      <c r="M781" s="15" t="str">
        <f t="shared" si="273"/>
        <v>M</v>
      </c>
      <c r="N781" s="15">
        <f t="shared" si="274"/>
        <v>0.8</v>
      </c>
      <c r="O781" s="15" t="str">
        <f t="shared" si="275"/>
        <v>A30</v>
      </c>
      <c r="P781" s="15" t="str">
        <f t="shared" si="276"/>
        <v>Chesterton Enterprises</v>
      </c>
      <c r="Q781" s="15" t="str">
        <f t="shared" si="277"/>
        <v>41 William Russell Road</v>
      </c>
      <c r="R781" s="3">
        <f>OrdersTable!C781</f>
        <v>44618</v>
      </c>
      <c r="S781" s="15">
        <f>OrdersTable!E781</f>
        <v>1</v>
      </c>
      <c r="T781" s="15">
        <f t="shared" si="278"/>
        <v>15.99</v>
      </c>
      <c r="U781" s="15">
        <f t="shared" si="279"/>
        <v>21.96</v>
      </c>
      <c r="V781" s="15">
        <f t="shared" si="280"/>
        <v>25.9</v>
      </c>
      <c r="W781" s="15">
        <f>IF(MarkupType="Store Markup",ROUND(V781+V781*StoreMarkup,2),IF(MarkupType="Supplier Markup",V781+V781*SupplierMarkup,"Error at finding value"))</f>
        <v>40.79</v>
      </c>
      <c r="X781" s="32" t="str">
        <f t="shared" si="282"/>
        <v>0.00</v>
      </c>
      <c r="Y781" s="15">
        <f t="shared" si="283"/>
        <v>25.9</v>
      </c>
      <c r="Z781" s="15">
        <f t="shared" si="284"/>
        <v>40.79</v>
      </c>
      <c r="AA781" s="15">
        <f>IF(FreightType="Lethbridge-Stewart Freight ",ROUND(2.99+IF(N781&gt;0.75,(N781-0.75)*2.25,0)*S781,2),IF(MarkupType="Supplier Markup",V781+V781*SupplierMarkup,"Error at finding value"))</f>
        <v>3.1</v>
      </c>
      <c r="AB781" s="15">
        <f t="shared" si="285"/>
        <v>0</v>
      </c>
    </row>
    <row r="782" spans="1:28" x14ac:dyDescent="0.25">
      <c r="A782" s="16">
        <f>OrdersTable!A782</f>
        <v>308</v>
      </c>
      <c r="B782" s="15" t="str">
        <f t="shared" si="265"/>
        <v>Dr</v>
      </c>
      <c r="C782" s="15" t="str">
        <f t="shared" si="286"/>
        <v>Azar</v>
      </c>
      <c r="D782" s="15" t="str">
        <f t="shared" si="266"/>
        <v>Mariam</v>
      </c>
      <c r="E782" s="15" t="str">
        <f t="shared" si="267"/>
        <v>26 Osmond Road</v>
      </c>
      <c r="F782" s="15" t="str">
        <f t="shared" si="268"/>
        <v>Boston</v>
      </c>
      <c r="G782" s="15" t="str">
        <f t="shared" si="269"/>
        <v>SA</v>
      </c>
      <c r="H782" s="15">
        <f t="shared" si="270"/>
        <v>5607</v>
      </c>
      <c r="I782" s="15">
        <f t="shared" si="281"/>
        <v>2076</v>
      </c>
      <c r="J782" s="15">
        <f>OrdersTable!B782</f>
        <v>826</v>
      </c>
      <c r="K782" s="15" t="str">
        <f t="shared" si="271"/>
        <v>Statues and Busts</v>
      </c>
      <c r="L782" s="15" t="str">
        <f t="shared" si="272"/>
        <v>Doctor Who: Mini Bust: Cyberman</v>
      </c>
      <c r="M782" s="15" t="str">
        <f t="shared" si="273"/>
        <v>-</v>
      </c>
      <c r="N782" s="15">
        <f t="shared" si="274"/>
        <v>1.8</v>
      </c>
      <c r="O782" s="15" t="str">
        <f t="shared" si="275"/>
        <v>A40</v>
      </c>
      <c r="P782" s="15" t="str">
        <f t="shared" si="276"/>
        <v>Romana Imports</v>
      </c>
      <c r="Q782" s="15" t="str">
        <f t="shared" si="277"/>
        <v>17 Lalla Ward Road</v>
      </c>
      <c r="R782" s="3">
        <f>OrdersTable!C782</f>
        <v>44618</v>
      </c>
      <c r="S782" s="15">
        <f>OrdersTable!E782</f>
        <v>4</v>
      </c>
      <c r="T782" s="15">
        <f t="shared" si="278"/>
        <v>35.99</v>
      </c>
      <c r="U782" s="15">
        <f t="shared" si="279"/>
        <v>49.13</v>
      </c>
      <c r="V782" s="15">
        <f t="shared" si="280"/>
        <v>58.3</v>
      </c>
      <c r="W782" s="15">
        <f>IF(MarkupType="Store Markup",ROUND(V782+V782*StoreMarkup,2),IF(MarkupType="Supplier Markup",V782+V782*SupplierMarkup,"Error at finding value"))</f>
        <v>91.82</v>
      </c>
      <c r="X782" s="32" t="str">
        <f t="shared" si="282"/>
        <v>0.00</v>
      </c>
      <c r="Y782" s="15">
        <f t="shared" si="283"/>
        <v>233.2</v>
      </c>
      <c r="Z782" s="15">
        <f t="shared" si="284"/>
        <v>367.28</v>
      </c>
      <c r="AA782" s="15">
        <f>IF(FreightType="Lethbridge-Stewart Freight ",ROUND(2.99+IF(N782&gt;0.75,(N782-0.75)*2.25,0)*S782,2),IF(MarkupType="Supplier Markup",V782+V782*SupplierMarkup,"Error at finding value"))</f>
        <v>12.44</v>
      </c>
      <c r="AB782" s="15">
        <f t="shared" si="285"/>
        <v>0</v>
      </c>
    </row>
    <row r="783" spans="1:28" x14ac:dyDescent="0.25">
      <c r="A783" s="16">
        <f>OrdersTable!A783</f>
        <v>312</v>
      </c>
      <c r="B783" s="15" t="str">
        <f t="shared" si="265"/>
        <v>Mr</v>
      </c>
      <c r="C783" s="15" t="str">
        <f t="shared" si="286"/>
        <v>Lloyd</v>
      </c>
      <c r="D783" s="15" t="str">
        <f t="shared" si="266"/>
        <v>Ben</v>
      </c>
      <c r="E783" s="15" t="str">
        <f t="shared" si="267"/>
        <v>13 Stark Avenue</v>
      </c>
      <c r="F783" s="15" t="str">
        <f t="shared" si="268"/>
        <v>Iluka</v>
      </c>
      <c r="G783" s="15" t="str">
        <f t="shared" si="269"/>
        <v>NSW</v>
      </c>
      <c r="H783" s="15">
        <f t="shared" si="270"/>
        <v>2466</v>
      </c>
      <c r="I783" s="15">
        <f t="shared" si="281"/>
        <v>347</v>
      </c>
      <c r="J783" s="15">
        <f>OrdersTable!B783</f>
        <v>128</v>
      </c>
      <c r="K783" s="15" t="str">
        <f t="shared" si="271"/>
        <v>Bobbleheads</v>
      </c>
      <c r="L783" s="15" t="str">
        <f t="shared" si="272"/>
        <v>Doctor Who: Bobblehead: Davros</v>
      </c>
      <c r="M783" s="15" t="str">
        <f t="shared" si="273"/>
        <v>-</v>
      </c>
      <c r="N783" s="15">
        <f t="shared" si="274"/>
        <v>0.85</v>
      </c>
      <c r="O783" s="15" t="str">
        <f t="shared" si="275"/>
        <v>A50</v>
      </c>
      <c r="P783" s="15" t="str">
        <f t="shared" si="276"/>
        <v>Rassilon Ltd.</v>
      </c>
      <c r="Q783" s="15" t="str">
        <f t="shared" si="277"/>
        <v>82 Richard Mathews Road</v>
      </c>
      <c r="R783" s="3">
        <f>OrdersTable!C783</f>
        <v>44618</v>
      </c>
      <c r="S783" s="15">
        <f>OrdersTable!E783</f>
        <v>5</v>
      </c>
      <c r="T783" s="15">
        <f t="shared" si="278"/>
        <v>16.989999999999998</v>
      </c>
      <c r="U783" s="15">
        <f t="shared" si="279"/>
        <v>23.27</v>
      </c>
      <c r="V783" s="15">
        <f t="shared" si="280"/>
        <v>27.52</v>
      </c>
      <c r="W783" s="15">
        <f>IF(MarkupType="Store Markup",ROUND(V783+V783*StoreMarkup,2),IF(MarkupType="Supplier Markup",V783+V783*SupplierMarkup,"Error at finding value"))</f>
        <v>43.34</v>
      </c>
      <c r="X783" s="32" t="str">
        <f t="shared" si="282"/>
        <v>0.00</v>
      </c>
      <c r="Y783" s="15">
        <f t="shared" si="283"/>
        <v>137.6</v>
      </c>
      <c r="Z783" s="15">
        <f t="shared" si="284"/>
        <v>216.7</v>
      </c>
      <c r="AA783" s="15">
        <f>IF(FreightType="Lethbridge-Stewart Freight ",ROUND(2.99+IF(N783&gt;0.75,(N783-0.75)*2.25,0)*S783,2),IF(MarkupType="Supplier Markup",V783+V783*SupplierMarkup,"Error at finding value"))</f>
        <v>4.12</v>
      </c>
      <c r="AB783" s="15">
        <f t="shared" si="285"/>
        <v>0</v>
      </c>
    </row>
    <row r="784" spans="1:28" x14ac:dyDescent="0.25">
      <c r="A784" s="16">
        <f>OrdersTable!A784</f>
        <v>330</v>
      </c>
      <c r="B784" s="15" t="str">
        <f t="shared" si="265"/>
        <v>Mr</v>
      </c>
      <c r="C784" s="15" t="str">
        <f t="shared" si="286"/>
        <v>Liesegang</v>
      </c>
      <c r="D784" s="15" t="str">
        <f t="shared" si="266"/>
        <v>Darcey Michelle</v>
      </c>
      <c r="E784" s="15" t="str">
        <f t="shared" si="267"/>
        <v>50 McCann Drive</v>
      </c>
      <c r="F784" s="15" t="str">
        <f t="shared" si="268"/>
        <v>Binduli</v>
      </c>
      <c r="G784" s="15" t="str">
        <f t="shared" si="269"/>
        <v>WA</v>
      </c>
      <c r="H784" s="15">
        <f t="shared" si="270"/>
        <v>6430</v>
      </c>
      <c r="I784" s="15">
        <f t="shared" si="281"/>
        <v>3543</v>
      </c>
      <c r="J784" s="15">
        <f>OrdersTable!B784</f>
        <v>849</v>
      </c>
      <c r="K784" s="15" t="str">
        <f t="shared" si="271"/>
        <v>Statues and Busts</v>
      </c>
      <c r="L784" s="15" t="str">
        <f t="shared" si="272"/>
        <v>Doctor Who: Statue: Cyber Controller</v>
      </c>
      <c r="M784" s="15" t="str">
        <f t="shared" si="273"/>
        <v>-</v>
      </c>
      <c r="N784" s="15">
        <f t="shared" si="274"/>
        <v>5</v>
      </c>
      <c r="O784" s="15" t="str">
        <f t="shared" si="275"/>
        <v>A10</v>
      </c>
      <c r="P784" s="15" t="str">
        <f t="shared" si="276"/>
        <v>Gallifrey International</v>
      </c>
      <c r="Q784" s="15" t="str">
        <f t="shared" si="277"/>
        <v>181 Arcadia Street</v>
      </c>
      <c r="R784" s="3">
        <f>OrdersTable!C784</f>
        <v>44618</v>
      </c>
      <c r="S784" s="15">
        <f>OrdersTable!E784</f>
        <v>3</v>
      </c>
      <c r="T784" s="15">
        <f t="shared" si="278"/>
        <v>99.99</v>
      </c>
      <c r="U784" s="15">
        <f t="shared" si="279"/>
        <v>136.41</v>
      </c>
      <c r="V784" s="15">
        <f t="shared" si="280"/>
        <v>161.97999999999999</v>
      </c>
      <c r="W784" s="15">
        <f>IF(MarkupType="Store Markup",ROUND(V784+V784*StoreMarkup,2),IF(MarkupType="Supplier Markup",V784+V784*SupplierMarkup,"Error at finding value"))</f>
        <v>255.12</v>
      </c>
      <c r="X784" s="32">
        <f t="shared" si="282"/>
        <v>18.18</v>
      </c>
      <c r="Y784" s="15">
        <f t="shared" si="283"/>
        <v>485.94</v>
      </c>
      <c r="Z784" s="15">
        <f t="shared" si="284"/>
        <v>710.82</v>
      </c>
      <c r="AA784" s="15">
        <f>IF(FreightType="Lethbridge-Stewart Freight ",ROUND(2.99+IF(N784&gt;0.75,(N784-0.75)*2.25,0)*S784,2),IF(MarkupType="Supplier Markup",V784+V784*SupplierMarkup,"Error at finding value"))</f>
        <v>31.68</v>
      </c>
      <c r="AB784" s="15">
        <f t="shared" si="285"/>
        <v>54.54</v>
      </c>
    </row>
    <row r="785" spans="1:28" x14ac:dyDescent="0.25">
      <c r="A785" s="16">
        <f>OrdersTable!A785</f>
        <v>390</v>
      </c>
      <c r="B785" s="15" t="str">
        <f t="shared" si="265"/>
        <v>Ms</v>
      </c>
      <c r="C785" s="15" t="str">
        <f t="shared" si="286"/>
        <v>Queen</v>
      </c>
      <c r="D785" s="15" t="str">
        <f t="shared" si="266"/>
        <v>Joanne</v>
      </c>
      <c r="E785" s="15" t="str">
        <f t="shared" si="267"/>
        <v>30 Hall Drive</v>
      </c>
      <c r="F785" s="15" t="str">
        <f t="shared" si="268"/>
        <v>Belconnen</v>
      </c>
      <c r="G785" s="15" t="str">
        <f t="shared" si="269"/>
        <v>ACT</v>
      </c>
      <c r="H785" s="15">
        <f t="shared" si="270"/>
        <v>2617</v>
      </c>
      <c r="I785" s="15">
        <f t="shared" si="281"/>
        <v>1194</v>
      </c>
      <c r="J785" s="15">
        <f>OrdersTable!B785</f>
        <v>395</v>
      </c>
      <c r="K785" s="15" t="str">
        <f t="shared" si="271"/>
        <v>Clothing and Apparel</v>
      </c>
      <c r="L785" s="15" t="str">
        <f t="shared" si="272"/>
        <v xml:space="preserve">Doctor Who: T-Shirts: 7th Doctor Costume </v>
      </c>
      <c r="M785" s="15" t="str">
        <f t="shared" si="273"/>
        <v>L</v>
      </c>
      <c r="N785" s="15">
        <f t="shared" si="274"/>
        <v>0.8</v>
      </c>
      <c r="O785" s="15" t="str">
        <f t="shared" si="275"/>
        <v>A10</v>
      </c>
      <c r="P785" s="15" t="str">
        <f t="shared" si="276"/>
        <v>Gallifrey International</v>
      </c>
      <c r="Q785" s="15" t="str">
        <f t="shared" si="277"/>
        <v>181 Arcadia Street</v>
      </c>
      <c r="R785" s="3">
        <f>OrdersTable!C785</f>
        <v>44618</v>
      </c>
      <c r="S785" s="15">
        <f>OrdersTable!E785</f>
        <v>6</v>
      </c>
      <c r="T785" s="15">
        <f t="shared" si="278"/>
        <v>15.99</v>
      </c>
      <c r="U785" s="15">
        <f t="shared" si="279"/>
        <v>22.07</v>
      </c>
      <c r="V785" s="15">
        <f t="shared" si="280"/>
        <v>25.9</v>
      </c>
      <c r="W785" s="15">
        <f>IF(MarkupType="Store Markup",ROUND(V785+V785*StoreMarkup,2),IF(MarkupType="Supplier Markup",V785+V785*SupplierMarkup,"Error at finding value"))</f>
        <v>40.79</v>
      </c>
      <c r="X785" s="32" t="str">
        <f t="shared" si="282"/>
        <v>0.00</v>
      </c>
      <c r="Y785" s="15">
        <f t="shared" si="283"/>
        <v>155.4</v>
      </c>
      <c r="Z785" s="15">
        <f t="shared" si="284"/>
        <v>244.74</v>
      </c>
      <c r="AA785" s="15">
        <f>IF(FreightType="Lethbridge-Stewart Freight ",ROUND(2.99+IF(N785&gt;0.75,(N785-0.75)*2.25,0)*S785,2),IF(MarkupType="Supplier Markup",V785+V785*SupplierMarkup,"Error at finding value"))</f>
        <v>3.67</v>
      </c>
      <c r="AB785" s="15">
        <f t="shared" si="285"/>
        <v>0</v>
      </c>
    </row>
    <row r="786" spans="1:28" x14ac:dyDescent="0.25">
      <c r="A786" s="16">
        <f>OrdersTable!A786</f>
        <v>416</v>
      </c>
      <c r="B786" s="15" t="str">
        <f t="shared" si="265"/>
        <v>Mr</v>
      </c>
      <c r="C786" s="15" t="str">
        <f t="shared" si="286"/>
        <v>Mohammed</v>
      </c>
      <c r="D786" s="15" t="str">
        <f t="shared" si="266"/>
        <v>Ahmed</v>
      </c>
      <c r="E786" s="15" t="str">
        <f t="shared" si="267"/>
        <v>35 Ridley Avenue</v>
      </c>
      <c r="F786" s="15" t="str">
        <f t="shared" si="268"/>
        <v>Iluka</v>
      </c>
      <c r="G786" s="15" t="str">
        <f t="shared" si="269"/>
        <v>NSW</v>
      </c>
      <c r="H786" s="15">
        <f t="shared" si="270"/>
        <v>2466</v>
      </c>
      <c r="I786" s="15">
        <f t="shared" si="281"/>
        <v>347</v>
      </c>
      <c r="J786" s="15">
        <f>OrdersTable!B786</f>
        <v>685</v>
      </c>
      <c r="K786" s="15" t="str">
        <f t="shared" si="271"/>
        <v>Mugs</v>
      </c>
      <c r="L786" s="15" t="str">
        <f t="shared" si="272"/>
        <v>Doctor Who: Teapot: Sliver TARDIS</v>
      </c>
      <c r="M786" s="15" t="str">
        <f t="shared" si="273"/>
        <v>-</v>
      </c>
      <c r="N786" s="15">
        <f t="shared" si="274"/>
        <v>1.35</v>
      </c>
      <c r="O786" s="15" t="str">
        <f t="shared" si="275"/>
        <v>A30</v>
      </c>
      <c r="P786" s="15" t="str">
        <f t="shared" si="276"/>
        <v>Chesterton Enterprises</v>
      </c>
      <c r="Q786" s="15" t="str">
        <f t="shared" si="277"/>
        <v>41 William Russell Road</v>
      </c>
      <c r="R786" s="3">
        <f>OrdersTable!C786</f>
        <v>44618</v>
      </c>
      <c r="S786" s="15">
        <f>OrdersTable!E786</f>
        <v>2</v>
      </c>
      <c r="T786" s="15">
        <f t="shared" si="278"/>
        <v>26.99</v>
      </c>
      <c r="U786" s="15">
        <f t="shared" si="279"/>
        <v>36.869999999999997</v>
      </c>
      <c r="V786" s="15">
        <f t="shared" si="280"/>
        <v>43.72</v>
      </c>
      <c r="W786" s="15">
        <f>IF(MarkupType="Store Markup",ROUND(V786+V786*StoreMarkup,2),IF(MarkupType="Supplier Markup",V786+V786*SupplierMarkup,"Error at finding value"))</f>
        <v>68.86</v>
      </c>
      <c r="X786" s="32" t="str">
        <f t="shared" si="282"/>
        <v>0.00</v>
      </c>
      <c r="Y786" s="15">
        <f t="shared" si="283"/>
        <v>87.44</v>
      </c>
      <c r="Z786" s="15">
        <f t="shared" si="284"/>
        <v>137.72</v>
      </c>
      <c r="AA786" s="15">
        <f>IF(FreightType="Lethbridge-Stewart Freight ",ROUND(2.99+IF(N786&gt;0.75,(N786-0.75)*2.25,0)*S786,2),IF(MarkupType="Supplier Markup",V786+V786*SupplierMarkup,"Error at finding value"))</f>
        <v>5.69</v>
      </c>
      <c r="AB786" s="15">
        <f t="shared" si="285"/>
        <v>0</v>
      </c>
    </row>
    <row r="787" spans="1:28" x14ac:dyDescent="0.25">
      <c r="A787" s="16">
        <f>OrdersTable!A787</f>
        <v>416</v>
      </c>
      <c r="B787" s="15" t="str">
        <f t="shared" si="265"/>
        <v>Mr</v>
      </c>
      <c r="C787" s="15" t="str">
        <f t="shared" si="286"/>
        <v>Mohammed</v>
      </c>
      <c r="D787" s="15" t="str">
        <f t="shared" si="266"/>
        <v>Ahmed</v>
      </c>
      <c r="E787" s="15" t="str">
        <f t="shared" si="267"/>
        <v>35 Ridley Avenue</v>
      </c>
      <c r="F787" s="15" t="str">
        <f t="shared" si="268"/>
        <v>Iluka</v>
      </c>
      <c r="G787" s="15" t="str">
        <f t="shared" si="269"/>
        <v>NSW</v>
      </c>
      <c r="H787" s="15">
        <f t="shared" si="270"/>
        <v>2466</v>
      </c>
      <c r="I787" s="15">
        <f t="shared" si="281"/>
        <v>347</v>
      </c>
      <c r="J787" s="15">
        <f>OrdersTable!B787</f>
        <v>780</v>
      </c>
      <c r="K787" s="15" t="str">
        <f t="shared" si="271"/>
        <v>Statues and Busts</v>
      </c>
      <c r="L787" s="15" t="str">
        <f t="shared" si="272"/>
        <v>Doctor Who: Masterpiece Collection Dalek: Genesis Of The Daleks</v>
      </c>
      <c r="M787" s="15" t="str">
        <f t="shared" si="273"/>
        <v>-</v>
      </c>
      <c r="N787" s="15">
        <f t="shared" si="274"/>
        <v>2.5</v>
      </c>
      <c r="O787" s="15" t="str">
        <f t="shared" si="275"/>
        <v>A30</v>
      </c>
      <c r="P787" s="15" t="str">
        <f t="shared" si="276"/>
        <v>Chesterton Enterprises</v>
      </c>
      <c r="Q787" s="15" t="str">
        <f t="shared" si="277"/>
        <v>41 William Russell Road</v>
      </c>
      <c r="R787" s="3">
        <f>OrdersTable!C787</f>
        <v>44618</v>
      </c>
      <c r="S787" s="15">
        <f>OrdersTable!E787</f>
        <v>1</v>
      </c>
      <c r="T787" s="15">
        <f t="shared" si="278"/>
        <v>49.99</v>
      </c>
      <c r="U787" s="15">
        <f t="shared" si="279"/>
        <v>68.23</v>
      </c>
      <c r="V787" s="15">
        <f t="shared" si="280"/>
        <v>80.98</v>
      </c>
      <c r="W787" s="15">
        <f>IF(MarkupType="Store Markup",ROUND(V787+V787*StoreMarkup,2),IF(MarkupType="Supplier Markup",V787+V787*SupplierMarkup,"Error at finding value"))</f>
        <v>127.54</v>
      </c>
      <c r="X787" s="32" t="str">
        <f t="shared" si="282"/>
        <v>0.00</v>
      </c>
      <c r="Y787" s="15">
        <f t="shared" si="283"/>
        <v>80.98</v>
      </c>
      <c r="Z787" s="15">
        <f t="shared" si="284"/>
        <v>127.54</v>
      </c>
      <c r="AA787" s="15">
        <f>IF(FreightType="Lethbridge-Stewart Freight ",ROUND(2.99+IF(N787&gt;0.75,(N787-0.75)*2.25,0)*S787,2),IF(MarkupType="Supplier Markup",V787+V787*SupplierMarkup,"Error at finding value"))</f>
        <v>6.93</v>
      </c>
      <c r="AB787" s="15">
        <f t="shared" si="285"/>
        <v>0</v>
      </c>
    </row>
    <row r="788" spans="1:28" x14ac:dyDescent="0.25">
      <c r="A788" s="16">
        <f>OrdersTable!A788</f>
        <v>474</v>
      </c>
      <c r="B788" s="15" t="str">
        <f t="shared" si="265"/>
        <v>Mr</v>
      </c>
      <c r="C788" s="15" t="str">
        <f t="shared" si="286"/>
        <v>Jooste</v>
      </c>
      <c r="D788" s="15" t="str">
        <f t="shared" si="266"/>
        <v>Nicholas</v>
      </c>
      <c r="E788" s="15" t="str">
        <f t="shared" si="267"/>
        <v>32 Dover Road</v>
      </c>
      <c r="F788" s="15" t="str">
        <f t="shared" si="268"/>
        <v>Belford</v>
      </c>
      <c r="G788" s="15" t="str">
        <f t="shared" si="269"/>
        <v>NSW</v>
      </c>
      <c r="H788" s="15">
        <f t="shared" si="270"/>
        <v>2335</v>
      </c>
      <c r="I788" s="15">
        <f t="shared" si="281"/>
        <v>716</v>
      </c>
      <c r="J788" s="15">
        <f>OrdersTable!B788</f>
        <v>792</v>
      </c>
      <c r="K788" s="15" t="str">
        <f t="shared" si="271"/>
        <v>Statues and Busts</v>
      </c>
      <c r="L788" s="15" t="str">
        <f t="shared" si="272"/>
        <v>Doctor Who: Masterpiece Collection Maxi Bust: 3rd Doctor</v>
      </c>
      <c r="M788" s="15" t="str">
        <f t="shared" si="273"/>
        <v>-</v>
      </c>
      <c r="N788" s="15">
        <f t="shared" si="274"/>
        <v>2.5</v>
      </c>
      <c r="O788" s="15" t="str">
        <f t="shared" si="275"/>
        <v>A20</v>
      </c>
      <c r="P788" s="15" t="str">
        <f t="shared" si="276"/>
        <v>Morbius Inc.</v>
      </c>
      <c r="Q788" s="15" t="str">
        <f t="shared" si="277"/>
        <v>56 Michael Spice Hwy</v>
      </c>
      <c r="R788" s="3">
        <f>OrdersTable!C788</f>
        <v>44618</v>
      </c>
      <c r="S788" s="15">
        <f>OrdersTable!E788</f>
        <v>4</v>
      </c>
      <c r="T788" s="15">
        <f t="shared" si="278"/>
        <v>49.99</v>
      </c>
      <c r="U788" s="15">
        <f t="shared" si="279"/>
        <v>68.39</v>
      </c>
      <c r="V788" s="15">
        <f t="shared" si="280"/>
        <v>80.98</v>
      </c>
      <c r="W788" s="15">
        <f>IF(MarkupType="Store Markup",ROUND(V788+V788*StoreMarkup,2),IF(MarkupType="Supplier Markup",V788+V788*SupplierMarkup,"Error at finding value"))</f>
        <v>127.54</v>
      </c>
      <c r="X788" s="32">
        <f t="shared" si="282"/>
        <v>9.09</v>
      </c>
      <c r="Y788" s="15">
        <f t="shared" si="283"/>
        <v>323.92</v>
      </c>
      <c r="Z788" s="15">
        <f t="shared" si="284"/>
        <v>473.8</v>
      </c>
      <c r="AA788" s="15">
        <f>IF(FreightType="Lethbridge-Stewart Freight ",ROUND(2.99+IF(N788&gt;0.75,(N788-0.75)*2.25,0)*S788,2),IF(MarkupType="Supplier Markup",V788+V788*SupplierMarkup,"Error at finding value"))</f>
        <v>18.739999999999998</v>
      </c>
      <c r="AB788" s="15">
        <f t="shared" si="285"/>
        <v>36.36</v>
      </c>
    </row>
    <row r="789" spans="1:28" x14ac:dyDescent="0.25">
      <c r="A789" s="16">
        <f>OrdersTable!A789</f>
        <v>491</v>
      </c>
      <c r="B789" s="15" t="str">
        <f t="shared" si="265"/>
        <v>Miss</v>
      </c>
      <c r="C789" s="15" t="str">
        <f t="shared" si="286"/>
        <v>Winks</v>
      </c>
      <c r="D789" s="15" t="str">
        <f t="shared" si="266"/>
        <v>Lori-Ann</v>
      </c>
      <c r="E789" s="15" t="str">
        <f t="shared" si="267"/>
        <v>40 Lyne Street</v>
      </c>
      <c r="F789" s="15" t="str">
        <f t="shared" si="268"/>
        <v>Bray Park</v>
      </c>
      <c r="G789" s="15" t="str">
        <f t="shared" si="269"/>
        <v>QLD</v>
      </c>
      <c r="H789" s="15">
        <f t="shared" si="270"/>
        <v>4500</v>
      </c>
      <c r="I789" s="15">
        <f t="shared" si="281"/>
        <v>139</v>
      </c>
      <c r="J789" s="15">
        <f>OrdersTable!B789</f>
        <v>698</v>
      </c>
      <c r="K789" s="15" t="str">
        <f t="shared" si="271"/>
        <v>Posters, Prints and Standees</v>
      </c>
      <c r="L789" s="15" t="str">
        <f t="shared" si="272"/>
        <v>Doctor Who: Art Print: My Mysterious Doctor</v>
      </c>
      <c r="M789" s="15" t="str">
        <f t="shared" si="273"/>
        <v>-</v>
      </c>
      <c r="N789" s="15">
        <f t="shared" si="274"/>
        <v>0.75</v>
      </c>
      <c r="O789" s="15" t="str">
        <f t="shared" si="275"/>
        <v>A30</v>
      </c>
      <c r="P789" s="15" t="str">
        <f t="shared" si="276"/>
        <v>Chesterton Enterprises</v>
      </c>
      <c r="Q789" s="15" t="str">
        <f t="shared" si="277"/>
        <v>41 William Russell Road</v>
      </c>
      <c r="R789" s="3">
        <f>OrdersTable!C789</f>
        <v>44618</v>
      </c>
      <c r="S789" s="15">
        <f>OrdersTable!E789</f>
        <v>9</v>
      </c>
      <c r="T789" s="15">
        <f t="shared" si="278"/>
        <v>14.99</v>
      </c>
      <c r="U789" s="15">
        <f t="shared" si="279"/>
        <v>20.56</v>
      </c>
      <c r="V789" s="15">
        <f t="shared" si="280"/>
        <v>24.28</v>
      </c>
      <c r="W789" s="15">
        <f>IF(MarkupType="Store Markup",ROUND(V789+V789*StoreMarkup,2),IF(MarkupType="Supplier Markup",V789+V789*SupplierMarkup,"Error at finding value"))</f>
        <v>38.24</v>
      </c>
      <c r="X789" s="32" t="str">
        <f t="shared" si="282"/>
        <v>0.00</v>
      </c>
      <c r="Y789" s="15">
        <f t="shared" si="283"/>
        <v>218.52</v>
      </c>
      <c r="Z789" s="15">
        <f t="shared" si="284"/>
        <v>344.16</v>
      </c>
      <c r="AA789" s="15">
        <f>IF(FreightType="Lethbridge-Stewart Freight ",ROUND(2.99+IF(N789&gt;0.75,(N789-0.75)*2.25,0)*S789,2),IF(MarkupType="Supplier Markup",V789+V789*SupplierMarkup,"Error at finding value"))</f>
        <v>2.99</v>
      </c>
      <c r="AB789" s="15">
        <f t="shared" si="285"/>
        <v>0</v>
      </c>
    </row>
    <row r="790" spans="1:28" x14ac:dyDescent="0.25">
      <c r="A790" s="16">
        <f>OrdersTable!A790</f>
        <v>515</v>
      </c>
      <c r="B790" s="15" t="str">
        <f t="shared" si="265"/>
        <v>Mr</v>
      </c>
      <c r="C790" s="15" t="str">
        <f t="shared" si="286"/>
        <v>Noffke</v>
      </c>
      <c r="D790" s="15" t="str">
        <f t="shared" si="266"/>
        <v>William Thomas</v>
      </c>
      <c r="E790" s="15" t="str">
        <f t="shared" si="267"/>
        <v>20 Tyler Drive</v>
      </c>
      <c r="F790" s="15" t="str">
        <f t="shared" si="268"/>
        <v>Areegra</v>
      </c>
      <c r="G790" s="15" t="str">
        <f t="shared" si="269"/>
        <v>VIC</v>
      </c>
      <c r="H790" s="15">
        <f t="shared" si="270"/>
        <v>3480</v>
      </c>
      <c r="I790" s="15">
        <f t="shared" si="281"/>
        <v>1559</v>
      </c>
      <c r="J790" s="15">
        <f>OrdersTable!B790</f>
        <v>840</v>
      </c>
      <c r="K790" s="15" t="str">
        <f t="shared" si="271"/>
        <v>Statues and Busts</v>
      </c>
      <c r="L790" s="15" t="str">
        <f t="shared" si="272"/>
        <v>Doctor Who: Signature Edition Statue: Gallifrey Edition: Patrick Troughton</v>
      </c>
      <c r="M790" s="15" t="str">
        <f t="shared" si="273"/>
        <v>-</v>
      </c>
      <c r="N790" s="15">
        <f t="shared" si="274"/>
        <v>2.5</v>
      </c>
      <c r="O790" s="15" t="str">
        <f t="shared" si="275"/>
        <v>A40</v>
      </c>
      <c r="P790" s="15" t="str">
        <f t="shared" si="276"/>
        <v>Romana Imports</v>
      </c>
      <c r="Q790" s="15" t="str">
        <f t="shared" si="277"/>
        <v>17 Lalla Ward Road</v>
      </c>
      <c r="R790" s="3">
        <f>OrdersTable!C790</f>
        <v>44618</v>
      </c>
      <c r="S790" s="15">
        <f>OrdersTable!E790</f>
        <v>9</v>
      </c>
      <c r="T790" s="15">
        <f t="shared" si="278"/>
        <v>49.99</v>
      </c>
      <c r="U790" s="15">
        <f t="shared" si="279"/>
        <v>68.510000000000005</v>
      </c>
      <c r="V790" s="15">
        <f t="shared" si="280"/>
        <v>80.98</v>
      </c>
      <c r="W790" s="15">
        <f>IF(MarkupType="Store Markup",ROUND(V790+V790*StoreMarkup,2),IF(MarkupType="Supplier Markup",V790+V790*SupplierMarkup,"Error at finding value"))</f>
        <v>127.54</v>
      </c>
      <c r="X790" s="32">
        <f t="shared" si="282"/>
        <v>9.09</v>
      </c>
      <c r="Y790" s="15">
        <f t="shared" si="283"/>
        <v>728.82</v>
      </c>
      <c r="Z790" s="15">
        <f t="shared" si="284"/>
        <v>1066.05</v>
      </c>
      <c r="AA790" s="15">
        <f>IF(FreightType="Lethbridge-Stewart Freight ",ROUND(2.99+IF(N790&gt;0.75,(N790-0.75)*2.25,0)*S790,2),IF(MarkupType="Supplier Markup",V790+V790*SupplierMarkup,"Error at finding value"))</f>
        <v>38.43</v>
      </c>
      <c r="AB790" s="15">
        <f t="shared" si="285"/>
        <v>81.81</v>
      </c>
    </row>
    <row r="791" spans="1:28" x14ac:dyDescent="0.25">
      <c r="A791" s="16">
        <f>OrdersTable!A791</f>
        <v>568</v>
      </c>
      <c r="B791" s="15" t="str">
        <f t="shared" si="265"/>
        <v>Mr</v>
      </c>
      <c r="C791" s="15" t="str">
        <f t="shared" si="286"/>
        <v>Byrne</v>
      </c>
      <c r="D791" s="15" t="str">
        <f t="shared" si="266"/>
        <v>Gregory James</v>
      </c>
      <c r="E791" s="15" t="str">
        <f t="shared" si="267"/>
        <v>18 Doroshenko Crescent</v>
      </c>
      <c r="F791" s="15" t="str">
        <f t="shared" si="268"/>
        <v>Abington</v>
      </c>
      <c r="G791" s="15" t="str">
        <f t="shared" si="269"/>
        <v>QLD</v>
      </c>
      <c r="H791" s="15">
        <f t="shared" si="270"/>
        <v>4660</v>
      </c>
      <c r="I791" s="15">
        <f t="shared" si="281"/>
        <v>336</v>
      </c>
      <c r="J791" s="15">
        <f>OrdersTable!B791</f>
        <v>683</v>
      </c>
      <c r="K791" s="15" t="str">
        <f t="shared" si="271"/>
        <v>Mugs</v>
      </c>
      <c r="L791" s="15" t="str">
        <f t="shared" si="272"/>
        <v>Doctor Who: Mug: The Tenth Doctor</v>
      </c>
      <c r="M791" s="15" t="str">
        <f t="shared" si="273"/>
        <v>-</v>
      </c>
      <c r="N791" s="15">
        <f t="shared" si="274"/>
        <v>0.45</v>
      </c>
      <c r="O791" s="15" t="str">
        <f t="shared" si="275"/>
        <v>A20</v>
      </c>
      <c r="P791" s="15" t="str">
        <f t="shared" si="276"/>
        <v>Morbius Inc.</v>
      </c>
      <c r="Q791" s="15" t="str">
        <f t="shared" si="277"/>
        <v>56 Michael Spice Hwy</v>
      </c>
      <c r="R791" s="3">
        <f>OrdersTable!C791</f>
        <v>44618</v>
      </c>
      <c r="S791" s="15">
        <f>OrdersTable!E791</f>
        <v>8</v>
      </c>
      <c r="T791" s="15">
        <f t="shared" si="278"/>
        <v>8.99</v>
      </c>
      <c r="U791" s="15">
        <f t="shared" si="279"/>
        <v>12.54</v>
      </c>
      <c r="V791" s="15">
        <f t="shared" si="280"/>
        <v>14.56</v>
      </c>
      <c r="W791" s="15">
        <f>IF(MarkupType="Store Markup",ROUND(V791+V791*StoreMarkup,2),IF(MarkupType="Supplier Markup",V791+V791*SupplierMarkup,"Error at finding value"))</f>
        <v>22.93</v>
      </c>
      <c r="X791" s="32" t="str">
        <f t="shared" si="282"/>
        <v>0.00</v>
      </c>
      <c r="Y791" s="15">
        <f t="shared" si="283"/>
        <v>116.48</v>
      </c>
      <c r="Z791" s="15">
        <f t="shared" si="284"/>
        <v>183.44</v>
      </c>
      <c r="AA791" s="15">
        <f>IF(FreightType="Lethbridge-Stewart Freight ",ROUND(2.99+IF(N791&gt;0.75,(N791-0.75)*2.25,0)*S791,2),IF(MarkupType="Supplier Markup",V791+V791*SupplierMarkup,"Error at finding value"))</f>
        <v>2.99</v>
      </c>
      <c r="AB791" s="15">
        <f t="shared" si="285"/>
        <v>0</v>
      </c>
    </row>
    <row r="792" spans="1:28" x14ac:dyDescent="0.25">
      <c r="A792" s="16">
        <f>OrdersTable!A792</f>
        <v>651</v>
      </c>
      <c r="B792" s="15" t="str">
        <f t="shared" si="265"/>
        <v>Mr</v>
      </c>
      <c r="C792" s="15" t="str">
        <f t="shared" si="286"/>
        <v>Wilkes</v>
      </c>
      <c r="D792" s="15" t="str">
        <f t="shared" si="266"/>
        <v>Harley</v>
      </c>
      <c r="E792" s="15" t="str">
        <f t="shared" si="267"/>
        <v>12 Locke Circuit</v>
      </c>
      <c r="F792" s="15" t="str">
        <f t="shared" si="268"/>
        <v>Bray Park</v>
      </c>
      <c r="G792" s="15" t="str">
        <f t="shared" si="269"/>
        <v>QLD</v>
      </c>
      <c r="H792" s="15">
        <f t="shared" si="270"/>
        <v>4500</v>
      </c>
      <c r="I792" s="15">
        <f t="shared" si="281"/>
        <v>139</v>
      </c>
      <c r="J792" s="15">
        <f>OrdersTable!B792</f>
        <v>840</v>
      </c>
      <c r="K792" s="15" t="str">
        <f t="shared" si="271"/>
        <v>Statues and Busts</v>
      </c>
      <c r="L792" s="15" t="str">
        <f t="shared" si="272"/>
        <v>Doctor Who: Signature Edition Statue: Gallifrey Edition: Patrick Troughton</v>
      </c>
      <c r="M792" s="15" t="str">
        <f t="shared" si="273"/>
        <v>-</v>
      </c>
      <c r="N792" s="15">
        <f t="shared" si="274"/>
        <v>2.5</v>
      </c>
      <c r="O792" s="15" t="str">
        <f t="shared" si="275"/>
        <v>A40</v>
      </c>
      <c r="P792" s="15" t="str">
        <f t="shared" si="276"/>
        <v>Romana Imports</v>
      </c>
      <c r="Q792" s="15" t="str">
        <f t="shared" si="277"/>
        <v>17 Lalla Ward Road</v>
      </c>
      <c r="R792" s="3">
        <f>OrdersTable!C792</f>
        <v>44618</v>
      </c>
      <c r="S792" s="15">
        <f>OrdersTable!E792</f>
        <v>10</v>
      </c>
      <c r="T792" s="15">
        <f t="shared" si="278"/>
        <v>49.99</v>
      </c>
      <c r="U792" s="15">
        <f t="shared" si="279"/>
        <v>68.510000000000005</v>
      </c>
      <c r="V792" s="15">
        <f t="shared" si="280"/>
        <v>80.98</v>
      </c>
      <c r="W792" s="15">
        <f>IF(MarkupType="Store Markup",ROUND(V792+V792*StoreMarkup,2),IF(MarkupType="Supplier Markup",V792+V792*SupplierMarkup,"Error at finding value"))</f>
        <v>127.54</v>
      </c>
      <c r="X792" s="32">
        <f t="shared" si="282"/>
        <v>9.09</v>
      </c>
      <c r="Y792" s="15">
        <f t="shared" si="283"/>
        <v>809.8</v>
      </c>
      <c r="Z792" s="15">
        <f t="shared" si="284"/>
        <v>1184.5</v>
      </c>
      <c r="AA792" s="15">
        <f>IF(FreightType="Lethbridge-Stewart Freight ",ROUND(2.99+IF(N792&gt;0.75,(N792-0.75)*2.25,0)*S792,2),IF(MarkupType="Supplier Markup",V792+V792*SupplierMarkup,"Error at finding value"))</f>
        <v>42.37</v>
      </c>
      <c r="AB792" s="15">
        <f t="shared" si="285"/>
        <v>90.9</v>
      </c>
    </row>
    <row r="793" spans="1:28" x14ac:dyDescent="0.25">
      <c r="A793" s="16">
        <f>OrdersTable!A793</f>
        <v>802</v>
      </c>
      <c r="B793" s="15" t="str">
        <f t="shared" si="265"/>
        <v>Mr</v>
      </c>
      <c r="C793" s="15" t="str">
        <f t="shared" si="286"/>
        <v>Carlton</v>
      </c>
      <c r="D793" s="15" t="str">
        <f t="shared" si="266"/>
        <v>Lawrence</v>
      </c>
      <c r="E793" s="15" t="str">
        <f t="shared" si="267"/>
        <v>39 Walsh Way</v>
      </c>
      <c r="F793" s="15" t="str">
        <f t="shared" si="268"/>
        <v>Breakwater</v>
      </c>
      <c r="G793" s="15" t="str">
        <f t="shared" si="269"/>
        <v>VIC</v>
      </c>
      <c r="H793" s="15">
        <f t="shared" si="270"/>
        <v>3219</v>
      </c>
      <c r="I793" s="15">
        <f t="shared" si="281"/>
        <v>1596</v>
      </c>
      <c r="J793" s="15">
        <f>OrdersTable!B793</f>
        <v>515</v>
      </c>
      <c r="K793" s="15" t="str">
        <f t="shared" si="271"/>
        <v>Giftware</v>
      </c>
      <c r="L793" s="15" t="str">
        <f t="shared" si="272"/>
        <v>Doctor Who: Keyring K9</v>
      </c>
      <c r="M793" s="15" t="str">
        <f t="shared" si="273"/>
        <v>-</v>
      </c>
      <c r="N793" s="15">
        <f t="shared" si="274"/>
        <v>0.25</v>
      </c>
      <c r="O793" s="15" t="str">
        <f t="shared" si="275"/>
        <v>A50</v>
      </c>
      <c r="P793" s="15" t="str">
        <f t="shared" si="276"/>
        <v>Rassilon Ltd.</v>
      </c>
      <c r="Q793" s="15" t="str">
        <f t="shared" si="277"/>
        <v>82 Richard Mathews Road</v>
      </c>
      <c r="R793" s="3">
        <f>OrdersTable!C793</f>
        <v>44618</v>
      </c>
      <c r="S793" s="15">
        <f>OrdersTable!E793</f>
        <v>10</v>
      </c>
      <c r="T793" s="15">
        <f t="shared" si="278"/>
        <v>4.99</v>
      </c>
      <c r="U793" s="15">
        <f t="shared" si="279"/>
        <v>6.91</v>
      </c>
      <c r="V793" s="15">
        <f t="shared" si="280"/>
        <v>8.08</v>
      </c>
      <c r="W793" s="15">
        <f>IF(MarkupType="Store Markup",ROUND(V793+V793*StoreMarkup,2),IF(MarkupType="Supplier Markup",V793+V793*SupplierMarkup,"Error at finding value"))</f>
        <v>12.73</v>
      </c>
      <c r="X793" s="32" t="str">
        <f t="shared" si="282"/>
        <v>0.00</v>
      </c>
      <c r="Y793" s="15">
        <f t="shared" si="283"/>
        <v>80.8</v>
      </c>
      <c r="Z793" s="15">
        <f t="shared" si="284"/>
        <v>127.3</v>
      </c>
      <c r="AA793" s="15">
        <f>IF(FreightType="Lethbridge-Stewart Freight ",ROUND(2.99+IF(N793&gt;0.75,(N793-0.75)*2.25,0)*S793,2),IF(MarkupType="Supplier Markup",V793+V793*SupplierMarkup,"Error at finding value"))</f>
        <v>2.99</v>
      </c>
      <c r="AB793" s="15">
        <f t="shared" si="285"/>
        <v>0</v>
      </c>
    </row>
    <row r="794" spans="1:28" x14ac:dyDescent="0.25">
      <c r="A794" s="16">
        <f>OrdersTable!A794</f>
        <v>923</v>
      </c>
      <c r="B794" s="15" t="str">
        <f t="shared" si="265"/>
        <v>Ms</v>
      </c>
      <c r="C794" s="15" t="str">
        <f t="shared" si="286"/>
        <v>Savage</v>
      </c>
      <c r="D794" s="15" t="str">
        <f t="shared" si="266"/>
        <v>Eliza Margaret</v>
      </c>
      <c r="E794" s="15" t="str">
        <f t="shared" si="267"/>
        <v>28 Whisson Crescent</v>
      </c>
      <c r="F794" s="15" t="str">
        <f t="shared" si="268"/>
        <v>Belconnen</v>
      </c>
      <c r="G794" s="15" t="str">
        <f t="shared" si="269"/>
        <v>ACT</v>
      </c>
      <c r="H794" s="15">
        <f t="shared" si="270"/>
        <v>2617</v>
      </c>
      <c r="I794" s="15">
        <f t="shared" si="281"/>
        <v>1194</v>
      </c>
      <c r="J794" s="15">
        <f>OrdersTable!B794</f>
        <v>668</v>
      </c>
      <c r="K794" s="15" t="str">
        <f t="shared" si="271"/>
        <v>Mugs</v>
      </c>
      <c r="L794" s="15" t="str">
        <f t="shared" si="272"/>
        <v>Doctor Who: Mug: Silver TARDIS</v>
      </c>
      <c r="M794" s="15" t="str">
        <f t="shared" si="273"/>
        <v>-</v>
      </c>
      <c r="N794" s="15">
        <f t="shared" si="274"/>
        <v>1.1499999999999999</v>
      </c>
      <c r="O794" s="15" t="str">
        <f t="shared" si="275"/>
        <v>A50</v>
      </c>
      <c r="P794" s="15" t="str">
        <f t="shared" si="276"/>
        <v>Rassilon Ltd.</v>
      </c>
      <c r="Q794" s="15" t="str">
        <f t="shared" si="277"/>
        <v>82 Richard Mathews Road</v>
      </c>
      <c r="R794" s="3">
        <f>OrdersTable!C794</f>
        <v>44618</v>
      </c>
      <c r="S794" s="15">
        <f>OrdersTable!E794</f>
        <v>10</v>
      </c>
      <c r="T794" s="15">
        <f t="shared" si="278"/>
        <v>22.99</v>
      </c>
      <c r="U794" s="15">
        <f t="shared" si="279"/>
        <v>31.53</v>
      </c>
      <c r="V794" s="15">
        <f t="shared" si="280"/>
        <v>37.24</v>
      </c>
      <c r="W794" s="15">
        <f>IF(MarkupType="Store Markup",ROUND(V794+V794*StoreMarkup,2),IF(MarkupType="Supplier Markup",V794+V794*SupplierMarkup,"Error at finding value"))</f>
        <v>58.65</v>
      </c>
      <c r="X794" s="32" t="str">
        <f t="shared" si="282"/>
        <v>0.00</v>
      </c>
      <c r="Y794" s="15">
        <f t="shared" si="283"/>
        <v>372.4</v>
      </c>
      <c r="Z794" s="15">
        <f t="shared" si="284"/>
        <v>586.5</v>
      </c>
      <c r="AA794" s="15">
        <f>IF(FreightType="Lethbridge-Stewart Freight ",ROUND(2.99+IF(N794&gt;0.75,(N794-0.75)*2.25,0)*S794,2),IF(MarkupType="Supplier Markup",V794+V794*SupplierMarkup,"Error at finding value"))</f>
        <v>11.99</v>
      </c>
      <c r="AB794" s="15">
        <f t="shared" si="285"/>
        <v>0</v>
      </c>
    </row>
    <row r="795" spans="1:28" x14ac:dyDescent="0.25">
      <c r="A795" s="16">
        <f>OrdersTable!A795</f>
        <v>112</v>
      </c>
      <c r="B795" s="15" t="str">
        <f t="shared" si="265"/>
        <v>Mr</v>
      </c>
      <c r="C795" s="15" t="str">
        <f t="shared" si="286"/>
        <v>Dahal</v>
      </c>
      <c r="D795" s="15" t="str">
        <f t="shared" si="266"/>
        <v>Subash</v>
      </c>
      <c r="E795" s="15" t="str">
        <f t="shared" si="267"/>
        <v>121-127 Railway Pde, Granville, NSW 2142</v>
      </c>
      <c r="F795" s="15" t="str">
        <f t="shared" si="268"/>
        <v>Granville</v>
      </c>
      <c r="G795" s="15" t="str">
        <f t="shared" si="269"/>
        <v>NSW</v>
      </c>
      <c r="H795" s="15">
        <f t="shared" si="270"/>
        <v>2142</v>
      </c>
      <c r="I795" s="15">
        <f t="shared" si="281"/>
        <v>907</v>
      </c>
      <c r="J795" s="15">
        <f>OrdersTable!B795</f>
        <v>757</v>
      </c>
      <c r="K795" s="15" t="str">
        <f t="shared" si="271"/>
        <v>Statues and Busts</v>
      </c>
      <c r="L795" s="15" t="str">
        <f t="shared" si="272"/>
        <v>Doctor Who: Helmet: Ice Warrior</v>
      </c>
      <c r="M795" s="15" t="str">
        <f t="shared" si="273"/>
        <v>-</v>
      </c>
      <c r="N795" s="15">
        <f t="shared" si="274"/>
        <v>1.75</v>
      </c>
      <c r="O795" s="15" t="str">
        <f t="shared" si="275"/>
        <v>A20</v>
      </c>
      <c r="P795" s="15" t="str">
        <f t="shared" si="276"/>
        <v>Morbius Inc.</v>
      </c>
      <c r="Q795" s="15" t="str">
        <f t="shared" si="277"/>
        <v>56 Michael Spice Hwy</v>
      </c>
      <c r="R795" s="3">
        <f>OrdersTable!C795</f>
        <v>44619</v>
      </c>
      <c r="S795" s="15">
        <f>OrdersTable!E795</f>
        <v>1</v>
      </c>
      <c r="T795" s="15">
        <f t="shared" si="278"/>
        <v>34.99</v>
      </c>
      <c r="U795" s="15">
        <f t="shared" si="279"/>
        <v>47.88</v>
      </c>
      <c r="V795" s="15">
        <f t="shared" si="280"/>
        <v>56.68</v>
      </c>
      <c r="W795" s="15">
        <f>IF(MarkupType="Store Markup",ROUND(V795+V795*StoreMarkup,2),IF(MarkupType="Supplier Markup",V795+V795*SupplierMarkup,"Error at finding value"))</f>
        <v>89.27</v>
      </c>
      <c r="X795" s="32" t="str">
        <f t="shared" si="282"/>
        <v>0.00</v>
      </c>
      <c r="Y795" s="15">
        <f t="shared" si="283"/>
        <v>56.68</v>
      </c>
      <c r="Z795" s="15">
        <f t="shared" si="284"/>
        <v>89.27</v>
      </c>
      <c r="AA795" s="15">
        <f>IF(FreightType="Lethbridge-Stewart Freight ",ROUND(2.99+IF(N795&gt;0.75,(N795-0.75)*2.25,0)*S795,2),IF(MarkupType="Supplier Markup",V795+V795*SupplierMarkup,"Error at finding value"))</f>
        <v>5.24</v>
      </c>
      <c r="AB795" s="15">
        <f t="shared" si="285"/>
        <v>0</v>
      </c>
    </row>
    <row r="796" spans="1:28" x14ac:dyDescent="0.25">
      <c r="A796" s="16">
        <f>OrdersTable!A796</f>
        <v>308</v>
      </c>
      <c r="B796" s="15" t="str">
        <f t="shared" si="265"/>
        <v>Dr</v>
      </c>
      <c r="C796" s="15" t="str">
        <f t="shared" si="286"/>
        <v>Azar</v>
      </c>
      <c r="D796" s="15" t="str">
        <f t="shared" si="266"/>
        <v>Mariam</v>
      </c>
      <c r="E796" s="15" t="str">
        <f t="shared" si="267"/>
        <v>26 Osmond Road</v>
      </c>
      <c r="F796" s="15" t="str">
        <f t="shared" si="268"/>
        <v>Boston</v>
      </c>
      <c r="G796" s="15" t="str">
        <f t="shared" si="269"/>
        <v>SA</v>
      </c>
      <c r="H796" s="15">
        <f t="shared" si="270"/>
        <v>5607</v>
      </c>
      <c r="I796" s="15">
        <f t="shared" si="281"/>
        <v>2076</v>
      </c>
      <c r="J796" s="15">
        <f>OrdersTable!B796</f>
        <v>676</v>
      </c>
      <c r="K796" s="15" t="str">
        <f t="shared" si="271"/>
        <v>Mugs</v>
      </c>
      <c r="L796" s="15" t="str">
        <f t="shared" si="272"/>
        <v>Doctor Who: Mug: The Eleventh Doctor</v>
      </c>
      <c r="M796" s="15" t="str">
        <f t="shared" si="273"/>
        <v>-</v>
      </c>
      <c r="N796" s="15">
        <f t="shared" si="274"/>
        <v>0.45</v>
      </c>
      <c r="O796" s="15" t="str">
        <f t="shared" si="275"/>
        <v>A20</v>
      </c>
      <c r="P796" s="15" t="str">
        <f t="shared" si="276"/>
        <v>Morbius Inc.</v>
      </c>
      <c r="Q796" s="15" t="str">
        <f t="shared" si="277"/>
        <v>56 Michael Spice Hwy</v>
      </c>
      <c r="R796" s="3">
        <f>OrdersTable!C796</f>
        <v>44619</v>
      </c>
      <c r="S796" s="15">
        <f>OrdersTable!E796</f>
        <v>2</v>
      </c>
      <c r="T796" s="15">
        <f t="shared" si="278"/>
        <v>8.99</v>
      </c>
      <c r="U796" s="15">
        <f t="shared" si="279"/>
        <v>12.55</v>
      </c>
      <c r="V796" s="15">
        <f t="shared" si="280"/>
        <v>14.56</v>
      </c>
      <c r="W796" s="15">
        <f>IF(MarkupType="Store Markup",ROUND(V796+V796*StoreMarkup,2),IF(MarkupType="Supplier Markup",V796+V796*SupplierMarkup,"Error at finding value"))</f>
        <v>22.93</v>
      </c>
      <c r="X796" s="32" t="str">
        <f t="shared" si="282"/>
        <v>0.00</v>
      </c>
      <c r="Y796" s="15">
        <f t="shared" si="283"/>
        <v>29.12</v>
      </c>
      <c r="Z796" s="15">
        <f t="shared" si="284"/>
        <v>45.86</v>
      </c>
      <c r="AA796" s="15">
        <f>IF(FreightType="Lethbridge-Stewart Freight ",ROUND(2.99+IF(N796&gt;0.75,(N796-0.75)*2.25,0)*S796,2),IF(MarkupType="Supplier Markup",V796+V796*SupplierMarkup,"Error at finding value"))</f>
        <v>2.99</v>
      </c>
      <c r="AB796" s="15">
        <f t="shared" si="285"/>
        <v>0</v>
      </c>
    </row>
    <row r="797" spans="1:28" x14ac:dyDescent="0.25">
      <c r="A797" s="16">
        <f>OrdersTable!A797</f>
        <v>330</v>
      </c>
      <c r="B797" s="15" t="str">
        <f t="shared" si="265"/>
        <v>Mr</v>
      </c>
      <c r="C797" s="15" t="str">
        <f t="shared" si="286"/>
        <v>Liesegang</v>
      </c>
      <c r="D797" s="15" t="str">
        <f t="shared" si="266"/>
        <v>Darcey Michelle</v>
      </c>
      <c r="E797" s="15" t="str">
        <f t="shared" si="267"/>
        <v>50 McCann Drive</v>
      </c>
      <c r="F797" s="15" t="str">
        <f t="shared" si="268"/>
        <v>Binduli</v>
      </c>
      <c r="G797" s="15" t="str">
        <f t="shared" si="269"/>
        <v>WA</v>
      </c>
      <c r="H797" s="15">
        <f t="shared" si="270"/>
        <v>6430</v>
      </c>
      <c r="I797" s="15">
        <f t="shared" si="281"/>
        <v>3543</v>
      </c>
      <c r="J797" s="15">
        <f>OrdersTable!B797</f>
        <v>620</v>
      </c>
      <c r="K797" s="15" t="str">
        <f t="shared" si="271"/>
        <v>iPhone Skins</v>
      </c>
      <c r="L797" s="15" t="str">
        <f t="shared" si="272"/>
        <v>Doctor Who: iPhone Skin: TARDIS Water Colour</v>
      </c>
      <c r="M797" s="15" t="str">
        <f t="shared" si="273"/>
        <v>-</v>
      </c>
      <c r="N797" s="15">
        <f t="shared" si="274"/>
        <v>0.5</v>
      </c>
      <c r="O797" s="15" t="str">
        <f t="shared" si="275"/>
        <v>A30</v>
      </c>
      <c r="P797" s="15" t="str">
        <f t="shared" si="276"/>
        <v>Chesterton Enterprises</v>
      </c>
      <c r="Q797" s="15" t="str">
        <f t="shared" si="277"/>
        <v>41 William Russell Road</v>
      </c>
      <c r="R797" s="3">
        <f>OrdersTable!C797</f>
        <v>44619</v>
      </c>
      <c r="S797" s="15">
        <f>OrdersTable!E797</f>
        <v>6</v>
      </c>
      <c r="T797" s="15">
        <f t="shared" si="278"/>
        <v>9.99</v>
      </c>
      <c r="U797" s="15">
        <f t="shared" si="279"/>
        <v>13.81</v>
      </c>
      <c r="V797" s="15">
        <f t="shared" si="280"/>
        <v>16.18</v>
      </c>
      <c r="W797" s="15">
        <f>IF(MarkupType="Store Markup",ROUND(V797+V797*StoreMarkup,2),IF(MarkupType="Supplier Markup",V797+V797*SupplierMarkup,"Error at finding value"))</f>
        <v>25.48</v>
      </c>
      <c r="X797" s="32" t="str">
        <f t="shared" si="282"/>
        <v>0.00</v>
      </c>
      <c r="Y797" s="15">
        <f t="shared" si="283"/>
        <v>97.08</v>
      </c>
      <c r="Z797" s="15">
        <f t="shared" si="284"/>
        <v>152.88</v>
      </c>
      <c r="AA797" s="15">
        <f>IF(FreightType="Lethbridge-Stewart Freight ",ROUND(2.99+IF(N797&gt;0.75,(N797-0.75)*2.25,0)*S797,2),IF(MarkupType="Supplier Markup",V797+V797*SupplierMarkup,"Error at finding value"))</f>
        <v>2.99</v>
      </c>
      <c r="AB797" s="15">
        <f t="shared" si="285"/>
        <v>0</v>
      </c>
    </row>
    <row r="798" spans="1:28" x14ac:dyDescent="0.25">
      <c r="A798" s="16">
        <f>OrdersTable!A798</f>
        <v>390</v>
      </c>
      <c r="B798" s="15" t="str">
        <f t="shared" si="265"/>
        <v>Ms</v>
      </c>
      <c r="C798" s="15" t="str">
        <f t="shared" si="286"/>
        <v>Queen</v>
      </c>
      <c r="D798" s="15" t="str">
        <f t="shared" si="266"/>
        <v>Joanne</v>
      </c>
      <c r="E798" s="15" t="str">
        <f t="shared" si="267"/>
        <v>30 Hall Drive</v>
      </c>
      <c r="F798" s="15" t="str">
        <f t="shared" si="268"/>
        <v>Belconnen</v>
      </c>
      <c r="G798" s="15" t="str">
        <f t="shared" si="269"/>
        <v>ACT</v>
      </c>
      <c r="H798" s="15">
        <f t="shared" si="270"/>
        <v>2617</v>
      </c>
      <c r="I798" s="15">
        <f t="shared" si="281"/>
        <v>1194</v>
      </c>
      <c r="J798" s="15">
        <f>OrdersTable!B798</f>
        <v>769</v>
      </c>
      <c r="K798" s="15" t="str">
        <f t="shared" si="271"/>
        <v>Statues and Busts</v>
      </c>
      <c r="L798" s="15" t="str">
        <f t="shared" si="272"/>
        <v>Doctor Who: Legends Forever Bust: Tom Baker</v>
      </c>
      <c r="M798" s="15" t="str">
        <f t="shared" si="273"/>
        <v>-</v>
      </c>
      <c r="N798" s="15">
        <f t="shared" si="274"/>
        <v>1.375</v>
      </c>
      <c r="O798" s="15" t="str">
        <f t="shared" si="275"/>
        <v>A30</v>
      </c>
      <c r="P798" s="15" t="str">
        <f t="shared" si="276"/>
        <v>Chesterton Enterprises</v>
      </c>
      <c r="Q798" s="15" t="str">
        <f t="shared" si="277"/>
        <v>41 William Russell Road</v>
      </c>
      <c r="R798" s="3">
        <f>OrdersTable!C798</f>
        <v>44619</v>
      </c>
      <c r="S798" s="15">
        <f>OrdersTable!E798</f>
        <v>2</v>
      </c>
      <c r="T798" s="15">
        <f t="shared" si="278"/>
        <v>27.5</v>
      </c>
      <c r="U798" s="15">
        <f t="shared" si="279"/>
        <v>37.76</v>
      </c>
      <c r="V798" s="15">
        <f t="shared" si="280"/>
        <v>44.55</v>
      </c>
      <c r="W798" s="15">
        <f>IF(MarkupType="Store Markup",ROUND(V798+V798*StoreMarkup,2),IF(MarkupType="Supplier Markup",V798+V798*SupplierMarkup,"Error at finding value"))</f>
        <v>70.17</v>
      </c>
      <c r="X798" s="32" t="str">
        <f t="shared" si="282"/>
        <v>0.00</v>
      </c>
      <c r="Y798" s="15">
        <f t="shared" si="283"/>
        <v>89.1</v>
      </c>
      <c r="Z798" s="15">
        <f t="shared" si="284"/>
        <v>140.34</v>
      </c>
      <c r="AA798" s="15">
        <f>IF(FreightType="Lethbridge-Stewart Freight ",ROUND(2.99+IF(N798&gt;0.75,(N798-0.75)*2.25,0)*S798,2),IF(MarkupType="Supplier Markup",V798+V798*SupplierMarkup,"Error at finding value"))</f>
        <v>5.8</v>
      </c>
      <c r="AB798" s="15">
        <f t="shared" si="285"/>
        <v>0</v>
      </c>
    </row>
    <row r="799" spans="1:28" x14ac:dyDescent="0.25">
      <c r="A799" s="16">
        <f>OrdersTable!A799</f>
        <v>412</v>
      </c>
      <c r="B799" s="15" t="str">
        <f t="shared" si="265"/>
        <v>Miss</v>
      </c>
      <c r="C799" s="15" t="str">
        <f t="shared" si="286"/>
        <v>Moraitis</v>
      </c>
      <c r="D799" s="15" t="str">
        <f t="shared" si="266"/>
        <v>Vikki Sue</v>
      </c>
      <c r="E799" s="15" t="str">
        <f t="shared" si="267"/>
        <v>11 Stuckings Boulevard</v>
      </c>
      <c r="F799" s="15" t="str">
        <f t="shared" si="268"/>
        <v>Airly</v>
      </c>
      <c r="G799" s="15" t="str">
        <f t="shared" si="269"/>
        <v>VIC</v>
      </c>
      <c r="H799" s="15">
        <f t="shared" si="270"/>
        <v>3851</v>
      </c>
      <c r="I799" s="15">
        <f t="shared" si="281"/>
        <v>1583</v>
      </c>
      <c r="J799" s="15">
        <f>OrdersTable!B799</f>
        <v>341</v>
      </c>
      <c r="K799" s="15" t="str">
        <f t="shared" si="271"/>
        <v>Clothing and Apparel</v>
      </c>
      <c r="L799" s="15" t="str">
        <f t="shared" si="272"/>
        <v xml:space="preserve">Doctor Who: T-Shirts: 4th Doctor Costume </v>
      </c>
      <c r="M799" s="15" t="str">
        <f t="shared" si="273"/>
        <v>XL</v>
      </c>
      <c r="N799" s="15">
        <f t="shared" si="274"/>
        <v>0.8</v>
      </c>
      <c r="O799" s="15" t="str">
        <f t="shared" si="275"/>
        <v>A20</v>
      </c>
      <c r="P799" s="15" t="str">
        <f t="shared" si="276"/>
        <v>Morbius Inc.</v>
      </c>
      <c r="Q799" s="15" t="str">
        <f t="shared" si="277"/>
        <v>56 Michael Spice Hwy</v>
      </c>
      <c r="R799" s="3">
        <f>OrdersTable!C799</f>
        <v>44619</v>
      </c>
      <c r="S799" s="15">
        <f>OrdersTable!E799</f>
        <v>1</v>
      </c>
      <c r="T799" s="15">
        <f t="shared" si="278"/>
        <v>15.99</v>
      </c>
      <c r="U799" s="15">
        <f t="shared" si="279"/>
        <v>22.05</v>
      </c>
      <c r="V799" s="15">
        <f t="shared" si="280"/>
        <v>25.9</v>
      </c>
      <c r="W799" s="15">
        <f>IF(MarkupType="Store Markup",ROUND(V799+V799*StoreMarkup,2),IF(MarkupType="Supplier Markup",V799+V799*SupplierMarkup,"Error at finding value"))</f>
        <v>40.79</v>
      </c>
      <c r="X799" s="32" t="str">
        <f t="shared" si="282"/>
        <v>0.00</v>
      </c>
      <c r="Y799" s="15">
        <f t="shared" si="283"/>
        <v>25.9</v>
      </c>
      <c r="Z799" s="15">
        <f t="shared" si="284"/>
        <v>40.79</v>
      </c>
      <c r="AA799" s="15">
        <f>IF(FreightType="Lethbridge-Stewart Freight ",ROUND(2.99+IF(N799&gt;0.75,(N799-0.75)*2.25,0)*S799,2),IF(MarkupType="Supplier Markup",V799+V799*SupplierMarkup,"Error at finding value"))</f>
        <v>3.1</v>
      </c>
      <c r="AB799" s="15">
        <f t="shared" si="285"/>
        <v>0</v>
      </c>
    </row>
    <row r="800" spans="1:28" x14ac:dyDescent="0.25">
      <c r="A800" s="16">
        <f>OrdersTable!A800</f>
        <v>412</v>
      </c>
      <c r="B800" s="15" t="str">
        <f t="shared" si="265"/>
        <v>Miss</v>
      </c>
      <c r="C800" s="15" t="str">
        <f t="shared" si="286"/>
        <v>Moraitis</v>
      </c>
      <c r="D800" s="15" t="str">
        <f t="shared" si="266"/>
        <v>Vikki Sue</v>
      </c>
      <c r="E800" s="15" t="str">
        <f t="shared" si="267"/>
        <v>11 Stuckings Boulevard</v>
      </c>
      <c r="F800" s="15" t="str">
        <f t="shared" si="268"/>
        <v>Airly</v>
      </c>
      <c r="G800" s="15" t="str">
        <f t="shared" si="269"/>
        <v>VIC</v>
      </c>
      <c r="H800" s="15">
        <f t="shared" si="270"/>
        <v>3851</v>
      </c>
      <c r="I800" s="15">
        <f t="shared" si="281"/>
        <v>1583</v>
      </c>
      <c r="J800" s="15">
        <f>OrdersTable!B800</f>
        <v>849</v>
      </c>
      <c r="K800" s="15" t="str">
        <f t="shared" si="271"/>
        <v>Statues and Busts</v>
      </c>
      <c r="L800" s="15" t="str">
        <f t="shared" si="272"/>
        <v>Doctor Who: Statue: Cyber Controller</v>
      </c>
      <c r="M800" s="15" t="str">
        <f t="shared" si="273"/>
        <v>-</v>
      </c>
      <c r="N800" s="15">
        <f t="shared" si="274"/>
        <v>5</v>
      </c>
      <c r="O800" s="15" t="str">
        <f t="shared" si="275"/>
        <v>A10</v>
      </c>
      <c r="P800" s="15" t="str">
        <f t="shared" si="276"/>
        <v>Gallifrey International</v>
      </c>
      <c r="Q800" s="15" t="str">
        <f t="shared" si="277"/>
        <v>181 Arcadia Street</v>
      </c>
      <c r="R800" s="3">
        <f>OrdersTable!C800</f>
        <v>44619</v>
      </c>
      <c r="S800" s="15">
        <f>OrdersTable!E800</f>
        <v>2</v>
      </c>
      <c r="T800" s="15">
        <f t="shared" si="278"/>
        <v>99.99</v>
      </c>
      <c r="U800" s="15">
        <f t="shared" si="279"/>
        <v>136.41</v>
      </c>
      <c r="V800" s="15">
        <f t="shared" si="280"/>
        <v>161.97999999999999</v>
      </c>
      <c r="W800" s="15">
        <f>IF(MarkupType="Store Markup",ROUND(V800+V800*StoreMarkup,2),IF(MarkupType="Supplier Markup",V800+V800*SupplierMarkup,"Error at finding value"))</f>
        <v>255.12</v>
      </c>
      <c r="X800" s="32" t="str">
        <f t="shared" si="282"/>
        <v>0.00</v>
      </c>
      <c r="Y800" s="15">
        <f t="shared" si="283"/>
        <v>323.95999999999998</v>
      </c>
      <c r="Z800" s="15">
        <f t="shared" si="284"/>
        <v>510.24</v>
      </c>
      <c r="AA800" s="15">
        <f>IF(FreightType="Lethbridge-Stewart Freight ",ROUND(2.99+IF(N800&gt;0.75,(N800-0.75)*2.25,0)*S800,2),IF(MarkupType="Supplier Markup",V800+V800*SupplierMarkup,"Error at finding value"))</f>
        <v>22.12</v>
      </c>
      <c r="AB800" s="15">
        <f t="shared" si="285"/>
        <v>0</v>
      </c>
    </row>
    <row r="801" spans="1:28" x14ac:dyDescent="0.25">
      <c r="A801" s="16">
        <f>OrdersTable!A801</f>
        <v>489</v>
      </c>
      <c r="B801" s="15" t="str">
        <f t="shared" si="265"/>
        <v>Mr</v>
      </c>
      <c r="C801" s="15" t="str">
        <f t="shared" si="286"/>
        <v>Edwards</v>
      </c>
      <c r="D801" s="15" t="str">
        <f t="shared" si="266"/>
        <v>Luke Russell</v>
      </c>
      <c r="E801" s="15" t="str">
        <f t="shared" si="267"/>
        <v>43 Valusaga Court</v>
      </c>
      <c r="F801" s="15" t="str">
        <f t="shared" si="268"/>
        <v>Alfredtown</v>
      </c>
      <c r="G801" s="15" t="str">
        <f t="shared" si="269"/>
        <v>NSW</v>
      </c>
      <c r="H801" s="15">
        <f t="shared" si="270"/>
        <v>2650</v>
      </c>
      <c r="I801" s="15">
        <f t="shared" si="281"/>
        <v>1124</v>
      </c>
      <c r="J801" s="15">
        <f>OrdersTable!B801</f>
        <v>862</v>
      </c>
      <c r="K801" s="15" t="str">
        <f t="shared" si="271"/>
        <v>Statues and Busts</v>
      </c>
      <c r="L801" s="15" t="str">
        <f t="shared" si="272"/>
        <v>Doctor Who: TITANS: The 10th Doctor</v>
      </c>
      <c r="M801" s="15" t="str">
        <f t="shared" si="273"/>
        <v>-</v>
      </c>
      <c r="N801" s="15">
        <f t="shared" si="274"/>
        <v>0.4</v>
      </c>
      <c r="O801" s="15" t="str">
        <f t="shared" si="275"/>
        <v>A40</v>
      </c>
      <c r="P801" s="15" t="str">
        <f t="shared" si="276"/>
        <v>Romana Imports</v>
      </c>
      <c r="Q801" s="15" t="str">
        <f t="shared" si="277"/>
        <v>17 Lalla Ward Road</v>
      </c>
      <c r="R801" s="3">
        <f>OrdersTable!C801</f>
        <v>44619</v>
      </c>
      <c r="S801" s="15">
        <f>OrdersTable!E801</f>
        <v>3</v>
      </c>
      <c r="T801" s="15">
        <f t="shared" si="278"/>
        <v>7.99</v>
      </c>
      <c r="U801" s="15">
        <f t="shared" si="279"/>
        <v>11.01</v>
      </c>
      <c r="V801" s="15">
        <f t="shared" si="280"/>
        <v>12.94</v>
      </c>
      <c r="W801" s="15">
        <f>IF(MarkupType="Store Markup",ROUND(V801+V801*StoreMarkup,2),IF(MarkupType="Supplier Markup",V801+V801*SupplierMarkup,"Error at finding value"))</f>
        <v>20.38</v>
      </c>
      <c r="X801" s="32" t="str">
        <f t="shared" si="282"/>
        <v>0.00</v>
      </c>
      <c r="Y801" s="15">
        <f t="shared" si="283"/>
        <v>38.82</v>
      </c>
      <c r="Z801" s="15">
        <f t="shared" si="284"/>
        <v>61.14</v>
      </c>
      <c r="AA801" s="15">
        <f>IF(FreightType="Lethbridge-Stewart Freight ",ROUND(2.99+IF(N801&gt;0.75,(N801-0.75)*2.25,0)*S801,2),IF(MarkupType="Supplier Markup",V801+V801*SupplierMarkup,"Error at finding value"))</f>
        <v>2.99</v>
      </c>
      <c r="AB801" s="15">
        <f t="shared" si="285"/>
        <v>0</v>
      </c>
    </row>
    <row r="802" spans="1:28" x14ac:dyDescent="0.25">
      <c r="A802" s="16">
        <f>OrdersTable!A802</f>
        <v>568</v>
      </c>
      <c r="B802" s="15" t="str">
        <f t="shared" si="265"/>
        <v>Mr</v>
      </c>
      <c r="C802" s="15" t="str">
        <f t="shared" si="286"/>
        <v>Byrne</v>
      </c>
      <c r="D802" s="15" t="str">
        <f t="shared" si="266"/>
        <v>Gregory James</v>
      </c>
      <c r="E802" s="15" t="str">
        <f t="shared" si="267"/>
        <v>18 Doroshenko Crescent</v>
      </c>
      <c r="F802" s="15" t="str">
        <f t="shared" si="268"/>
        <v>Abington</v>
      </c>
      <c r="G802" s="15" t="str">
        <f t="shared" si="269"/>
        <v>QLD</v>
      </c>
      <c r="H802" s="15">
        <f t="shared" si="270"/>
        <v>4660</v>
      </c>
      <c r="I802" s="15">
        <f t="shared" si="281"/>
        <v>336</v>
      </c>
      <c r="J802" s="15">
        <f>OrdersTable!B802</f>
        <v>685</v>
      </c>
      <c r="K802" s="15" t="str">
        <f t="shared" si="271"/>
        <v>Mugs</v>
      </c>
      <c r="L802" s="15" t="str">
        <f t="shared" si="272"/>
        <v>Doctor Who: Teapot: Sliver TARDIS</v>
      </c>
      <c r="M802" s="15" t="str">
        <f t="shared" si="273"/>
        <v>-</v>
      </c>
      <c r="N802" s="15">
        <f t="shared" si="274"/>
        <v>1.35</v>
      </c>
      <c r="O802" s="15" t="str">
        <f t="shared" si="275"/>
        <v>A30</v>
      </c>
      <c r="P802" s="15" t="str">
        <f t="shared" si="276"/>
        <v>Chesterton Enterprises</v>
      </c>
      <c r="Q802" s="15" t="str">
        <f t="shared" si="277"/>
        <v>41 William Russell Road</v>
      </c>
      <c r="R802" s="3">
        <f>OrdersTable!C802</f>
        <v>44619</v>
      </c>
      <c r="S802" s="15">
        <f>OrdersTable!E802</f>
        <v>4</v>
      </c>
      <c r="T802" s="15">
        <f t="shared" si="278"/>
        <v>26.99</v>
      </c>
      <c r="U802" s="15">
        <f t="shared" si="279"/>
        <v>36.869999999999997</v>
      </c>
      <c r="V802" s="15">
        <f t="shared" si="280"/>
        <v>43.72</v>
      </c>
      <c r="W802" s="15">
        <f>IF(MarkupType="Store Markup",ROUND(V802+V802*StoreMarkup,2),IF(MarkupType="Supplier Markup",V802+V802*SupplierMarkup,"Error at finding value"))</f>
        <v>68.86</v>
      </c>
      <c r="X802" s="32" t="str">
        <f t="shared" si="282"/>
        <v>0.00</v>
      </c>
      <c r="Y802" s="15">
        <f t="shared" si="283"/>
        <v>174.88</v>
      </c>
      <c r="Z802" s="15">
        <f t="shared" si="284"/>
        <v>275.44</v>
      </c>
      <c r="AA802" s="15">
        <f>IF(FreightType="Lethbridge-Stewart Freight ",ROUND(2.99+IF(N802&gt;0.75,(N802-0.75)*2.25,0)*S802,2),IF(MarkupType="Supplier Markup",V802+V802*SupplierMarkup,"Error at finding value"))</f>
        <v>8.39</v>
      </c>
      <c r="AB802" s="15">
        <f t="shared" si="285"/>
        <v>0</v>
      </c>
    </row>
    <row r="803" spans="1:28" x14ac:dyDescent="0.25">
      <c r="A803" s="16">
        <f>OrdersTable!A803</f>
        <v>609</v>
      </c>
      <c r="B803" s="15" t="str">
        <f t="shared" si="265"/>
        <v>Ms</v>
      </c>
      <c r="C803" s="15" t="str">
        <f t="shared" si="286"/>
        <v>Ashley</v>
      </c>
      <c r="D803" s="15" t="str">
        <f t="shared" si="266"/>
        <v>Matthew</v>
      </c>
      <c r="E803" s="15" t="str">
        <f t="shared" si="267"/>
        <v>3 Wagener Crescent</v>
      </c>
      <c r="F803" s="15" t="str">
        <f t="shared" si="268"/>
        <v>Aberfoyle</v>
      </c>
      <c r="G803" s="15" t="str">
        <f t="shared" si="269"/>
        <v>NSW</v>
      </c>
      <c r="H803" s="15">
        <f t="shared" si="270"/>
        <v>2350</v>
      </c>
      <c r="I803" s="15">
        <f t="shared" si="281"/>
        <v>363</v>
      </c>
      <c r="J803" s="15">
        <f>OrdersTable!B803</f>
        <v>652</v>
      </c>
      <c r="K803" s="15" t="str">
        <f t="shared" si="271"/>
        <v>Mugs</v>
      </c>
      <c r="L803" s="15" t="str">
        <f t="shared" si="272"/>
        <v>Doctor Who: Mug: Dalek 2D</v>
      </c>
      <c r="M803" s="15" t="str">
        <f t="shared" si="273"/>
        <v>-</v>
      </c>
      <c r="N803" s="15">
        <f t="shared" si="274"/>
        <v>0.35</v>
      </c>
      <c r="O803" s="15" t="str">
        <f t="shared" si="275"/>
        <v>A10</v>
      </c>
      <c r="P803" s="15" t="str">
        <f t="shared" si="276"/>
        <v>Gallifrey International</v>
      </c>
      <c r="Q803" s="15" t="str">
        <f t="shared" si="277"/>
        <v>181 Arcadia Street</v>
      </c>
      <c r="R803" s="3">
        <f>OrdersTable!C803</f>
        <v>44619</v>
      </c>
      <c r="S803" s="15">
        <f>OrdersTable!E803</f>
        <v>9</v>
      </c>
      <c r="T803" s="15">
        <f t="shared" si="278"/>
        <v>6.99</v>
      </c>
      <c r="U803" s="15">
        <f t="shared" si="279"/>
        <v>9.8800000000000008</v>
      </c>
      <c r="V803" s="15">
        <f t="shared" si="280"/>
        <v>11.32</v>
      </c>
      <c r="W803" s="15">
        <f>IF(MarkupType="Store Markup",ROUND(V803+V803*StoreMarkup,2),IF(MarkupType="Supplier Markup",V803+V803*SupplierMarkup,"Error at finding value"))</f>
        <v>17.829999999999998</v>
      </c>
      <c r="X803" s="32" t="str">
        <f t="shared" si="282"/>
        <v>0.00</v>
      </c>
      <c r="Y803" s="15">
        <f t="shared" si="283"/>
        <v>101.88</v>
      </c>
      <c r="Z803" s="15">
        <f t="shared" si="284"/>
        <v>160.47</v>
      </c>
      <c r="AA803" s="15">
        <f>IF(FreightType="Lethbridge-Stewart Freight ",ROUND(2.99+IF(N803&gt;0.75,(N803-0.75)*2.25,0)*S803,2),IF(MarkupType="Supplier Markup",V803+V803*SupplierMarkup,"Error at finding value"))</f>
        <v>2.99</v>
      </c>
      <c r="AB803" s="15">
        <f t="shared" si="285"/>
        <v>0</v>
      </c>
    </row>
    <row r="804" spans="1:28" x14ac:dyDescent="0.25">
      <c r="A804" s="16">
        <f>OrdersTable!A804</f>
        <v>657</v>
      </c>
      <c r="B804" s="15" t="str">
        <f t="shared" si="265"/>
        <v>Mr</v>
      </c>
      <c r="C804" s="15" t="str">
        <f t="shared" si="286"/>
        <v>Poljak</v>
      </c>
      <c r="D804" s="15" t="str">
        <f t="shared" si="266"/>
        <v>Anthony</v>
      </c>
      <c r="E804" s="15" t="str">
        <f t="shared" si="267"/>
        <v>45 Robertson Boulevard</v>
      </c>
      <c r="F804" s="15" t="str">
        <f t="shared" si="268"/>
        <v>Iluka</v>
      </c>
      <c r="G804" s="15" t="str">
        <f t="shared" si="269"/>
        <v>NSW</v>
      </c>
      <c r="H804" s="15">
        <f t="shared" si="270"/>
        <v>2466</v>
      </c>
      <c r="I804" s="15">
        <f t="shared" si="281"/>
        <v>347</v>
      </c>
      <c r="J804" s="15">
        <f>OrdersTable!B804</f>
        <v>840</v>
      </c>
      <c r="K804" s="15" t="str">
        <f t="shared" si="271"/>
        <v>Statues and Busts</v>
      </c>
      <c r="L804" s="15" t="str">
        <f t="shared" si="272"/>
        <v>Doctor Who: Signature Edition Statue: Gallifrey Edition: Patrick Troughton</v>
      </c>
      <c r="M804" s="15" t="str">
        <f t="shared" si="273"/>
        <v>-</v>
      </c>
      <c r="N804" s="15">
        <f t="shared" si="274"/>
        <v>2.5</v>
      </c>
      <c r="O804" s="15" t="str">
        <f t="shared" si="275"/>
        <v>A40</v>
      </c>
      <c r="P804" s="15" t="str">
        <f t="shared" si="276"/>
        <v>Romana Imports</v>
      </c>
      <c r="Q804" s="15" t="str">
        <f t="shared" si="277"/>
        <v>17 Lalla Ward Road</v>
      </c>
      <c r="R804" s="3">
        <f>OrdersTable!C804</f>
        <v>44619</v>
      </c>
      <c r="S804" s="15">
        <f>OrdersTable!E804</f>
        <v>4</v>
      </c>
      <c r="T804" s="15">
        <f t="shared" si="278"/>
        <v>49.99</v>
      </c>
      <c r="U804" s="15">
        <f t="shared" si="279"/>
        <v>68.510000000000005</v>
      </c>
      <c r="V804" s="15">
        <f t="shared" si="280"/>
        <v>80.98</v>
      </c>
      <c r="W804" s="15">
        <f>IF(MarkupType="Store Markup",ROUND(V804+V804*StoreMarkup,2),IF(MarkupType="Supplier Markup",V804+V804*SupplierMarkup,"Error at finding value"))</f>
        <v>127.54</v>
      </c>
      <c r="X804" s="32">
        <f t="shared" si="282"/>
        <v>9.09</v>
      </c>
      <c r="Y804" s="15">
        <f t="shared" si="283"/>
        <v>323.92</v>
      </c>
      <c r="Z804" s="15">
        <f t="shared" si="284"/>
        <v>473.8</v>
      </c>
      <c r="AA804" s="15">
        <f>IF(FreightType="Lethbridge-Stewart Freight ",ROUND(2.99+IF(N804&gt;0.75,(N804-0.75)*2.25,0)*S804,2),IF(MarkupType="Supplier Markup",V804+V804*SupplierMarkup,"Error at finding value"))</f>
        <v>18.739999999999998</v>
      </c>
      <c r="AB804" s="15">
        <f t="shared" si="285"/>
        <v>36.36</v>
      </c>
    </row>
    <row r="805" spans="1:28" x14ac:dyDescent="0.25">
      <c r="A805" s="16">
        <f>OrdersTable!A805</f>
        <v>657</v>
      </c>
      <c r="B805" s="15" t="str">
        <f t="shared" si="265"/>
        <v>Mr</v>
      </c>
      <c r="C805" s="15" t="str">
        <f t="shared" si="286"/>
        <v>Poljak</v>
      </c>
      <c r="D805" s="15" t="str">
        <f t="shared" si="266"/>
        <v>Anthony</v>
      </c>
      <c r="E805" s="15" t="str">
        <f t="shared" si="267"/>
        <v>45 Robertson Boulevard</v>
      </c>
      <c r="F805" s="15" t="str">
        <f t="shared" si="268"/>
        <v>Iluka</v>
      </c>
      <c r="G805" s="15" t="str">
        <f t="shared" si="269"/>
        <v>NSW</v>
      </c>
      <c r="H805" s="15">
        <f t="shared" si="270"/>
        <v>2466</v>
      </c>
      <c r="I805" s="15">
        <f t="shared" si="281"/>
        <v>347</v>
      </c>
      <c r="J805" s="15">
        <f>OrdersTable!B805</f>
        <v>867</v>
      </c>
      <c r="K805" s="15" t="str">
        <f t="shared" si="271"/>
        <v>Statues and Busts</v>
      </c>
      <c r="L805" s="15" t="str">
        <f t="shared" si="272"/>
        <v>Doctor Who: TITANS: The 11th Doctor</v>
      </c>
      <c r="M805" s="15" t="str">
        <f t="shared" si="273"/>
        <v>-</v>
      </c>
      <c r="N805" s="15">
        <f t="shared" si="274"/>
        <v>0.4</v>
      </c>
      <c r="O805" s="15" t="str">
        <f t="shared" si="275"/>
        <v>A20</v>
      </c>
      <c r="P805" s="15" t="str">
        <f t="shared" si="276"/>
        <v>Morbius Inc.</v>
      </c>
      <c r="Q805" s="15" t="str">
        <f t="shared" si="277"/>
        <v>56 Michael Spice Hwy</v>
      </c>
      <c r="R805" s="3">
        <f>OrdersTable!C805</f>
        <v>44619</v>
      </c>
      <c r="S805" s="15">
        <f>OrdersTable!E805</f>
        <v>10</v>
      </c>
      <c r="T805" s="15">
        <f t="shared" si="278"/>
        <v>7.99</v>
      </c>
      <c r="U805" s="15">
        <f t="shared" si="279"/>
        <v>11.1</v>
      </c>
      <c r="V805" s="15">
        <f t="shared" si="280"/>
        <v>12.94</v>
      </c>
      <c r="W805" s="15">
        <f>IF(MarkupType="Store Markup",ROUND(V805+V805*StoreMarkup,2),IF(MarkupType="Supplier Markup",V805+V805*SupplierMarkup,"Error at finding value"))</f>
        <v>20.38</v>
      </c>
      <c r="X805" s="32" t="str">
        <f t="shared" si="282"/>
        <v>0.00</v>
      </c>
      <c r="Y805" s="15">
        <f t="shared" si="283"/>
        <v>129.4</v>
      </c>
      <c r="Z805" s="15">
        <f t="shared" si="284"/>
        <v>203.8</v>
      </c>
      <c r="AA805" s="15">
        <f>IF(FreightType="Lethbridge-Stewart Freight ",ROUND(2.99+IF(N805&gt;0.75,(N805-0.75)*2.25,0)*S805,2),IF(MarkupType="Supplier Markup",V805+V805*SupplierMarkup,"Error at finding value"))</f>
        <v>2.99</v>
      </c>
      <c r="AB805" s="15">
        <f t="shared" si="285"/>
        <v>0</v>
      </c>
    </row>
    <row r="806" spans="1:28" x14ac:dyDescent="0.25">
      <c r="A806" s="16">
        <f>OrdersTable!A806</f>
        <v>659</v>
      </c>
      <c r="B806" s="15" t="str">
        <f t="shared" si="265"/>
        <v>Mr</v>
      </c>
      <c r="C806" s="15" t="str">
        <f t="shared" si="286"/>
        <v>Douglas</v>
      </c>
      <c r="D806" s="15" t="str">
        <f t="shared" si="266"/>
        <v>Jason Richard</v>
      </c>
      <c r="E806" s="15" t="str">
        <f t="shared" si="267"/>
        <v>14 Young Crescent</v>
      </c>
      <c r="F806" s="15" t="str">
        <f t="shared" si="268"/>
        <v>Caliph</v>
      </c>
      <c r="G806" s="15" t="str">
        <f t="shared" si="269"/>
        <v>SA</v>
      </c>
      <c r="H806" s="15">
        <f t="shared" si="270"/>
        <v>5310</v>
      </c>
      <c r="I806" s="15">
        <f t="shared" si="281"/>
        <v>1720</v>
      </c>
      <c r="J806" s="15">
        <f>OrdersTable!B806</f>
        <v>398</v>
      </c>
      <c r="K806" s="15" t="str">
        <f t="shared" si="271"/>
        <v>Clothing and Apparel</v>
      </c>
      <c r="L806" s="15" t="str">
        <f t="shared" si="272"/>
        <v>Doctor Who: Women's Winter Pyjamas</v>
      </c>
      <c r="M806" s="15" t="str">
        <f t="shared" si="273"/>
        <v>S</v>
      </c>
      <c r="N806" s="15">
        <f t="shared" si="274"/>
        <v>1.5</v>
      </c>
      <c r="O806" s="15" t="str">
        <f t="shared" si="275"/>
        <v>A40</v>
      </c>
      <c r="P806" s="15" t="str">
        <f t="shared" si="276"/>
        <v>Romana Imports</v>
      </c>
      <c r="Q806" s="15" t="str">
        <f t="shared" si="277"/>
        <v>17 Lalla Ward Road</v>
      </c>
      <c r="R806" s="3">
        <f>OrdersTable!C806</f>
        <v>44619</v>
      </c>
      <c r="S806" s="15">
        <f>OrdersTable!E806</f>
        <v>10</v>
      </c>
      <c r="T806" s="15">
        <f t="shared" si="278"/>
        <v>29.99</v>
      </c>
      <c r="U806" s="15">
        <f t="shared" si="279"/>
        <v>41.07</v>
      </c>
      <c r="V806" s="15">
        <f t="shared" si="280"/>
        <v>48.58</v>
      </c>
      <c r="W806" s="15">
        <f>IF(MarkupType="Store Markup",ROUND(V806+V806*StoreMarkup,2),IF(MarkupType="Supplier Markup",V806+V806*SupplierMarkup,"Error at finding value"))</f>
        <v>76.510000000000005</v>
      </c>
      <c r="X806" s="32" t="str">
        <f t="shared" si="282"/>
        <v>0.00</v>
      </c>
      <c r="Y806" s="15">
        <f t="shared" si="283"/>
        <v>485.8</v>
      </c>
      <c r="Z806" s="15">
        <f t="shared" si="284"/>
        <v>765.1</v>
      </c>
      <c r="AA806" s="15">
        <f>IF(FreightType="Lethbridge-Stewart Freight ",ROUND(2.99+IF(N806&gt;0.75,(N806-0.75)*2.25,0)*S806,2),IF(MarkupType="Supplier Markup",V806+V806*SupplierMarkup,"Error at finding value"))</f>
        <v>19.87</v>
      </c>
      <c r="AB806" s="15">
        <f t="shared" si="285"/>
        <v>0</v>
      </c>
    </row>
    <row r="807" spans="1:28" x14ac:dyDescent="0.25">
      <c r="A807" s="16">
        <f>OrdersTable!A807</f>
        <v>747</v>
      </c>
      <c r="B807" s="15" t="str">
        <f t="shared" si="265"/>
        <v>Miss</v>
      </c>
      <c r="C807" s="15" t="str">
        <f t="shared" si="286"/>
        <v>Coom</v>
      </c>
      <c r="D807" s="15" t="str">
        <f t="shared" si="266"/>
        <v>Mackenzie Megan</v>
      </c>
      <c r="E807" s="15" t="str">
        <f t="shared" si="267"/>
        <v>2 Tsalikis Road</v>
      </c>
      <c r="F807" s="15" t="str">
        <f t="shared" si="268"/>
        <v>Aberfoyle</v>
      </c>
      <c r="G807" s="15" t="str">
        <f t="shared" si="269"/>
        <v>NSW</v>
      </c>
      <c r="H807" s="15">
        <f t="shared" si="270"/>
        <v>2350</v>
      </c>
      <c r="I807" s="15">
        <f t="shared" si="281"/>
        <v>363</v>
      </c>
      <c r="J807" s="15">
        <f>OrdersTable!B807</f>
        <v>543</v>
      </c>
      <c r="K807" s="15" t="str">
        <f t="shared" si="271"/>
        <v>Giftware</v>
      </c>
      <c r="L807" s="15" t="str">
        <f t="shared" si="272"/>
        <v>Doctor Who: Sonic Screwdriver Pen</v>
      </c>
      <c r="M807" s="15" t="str">
        <f t="shared" si="273"/>
        <v>-</v>
      </c>
      <c r="N807" s="15">
        <f t="shared" si="274"/>
        <v>0.65</v>
      </c>
      <c r="O807" s="15" t="str">
        <f t="shared" si="275"/>
        <v>A20</v>
      </c>
      <c r="P807" s="15" t="str">
        <f t="shared" si="276"/>
        <v>Morbius Inc.</v>
      </c>
      <c r="Q807" s="15" t="str">
        <f t="shared" si="277"/>
        <v>56 Michael Spice Hwy</v>
      </c>
      <c r="R807" s="3">
        <f>OrdersTable!C807</f>
        <v>44619</v>
      </c>
      <c r="S807" s="15">
        <f>OrdersTable!E807</f>
        <v>6</v>
      </c>
      <c r="T807" s="15">
        <f t="shared" si="278"/>
        <v>12.99</v>
      </c>
      <c r="U807" s="15">
        <f t="shared" si="279"/>
        <v>18.02</v>
      </c>
      <c r="V807" s="15">
        <f t="shared" si="280"/>
        <v>21.04</v>
      </c>
      <c r="W807" s="15">
        <f>IF(MarkupType="Store Markup",ROUND(V807+V807*StoreMarkup,2),IF(MarkupType="Supplier Markup",V807+V807*SupplierMarkup,"Error at finding value"))</f>
        <v>33.14</v>
      </c>
      <c r="X807" s="32" t="str">
        <f t="shared" si="282"/>
        <v>0.00</v>
      </c>
      <c r="Y807" s="15">
        <f t="shared" si="283"/>
        <v>126.24</v>
      </c>
      <c r="Z807" s="15">
        <f t="shared" si="284"/>
        <v>198.84</v>
      </c>
      <c r="AA807" s="15">
        <f>IF(FreightType="Lethbridge-Stewart Freight ",ROUND(2.99+IF(N807&gt;0.75,(N807-0.75)*2.25,0)*S807,2),IF(MarkupType="Supplier Markup",V807+V807*SupplierMarkup,"Error at finding value"))</f>
        <v>2.99</v>
      </c>
      <c r="AB807" s="15">
        <f t="shared" si="285"/>
        <v>0</v>
      </c>
    </row>
    <row r="808" spans="1:28" x14ac:dyDescent="0.25">
      <c r="A808" s="16">
        <f>OrdersTable!A808</f>
        <v>758</v>
      </c>
      <c r="B808" s="15" t="str">
        <f t="shared" si="265"/>
        <v>Mr</v>
      </c>
      <c r="C808" s="15" t="str">
        <f t="shared" si="286"/>
        <v>Whitehorn</v>
      </c>
      <c r="D808" s="15" t="str">
        <f t="shared" si="266"/>
        <v>James</v>
      </c>
      <c r="E808" s="15" t="str">
        <f t="shared" si="267"/>
        <v>32 Raubenheimer Circuit</v>
      </c>
      <c r="F808" s="15" t="str">
        <f t="shared" si="268"/>
        <v>Belconnen</v>
      </c>
      <c r="G808" s="15" t="str">
        <f t="shared" si="269"/>
        <v>ACT</v>
      </c>
      <c r="H808" s="15">
        <f t="shared" si="270"/>
        <v>2617</v>
      </c>
      <c r="I808" s="15">
        <f t="shared" si="281"/>
        <v>1194</v>
      </c>
      <c r="J808" s="15">
        <f>OrdersTable!B808</f>
        <v>726</v>
      </c>
      <c r="K808" s="15" t="str">
        <f t="shared" si="271"/>
        <v>Props and Replicas</v>
      </c>
      <c r="L808" s="15" t="str">
        <f t="shared" si="272"/>
        <v>Doctor Who: Dalek Death Ray</v>
      </c>
      <c r="M808" s="15" t="str">
        <f t="shared" si="273"/>
        <v>-</v>
      </c>
      <c r="N808" s="15">
        <f t="shared" si="274"/>
        <v>18</v>
      </c>
      <c r="O808" s="15" t="str">
        <f t="shared" si="275"/>
        <v>A30</v>
      </c>
      <c r="P808" s="15" t="str">
        <f t="shared" si="276"/>
        <v>Chesterton Enterprises</v>
      </c>
      <c r="Q808" s="15" t="str">
        <f t="shared" si="277"/>
        <v>41 William Russell Road</v>
      </c>
      <c r="R808" s="3">
        <f>OrdersTable!C808</f>
        <v>44619</v>
      </c>
      <c r="S808" s="15">
        <f>OrdersTable!E808</f>
        <v>8</v>
      </c>
      <c r="T808" s="15">
        <f t="shared" si="278"/>
        <v>359.99</v>
      </c>
      <c r="U808" s="15">
        <f t="shared" si="279"/>
        <v>491.12</v>
      </c>
      <c r="V808" s="15">
        <f t="shared" si="280"/>
        <v>583.17999999999995</v>
      </c>
      <c r="W808" s="15">
        <f>IF(MarkupType="Store Markup",ROUND(V808+V808*StoreMarkup,2),IF(MarkupType="Supplier Markup",V808+V808*SupplierMarkup,"Error at finding value"))</f>
        <v>918.51</v>
      </c>
      <c r="X808" s="32">
        <f t="shared" si="282"/>
        <v>65.44</v>
      </c>
      <c r="Y808" s="15">
        <f t="shared" si="283"/>
        <v>4665.4399999999996</v>
      </c>
      <c r="Z808" s="15">
        <f t="shared" si="284"/>
        <v>6824.56</v>
      </c>
      <c r="AA808" s="15">
        <f>IF(FreightType="Lethbridge-Stewart Freight ",ROUND(2.99+IF(N808&gt;0.75,(N808-0.75)*2.25,0)*S808,2),IF(MarkupType="Supplier Markup",V808+V808*SupplierMarkup,"Error at finding value"))</f>
        <v>313.49</v>
      </c>
      <c r="AB808" s="15">
        <f t="shared" si="285"/>
        <v>523.52</v>
      </c>
    </row>
    <row r="809" spans="1:28" x14ac:dyDescent="0.25">
      <c r="A809" s="16">
        <f>OrdersTable!A809</f>
        <v>758</v>
      </c>
      <c r="B809" s="15" t="str">
        <f t="shared" si="265"/>
        <v>Mr</v>
      </c>
      <c r="C809" s="15" t="str">
        <f t="shared" si="286"/>
        <v>Whitehorn</v>
      </c>
      <c r="D809" s="15" t="str">
        <f t="shared" si="266"/>
        <v>James</v>
      </c>
      <c r="E809" s="15" t="str">
        <f t="shared" si="267"/>
        <v>32 Raubenheimer Circuit</v>
      </c>
      <c r="F809" s="15" t="str">
        <f t="shared" si="268"/>
        <v>Belconnen</v>
      </c>
      <c r="G809" s="15" t="str">
        <f t="shared" si="269"/>
        <v>ACT</v>
      </c>
      <c r="H809" s="15">
        <f t="shared" si="270"/>
        <v>2617</v>
      </c>
      <c r="I809" s="15">
        <f t="shared" si="281"/>
        <v>1194</v>
      </c>
      <c r="J809" s="15">
        <f>OrdersTable!B809</f>
        <v>759</v>
      </c>
      <c r="K809" s="15" t="str">
        <f t="shared" si="271"/>
        <v>Statues and Busts</v>
      </c>
      <c r="L809" s="15" t="str">
        <f t="shared" si="272"/>
        <v>Doctor Who: Legends Forever Bust: Jon Pertwee</v>
      </c>
      <c r="M809" s="15" t="str">
        <f t="shared" si="273"/>
        <v>-</v>
      </c>
      <c r="N809" s="15">
        <f t="shared" si="274"/>
        <v>1.375</v>
      </c>
      <c r="O809" s="15" t="str">
        <f t="shared" si="275"/>
        <v>A30</v>
      </c>
      <c r="P809" s="15" t="str">
        <f t="shared" si="276"/>
        <v>Chesterton Enterprises</v>
      </c>
      <c r="Q809" s="15" t="str">
        <f t="shared" si="277"/>
        <v>41 William Russell Road</v>
      </c>
      <c r="R809" s="3">
        <f>OrdersTable!C809</f>
        <v>44619</v>
      </c>
      <c r="S809" s="15">
        <f>OrdersTable!E809</f>
        <v>5</v>
      </c>
      <c r="T809" s="15">
        <f t="shared" si="278"/>
        <v>27.5</v>
      </c>
      <c r="U809" s="15">
        <f t="shared" si="279"/>
        <v>37.630000000000003</v>
      </c>
      <c r="V809" s="15">
        <f t="shared" si="280"/>
        <v>44.55</v>
      </c>
      <c r="W809" s="15">
        <f>IF(MarkupType="Store Markup",ROUND(V809+V809*StoreMarkup,2),IF(MarkupType="Supplier Markup",V809+V809*SupplierMarkup,"Error at finding value"))</f>
        <v>70.17</v>
      </c>
      <c r="X809" s="32" t="str">
        <f t="shared" si="282"/>
        <v>0.00</v>
      </c>
      <c r="Y809" s="15">
        <f t="shared" si="283"/>
        <v>222.75</v>
      </c>
      <c r="Z809" s="15">
        <f t="shared" si="284"/>
        <v>350.85</v>
      </c>
      <c r="AA809" s="15">
        <f>IF(FreightType="Lethbridge-Stewart Freight ",ROUND(2.99+IF(N809&gt;0.75,(N809-0.75)*2.25,0)*S809,2),IF(MarkupType="Supplier Markup",V809+V809*SupplierMarkup,"Error at finding value"))</f>
        <v>10.02</v>
      </c>
      <c r="AB809" s="15">
        <f t="shared" si="285"/>
        <v>0</v>
      </c>
    </row>
    <row r="810" spans="1:28" x14ac:dyDescent="0.25">
      <c r="A810" s="16">
        <f>OrdersTable!A810</f>
        <v>784</v>
      </c>
      <c r="B810" s="15" t="str">
        <f t="shared" si="265"/>
        <v>Ms</v>
      </c>
      <c r="C810" s="15" t="str">
        <f t="shared" si="286"/>
        <v>Hansen</v>
      </c>
      <c r="D810" s="15" t="str">
        <f t="shared" si="266"/>
        <v>Courtney Michelle</v>
      </c>
      <c r="E810" s="15" t="str">
        <f t="shared" si="267"/>
        <v>22 Elliot Crescent</v>
      </c>
      <c r="F810" s="15" t="str">
        <f t="shared" si="268"/>
        <v>Alfredtown</v>
      </c>
      <c r="G810" s="15" t="str">
        <f t="shared" si="269"/>
        <v>NSW</v>
      </c>
      <c r="H810" s="15">
        <f t="shared" si="270"/>
        <v>2650</v>
      </c>
      <c r="I810" s="15">
        <f t="shared" si="281"/>
        <v>1124</v>
      </c>
      <c r="J810" s="15">
        <f>OrdersTable!B810</f>
        <v>787</v>
      </c>
      <c r="K810" s="15" t="str">
        <f t="shared" si="271"/>
        <v>Statues and Busts</v>
      </c>
      <c r="L810" s="15" t="str">
        <f t="shared" si="272"/>
        <v>Doctor Who: Masterpiece Collection Maxi Bust: 1st Doctor</v>
      </c>
      <c r="M810" s="15" t="str">
        <f t="shared" si="273"/>
        <v>-</v>
      </c>
      <c r="N810" s="15">
        <f t="shared" si="274"/>
        <v>2.5</v>
      </c>
      <c r="O810" s="15" t="str">
        <f t="shared" si="275"/>
        <v>A10</v>
      </c>
      <c r="P810" s="15" t="str">
        <f t="shared" si="276"/>
        <v>Gallifrey International</v>
      </c>
      <c r="Q810" s="15" t="str">
        <f t="shared" si="277"/>
        <v>181 Arcadia Street</v>
      </c>
      <c r="R810" s="3">
        <f>OrdersTable!C810</f>
        <v>44619</v>
      </c>
      <c r="S810" s="15">
        <f>OrdersTable!E810</f>
        <v>7</v>
      </c>
      <c r="T810" s="15">
        <f t="shared" si="278"/>
        <v>49.99</v>
      </c>
      <c r="U810" s="15">
        <f t="shared" si="279"/>
        <v>68.290000000000006</v>
      </c>
      <c r="V810" s="15">
        <f t="shared" si="280"/>
        <v>80.98</v>
      </c>
      <c r="W810" s="15">
        <f>IF(MarkupType="Store Markup",ROUND(V810+V810*StoreMarkup,2),IF(MarkupType="Supplier Markup",V810+V810*SupplierMarkup,"Error at finding value"))</f>
        <v>127.54</v>
      </c>
      <c r="X810" s="32">
        <f t="shared" si="282"/>
        <v>9.09</v>
      </c>
      <c r="Y810" s="15">
        <f t="shared" si="283"/>
        <v>566.86</v>
      </c>
      <c r="Z810" s="15">
        <f t="shared" si="284"/>
        <v>829.15</v>
      </c>
      <c r="AA810" s="15">
        <f>IF(FreightType="Lethbridge-Stewart Freight ",ROUND(2.99+IF(N810&gt;0.75,(N810-0.75)*2.25,0)*S810,2),IF(MarkupType="Supplier Markup",V810+V810*SupplierMarkup,"Error at finding value"))</f>
        <v>30.55</v>
      </c>
      <c r="AB810" s="15">
        <f t="shared" si="285"/>
        <v>63.63</v>
      </c>
    </row>
    <row r="811" spans="1:28" x14ac:dyDescent="0.25">
      <c r="A811" s="16">
        <f>OrdersTable!A811</f>
        <v>841</v>
      </c>
      <c r="B811" s="15" t="str">
        <f t="shared" si="265"/>
        <v>Miss</v>
      </c>
      <c r="C811" s="15" t="str">
        <f t="shared" si="286"/>
        <v>Donaghy</v>
      </c>
      <c r="D811" s="15" t="str">
        <f t="shared" si="266"/>
        <v>Elizabeth Mathilde Jane</v>
      </c>
      <c r="E811" s="15" t="str">
        <f t="shared" si="267"/>
        <v>31 Johnson Boulevard</v>
      </c>
      <c r="F811" s="15" t="str">
        <f t="shared" si="268"/>
        <v>Belford</v>
      </c>
      <c r="G811" s="15" t="str">
        <f t="shared" si="269"/>
        <v>NSW</v>
      </c>
      <c r="H811" s="15">
        <f t="shared" si="270"/>
        <v>2335</v>
      </c>
      <c r="I811" s="15">
        <f t="shared" si="281"/>
        <v>716</v>
      </c>
      <c r="J811" s="15">
        <f>OrdersTable!B811</f>
        <v>145</v>
      </c>
      <c r="K811" s="15" t="str">
        <f t="shared" si="271"/>
        <v>Bobbleheads</v>
      </c>
      <c r="L811" s="15" t="str">
        <f t="shared" si="272"/>
        <v>Doctor Who: Bobblehead: Eleventh Doctor</v>
      </c>
      <c r="M811" s="15" t="str">
        <f t="shared" si="273"/>
        <v>-</v>
      </c>
      <c r="N811" s="15">
        <f t="shared" si="274"/>
        <v>1</v>
      </c>
      <c r="O811" s="15" t="str">
        <f t="shared" si="275"/>
        <v>A30</v>
      </c>
      <c r="P811" s="15" t="str">
        <f t="shared" si="276"/>
        <v>Chesterton Enterprises</v>
      </c>
      <c r="Q811" s="15" t="str">
        <f t="shared" si="277"/>
        <v>41 William Russell Road</v>
      </c>
      <c r="R811" s="3">
        <f>OrdersTable!C811</f>
        <v>44619</v>
      </c>
      <c r="S811" s="15">
        <f>OrdersTable!E811</f>
        <v>5</v>
      </c>
      <c r="T811" s="15">
        <f t="shared" si="278"/>
        <v>19.989999999999998</v>
      </c>
      <c r="U811" s="15">
        <f t="shared" si="279"/>
        <v>27.54</v>
      </c>
      <c r="V811" s="15">
        <f t="shared" si="280"/>
        <v>32.380000000000003</v>
      </c>
      <c r="W811" s="15">
        <f>IF(MarkupType="Store Markup",ROUND(V811+V811*StoreMarkup,2),IF(MarkupType="Supplier Markup",V811+V811*SupplierMarkup,"Error at finding value"))</f>
        <v>51</v>
      </c>
      <c r="X811" s="32" t="str">
        <f t="shared" si="282"/>
        <v>0.00</v>
      </c>
      <c r="Y811" s="15">
        <f t="shared" si="283"/>
        <v>161.9</v>
      </c>
      <c r="Z811" s="15">
        <f t="shared" si="284"/>
        <v>255</v>
      </c>
      <c r="AA811" s="15">
        <f>IF(FreightType="Lethbridge-Stewart Freight ",ROUND(2.99+IF(N811&gt;0.75,(N811-0.75)*2.25,0)*S811,2),IF(MarkupType="Supplier Markup",V811+V811*SupplierMarkup,"Error at finding value"))</f>
        <v>5.8</v>
      </c>
      <c r="AB811" s="15">
        <f t="shared" si="285"/>
        <v>0</v>
      </c>
    </row>
    <row r="812" spans="1:28" x14ac:dyDescent="0.25">
      <c r="A812" s="16">
        <f>OrdersTable!A812</f>
        <v>249</v>
      </c>
      <c r="B812" s="15" t="str">
        <f t="shared" si="265"/>
        <v>Mr</v>
      </c>
      <c r="C812" s="15" t="str">
        <f t="shared" si="286"/>
        <v>Sinclair</v>
      </c>
      <c r="D812" s="15" t="str">
        <f t="shared" si="266"/>
        <v>Travis James Foord</v>
      </c>
      <c r="E812" s="15" t="str">
        <f t="shared" si="267"/>
        <v>25 Leunen Avenue</v>
      </c>
      <c r="F812" s="15" t="str">
        <f t="shared" si="268"/>
        <v>Batlow</v>
      </c>
      <c r="G812" s="15" t="str">
        <f t="shared" si="269"/>
        <v>NSW</v>
      </c>
      <c r="H812" s="15">
        <f t="shared" si="270"/>
        <v>2730</v>
      </c>
      <c r="I812" s="15">
        <f t="shared" si="281"/>
        <v>1138</v>
      </c>
      <c r="J812" s="15">
        <f>OrdersTable!B812</f>
        <v>683</v>
      </c>
      <c r="K812" s="15" t="str">
        <f t="shared" si="271"/>
        <v>Mugs</v>
      </c>
      <c r="L812" s="15" t="str">
        <f t="shared" si="272"/>
        <v>Doctor Who: Mug: The Tenth Doctor</v>
      </c>
      <c r="M812" s="15" t="str">
        <f t="shared" si="273"/>
        <v>-</v>
      </c>
      <c r="N812" s="15">
        <f t="shared" si="274"/>
        <v>0.45</v>
      </c>
      <c r="O812" s="15" t="str">
        <f t="shared" si="275"/>
        <v>A20</v>
      </c>
      <c r="P812" s="15" t="str">
        <f t="shared" si="276"/>
        <v>Morbius Inc.</v>
      </c>
      <c r="Q812" s="15" t="str">
        <f t="shared" si="277"/>
        <v>56 Michael Spice Hwy</v>
      </c>
      <c r="R812" s="3">
        <f>OrdersTable!C812</f>
        <v>44620</v>
      </c>
      <c r="S812" s="15">
        <f>OrdersTable!E812</f>
        <v>9</v>
      </c>
      <c r="T812" s="15">
        <f t="shared" si="278"/>
        <v>8.99</v>
      </c>
      <c r="U812" s="15">
        <f t="shared" si="279"/>
        <v>12.54</v>
      </c>
      <c r="V812" s="15">
        <f t="shared" si="280"/>
        <v>14.56</v>
      </c>
      <c r="W812" s="15">
        <f>IF(MarkupType="Store Markup",ROUND(V812+V812*StoreMarkup,2),IF(MarkupType="Supplier Markup",V812+V812*SupplierMarkup,"Error at finding value"))</f>
        <v>22.93</v>
      </c>
      <c r="X812" s="32" t="str">
        <f t="shared" si="282"/>
        <v>0.00</v>
      </c>
      <c r="Y812" s="15">
        <f t="shared" si="283"/>
        <v>131.04</v>
      </c>
      <c r="Z812" s="15">
        <f t="shared" si="284"/>
        <v>206.37</v>
      </c>
      <c r="AA812" s="15">
        <f>IF(FreightType="Lethbridge-Stewart Freight ",ROUND(2.99+IF(N812&gt;0.75,(N812-0.75)*2.25,0)*S812,2),IF(MarkupType="Supplier Markup",V812+V812*SupplierMarkup,"Error at finding value"))</f>
        <v>2.99</v>
      </c>
      <c r="AB812" s="15">
        <f t="shared" si="285"/>
        <v>0</v>
      </c>
    </row>
    <row r="813" spans="1:28" x14ac:dyDescent="0.25">
      <c r="A813" s="16">
        <f>OrdersTable!A813</f>
        <v>308</v>
      </c>
      <c r="B813" s="15" t="str">
        <f t="shared" si="265"/>
        <v>Dr</v>
      </c>
      <c r="C813" s="15" t="str">
        <f t="shared" si="286"/>
        <v>Azar</v>
      </c>
      <c r="D813" s="15" t="str">
        <f t="shared" si="266"/>
        <v>Mariam</v>
      </c>
      <c r="E813" s="15" t="str">
        <f t="shared" si="267"/>
        <v>26 Osmond Road</v>
      </c>
      <c r="F813" s="15" t="str">
        <f t="shared" si="268"/>
        <v>Boston</v>
      </c>
      <c r="G813" s="15" t="str">
        <f t="shared" si="269"/>
        <v>SA</v>
      </c>
      <c r="H813" s="15">
        <f t="shared" si="270"/>
        <v>5607</v>
      </c>
      <c r="I813" s="15">
        <f t="shared" si="281"/>
        <v>2076</v>
      </c>
      <c r="J813" s="15">
        <f>OrdersTable!B813</f>
        <v>711</v>
      </c>
      <c r="K813" s="15" t="str">
        <f t="shared" si="271"/>
        <v>Posters, Prints and Standees</v>
      </c>
      <c r="L813" s="15" t="str">
        <f t="shared" si="272"/>
        <v>Doctor Who: Poster: TARDIS Door Poster</v>
      </c>
      <c r="M813" s="15" t="str">
        <f t="shared" si="273"/>
        <v>-</v>
      </c>
      <c r="N813" s="15">
        <f t="shared" si="274"/>
        <v>0.3</v>
      </c>
      <c r="O813" s="15" t="str">
        <f t="shared" si="275"/>
        <v>A20</v>
      </c>
      <c r="P813" s="15" t="str">
        <f t="shared" si="276"/>
        <v>Morbius Inc.</v>
      </c>
      <c r="Q813" s="15" t="str">
        <f t="shared" si="277"/>
        <v>56 Michael Spice Hwy</v>
      </c>
      <c r="R813" s="3">
        <f>OrdersTable!C813</f>
        <v>44620</v>
      </c>
      <c r="S813" s="15">
        <f>OrdersTable!E813</f>
        <v>6</v>
      </c>
      <c r="T813" s="15">
        <f t="shared" si="278"/>
        <v>5.99</v>
      </c>
      <c r="U813" s="15">
        <f t="shared" si="279"/>
        <v>8.41</v>
      </c>
      <c r="V813" s="15">
        <f t="shared" si="280"/>
        <v>9.6999999999999993</v>
      </c>
      <c r="W813" s="15">
        <f>IF(MarkupType="Store Markup",ROUND(V813+V813*StoreMarkup,2),IF(MarkupType="Supplier Markup",V813+V813*SupplierMarkup,"Error at finding value"))</f>
        <v>15.28</v>
      </c>
      <c r="X813" s="32" t="str">
        <f t="shared" si="282"/>
        <v>0.00</v>
      </c>
      <c r="Y813" s="15">
        <f t="shared" si="283"/>
        <v>58.2</v>
      </c>
      <c r="Z813" s="15">
        <f t="shared" si="284"/>
        <v>91.68</v>
      </c>
      <c r="AA813" s="15">
        <f>IF(FreightType="Lethbridge-Stewart Freight ",ROUND(2.99+IF(N813&gt;0.75,(N813-0.75)*2.25,0)*S813,2),IF(MarkupType="Supplier Markup",V813+V813*SupplierMarkup,"Error at finding value"))</f>
        <v>2.99</v>
      </c>
      <c r="AB813" s="15">
        <f t="shared" si="285"/>
        <v>0</v>
      </c>
    </row>
    <row r="814" spans="1:28" x14ac:dyDescent="0.25">
      <c r="A814" s="16">
        <f>OrdersTable!A814</f>
        <v>323</v>
      </c>
      <c r="B814" s="15" t="str">
        <f t="shared" si="265"/>
        <v>Dr</v>
      </c>
      <c r="C814" s="15" t="str">
        <f t="shared" si="286"/>
        <v>King</v>
      </c>
      <c r="D814" s="15" t="str">
        <f t="shared" si="266"/>
        <v>Leith</v>
      </c>
      <c r="E814" s="15" t="str">
        <f t="shared" si="267"/>
        <v>25 Carbone Court</v>
      </c>
      <c r="F814" s="15" t="str">
        <f t="shared" si="268"/>
        <v>Nayook</v>
      </c>
      <c r="G814" s="15" t="str">
        <f t="shared" si="269"/>
        <v>VIC</v>
      </c>
      <c r="H814" s="15">
        <f t="shared" si="270"/>
        <v>3832</v>
      </c>
      <c r="I814" s="15">
        <f t="shared" si="281"/>
        <v>1552</v>
      </c>
      <c r="J814" s="15">
        <f>OrdersTable!B814</f>
        <v>840</v>
      </c>
      <c r="K814" s="15" t="str">
        <f t="shared" si="271"/>
        <v>Statues and Busts</v>
      </c>
      <c r="L814" s="15" t="str">
        <f t="shared" si="272"/>
        <v>Doctor Who: Signature Edition Statue: Gallifrey Edition: Patrick Troughton</v>
      </c>
      <c r="M814" s="15" t="str">
        <f t="shared" si="273"/>
        <v>-</v>
      </c>
      <c r="N814" s="15">
        <f t="shared" si="274"/>
        <v>2.5</v>
      </c>
      <c r="O814" s="15" t="str">
        <f t="shared" si="275"/>
        <v>A40</v>
      </c>
      <c r="P814" s="15" t="str">
        <f t="shared" si="276"/>
        <v>Romana Imports</v>
      </c>
      <c r="Q814" s="15" t="str">
        <f t="shared" si="277"/>
        <v>17 Lalla Ward Road</v>
      </c>
      <c r="R814" s="3">
        <f>OrdersTable!C814</f>
        <v>44620</v>
      </c>
      <c r="S814" s="15">
        <f>OrdersTable!E814</f>
        <v>9</v>
      </c>
      <c r="T814" s="15">
        <f t="shared" si="278"/>
        <v>49.99</v>
      </c>
      <c r="U814" s="15">
        <f t="shared" si="279"/>
        <v>68.510000000000005</v>
      </c>
      <c r="V814" s="15">
        <f t="shared" si="280"/>
        <v>80.98</v>
      </c>
      <c r="W814" s="15">
        <f>IF(MarkupType="Store Markup",ROUND(V814+V814*StoreMarkup,2),IF(MarkupType="Supplier Markup",V814+V814*SupplierMarkup,"Error at finding value"))</f>
        <v>127.54</v>
      </c>
      <c r="X814" s="32">
        <f t="shared" si="282"/>
        <v>9.09</v>
      </c>
      <c r="Y814" s="15">
        <f t="shared" si="283"/>
        <v>728.82</v>
      </c>
      <c r="Z814" s="15">
        <f t="shared" si="284"/>
        <v>1066.05</v>
      </c>
      <c r="AA814" s="15">
        <f>IF(FreightType="Lethbridge-Stewart Freight ",ROUND(2.99+IF(N814&gt;0.75,(N814-0.75)*2.25,0)*S814,2),IF(MarkupType="Supplier Markup",V814+V814*SupplierMarkup,"Error at finding value"))</f>
        <v>38.43</v>
      </c>
      <c r="AB814" s="15">
        <f t="shared" si="285"/>
        <v>81.81</v>
      </c>
    </row>
    <row r="815" spans="1:28" x14ac:dyDescent="0.25">
      <c r="A815" s="16">
        <f>OrdersTable!A815</f>
        <v>331</v>
      </c>
      <c r="B815" s="15" t="str">
        <f t="shared" si="265"/>
        <v>Mrs</v>
      </c>
      <c r="C815" s="15" t="str">
        <f t="shared" si="286"/>
        <v>McKenzie</v>
      </c>
      <c r="D815" s="15" t="str">
        <f t="shared" si="266"/>
        <v>Melinda Kate</v>
      </c>
      <c r="E815" s="15" t="str">
        <f t="shared" si="267"/>
        <v>49 McKay Way</v>
      </c>
      <c r="F815" s="15" t="str">
        <f t="shared" si="268"/>
        <v>Black Hills</v>
      </c>
      <c r="G815" s="15" t="str">
        <f t="shared" si="269"/>
        <v>TAS</v>
      </c>
      <c r="H815" s="15">
        <f t="shared" si="270"/>
        <v>7140</v>
      </c>
      <c r="I815" s="15">
        <f t="shared" si="281"/>
        <v>2191</v>
      </c>
      <c r="J815" s="15">
        <f>OrdersTable!B815</f>
        <v>710</v>
      </c>
      <c r="K815" s="15" t="str">
        <f t="shared" si="271"/>
        <v>Posters, Prints and Standees</v>
      </c>
      <c r="L815" s="15" t="str">
        <f t="shared" si="272"/>
        <v>Doctor Who: Poster: Regenerate</v>
      </c>
      <c r="M815" s="15" t="str">
        <f t="shared" si="273"/>
        <v>-</v>
      </c>
      <c r="N815" s="15">
        <f t="shared" si="274"/>
        <v>0.2</v>
      </c>
      <c r="O815" s="15" t="str">
        <f t="shared" si="275"/>
        <v>A40</v>
      </c>
      <c r="P815" s="15" t="str">
        <f t="shared" si="276"/>
        <v>Romana Imports</v>
      </c>
      <c r="Q815" s="15" t="str">
        <f t="shared" si="277"/>
        <v>17 Lalla Ward Road</v>
      </c>
      <c r="R815" s="3">
        <f>OrdersTable!C815</f>
        <v>44620</v>
      </c>
      <c r="S815" s="15">
        <f>OrdersTable!E815</f>
        <v>5</v>
      </c>
      <c r="T815" s="15">
        <f t="shared" si="278"/>
        <v>3.99</v>
      </c>
      <c r="U815" s="15">
        <f t="shared" si="279"/>
        <v>5.5</v>
      </c>
      <c r="V815" s="15">
        <f t="shared" si="280"/>
        <v>6.46</v>
      </c>
      <c r="W815" s="15">
        <f>IF(MarkupType="Store Markup",ROUND(V815+V815*StoreMarkup,2),IF(MarkupType="Supplier Markup",V815+V815*SupplierMarkup,"Error at finding value"))</f>
        <v>10.17</v>
      </c>
      <c r="X815" s="32" t="str">
        <f t="shared" si="282"/>
        <v>0.00</v>
      </c>
      <c r="Y815" s="15">
        <f t="shared" si="283"/>
        <v>32.299999999999997</v>
      </c>
      <c r="Z815" s="15">
        <f t="shared" si="284"/>
        <v>50.85</v>
      </c>
      <c r="AA815" s="15">
        <f>IF(FreightType="Lethbridge-Stewart Freight ",ROUND(2.99+IF(N815&gt;0.75,(N815-0.75)*2.25,0)*S815,2),IF(MarkupType="Supplier Markup",V815+V815*SupplierMarkup,"Error at finding value"))</f>
        <v>2.99</v>
      </c>
      <c r="AB815" s="15">
        <f t="shared" si="285"/>
        <v>0</v>
      </c>
    </row>
    <row r="816" spans="1:28" x14ac:dyDescent="0.25">
      <c r="A816" s="16">
        <f>OrdersTable!A816</f>
        <v>416</v>
      </c>
      <c r="B816" s="15" t="str">
        <f t="shared" si="265"/>
        <v>Mr</v>
      </c>
      <c r="C816" s="15" t="str">
        <f t="shared" si="286"/>
        <v>Mohammed</v>
      </c>
      <c r="D816" s="15" t="str">
        <f t="shared" si="266"/>
        <v>Ahmed</v>
      </c>
      <c r="E816" s="15" t="str">
        <f t="shared" si="267"/>
        <v>35 Ridley Avenue</v>
      </c>
      <c r="F816" s="15" t="str">
        <f t="shared" si="268"/>
        <v>Iluka</v>
      </c>
      <c r="G816" s="15" t="str">
        <f t="shared" si="269"/>
        <v>NSW</v>
      </c>
      <c r="H816" s="15">
        <f t="shared" si="270"/>
        <v>2466</v>
      </c>
      <c r="I816" s="15">
        <f t="shared" si="281"/>
        <v>347</v>
      </c>
      <c r="J816" s="15">
        <f>OrdersTable!B816</f>
        <v>671</v>
      </c>
      <c r="K816" s="15" t="str">
        <f t="shared" si="271"/>
        <v>Mugs</v>
      </c>
      <c r="L816" s="15" t="str">
        <f t="shared" si="272"/>
        <v>Doctor Who: Mug: TARDIS Inside</v>
      </c>
      <c r="M816" s="15" t="str">
        <f t="shared" si="273"/>
        <v>-</v>
      </c>
      <c r="N816" s="15">
        <f t="shared" si="274"/>
        <v>0.6</v>
      </c>
      <c r="O816" s="15" t="str">
        <f t="shared" si="275"/>
        <v>A30</v>
      </c>
      <c r="P816" s="15" t="str">
        <f t="shared" si="276"/>
        <v>Chesterton Enterprises</v>
      </c>
      <c r="Q816" s="15" t="str">
        <f t="shared" si="277"/>
        <v>41 William Russell Road</v>
      </c>
      <c r="R816" s="3">
        <f>OrdersTable!C816</f>
        <v>44620</v>
      </c>
      <c r="S816" s="15">
        <f>OrdersTable!E816</f>
        <v>5</v>
      </c>
      <c r="T816" s="15">
        <f t="shared" si="278"/>
        <v>11.99</v>
      </c>
      <c r="U816" s="15">
        <f t="shared" si="279"/>
        <v>16.690000000000001</v>
      </c>
      <c r="V816" s="15">
        <f t="shared" si="280"/>
        <v>19.420000000000002</v>
      </c>
      <c r="W816" s="15">
        <f>IF(MarkupType="Store Markup",ROUND(V816+V816*StoreMarkup,2),IF(MarkupType="Supplier Markup",V816+V816*SupplierMarkup,"Error at finding value"))</f>
        <v>30.59</v>
      </c>
      <c r="X816" s="32" t="str">
        <f t="shared" si="282"/>
        <v>0.00</v>
      </c>
      <c r="Y816" s="15">
        <f t="shared" si="283"/>
        <v>97.1</v>
      </c>
      <c r="Z816" s="15">
        <f t="shared" si="284"/>
        <v>152.94999999999999</v>
      </c>
      <c r="AA816" s="15">
        <f>IF(FreightType="Lethbridge-Stewart Freight ",ROUND(2.99+IF(N816&gt;0.75,(N816-0.75)*2.25,0)*S816,2),IF(MarkupType="Supplier Markup",V816+V816*SupplierMarkup,"Error at finding value"))</f>
        <v>2.99</v>
      </c>
      <c r="AB816" s="15">
        <f t="shared" si="285"/>
        <v>0</v>
      </c>
    </row>
    <row r="817" spans="1:28" x14ac:dyDescent="0.25">
      <c r="A817" s="16">
        <f>OrdersTable!A817</f>
        <v>448</v>
      </c>
      <c r="B817" s="15" t="str">
        <f t="shared" si="265"/>
        <v>Mr</v>
      </c>
      <c r="C817" s="15" t="str">
        <f t="shared" si="286"/>
        <v>Earl</v>
      </c>
      <c r="D817" s="15" t="str">
        <f t="shared" si="266"/>
        <v>Benn Robert</v>
      </c>
      <c r="E817" s="15" t="str">
        <f t="shared" si="267"/>
        <v>31 Kae Drive</v>
      </c>
      <c r="F817" s="15" t="str">
        <f t="shared" si="268"/>
        <v>Belford</v>
      </c>
      <c r="G817" s="15" t="str">
        <f t="shared" si="269"/>
        <v>NSW</v>
      </c>
      <c r="H817" s="15">
        <f t="shared" si="270"/>
        <v>2335</v>
      </c>
      <c r="I817" s="15">
        <f t="shared" si="281"/>
        <v>716</v>
      </c>
      <c r="J817" s="15">
        <f>OrdersTable!B817</f>
        <v>541</v>
      </c>
      <c r="K817" s="15" t="str">
        <f t="shared" si="271"/>
        <v>Giftware</v>
      </c>
      <c r="L817" s="15" t="str">
        <f t="shared" si="272"/>
        <v>Doctor Who: Salt and Pepper Shakers: TARDIS</v>
      </c>
      <c r="M817" s="15" t="str">
        <f t="shared" si="273"/>
        <v>-</v>
      </c>
      <c r="N817" s="15">
        <f t="shared" si="274"/>
        <v>0.6</v>
      </c>
      <c r="O817" s="15" t="str">
        <f t="shared" si="275"/>
        <v>A10</v>
      </c>
      <c r="P817" s="15" t="str">
        <f t="shared" si="276"/>
        <v>Gallifrey International</v>
      </c>
      <c r="Q817" s="15" t="str">
        <f t="shared" si="277"/>
        <v>181 Arcadia Street</v>
      </c>
      <c r="R817" s="3">
        <f>OrdersTable!C817</f>
        <v>44620</v>
      </c>
      <c r="S817" s="15">
        <f>OrdersTable!E817</f>
        <v>9</v>
      </c>
      <c r="T817" s="15">
        <f t="shared" si="278"/>
        <v>11.99</v>
      </c>
      <c r="U817" s="15">
        <f t="shared" si="279"/>
        <v>16.62</v>
      </c>
      <c r="V817" s="15">
        <f t="shared" si="280"/>
        <v>19.420000000000002</v>
      </c>
      <c r="W817" s="15">
        <f>IF(MarkupType="Store Markup",ROUND(V817+V817*StoreMarkup,2),IF(MarkupType="Supplier Markup",V817+V817*SupplierMarkup,"Error at finding value"))</f>
        <v>30.59</v>
      </c>
      <c r="X817" s="32" t="str">
        <f t="shared" si="282"/>
        <v>0.00</v>
      </c>
      <c r="Y817" s="15">
        <f t="shared" si="283"/>
        <v>174.78</v>
      </c>
      <c r="Z817" s="15">
        <f t="shared" si="284"/>
        <v>275.31</v>
      </c>
      <c r="AA817" s="15">
        <f>IF(FreightType="Lethbridge-Stewart Freight ",ROUND(2.99+IF(N817&gt;0.75,(N817-0.75)*2.25,0)*S817,2),IF(MarkupType="Supplier Markup",V817+V817*SupplierMarkup,"Error at finding value"))</f>
        <v>2.99</v>
      </c>
      <c r="AB817" s="15">
        <f t="shared" si="285"/>
        <v>0</v>
      </c>
    </row>
    <row r="818" spans="1:28" x14ac:dyDescent="0.25">
      <c r="A818" s="16">
        <f>OrdersTable!A818</f>
        <v>448</v>
      </c>
      <c r="B818" s="15" t="str">
        <f t="shared" si="265"/>
        <v>Mr</v>
      </c>
      <c r="C818" s="15" t="str">
        <f t="shared" si="286"/>
        <v>Earl</v>
      </c>
      <c r="D818" s="15" t="str">
        <f t="shared" si="266"/>
        <v>Benn Robert</v>
      </c>
      <c r="E818" s="15" t="str">
        <f t="shared" si="267"/>
        <v>31 Kae Drive</v>
      </c>
      <c r="F818" s="15" t="str">
        <f t="shared" si="268"/>
        <v>Belford</v>
      </c>
      <c r="G818" s="15" t="str">
        <f t="shared" si="269"/>
        <v>NSW</v>
      </c>
      <c r="H818" s="15">
        <f t="shared" si="270"/>
        <v>2335</v>
      </c>
      <c r="I818" s="15">
        <f t="shared" si="281"/>
        <v>716</v>
      </c>
      <c r="J818" s="15">
        <f>OrdersTable!B818</f>
        <v>683</v>
      </c>
      <c r="K818" s="15" t="str">
        <f t="shared" si="271"/>
        <v>Mugs</v>
      </c>
      <c r="L818" s="15" t="str">
        <f t="shared" si="272"/>
        <v>Doctor Who: Mug: The Tenth Doctor</v>
      </c>
      <c r="M818" s="15" t="str">
        <f t="shared" si="273"/>
        <v>-</v>
      </c>
      <c r="N818" s="15">
        <f t="shared" si="274"/>
        <v>0.45</v>
      </c>
      <c r="O818" s="15" t="str">
        <f t="shared" si="275"/>
        <v>A20</v>
      </c>
      <c r="P818" s="15" t="str">
        <f t="shared" si="276"/>
        <v>Morbius Inc.</v>
      </c>
      <c r="Q818" s="15" t="str">
        <f t="shared" si="277"/>
        <v>56 Michael Spice Hwy</v>
      </c>
      <c r="R818" s="3">
        <f>OrdersTable!C818</f>
        <v>44620</v>
      </c>
      <c r="S818" s="15">
        <f>OrdersTable!E818</f>
        <v>10</v>
      </c>
      <c r="T818" s="15">
        <f t="shared" si="278"/>
        <v>8.99</v>
      </c>
      <c r="U818" s="15">
        <f t="shared" si="279"/>
        <v>12.54</v>
      </c>
      <c r="V818" s="15">
        <f t="shared" si="280"/>
        <v>14.56</v>
      </c>
      <c r="W818" s="15">
        <f>IF(MarkupType="Store Markup",ROUND(V818+V818*StoreMarkup,2),IF(MarkupType="Supplier Markup",V818+V818*SupplierMarkup,"Error at finding value"))</f>
        <v>22.93</v>
      </c>
      <c r="X818" s="32" t="str">
        <f t="shared" si="282"/>
        <v>0.00</v>
      </c>
      <c r="Y818" s="15">
        <f t="shared" si="283"/>
        <v>145.6</v>
      </c>
      <c r="Z818" s="15">
        <f t="shared" si="284"/>
        <v>229.3</v>
      </c>
      <c r="AA818" s="15">
        <f>IF(FreightType="Lethbridge-Stewart Freight ",ROUND(2.99+IF(N818&gt;0.75,(N818-0.75)*2.25,0)*S818,2),IF(MarkupType="Supplier Markup",V818+V818*SupplierMarkup,"Error at finding value"))</f>
        <v>2.99</v>
      </c>
      <c r="AB818" s="15">
        <f t="shared" si="285"/>
        <v>0</v>
      </c>
    </row>
    <row r="819" spans="1:28" x14ac:dyDescent="0.25">
      <c r="A819" s="16">
        <f>OrdersTable!A819</f>
        <v>467</v>
      </c>
      <c r="B819" s="15" t="str">
        <f t="shared" si="265"/>
        <v>Mrs</v>
      </c>
      <c r="C819" s="15" t="str">
        <f t="shared" si="286"/>
        <v>Daniell</v>
      </c>
      <c r="D819" s="15" t="str">
        <f t="shared" si="266"/>
        <v>Bronte Eliza</v>
      </c>
      <c r="E819" s="15" t="str">
        <f t="shared" si="267"/>
        <v>41 Wilson Boulevard</v>
      </c>
      <c r="F819" s="15" t="str">
        <f t="shared" si="268"/>
        <v>Aberfoyle</v>
      </c>
      <c r="G819" s="15" t="str">
        <f t="shared" si="269"/>
        <v>NSW</v>
      </c>
      <c r="H819" s="15">
        <f t="shared" si="270"/>
        <v>2350</v>
      </c>
      <c r="I819" s="15">
        <f t="shared" si="281"/>
        <v>363</v>
      </c>
      <c r="J819" s="15">
        <f>OrdersTable!B819</f>
        <v>594</v>
      </c>
      <c r="K819" s="15" t="str">
        <f t="shared" si="271"/>
        <v>iPhone Skins</v>
      </c>
      <c r="L819" s="15" t="str">
        <f t="shared" si="272"/>
        <v>Doctor Who: iPhone Skin: Keep Calm And Don't Blink</v>
      </c>
      <c r="M819" s="15" t="str">
        <f t="shared" si="273"/>
        <v>-</v>
      </c>
      <c r="N819" s="15">
        <f t="shared" si="274"/>
        <v>0.5</v>
      </c>
      <c r="O819" s="15" t="str">
        <f t="shared" si="275"/>
        <v>A20</v>
      </c>
      <c r="P819" s="15" t="str">
        <f t="shared" si="276"/>
        <v>Morbius Inc.</v>
      </c>
      <c r="Q819" s="15" t="str">
        <f t="shared" si="277"/>
        <v>56 Michael Spice Hwy</v>
      </c>
      <c r="R819" s="3">
        <f>OrdersTable!C819</f>
        <v>44620</v>
      </c>
      <c r="S819" s="15">
        <f>OrdersTable!E819</f>
        <v>1</v>
      </c>
      <c r="T819" s="15">
        <f t="shared" si="278"/>
        <v>9.99</v>
      </c>
      <c r="U819" s="15">
        <f t="shared" si="279"/>
        <v>13.88</v>
      </c>
      <c r="V819" s="15">
        <f t="shared" si="280"/>
        <v>16.18</v>
      </c>
      <c r="W819" s="15">
        <f>IF(MarkupType="Store Markup",ROUND(V819+V819*StoreMarkup,2),IF(MarkupType="Supplier Markup",V819+V819*SupplierMarkup,"Error at finding value"))</f>
        <v>25.48</v>
      </c>
      <c r="X819" s="32" t="str">
        <f t="shared" si="282"/>
        <v>0.00</v>
      </c>
      <c r="Y819" s="15">
        <f t="shared" si="283"/>
        <v>16.18</v>
      </c>
      <c r="Z819" s="15">
        <f t="shared" si="284"/>
        <v>25.48</v>
      </c>
      <c r="AA819" s="15">
        <f>IF(FreightType="Lethbridge-Stewart Freight ",ROUND(2.99+IF(N819&gt;0.75,(N819-0.75)*2.25,0)*S819,2),IF(MarkupType="Supplier Markup",V819+V819*SupplierMarkup,"Error at finding value"))</f>
        <v>2.99</v>
      </c>
      <c r="AB819" s="15">
        <f t="shared" si="285"/>
        <v>0</v>
      </c>
    </row>
    <row r="820" spans="1:28" x14ac:dyDescent="0.25">
      <c r="A820" s="16">
        <f>OrdersTable!A820</f>
        <v>515</v>
      </c>
      <c r="B820" s="15" t="str">
        <f t="shared" si="265"/>
        <v>Mr</v>
      </c>
      <c r="C820" s="15" t="str">
        <f t="shared" si="286"/>
        <v>Noffke</v>
      </c>
      <c r="D820" s="15" t="str">
        <f t="shared" si="266"/>
        <v>William Thomas</v>
      </c>
      <c r="E820" s="15" t="str">
        <f t="shared" si="267"/>
        <v>20 Tyler Drive</v>
      </c>
      <c r="F820" s="15" t="str">
        <f t="shared" si="268"/>
        <v>Areegra</v>
      </c>
      <c r="G820" s="15" t="str">
        <f t="shared" si="269"/>
        <v>VIC</v>
      </c>
      <c r="H820" s="15">
        <f t="shared" si="270"/>
        <v>3480</v>
      </c>
      <c r="I820" s="15">
        <f t="shared" si="281"/>
        <v>1559</v>
      </c>
      <c r="J820" s="15">
        <f>OrdersTable!B820</f>
        <v>752</v>
      </c>
      <c r="K820" s="15" t="str">
        <f t="shared" si="271"/>
        <v>Statues and Busts</v>
      </c>
      <c r="L820" s="15" t="str">
        <f t="shared" si="272"/>
        <v>Doctor Who: Helmet: Cyberman Leader</v>
      </c>
      <c r="M820" s="15" t="str">
        <f t="shared" si="273"/>
        <v>-</v>
      </c>
      <c r="N820" s="15">
        <f t="shared" si="274"/>
        <v>2</v>
      </c>
      <c r="O820" s="15" t="str">
        <f t="shared" si="275"/>
        <v>A30</v>
      </c>
      <c r="P820" s="15" t="str">
        <f t="shared" si="276"/>
        <v>Chesterton Enterprises</v>
      </c>
      <c r="Q820" s="15" t="str">
        <f t="shared" si="277"/>
        <v>41 William Russell Road</v>
      </c>
      <c r="R820" s="3">
        <f>OrdersTable!C820</f>
        <v>44620</v>
      </c>
      <c r="S820" s="15">
        <f>OrdersTable!E820</f>
        <v>3</v>
      </c>
      <c r="T820" s="15">
        <f t="shared" si="278"/>
        <v>39.99</v>
      </c>
      <c r="U820" s="15">
        <f t="shared" si="279"/>
        <v>54.85</v>
      </c>
      <c r="V820" s="15">
        <f t="shared" si="280"/>
        <v>64.78</v>
      </c>
      <c r="W820" s="15">
        <f>IF(MarkupType="Store Markup",ROUND(V820+V820*StoreMarkup,2),IF(MarkupType="Supplier Markup",V820+V820*SupplierMarkup,"Error at finding value"))</f>
        <v>102.03</v>
      </c>
      <c r="X820" s="32">
        <f t="shared" si="282"/>
        <v>7.27</v>
      </c>
      <c r="Y820" s="15">
        <f t="shared" si="283"/>
        <v>194.34</v>
      </c>
      <c r="Z820" s="15">
        <f t="shared" si="284"/>
        <v>284.27999999999997</v>
      </c>
      <c r="AA820" s="15">
        <f>IF(FreightType="Lethbridge-Stewart Freight ",ROUND(2.99+IF(N820&gt;0.75,(N820-0.75)*2.25,0)*S820,2),IF(MarkupType="Supplier Markup",V820+V820*SupplierMarkup,"Error at finding value"))</f>
        <v>11.43</v>
      </c>
      <c r="AB820" s="15">
        <f t="shared" si="285"/>
        <v>21.81</v>
      </c>
    </row>
    <row r="821" spans="1:28" x14ac:dyDescent="0.25">
      <c r="A821" s="16">
        <f>OrdersTable!A821</f>
        <v>531</v>
      </c>
      <c r="B821" s="15" t="str">
        <f t="shared" si="265"/>
        <v>Ms</v>
      </c>
      <c r="C821" s="15" t="str">
        <f t="shared" si="286"/>
        <v>Stanton</v>
      </c>
      <c r="D821" s="15" t="str">
        <f t="shared" si="266"/>
        <v>Sharaze</v>
      </c>
      <c r="E821" s="15" t="str">
        <f t="shared" si="267"/>
        <v>1 Siddons Crescent</v>
      </c>
      <c r="F821" s="15" t="str">
        <f t="shared" si="268"/>
        <v>Alfredtown</v>
      </c>
      <c r="G821" s="15" t="str">
        <f t="shared" si="269"/>
        <v>NSW</v>
      </c>
      <c r="H821" s="15">
        <f t="shared" si="270"/>
        <v>2650</v>
      </c>
      <c r="I821" s="15">
        <f t="shared" si="281"/>
        <v>1124</v>
      </c>
      <c r="J821" s="15">
        <f>OrdersTable!B821</f>
        <v>671</v>
      </c>
      <c r="K821" s="15" t="str">
        <f t="shared" si="271"/>
        <v>Mugs</v>
      </c>
      <c r="L821" s="15" t="str">
        <f t="shared" si="272"/>
        <v>Doctor Who: Mug: TARDIS Inside</v>
      </c>
      <c r="M821" s="15" t="str">
        <f t="shared" si="273"/>
        <v>-</v>
      </c>
      <c r="N821" s="15">
        <f t="shared" si="274"/>
        <v>0.6</v>
      </c>
      <c r="O821" s="15" t="str">
        <f t="shared" si="275"/>
        <v>A30</v>
      </c>
      <c r="P821" s="15" t="str">
        <f t="shared" si="276"/>
        <v>Chesterton Enterprises</v>
      </c>
      <c r="Q821" s="15" t="str">
        <f t="shared" si="277"/>
        <v>41 William Russell Road</v>
      </c>
      <c r="R821" s="3">
        <f>OrdersTable!C821</f>
        <v>44620</v>
      </c>
      <c r="S821" s="15">
        <f>OrdersTable!E821</f>
        <v>1</v>
      </c>
      <c r="T821" s="15">
        <f t="shared" si="278"/>
        <v>11.99</v>
      </c>
      <c r="U821" s="15">
        <f t="shared" si="279"/>
        <v>16.690000000000001</v>
      </c>
      <c r="V821" s="15">
        <f t="shared" si="280"/>
        <v>19.420000000000002</v>
      </c>
      <c r="W821" s="15">
        <f>IF(MarkupType="Store Markup",ROUND(V821+V821*StoreMarkup,2),IF(MarkupType="Supplier Markup",V821+V821*SupplierMarkup,"Error at finding value"))</f>
        <v>30.59</v>
      </c>
      <c r="X821" s="32" t="str">
        <f t="shared" si="282"/>
        <v>0.00</v>
      </c>
      <c r="Y821" s="15">
        <f t="shared" si="283"/>
        <v>19.420000000000002</v>
      </c>
      <c r="Z821" s="15">
        <f t="shared" si="284"/>
        <v>30.59</v>
      </c>
      <c r="AA821" s="15">
        <f>IF(FreightType="Lethbridge-Stewart Freight ",ROUND(2.99+IF(N821&gt;0.75,(N821-0.75)*2.25,0)*S821,2),IF(MarkupType="Supplier Markup",V821+V821*SupplierMarkup,"Error at finding value"))</f>
        <v>2.99</v>
      </c>
      <c r="AB821" s="15">
        <f t="shared" si="285"/>
        <v>0</v>
      </c>
    </row>
    <row r="822" spans="1:28" x14ac:dyDescent="0.25">
      <c r="A822" s="16">
        <f>OrdersTable!A822</f>
        <v>531</v>
      </c>
      <c r="B822" s="15" t="str">
        <f t="shared" si="265"/>
        <v>Ms</v>
      </c>
      <c r="C822" s="15" t="str">
        <f t="shared" si="286"/>
        <v>Stanton</v>
      </c>
      <c r="D822" s="15" t="str">
        <f t="shared" si="266"/>
        <v>Sharaze</v>
      </c>
      <c r="E822" s="15" t="str">
        <f t="shared" si="267"/>
        <v>1 Siddons Crescent</v>
      </c>
      <c r="F822" s="15" t="str">
        <f t="shared" si="268"/>
        <v>Alfredtown</v>
      </c>
      <c r="G822" s="15" t="str">
        <f t="shared" si="269"/>
        <v>NSW</v>
      </c>
      <c r="H822" s="15">
        <f t="shared" si="270"/>
        <v>2650</v>
      </c>
      <c r="I822" s="15">
        <f t="shared" si="281"/>
        <v>1124</v>
      </c>
      <c r="J822" s="15">
        <f>OrdersTable!B822</f>
        <v>692</v>
      </c>
      <c r="K822" s="15" t="str">
        <f t="shared" si="271"/>
        <v>Posters, Prints and Standees</v>
      </c>
      <c r="L822" s="15" t="str">
        <f t="shared" si="272"/>
        <v>Doctor Who: 16'x12' Framed Print: Exploding TARDIS</v>
      </c>
      <c r="M822" s="15" t="str">
        <f t="shared" si="273"/>
        <v>-</v>
      </c>
      <c r="N822" s="15">
        <f t="shared" si="274"/>
        <v>0.75</v>
      </c>
      <c r="O822" s="15" t="str">
        <f t="shared" si="275"/>
        <v>A30</v>
      </c>
      <c r="P822" s="15" t="str">
        <f t="shared" si="276"/>
        <v>Chesterton Enterprises</v>
      </c>
      <c r="Q822" s="15" t="str">
        <f t="shared" si="277"/>
        <v>41 William Russell Road</v>
      </c>
      <c r="R822" s="3">
        <f>OrdersTable!C822</f>
        <v>44620</v>
      </c>
      <c r="S822" s="15">
        <f>OrdersTable!E822</f>
        <v>10</v>
      </c>
      <c r="T822" s="15">
        <f t="shared" si="278"/>
        <v>14.99</v>
      </c>
      <c r="U822" s="15">
        <f t="shared" si="279"/>
        <v>20.54</v>
      </c>
      <c r="V822" s="15">
        <f t="shared" si="280"/>
        <v>24.28</v>
      </c>
      <c r="W822" s="15">
        <f>IF(MarkupType="Store Markup",ROUND(V822+V822*StoreMarkup,2),IF(MarkupType="Supplier Markup",V822+V822*SupplierMarkup,"Error at finding value"))</f>
        <v>38.24</v>
      </c>
      <c r="X822" s="32" t="str">
        <f t="shared" si="282"/>
        <v>0.00</v>
      </c>
      <c r="Y822" s="15">
        <f t="shared" si="283"/>
        <v>242.8</v>
      </c>
      <c r="Z822" s="15">
        <f t="shared" si="284"/>
        <v>382.4</v>
      </c>
      <c r="AA822" s="15">
        <f>IF(FreightType="Lethbridge-Stewart Freight ",ROUND(2.99+IF(N822&gt;0.75,(N822-0.75)*2.25,0)*S822,2),IF(MarkupType="Supplier Markup",V822+V822*SupplierMarkup,"Error at finding value"))</f>
        <v>2.99</v>
      </c>
      <c r="AB822" s="15">
        <f t="shared" si="285"/>
        <v>0</v>
      </c>
    </row>
    <row r="823" spans="1:28" x14ac:dyDescent="0.25">
      <c r="A823" s="16">
        <f>OrdersTable!A823</f>
        <v>540</v>
      </c>
      <c r="B823" s="15" t="str">
        <f t="shared" si="265"/>
        <v>Dr</v>
      </c>
      <c r="C823" s="15" t="str">
        <f t="shared" si="286"/>
        <v>Hackett</v>
      </c>
      <c r="D823" s="15" t="str">
        <f t="shared" si="266"/>
        <v>Patrick</v>
      </c>
      <c r="E823" s="15" t="str">
        <f t="shared" si="267"/>
        <v>25 Sweet Drive</v>
      </c>
      <c r="F823" s="15" t="str">
        <f t="shared" si="268"/>
        <v>Bridgewater</v>
      </c>
      <c r="G823" s="15" t="str">
        <f t="shared" si="269"/>
        <v>VIC</v>
      </c>
      <c r="H823" s="15">
        <f t="shared" si="270"/>
        <v>3516</v>
      </c>
      <c r="I823" s="15">
        <f t="shared" si="281"/>
        <v>1486</v>
      </c>
      <c r="J823" s="15">
        <f>OrdersTable!B823</f>
        <v>673</v>
      </c>
      <c r="K823" s="15" t="str">
        <f t="shared" si="271"/>
        <v>Mugs</v>
      </c>
      <c r="L823" s="15" t="str">
        <f t="shared" si="272"/>
        <v>Doctor Who: Mug: TARDIS With Lid</v>
      </c>
      <c r="M823" s="15" t="str">
        <f t="shared" si="273"/>
        <v>-</v>
      </c>
      <c r="N823" s="15">
        <f t="shared" si="274"/>
        <v>0.58499999999999996</v>
      </c>
      <c r="O823" s="15" t="str">
        <f t="shared" si="275"/>
        <v>A10</v>
      </c>
      <c r="P823" s="15" t="str">
        <f t="shared" si="276"/>
        <v>Gallifrey International</v>
      </c>
      <c r="Q823" s="15" t="str">
        <f t="shared" si="277"/>
        <v>181 Arcadia Street</v>
      </c>
      <c r="R823" s="3">
        <f>OrdersTable!C823</f>
        <v>44620</v>
      </c>
      <c r="S823" s="15">
        <f>OrdersTable!E823</f>
        <v>7</v>
      </c>
      <c r="T823" s="15">
        <f t="shared" si="278"/>
        <v>11.69</v>
      </c>
      <c r="U823" s="15">
        <f t="shared" si="279"/>
        <v>16.190000000000001</v>
      </c>
      <c r="V823" s="15">
        <f t="shared" si="280"/>
        <v>18.940000000000001</v>
      </c>
      <c r="W823" s="15">
        <f>IF(MarkupType="Store Markup",ROUND(V823+V823*StoreMarkup,2),IF(MarkupType="Supplier Markup",V823+V823*SupplierMarkup,"Error at finding value"))</f>
        <v>29.83</v>
      </c>
      <c r="X823" s="32" t="str">
        <f t="shared" si="282"/>
        <v>0.00</v>
      </c>
      <c r="Y823" s="15">
        <f t="shared" si="283"/>
        <v>132.58000000000001</v>
      </c>
      <c r="Z823" s="15">
        <f t="shared" si="284"/>
        <v>208.81</v>
      </c>
      <c r="AA823" s="15">
        <f>IF(FreightType="Lethbridge-Stewart Freight ",ROUND(2.99+IF(N823&gt;0.75,(N823-0.75)*2.25,0)*S823,2),IF(MarkupType="Supplier Markup",V823+V823*SupplierMarkup,"Error at finding value"))</f>
        <v>2.99</v>
      </c>
      <c r="AB823" s="15">
        <f t="shared" si="285"/>
        <v>0</v>
      </c>
    </row>
    <row r="824" spans="1:28" x14ac:dyDescent="0.25">
      <c r="A824" s="16">
        <f>OrdersTable!A824</f>
        <v>543</v>
      </c>
      <c r="B824" s="15" t="str">
        <f t="shared" si="265"/>
        <v>Ms</v>
      </c>
      <c r="C824" s="15" t="str">
        <f t="shared" si="286"/>
        <v>Mendezona</v>
      </c>
      <c r="D824" s="15" t="str">
        <f t="shared" si="266"/>
        <v>Tara Colleen-Mary</v>
      </c>
      <c r="E824" s="15" t="str">
        <f t="shared" si="267"/>
        <v>27 Picone Drive</v>
      </c>
      <c r="F824" s="15" t="str">
        <f t="shared" si="268"/>
        <v>Aberfoyle</v>
      </c>
      <c r="G824" s="15" t="str">
        <f t="shared" si="269"/>
        <v>NSW</v>
      </c>
      <c r="H824" s="15">
        <f t="shared" si="270"/>
        <v>2350</v>
      </c>
      <c r="I824" s="15">
        <f t="shared" si="281"/>
        <v>363</v>
      </c>
      <c r="J824" s="15">
        <f>OrdersTable!B824</f>
        <v>694</v>
      </c>
      <c r="K824" s="15" t="str">
        <f t="shared" si="271"/>
        <v>Posters, Prints and Standees</v>
      </c>
      <c r="L824" s="15" t="str">
        <f t="shared" si="272"/>
        <v>Doctor Who: 16'x12' Framed Print: Hide</v>
      </c>
      <c r="M824" s="15" t="str">
        <f t="shared" si="273"/>
        <v>-</v>
      </c>
      <c r="N824" s="15">
        <f t="shared" si="274"/>
        <v>0.75</v>
      </c>
      <c r="O824" s="15" t="str">
        <f t="shared" si="275"/>
        <v>A40</v>
      </c>
      <c r="P824" s="15" t="str">
        <f t="shared" si="276"/>
        <v>Romana Imports</v>
      </c>
      <c r="Q824" s="15" t="str">
        <f t="shared" si="277"/>
        <v>17 Lalla Ward Road</v>
      </c>
      <c r="R824" s="3">
        <f>OrdersTable!C824</f>
        <v>44620</v>
      </c>
      <c r="S824" s="15">
        <f>OrdersTable!E824</f>
        <v>3</v>
      </c>
      <c r="T824" s="15">
        <f t="shared" si="278"/>
        <v>14.99</v>
      </c>
      <c r="U824" s="15">
        <f t="shared" si="279"/>
        <v>20.49</v>
      </c>
      <c r="V824" s="15">
        <f t="shared" si="280"/>
        <v>24.28</v>
      </c>
      <c r="W824" s="15">
        <f>IF(MarkupType="Store Markup",ROUND(V824+V824*StoreMarkup,2),IF(MarkupType="Supplier Markup",V824+V824*SupplierMarkup,"Error at finding value"))</f>
        <v>38.24</v>
      </c>
      <c r="X824" s="32" t="str">
        <f t="shared" si="282"/>
        <v>0.00</v>
      </c>
      <c r="Y824" s="15">
        <f t="shared" si="283"/>
        <v>72.84</v>
      </c>
      <c r="Z824" s="15">
        <f t="shared" si="284"/>
        <v>114.72</v>
      </c>
      <c r="AA824" s="15">
        <f>IF(FreightType="Lethbridge-Stewart Freight ",ROUND(2.99+IF(N824&gt;0.75,(N824-0.75)*2.25,0)*S824,2),IF(MarkupType="Supplier Markup",V824+V824*SupplierMarkup,"Error at finding value"))</f>
        <v>2.99</v>
      </c>
      <c r="AB824" s="15">
        <f t="shared" si="285"/>
        <v>0</v>
      </c>
    </row>
    <row r="825" spans="1:28" x14ac:dyDescent="0.25">
      <c r="A825" s="16">
        <f>OrdersTable!A825</f>
        <v>602</v>
      </c>
      <c r="B825" s="15" t="str">
        <f t="shared" si="265"/>
        <v>Mr</v>
      </c>
      <c r="C825" s="15" t="str">
        <f t="shared" si="286"/>
        <v>Spinelli</v>
      </c>
      <c r="D825" s="15" t="str">
        <f t="shared" si="266"/>
        <v>Paul Walter</v>
      </c>
      <c r="E825" s="15" t="str">
        <f t="shared" si="267"/>
        <v>35 Azar Drive</v>
      </c>
      <c r="F825" s="15" t="str">
        <f t="shared" si="268"/>
        <v>Bray Park</v>
      </c>
      <c r="G825" s="15" t="str">
        <f t="shared" si="269"/>
        <v>QLD</v>
      </c>
      <c r="H825" s="15">
        <f t="shared" si="270"/>
        <v>4500</v>
      </c>
      <c r="I825" s="15">
        <f t="shared" si="281"/>
        <v>139</v>
      </c>
      <c r="J825" s="15">
        <f>OrdersTable!B825</f>
        <v>698</v>
      </c>
      <c r="K825" s="15" t="str">
        <f t="shared" si="271"/>
        <v>Posters, Prints and Standees</v>
      </c>
      <c r="L825" s="15" t="str">
        <f t="shared" si="272"/>
        <v>Doctor Who: Art Print: My Mysterious Doctor</v>
      </c>
      <c r="M825" s="15" t="str">
        <f t="shared" si="273"/>
        <v>-</v>
      </c>
      <c r="N825" s="15">
        <f t="shared" si="274"/>
        <v>0.75</v>
      </c>
      <c r="O825" s="15" t="str">
        <f t="shared" si="275"/>
        <v>A30</v>
      </c>
      <c r="P825" s="15" t="str">
        <f t="shared" si="276"/>
        <v>Chesterton Enterprises</v>
      </c>
      <c r="Q825" s="15" t="str">
        <f t="shared" si="277"/>
        <v>41 William Russell Road</v>
      </c>
      <c r="R825" s="3">
        <f>OrdersTable!C825</f>
        <v>44620</v>
      </c>
      <c r="S825" s="15">
        <f>OrdersTable!E825</f>
        <v>3</v>
      </c>
      <c r="T825" s="15">
        <f t="shared" si="278"/>
        <v>14.99</v>
      </c>
      <c r="U825" s="15">
        <f t="shared" si="279"/>
        <v>20.56</v>
      </c>
      <c r="V825" s="15">
        <f t="shared" si="280"/>
        <v>24.28</v>
      </c>
      <c r="W825" s="15">
        <f>IF(MarkupType="Store Markup",ROUND(V825+V825*StoreMarkup,2),IF(MarkupType="Supplier Markup",V825+V825*SupplierMarkup,"Error at finding value"))</f>
        <v>38.24</v>
      </c>
      <c r="X825" s="32" t="str">
        <f t="shared" si="282"/>
        <v>0.00</v>
      </c>
      <c r="Y825" s="15">
        <f t="shared" si="283"/>
        <v>72.84</v>
      </c>
      <c r="Z825" s="15">
        <f t="shared" si="284"/>
        <v>114.72</v>
      </c>
      <c r="AA825" s="15">
        <f>IF(FreightType="Lethbridge-Stewart Freight ",ROUND(2.99+IF(N825&gt;0.75,(N825-0.75)*2.25,0)*S825,2),IF(MarkupType="Supplier Markup",V825+V825*SupplierMarkup,"Error at finding value"))</f>
        <v>2.99</v>
      </c>
      <c r="AB825" s="15">
        <f t="shared" si="285"/>
        <v>0</v>
      </c>
    </row>
    <row r="826" spans="1:28" x14ac:dyDescent="0.25">
      <c r="A826" s="16">
        <f>OrdersTable!A826</f>
        <v>823</v>
      </c>
      <c r="B826" s="15" t="str">
        <f t="shared" si="265"/>
        <v>Mrs</v>
      </c>
      <c r="C826" s="15" t="str">
        <f t="shared" si="286"/>
        <v>Riordan</v>
      </c>
      <c r="D826" s="15" t="str">
        <f t="shared" si="266"/>
        <v>Brianna Leigh</v>
      </c>
      <c r="E826" s="15" t="str">
        <f t="shared" si="267"/>
        <v>7 Boyd Crescent</v>
      </c>
      <c r="F826" s="15" t="str">
        <f t="shared" si="268"/>
        <v>Bamboo</v>
      </c>
      <c r="G826" s="15" t="str">
        <f t="shared" si="269"/>
        <v>QLD</v>
      </c>
      <c r="H826" s="15">
        <f t="shared" si="270"/>
        <v>4873</v>
      </c>
      <c r="I826" s="15">
        <f t="shared" si="281"/>
        <v>1741</v>
      </c>
      <c r="J826" s="15">
        <f>OrdersTable!B826</f>
        <v>239</v>
      </c>
      <c r="K826" s="15" t="str">
        <f t="shared" si="271"/>
        <v>Clothing and Apparel</v>
      </c>
      <c r="L826" s="15" t="str">
        <f t="shared" si="272"/>
        <v>Doctor Who: Men's Winter Pyjamas</v>
      </c>
      <c r="M826" s="15" t="str">
        <f t="shared" si="273"/>
        <v>L</v>
      </c>
      <c r="N826" s="15">
        <f t="shared" si="274"/>
        <v>1.5</v>
      </c>
      <c r="O826" s="15" t="str">
        <f t="shared" si="275"/>
        <v>A10</v>
      </c>
      <c r="P826" s="15" t="str">
        <f t="shared" si="276"/>
        <v>Gallifrey International</v>
      </c>
      <c r="Q826" s="15" t="str">
        <f t="shared" si="277"/>
        <v>181 Arcadia Street</v>
      </c>
      <c r="R826" s="3">
        <f>OrdersTable!C826</f>
        <v>44620</v>
      </c>
      <c r="S826" s="15">
        <f>OrdersTable!E826</f>
        <v>10</v>
      </c>
      <c r="T826" s="15">
        <f t="shared" si="278"/>
        <v>29.99</v>
      </c>
      <c r="U826" s="15">
        <f t="shared" si="279"/>
        <v>41.23</v>
      </c>
      <c r="V826" s="15">
        <f t="shared" si="280"/>
        <v>48.58</v>
      </c>
      <c r="W826" s="15">
        <f>IF(MarkupType="Store Markup",ROUND(V826+V826*StoreMarkup,2),IF(MarkupType="Supplier Markup",V826+V826*SupplierMarkup,"Error at finding value"))</f>
        <v>76.510000000000005</v>
      </c>
      <c r="X826" s="32" t="str">
        <f t="shared" si="282"/>
        <v>0.00</v>
      </c>
      <c r="Y826" s="15">
        <f t="shared" si="283"/>
        <v>485.8</v>
      </c>
      <c r="Z826" s="15">
        <f t="shared" si="284"/>
        <v>765.1</v>
      </c>
      <c r="AA826" s="15">
        <f>IF(FreightType="Lethbridge-Stewart Freight ",ROUND(2.99+IF(N826&gt;0.75,(N826-0.75)*2.25,0)*S826,2),IF(MarkupType="Supplier Markup",V826+V826*SupplierMarkup,"Error at finding value"))</f>
        <v>19.87</v>
      </c>
      <c r="AB826" s="15">
        <f t="shared" si="285"/>
        <v>0</v>
      </c>
    </row>
    <row r="827" spans="1:28" x14ac:dyDescent="0.25">
      <c r="A827" s="16">
        <f>OrdersTable!A827</f>
        <v>843</v>
      </c>
      <c r="B827" s="15" t="str">
        <f t="shared" si="265"/>
        <v>Mr</v>
      </c>
      <c r="C827" s="15" t="str">
        <f t="shared" si="286"/>
        <v>Goodwin</v>
      </c>
      <c r="D827" s="15" t="str">
        <f t="shared" si="266"/>
        <v>Damon Joel</v>
      </c>
      <c r="E827" s="15" t="str">
        <f t="shared" si="267"/>
        <v>40 Powell Boulevard</v>
      </c>
      <c r="F827" s="15" t="str">
        <f t="shared" si="268"/>
        <v>Abington</v>
      </c>
      <c r="G827" s="15" t="str">
        <f t="shared" si="269"/>
        <v>QLD</v>
      </c>
      <c r="H827" s="15">
        <f t="shared" si="270"/>
        <v>4660</v>
      </c>
      <c r="I827" s="15">
        <f t="shared" si="281"/>
        <v>336</v>
      </c>
      <c r="J827" s="15">
        <f>OrdersTable!B827</f>
        <v>813</v>
      </c>
      <c r="K827" s="15" t="str">
        <f t="shared" si="271"/>
        <v>Statues and Busts</v>
      </c>
      <c r="L827" s="15" t="str">
        <f t="shared" si="272"/>
        <v>Doctor Who: Masterpiece Collection Maxi Bust: Leela</v>
      </c>
      <c r="M827" s="15" t="str">
        <f t="shared" si="273"/>
        <v>-</v>
      </c>
      <c r="N827" s="15">
        <f t="shared" si="274"/>
        <v>2.5</v>
      </c>
      <c r="O827" s="15" t="str">
        <f t="shared" si="275"/>
        <v>A30</v>
      </c>
      <c r="P827" s="15" t="str">
        <f t="shared" si="276"/>
        <v>Chesterton Enterprises</v>
      </c>
      <c r="Q827" s="15" t="str">
        <f t="shared" si="277"/>
        <v>41 William Russell Road</v>
      </c>
      <c r="R827" s="3">
        <f>OrdersTable!C827</f>
        <v>44620</v>
      </c>
      <c r="S827" s="15">
        <f>OrdersTable!E827</f>
        <v>8</v>
      </c>
      <c r="T827" s="15">
        <f t="shared" si="278"/>
        <v>49.99</v>
      </c>
      <c r="U827" s="15">
        <f t="shared" si="279"/>
        <v>68.319999999999993</v>
      </c>
      <c r="V827" s="15">
        <f t="shared" si="280"/>
        <v>80.98</v>
      </c>
      <c r="W827" s="15">
        <f>IF(MarkupType="Store Markup",ROUND(V827+V827*StoreMarkup,2),IF(MarkupType="Supplier Markup",V827+V827*SupplierMarkup,"Error at finding value"))</f>
        <v>127.54</v>
      </c>
      <c r="X827" s="32">
        <f t="shared" si="282"/>
        <v>9.09</v>
      </c>
      <c r="Y827" s="15">
        <f t="shared" si="283"/>
        <v>647.84</v>
      </c>
      <c r="Z827" s="15">
        <f t="shared" si="284"/>
        <v>947.6</v>
      </c>
      <c r="AA827" s="15">
        <f>IF(FreightType="Lethbridge-Stewart Freight ",ROUND(2.99+IF(N827&gt;0.75,(N827-0.75)*2.25,0)*S827,2),IF(MarkupType="Supplier Markup",V827+V827*SupplierMarkup,"Error at finding value"))</f>
        <v>34.49</v>
      </c>
      <c r="AB827" s="15">
        <f t="shared" si="285"/>
        <v>72.72</v>
      </c>
    </row>
    <row r="828" spans="1:28" x14ac:dyDescent="0.25">
      <c r="A828" s="16">
        <f>OrdersTable!A828</f>
        <v>42</v>
      </c>
      <c r="B828" s="15" t="str">
        <f t="shared" si="265"/>
        <v>Mr</v>
      </c>
      <c r="C828" s="15" t="str">
        <f t="shared" si="286"/>
        <v>Ballantyne</v>
      </c>
      <c r="D828" s="15" t="str">
        <f t="shared" si="266"/>
        <v>Barry John</v>
      </c>
      <c r="E828" s="15" t="str">
        <f t="shared" si="267"/>
        <v>14 Bachmann Drive</v>
      </c>
      <c r="F828" s="15" t="str">
        <f t="shared" si="268"/>
        <v>Alleena</v>
      </c>
      <c r="G828" s="15" t="str">
        <f t="shared" si="269"/>
        <v>NSW</v>
      </c>
      <c r="H828" s="15">
        <f t="shared" si="270"/>
        <v>2671</v>
      </c>
      <c r="I828" s="15">
        <f t="shared" si="281"/>
        <v>988</v>
      </c>
      <c r="J828" s="15">
        <f>OrdersTable!B828</f>
        <v>373</v>
      </c>
      <c r="K828" s="15" t="str">
        <f t="shared" si="271"/>
        <v>Clothing and Apparel</v>
      </c>
      <c r="L828" s="15" t="str">
        <f t="shared" si="272"/>
        <v xml:space="preserve">Doctor Who: T-Shirts: 5th Doctor Costume </v>
      </c>
      <c r="M828" s="15" t="str">
        <f t="shared" si="273"/>
        <v>L</v>
      </c>
      <c r="N828" s="15">
        <f t="shared" si="274"/>
        <v>0.8</v>
      </c>
      <c r="O828" s="15" t="str">
        <f t="shared" si="275"/>
        <v>A20</v>
      </c>
      <c r="P828" s="15" t="str">
        <f t="shared" si="276"/>
        <v>Morbius Inc.</v>
      </c>
      <c r="Q828" s="15" t="str">
        <f t="shared" si="277"/>
        <v>56 Michael Spice Hwy</v>
      </c>
      <c r="R828" s="3">
        <f>OrdersTable!C828</f>
        <v>44620</v>
      </c>
      <c r="S828" s="15">
        <f>OrdersTable!E828</f>
        <v>7</v>
      </c>
      <c r="T828" s="15">
        <f t="shared" si="278"/>
        <v>15.99</v>
      </c>
      <c r="U828" s="15">
        <f t="shared" si="279"/>
        <v>22.09</v>
      </c>
      <c r="V828" s="15">
        <f t="shared" si="280"/>
        <v>25.9</v>
      </c>
      <c r="W828" s="15">
        <f>IF(MarkupType="Store Markup",ROUND(V828+V828*StoreMarkup,2),IF(MarkupType="Supplier Markup",V828+V828*SupplierMarkup,"Error at finding value"))</f>
        <v>40.79</v>
      </c>
      <c r="X828" s="32" t="str">
        <f t="shared" si="282"/>
        <v>0.00</v>
      </c>
      <c r="Y828" s="15">
        <f t="shared" si="283"/>
        <v>181.3</v>
      </c>
      <c r="Z828" s="15">
        <f t="shared" si="284"/>
        <v>285.52999999999997</v>
      </c>
      <c r="AA828" s="15">
        <f>IF(FreightType="Lethbridge-Stewart Freight ",ROUND(2.99+IF(N828&gt;0.75,(N828-0.75)*2.25,0)*S828,2),IF(MarkupType="Supplier Markup",V828+V828*SupplierMarkup,"Error at finding value"))</f>
        <v>3.78</v>
      </c>
      <c r="AB828" s="15">
        <f t="shared" si="285"/>
        <v>0</v>
      </c>
    </row>
    <row r="829" spans="1:28" x14ac:dyDescent="0.25">
      <c r="A829" s="16">
        <f>OrdersTable!A829</f>
        <v>139</v>
      </c>
      <c r="B829" s="15" t="str">
        <f t="shared" si="265"/>
        <v>Mrs</v>
      </c>
      <c r="C829" s="15" t="str">
        <f t="shared" si="286"/>
        <v>Atkinson</v>
      </c>
      <c r="D829" s="15" t="str">
        <f t="shared" si="266"/>
        <v>Leanne</v>
      </c>
      <c r="E829" s="15" t="str">
        <f t="shared" si="267"/>
        <v>45 Maloney Boulevard</v>
      </c>
      <c r="F829" s="15" t="str">
        <f t="shared" si="268"/>
        <v>Avon Plains</v>
      </c>
      <c r="G829" s="15" t="str">
        <f t="shared" si="269"/>
        <v>VIC</v>
      </c>
      <c r="H829" s="15">
        <f t="shared" si="270"/>
        <v>3477</v>
      </c>
      <c r="I829" s="15">
        <f t="shared" si="281"/>
        <v>1565</v>
      </c>
      <c r="J829" s="15">
        <f>OrdersTable!B829</f>
        <v>698</v>
      </c>
      <c r="K829" s="15" t="str">
        <f t="shared" si="271"/>
        <v>Posters, Prints and Standees</v>
      </c>
      <c r="L829" s="15" t="str">
        <f t="shared" si="272"/>
        <v>Doctor Who: Art Print: My Mysterious Doctor</v>
      </c>
      <c r="M829" s="15" t="str">
        <f t="shared" si="273"/>
        <v>-</v>
      </c>
      <c r="N829" s="15">
        <f t="shared" si="274"/>
        <v>0.75</v>
      </c>
      <c r="O829" s="15" t="str">
        <f t="shared" si="275"/>
        <v>A30</v>
      </c>
      <c r="P829" s="15" t="str">
        <f t="shared" si="276"/>
        <v>Chesterton Enterprises</v>
      </c>
      <c r="Q829" s="15" t="str">
        <f t="shared" si="277"/>
        <v>41 William Russell Road</v>
      </c>
      <c r="R829" s="3">
        <f>OrdersTable!C829</f>
        <v>44620</v>
      </c>
      <c r="S829" s="15">
        <f>OrdersTable!E829</f>
        <v>10</v>
      </c>
      <c r="T829" s="15">
        <f t="shared" si="278"/>
        <v>14.99</v>
      </c>
      <c r="U829" s="15">
        <f t="shared" si="279"/>
        <v>20.56</v>
      </c>
      <c r="V829" s="15">
        <f t="shared" si="280"/>
        <v>24.28</v>
      </c>
      <c r="W829" s="15">
        <f>IF(MarkupType="Store Markup",ROUND(V829+V829*StoreMarkup,2),IF(MarkupType="Supplier Markup",V829+V829*SupplierMarkup,"Error at finding value"))</f>
        <v>38.24</v>
      </c>
      <c r="X829" s="32" t="str">
        <f t="shared" si="282"/>
        <v>0.00</v>
      </c>
      <c r="Y829" s="15">
        <f t="shared" si="283"/>
        <v>242.8</v>
      </c>
      <c r="Z829" s="15">
        <f t="shared" si="284"/>
        <v>382.4</v>
      </c>
      <c r="AA829" s="15">
        <f>IF(FreightType="Lethbridge-Stewart Freight ",ROUND(2.99+IF(N829&gt;0.75,(N829-0.75)*2.25,0)*S829,2),IF(MarkupType="Supplier Markup",V829+V829*SupplierMarkup,"Error at finding value"))</f>
        <v>2.99</v>
      </c>
      <c r="AB829" s="15">
        <f t="shared" si="285"/>
        <v>0</v>
      </c>
    </row>
    <row r="830" spans="1:28" x14ac:dyDescent="0.25">
      <c r="A830" s="16">
        <f>OrdersTable!A830</f>
        <v>146</v>
      </c>
      <c r="B830" s="15" t="str">
        <f t="shared" si="265"/>
        <v>Miss</v>
      </c>
      <c r="C830" s="15" t="str">
        <f t="shared" si="286"/>
        <v>Brown</v>
      </c>
      <c r="D830" s="15" t="str">
        <f t="shared" si="266"/>
        <v>Sarah Danielle</v>
      </c>
      <c r="E830" s="15" t="str">
        <f t="shared" si="267"/>
        <v>50 Brieschke Court</v>
      </c>
      <c r="F830" s="15" t="str">
        <f t="shared" si="268"/>
        <v>Bray Park</v>
      </c>
      <c r="G830" s="15" t="str">
        <f t="shared" si="269"/>
        <v>QLD</v>
      </c>
      <c r="H830" s="15">
        <f t="shared" si="270"/>
        <v>4500</v>
      </c>
      <c r="I830" s="15">
        <f t="shared" si="281"/>
        <v>139</v>
      </c>
      <c r="J830" s="15">
        <f>OrdersTable!B830</f>
        <v>341</v>
      </c>
      <c r="K830" s="15" t="str">
        <f t="shared" si="271"/>
        <v>Clothing and Apparel</v>
      </c>
      <c r="L830" s="15" t="str">
        <f t="shared" si="272"/>
        <v xml:space="preserve">Doctor Who: T-Shirts: 4th Doctor Costume </v>
      </c>
      <c r="M830" s="15" t="str">
        <f t="shared" si="273"/>
        <v>XL</v>
      </c>
      <c r="N830" s="15">
        <f t="shared" si="274"/>
        <v>0.8</v>
      </c>
      <c r="O830" s="15" t="str">
        <f t="shared" si="275"/>
        <v>A20</v>
      </c>
      <c r="P830" s="15" t="str">
        <f t="shared" si="276"/>
        <v>Morbius Inc.</v>
      </c>
      <c r="Q830" s="15" t="str">
        <f t="shared" si="277"/>
        <v>56 Michael Spice Hwy</v>
      </c>
      <c r="R830" s="3">
        <f>OrdersTable!C830</f>
        <v>44620</v>
      </c>
      <c r="S830" s="15">
        <f>OrdersTable!E830</f>
        <v>9</v>
      </c>
      <c r="T830" s="15">
        <f t="shared" si="278"/>
        <v>15.99</v>
      </c>
      <c r="U830" s="15">
        <f t="shared" si="279"/>
        <v>22.05</v>
      </c>
      <c r="V830" s="15">
        <f t="shared" si="280"/>
        <v>25.9</v>
      </c>
      <c r="W830" s="15">
        <f>IF(MarkupType="Store Markup",ROUND(V830+V830*StoreMarkup,2),IF(MarkupType="Supplier Markup",V830+V830*SupplierMarkup,"Error at finding value"))</f>
        <v>40.79</v>
      </c>
      <c r="X830" s="32" t="str">
        <f t="shared" si="282"/>
        <v>0.00</v>
      </c>
      <c r="Y830" s="15">
        <f t="shared" si="283"/>
        <v>233.1</v>
      </c>
      <c r="Z830" s="15">
        <f t="shared" si="284"/>
        <v>367.11</v>
      </c>
      <c r="AA830" s="15">
        <f>IF(FreightType="Lethbridge-Stewart Freight ",ROUND(2.99+IF(N830&gt;0.75,(N830-0.75)*2.25,0)*S830,2),IF(MarkupType="Supplier Markup",V830+V830*SupplierMarkup,"Error at finding value"))</f>
        <v>4</v>
      </c>
      <c r="AB830" s="15">
        <f t="shared" si="285"/>
        <v>0</v>
      </c>
    </row>
    <row r="831" spans="1:28" x14ac:dyDescent="0.25">
      <c r="A831" s="16">
        <f>OrdersTable!A831</f>
        <v>323</v>
      </c>
      <c r="B831" s="15" t="str">
        <f t="shared" si="265"/>
        <v>Dr</v>
      </c>
      <c r="C831" s="15" t="str">
        <f t="shared" si="286"/>
        <v>King</v>
      </c>
      <c r="D831" s="15" t="str">
        <f t="shared" si="266"/>
        <v>Leith</v>
      </c>
      <c r="E831" s="15" t="str">
        <f t="shared" si="267"/>
        <v>25 Carbone Court</v>
      </c>
      <c r="F831" s="15" t="str">
        <f t="shared" si="268"/>
        <v>Nayook</v>
      </c>
      <c r="G831" s="15" t="str">
        <f t="shared" si="269"/>
        <v>VIC</v>
      </c>
      <c r="H831" s="15">
        <f t="shared" si="270"/>
        <v>3832</v>
      </c>
      <c r="I831" s="15">
        <f t="shared" si="281"/>
        <v>1552</v>
      </c>
      <c r="J831" s="15">
        <f>OrdersTable!B831</f>
        <v>186</v>
      </c>
      <c r="K831" s="15" t="str">
        <f t="shared" si="271"/>
        <v>Bobbleheads</v>
      </c>
      <c r="L831" s="15" t="str">
        <f t="shared" si="272"/>
        <v>Doctor Who: Monitor Mate: 50th Anniversary Original TARDIS</v>
      </c>
      <c r="M831" s="15" t="str">
        <f t="shared" si="273"/>
        <v>-</v>
      </c>
      <c r="N831" s="15">
        <f t="shared" si="274"/>
        <v>0.45</v>
      </c>
      <c r="O831" s="15" t="str">
        <f t="shared" si="275"/>
        <v>A20</v>
      </c>
      <c r="P831" s="15" t="str">
        <f t="shared" si="276"/>
        <v>Morbius Inc.</v>
      </c>
      <c r="Q831" s="15" t="str">
        <f t="shared" si="277"/>
        <v>56 Michael Spice Hwy</v>
      </c>
      <c r="R831" s="3">
        <f>OrdersTable!C831</f>
        <v>44620</v>
      </c>
      <c r="S831" s="15">
        <f>OrdersTable!E831</f>
        <v>1</v>
      </c>
      <c r="T831" s="15">
        <f t="shared" si="278"/>
        <v>8.99</v>
      </c>
      <c r="U831" s="15">
        <f t="shared" si="279"/>
        <v>12.46</v>
      </c>
      <c r="V831" s="15">
        <f t="shared" si="280"/>
        <v>14.56</v>
      </c>
      <c r="W831" s="15">
        <f>IF(MarkupType="Store Markup",ROUND(V831+V831*StoreMarkup,2),IF(MarkupType="Supplier Markup",V831+V831*SupplierMarkup,"Error at finding value"))</f>
        <v>22.93</v>
      </c>
      <c r="X831" s="32" t="str">
        <f t="shared" si="282"/>
        <v>0.00</v>
      </c>
      <c r="Y831" s="15">
        <f t="shared" si="283"/>
        <v>14.56</v>
      </c>
      <c r="Z831" s="15">
        <f t="shared" si="284"/>
        <v>22.93</v>
      </c>
      <c r="AA831" s="15">
        <f>IF(FreightType="Lethbridge-Stewart Freight ",ROUND(2.99+IF(N831&gt;0.75,(N831-0.75)*2.25,0)*S831,2),IF(MarkupType="Supplier Markup",V831+V831*SupplierMarkup,"Error at finding value"))</f>
        <v>2.99</v>
      </c>
      <c r="AB831" s="15">
        <f t="shared" si="285"/>
        <v>0</v>
      </c>
    </row>
    <row r="832" spans="1:28" x14ac:dyDescent="0.25">
      <c r="A832" s="16">
        <f>OrdersTable!A832</f>
        <v>538</v>
      </c>
      <c r="B832" s="15" t="str">
        <f t="shared" si="265"/>
        <v>Dr</v>
      </c>
      <c r="C832" s="15" t="str">
        <f t="shared" si="286"/>
        <v>Radovic</v>
      </c>
      <c r="D832" s="15" t="str">
        <f t="shared" si="266"/>
        <v>Harley Benjamin</v>
      </c>
      <c r="E832" s="15" t="str">
        <f t="shared" si="267"/>
        <v>50 Hocking Way</v>
      </c>
      <c r="F832" s="15" t="str">
        <f t="shared" si="268"/>
        <v>Bray Park</v>
      </c>
      <c r="G832" s="15" t="str">
        <f t="shared" si="269"/>
        <v>QLD</v>
      </c>
      <c r="H832" s="15">
        <f t="shared" si="270"/>
        <v>4500</v>
      </c>
      <c r="I832" s="15">
        <f t="shared" si="281"/>
        <v>139</v>
      </c>
      <c r="J832" s="15">
        <f>OrdersTable!B832</f>
        <v>812</v>
      </c>
      <c r="K832" s="15" t="str">
        <f t="shared" si="271"/>
        <v>Statues and Busts</v>
      </c>
      <c r="L832" s="15" t="str">
        <f t="shared" si="272"/>
        <v>Doctor Who: Masterpiece Collection Maxi Bust: Dalek: Day Of The Daleks</v>
      </c>
      <c r="M832" s="15" t="str">
        <f t="shared" si="273"/>
        <v>-</v>
      </c>
      <c r="N832" s="15">
        <f t="shared" si="274"/>
        <v>2.5</v>
      </c>
      <c r="O832" s="15" t="str">
        <f t="shared" si="275"/>
        <v>A20</v>
      </c>
      <c r="P832" s="15" t="str">
        <f t="shared" si="276"/>
        <v>Morbius Inc.</v>
      </c>
      <c r="Q832" s="15" t="str">
        <f t="shared" si="277"/>
        <v>56 Michael Spice Hwy</v>
      </c>
      <c r="R832" s="3">
        <f>OrdersTable!C832</f>
        <v>44620</v>
      </c>
      <c r="S832" s="15">
        <f>OrdersTable!E832</f>
        <v>7</v>
      </c>
      <c r="T832" s="15">
        <f t="shared" si="278"/>
        <v>49.99</v>
      </c>
      <c r="U832" s="15">
        <f t="shared" si="279"/>
        <v>68.47</v>
      </c>
      <c r="V832" s="15">
        <f t="shared" si="280"/>
        <v>80.98</v>
      </c>
      <c r="W832" s="15">
        <f>IF(MarkupType="Store Markup",ROUND(V832+V832*StoreMarkup,2),IF(MarkupType="Supplier Markup",V832+V832*SupplierMarkup,"Error at finding value"))</f>
        <v>127.54</v>
      </c>
      <c r="X832" s="32">
        <f t="shared" si="282"/>
        <v>9.09</v>
      </c>
      <c r="Y832" s="15">
        <f t="shared" si="283"/>
        <v>566.86</v>
      </c>
      <c r="Z832" s="15">
        <f t="shared" si="284"/>
        <v>829.15</v>
      </c>
      <c r="AA832" s="15">
        <f>IF(FreightType="Lethbridge-Stewart Freight ",ROUND(2.99+IF(N832&gt;0.75,(N832-0.75)*2.25,0)*S832,2),IF(MarkupType="Supplier Markup",V832+V832*SupplierMarkup,"Error at finding value"))</f>
        <v>30.55</v>
      </c>
      <c r="AB832" s="15">
        <f t="shared" si="285"/>
        <v>63.63</v>
      </c>
    </row>
    <row r="833" spans="1:28" x14ac:dyDescent="0.25">
      <c r="A833" s="16">
        <f>OrdersTable!A833</f>
        <v>540</v>
      </c>
      <c r="B833" s="15" t="str">
        <f t="shared" si="265"/>
        <v>Dr</v>
      </c>
      <c r="C833" s="15" t="str">
        <f t="shared" si="286"/>
        <v>Hackett</v>
      </c>
      <c r="D833" s="15" t="str">
        <f t="shared" si="266"/>
        <v>Patrick</v>
      </c>
      <c r="E833" s="15" t="str">
        <f t="shared" si="267"/>
        <v>25 Sweet Drive</v>
      </c>
      <c r="F833" s="15" t="str">
        <f t="shared" si="268"/>
        <v>Bridgewater</v>
      </c>
      <c r="G833" s="15" t="str">
        <f t="shared" si="269"/>
        <v>VIC</v>
      </c>
      <c r="H833" s="15">
        <f t="shared" si="270"/>
        <v>3516</v>
      </c>
      <c r="I833" s="15">
        <f t="shared" si="281"/>
        <v>1486</v>
      </c>
      <c r="J833" s="15">
        <f>OrdersTable!B833</f>
        <v>543</v>
      </c>
      <c r="K833" s="15" t="str">
        <f t="shared" si="271"/>
        <v>Giftware</v>
      </c>
      <c r="L833" s="15" t="str">
        <f t="shared" si="272"/>
        <v>Doctor Who: Sonic Screwdriver Pen</v>
      </c>
      <c r="M833" s="15" t="str">
        <f t="shared" si="273"/>
        <v>-</v>
      </c>
      <c r="N833" s="15">
        <f t="shared" si="274"/>
        <v>0.65</v>
      </c>
      <c r="O833" s="15" t="str">
        <f t="shared" si="275"/>
        <v>A20</v>
      </c>
      <c r="P833" s="15" t="str">
        <f t="shared" si="276"/>
        <v>Morbius Inc.</v>
      </c>
      <c r="Q833" s="15" t="str">
        <f t="shared" si="277"/>
        <v>56 Michael Spice Hwy</v>
      </c>
      <c r="R833" s="3">
        <f>OrdersTable!C833</f>
        <v>44620</v>
      </c>
      <c r="S833" s="15">
        <f>OrdersTable!E833</f>
        <v>7</v>
      </c>
      <c r="T833" s="15">
        <f t="shared" si="278"/>
        <v>12.99</v>
      </c>
      <c r="U833" s="15">
        <f t="shared" si="279"/>
        <v>18.02</v>
      </c>
      <c r="V833" s="15">
        <f t="shared" si="280"/>
        <v>21.04</v>
      </c>
      <c r="W833" s="15">
        <f>IF(MarkupType="Store Markup",ROUND(V833+V833*StoreMarkup,2),IF(MarkupType="Supplier Markup",V833+V833*SupplierMarkup,"Error at finding value"))</f>
        <v>33.14</v>
      </c>
      <c r="X833" s="32" t="str">
        <f t="shared" si="282"/>
        <v>0.00</v>
      </c>
      <c r="Y833" s="15">
        <f t="shared" si="283"/>
        <v>147.28</v>
      </c>
      <c r="Z833" s="15">
        <f t="shared" si="284"/>
        <v>231.98</v>
      </c>
      <c r="AA833" s="15">
        <f>IF(FreightType="Lethbridge-Stewart Freight ",ROUND(2.99+IF(N833&gt;0.75,(N833-0.75)*2.25,0)*S833,2),IF(MarkupType="Supplier Markup",V833+V833*SupplierMarkup,"Error at finding value"))</f>
        <v>2.99</v>
      </c>
      <c r="AB833" s="15">
        <f t="shared" si="285"/>
        <v>0</v>
      </c>
    </row>
    <row r="834" spans="1:28" x14ac:dyDescent="0.25">
      <c r="A834" s="16">
        <f>OrdersTable!A834</f>
        <v>567</v>
      </c>
      <c r="B834" s="15" t="str">
        <f t="shared" si="265"/>
        <v>Ms</v>
      </c>
      <c r="C834" s="15" t="str">
        <f t="shared" si="286"/>
        <v>Perkins</v>
      </c>
      <c r="D834" s="15" t="str">
        <f t="shared" si="266"/>
        <v>Sarah</v>
      </c>
      <c r="E834" s="15" t="str">
        <f t="shared" si="267"/>
        <v>7 Tengdahl Road</v>
      </c>
      <c r="F834" s="15" t="str">
        <f t="shared" si="268"/>
        <v>Areegra</v>
      </c>
      <c r="G834" s="15" t="str">
        <f t="shared" si="269"/>
        <v>VIC</v>
      </c>
      <c r="H834" s="15">
        <f t="shared" si="270"/>
        <v>3480</v>
      </c>
      <c r="I834" s="15">
        <f t="shared" si="281"/>
        <v>1559</v>
      </c>
      <c r="J834" s="15">
        <f>OrdersTable!B834</f>
        <v>757</v>
      </c>
      <c r="K834" s="15" t="str">
        <f t="shared" si="271"/>
        <v>Statues and Busts</v>
      </c>
      <c r="L834" s="15" t="str">
        <f t="shared" si="272"/>
        <v>Doctor Who: Helmet: Ice Warrior</v>
      </c>
      <c r="M834" s="15" t="str">
        <f t="shared" si="273"/>
        <v>-</v>
      </c>
      <c r="N834" s="15">
        <f t="shared" si="274"/>
        <v>1.75</v>
      </c>
      <c r="O834" s="15" t="str">
        <f t="shared" si="275"/>
        <v>A20</v>
      </c>
      <c r="P834" s="15" t="str">
        <f t="shared" si="276"/>
        <v>Morbius Inc.</v>
      </c>
      <c r="Q834" s="15" t="str">
        <f t="shared" si="277"/>
        <v>56 Michael Spice Hwy</v>
      </c>
      <c r="R834" s="3">
        <f>OrdersTable!C834</f>
        <v>44620</v>
      </c>
      <c r="S834" s="15">
        <f>OrdersTable!E834</f>
        <v>8</v>
      </c>
      <c r="T834" s="15">
        <f t="shared" si="278"/>
        <v>34.99</v>
      </c>
      <c r="U834" s="15">
        <f t="shared" si="279"/>
        <v>47.88</v>
      </c>
      <c r="V834" s="15">
        <f t="shared" si="280"/>
        <v>56.68</v>
      </c>
      <c r="W834" s="15">
        <f>IF(MarkupType="Store Markup",ROUND(V834+V834*StoreMarkup,2),IF(MarkupType="Supplier Markup",V834+V834*SupplierMarkup,"Error at finding value"))</f>
        <v>89.27</v>
      </c>
      <c r="X834" s="32" t="str">
        <f t="shared" si="282"/>
        <v>0.00</v>
      </c>
      <c r="Y834" s="15">
        <f t="shared" si="283"/>
        <v>453.44</v>
      </c>
      <c r="Z834" s="15">
        <f t="shared" si="284"/>
        <v>714.16</v>
      </c>
      <c r="AA834" s="15">
        <f>IF(FreightType="Lethbridge-Stewart Freight ",ROUND(2.99+IF(N834&gt;0.75,(N834-0.75)*2.25,0)*S834,2),IF(MarkupType="Supplier Markup",V834+V834*SupplierMarkup,"Error at finding value"))</f>
        <v>20.99</v>
      </c>
      <c r="AB834" s="15">
        <f t="shared" si="285"/>
        <v>0</v>
      </c>
    </row>
    <row r="835" spans="1:28" x14ac:dyDescent="0.25">
      <c r="A835" s="16">
        <f>OrdersTable!A835</f>
        <v>568</v>
      </c>
      <c r="B835" s="15" t="str">
        <f t="shared" si="265"/>
        <v>Mr</v>
      </c>
      <c r="C835" s="15" t="str">
        <f t="shared" si="286"/>
        <v>Byrne</v>
      </c>
      <c r="D835" s="15" t="str">
        <f t="shared" si="266"/>
        <v>Gregory James</v>
      </c>
      <c r="E835" s="15" t="str">
        <f t="shared" si="267"/>
        <v>18 Doroshenko Crescent</v>
      </c>
      <c r="F835" s="15" t="str">
        <f t="shared" si="268"/>
        <v>Abington</v>
      </c>
      <c r="G835" s="15" t="str">
        <f t="shared" si="269"/>
        <v>QLD</v>
      </c>
      <c r="H835" s="15">
        <f t="shared" si="270"/>
        <v>4660</v>
      </c>
      <c r="I835" s="15">
        <f t="shared" si="281"/>
        <v>336</v>
      </c>
      <c r="J835" s="15">
        <f>OrdersTable!B835</f>
        <v>580</v>
      </c>
      <c r="K835" s="15" t="str">
        <f t="shared" si="271"/>
        <v>Giftware</v>
      </c>
      <c r="L835" s="15" t="str">
        <f t="shared" si="272"/>
        <v>Doctor Who: Wallpaper: Classic TARDIS Columns</v>
      </c>
      <c r="M835" s="15" t="str">
        <f t="shared" si="273"/>
        <v>-</v>
      </c>
      <c r="N835" s="15">
        <f t="shared" si="274"/>
        <v>0.65500000000000003</v>
      </c>
      <c r="O835" s="15" t="str">
        <f t="shared" si="275"/>
        <v>A50</v>
      </c>
      <c r="P835" s="15" t="str">
        <f t="shared" si="276"/>
        <v>Rassilon Ltd.</v>
      </c>
      <c r="Q835" s="15" t="str">
        <f t="shared" si="277"/>
        <v>82 Richard Mathews Road</v>
      </c>
      <c r="R835" s="3">
        <f>OrdersTable!C835</f>
        <v>44620</v>
      </c>
      <c r="S835" s="15">
        <f>OrdersTable!E835</f>
        <v>5</v>
      </c>
      <c r="T835" s="15">
        <f t="shared" si="278"/>
        <v>13.11</v>
      </c>
      <c r="U835" s="15">
        <f t="shared" si="279"/>
        <v>18.18</v>
      </c>
      <c r="V835" s="15">
        <f t="shared" si="280"/>
        <v>21.24</v>
      </c>
      <c r="W835" s="15">
        <f>IF(MarkupType="Store Markup",ROUND(V835+V835*StoreMarkup,2),IF(MarkupType="Supplier Markup",V835+V835*SupplierMarkup,"Error at finding value"))</f>
        <v>33.450000000000003</v>
      </c>
      <c r="X835" s="32" t="str">
        <f t="shared" si="282"/>
        <v>0.00</v>
      </c>
      <c r="Y835" s="15">
        <f t="shared" si="283"/>
        <v>106.2</v>
      </c>
      <c r="Z835" s="15">
        <f t="shared" si="284"/>
        <v>167.25</v>
      </c>
      <c r="AA835" s="15">
        <f>IF(FreightType="Lethbridge-Stewart Freight ",ROUND(2.99+IF(N835&gt;0.75,(N835-0.75)*2.25,0)*S835,2),IF(MarkupType="Supplier Markup",V835+V835*SupplierMarkup,"Error at finding value"))</f>
        <v>2.99</v>
      </c>
      <c r="AB835" s="15">
        <f t="shared" si="285"/>
        <v>0</v>
      </c>
    </row>
    <row r="836" spans="1:28" x14ac:dyDescent="0.25">
      <c r="A836" s="16">
        <f>OrdersTable!A836</f>
        <v>643</v>
      </c>
      <c r="B836" s="15" t="str">
        <f t="shared" ref="B836:B899" si="287">VLOOKUP($A836,Cust,2,0)</f>
        <v>Ms</v>
      </c>
      <c r="C836" s="15" t="str">
        <f t="shared" si="286"/>
        <v>Crispin-Purcell</v>
      </c>
      <c r="D836" s="15" t="str">
        <f t="shared" ref="D836:D899" si="288">VLOOKUP($A836,Cust,4,0)</f>
        <v>Gabriellen Elizabeth</v>
      </c>
      <c r="E836" s="15" t="str">
        <f t="shared" ref="E836:E899" si="289">VLOOKUP($A836,Cust,6,0)</f>
        <v>12 Williams Road</v>
      </c>
      <c r="F836" s="15" t="str">
        <f t="shared" ref="F836:F899" si="290">VLOOKUP($A836,Cust,7,0)</f>
        <v>Appletree Flat</v>
      </c>
      <c r="G836" s="15" t="str">
        <f t="shared" ref="G836:G899" si="291">VLOOKUP($A836,Cust,8,0)</f>
        <v>NSW</v>
      </c>
      <c r="H836" s="15">
        <f t="shared" ref="H836:H899" si="292">VLOOKUP($A836,Cust,9,0)</f>
        <v>2330</v>
      </c>
      <c r="I836" s="15">
        <f t="shared" si="281"/>
        <v>691</v>
      </c>
      <c r="J836" s="15">
        <f>OrdersTable!B836</f>
        <v>725</v>
      </c>
      <c r="K836" s="15" t="str">
        <f t="shared" ref="K836:K899" si="293">VLOOKUP($J836,Itms,2,0)</f>
        <v>Props and Replicas</v>
      </c>
      <c r="L836" s="15" t="str">
        <f t="shared" ref="L836:L899" si="294">VLOOKUP($J836,Itms,3,0)</f>
        <v>Doctor Who: Captain Jack Sonic Blaster</v>
      </c>
      <c r="M836" s="15" t="str">
        <f t="shared" ref="M836:M899" si="295">VLOOKUP($J836,Itms,4,0)</f>
        <v>-</v>
      </c>
      <c r="N836" s="15">
        <f t="shared" ref="N836:N899" si="296">VLOOKUP($J836,Itms,5,0)</f>
        <v>14.8</v>
      </c>
      <c r="O836" s="15" t="str">
        <f t="shared" ref="O836:O899" si="297">VLOOKUP($J836,Itms,6,0)</f>
        <v>A30</v>
      </c>
      <c r="P836" s="15" t="str">
        <f t="shared" ref="P836:P899" si="298">VLOOKUP($O836,Supp,2,0)</f>
        <v>Chesterton Enterprises</v>
      </c>
      <c r="Q836" s="15" t="str">
        <f t="shared" ref="Q836:Q899" si="299">VLOOKUP($O836,Supp,3,0)</f>
        <v>41 William Russell Road</v>
      </c>
      <c r="R836" s="3">
        <f>OrdersTable!C836</f>
        <v>44620</v>
      </c>
      <c r="S836" s="15">
        <f>OrdersTable!E836</f>
        <v>3</v>
      </c>
      <c r="T836" s="15">
        <f t="shared" ref="T836:T899" si="300">VLOOKUP($J836,Itms,9,0)</f>
        <v>295.99</v>
      </c>
      <c r="U836" s="15">
        <f t="shared" ref="U836:U899" si="301">VLOOKUP($J836,Itms,10,0)</f>
        <v>403.88</v>
      </c>
      <c r="V836" s="15">
        <f t="shared" ref="V836:V899" si="302">IF(ExchRateType="IR",ROUND(T836*ExchRateIR,2),IF(ExchRateType="CA",ROUND(U836*ExchRateCA,2),"Error at finding value"))</f>
        <v>479.5</v>
      </c>
      <c r="W836" s="15">
        <f>IF(MarkupType="Store Markup",ROUND(V836+V836*StoreMarkup,2),IF(MarkupType="Supplier Markup",V836+V836*SupplierMarkup,"Error at finding value"))</f>
        <v>755.21</v>
      </c>
      <c r="X836" s="32">
        <f t="shared" si="282"/>
        <v>53.81</v>
      </c>
      <c r="Y836" s="15">
        <f t="shared" si="283"/>
        <v>1438.5</v>
      </c>
      <c r="Z836" s="15">
        <f t="shared" si="284"/>
        <v>2104.1999999999998</v>
      </c>
      <c r="AA836" s="15">
        <f>IF(FreightType="Lethbridge-Stewart Freight ",ROUND(2.99+IF(N836&gt;0.75,(N836-0.75)*2.25,0)*S836,2),IF(MarkupType="Supplier Markup",V836+V836*SupplierMarkup,"Error at finding value"))</f>
        <v>97.83</v>
      </c>
      <c r="AB836" s="15">
        <f t="shared" si="285"/>
        <v>161.43</v>
      </c>
    </row>
    <row r="837" spans="1:28" x14ac:dyDescent="0.25">
      <c r="A837" s="16">
        <f>OrdersTable!A837</f>
        <v>830</v>
      </c>
      <c r="B837" s="15" t="str">
        <f t="shared" si="287"/>
        <v>Miss</v>
      </c>
      <c r="C837" s="15" t="str">
        <f t="shared" si="286"/>
        <v>Blakeney</v>
      </c>
      <c r="D837" s="15" t="str">
        <f t="shared" si="288"/>
        <v>Hannah</v>
      </c>
      <c r="E837" s="15" t="str">
        <f t="shared" si="289"/>
        <v>31 Sproule Street</v>
      </c>
      <c r="F837" s="15" t="str">
        <f t="shared" si="290"/>
        <v>Belford</v>
      </c>
      <c r="G837" s="15" t="str">
        <f t="shared" si="291"/>
        <v>NSW</v>
      </c>
      <c r="H837" s="15">
        <f t="shared" si="292"/>
        <v>2335</v>
      </c>
      <c r="I837" s="15">
        <f t="shared" ref="I837:I900" si="303">VLOOKUP($A837,Cust,10,0)</f>
        <v>716</v>
      </c>
      <c r="J837" s="15">
        <f>OrdersTable!B837</f>
        <v>698</v>
      </c>
      <c r="K837" s="15" t="str">
        <f t="shared" si="293"/>
        <v>Posters, Prints and Standees</v>
      </c>
      <c r="L837" s="15" t="str">
        <f t="shared" si="294"/>
        <v>Doctor Who: Art Print: My Mysterious Doctor</v>
      </c>
      <c r="M837" s="15" t="str">
        <f t="shared" si="295"/>
        <v>-</v>
      </c>
      <c r="N837" s="15">
        <f t="shared" si="296"/>
        <v>0.75</v>
      </c>
      <c r="O837" s="15" t="str">
        <f t="shared" si="297"/>
        <v>A30</v>
      </c>
      <c r="P837" s="15" t="str">
        <f t="shared" si="298"/>
        <v>Chesterton Enterprises</v>
      </c>
      <c r="Q837" s="15" t="str">
        <f t="shared" si="299"/>
        <v>41 William Russell Road</v>
      </c>
      <c r="R837" s="3">
        <f>OrdersTable!C837</f>
        <v>44620</v>
      </c>
      <c r="S837" s="15">
        <f>OrdersTable!E837</f>
        <v>7</v>
      </c>
      <c r="T837" s="15">
        <f t="shared" si="300"/>
        <v>14.99</v>
      </c>
      <c r="U837" s="15">
        <f t="shared" si="301"/>
        <v>20.56</v>
      </c>
      <c r="V837" s="15">
        <f t="shared" si="302"/>
        <v>24.28</v>
      </c>
      <c r="W837" s="15">
        <f>IF(MarkupType="Store Markup",ROUND(V837+V837*StoreMarkup,2),IF(MarkupType="Supplier Markup",V837+V837*SupplierMarkup,"Error at finding value"))</f>
        <v>38.24</v>
      </c>
      <c r="X837" s="32" t="str">
        <f t="shared" ref="X837:X900" si="304">IF(AND(W837&gt;100,S837&gt;=3),ROUND(0.07125*W837,2),"0.00")</f>
        <v>0.00</v>
      </c>
      <c r="Y837" s="15">
        <f t="shared" ref="Y837:Y900" si="305">ROUND(V837*S837,2)</f>
        <v>169.96</v>
      </c>
      <c r="Z837" s="15">
        <f t="shared" ref="Z837:Z900" si="306">ROUND((W837-X837)*S837,2)</f>
        <v>267.68</v>
      </c>
      <c r="AA837" s="15">
        <f>IF(FreightType="Lethbridge-Stewart Freight ",ROUND(2.99+IF(N837&gt;0.75,(N837-0.75)*2.25,0)*S837,2),IF(MarkupType="Supplier Markup",V837+V837*SupplierMarkup,"Error at finding value"))</f>
        <v>2.99</v>
      </c>
      <c r="AB837" s="15">
        <f t="shared" ref="AB837:AB900" si="307">ROUND(X837*S837,2)</f>
        <v>0</v>
      </c>
    </row>
    <row r="838" spans="1:28" x14ac:dyDescent="0.25">
      <c r="A838" s="16">
        <f>OrdersTable!A838</f>
        <v>884</v>
      </c>
      <c r="B838" s="15" t="str">
        <f t="shared" si="287"/>
        <v>Mr</v>
      </c>
      <c r="C838" s="15" t="str">
        <f t="shared" si="286"/>
        <v>Smy</v>
      </c>
      <c r="D838" s="15" t="str">
        <f t="shared" si="288"/>
        <v>Corey Alexander</v>
      </c>
      <c r="E838" s="15" t="str">
        <f t="shared" si="289"/>
        <v>47 Lindsay Circuit</v>
      </c>
      <c r="F838" s="15" t="str">
        <f t="shared" si="290"/>
        <v>Boston</v>
      </c>
      <c r="G838" s="15" t="str">
        <f t="shared" si="291"/>
        <v>SA</v>
      </c>
      <c r="H838" s="15">
        <f t="shared" si="292"/>
        <v>5607</v>
      </c>
      <c r="I838" s="15">
        <f t="shared" si="303"/>
        <v>2076</v>
      </c>
      <c r="J838" s="15">
        <f>OrdersTable!B838</f>
        <v>849</v>
      </c>
      <c r="K838" s="15" t="str">
        <f t="shared" si="293"/>
        <v>Statues and Busts</v>
      </c>
      <c r="L838" s="15" t="str">
        <f t="shared" si="294"/>
        <v>Doctor Who: Statue: Cyber Controller</v>
      </c>
      <c r="M838" s="15" t="str">
        <f t="shared" si="295"/>
        <v>-</v>
      </c>
      <c r="N838" s="15">
        <f t="shared" si="296"/>
        <v>5</v>
      </c>
      <c r="O838" s="15" t="str">
        <f t="shared" si="297"/>
        <v>A10</v>
      </c>
      <c r="P838" s="15" t="str">
        <f t="shared" si="298"/>
        <v>Gallifrey International</v>
      </c>
      <c r="Q838" s="15" t="str">
        <f t="shared" si="299"/>
        <v>181 Arcadia Street</v>
      </c>
      <c r="R838" s="3">
        <f>OrdersTable!C838</f>
        <v>44620</v>
      </c>
      <c r="S838" s="15">
        <f>OrdersTable!E838</f>
        <v>2</v>
      </c>
      <c r="T838" s="15">
        <f t="shared" si="300"/>
        <v>99.99</v>
      </c>
      <c r="U838" s="15">
        <f t="shared" si="301"/>
        <v>136.41</v>
      </c>
      <c r="V838" s="15">
        <f t="shared" si="302"/>
        <v>161.97999999999999</v>
      </c>
      <c r="W838" s="15">
        <f>IF(MarkupType="Store Markup",ROUND(V838+V838*StoreMarkup,2),IF(MarkupType="Supplier Markup",V838+V838*SupplierMarkup,"Error at finding value"))</f>
        <v>255.12</v>
      </c>
      <c r="X838" s="32" t="str">
        <f t="shared" si="304"/>
        <v>0.00</v>
      </c>
      <c r="Y838" s="15">
        <f t="shared" si="305"/>
        <v>323.95999999999998</v>
      </c>
      <c r="Z838" s="15">
        <f t="shared" si="306"/>
        <v>510.24</v>
      </c>
      <c r="AA838" s="15">
        <f>IF(FreightType="Lethbridge-Stewart Freight ",ROUND(2.99+IF(N838&gt;0.75,(N838-0.75)*2.25,0)*S838,2),IF(MarkupType="Supplier Markup",V838+V838*SupplierMarkup,"Error at finding value"))</f>
        <v>22.12</v>
      </c>
      <c r="AB838" s="15">
        <f t="shared" si="307"/>
        <v>0</v>
      </c>
    </row>
    <row r="839" spans="1:28" x14ac:dyDescent="0.25">
      <c r="A839" s="16">
        <f>OrdersTable!A839</f>
        <v>983</v>
      </c>
      <c r="B839" s="15" t="str">
        <f t="shared" si="287"/>
        <v>Mrs</v>
      </c>
      <c r="C839" s="15" t="str">
        <f t="shared" si="286"/>
        <v>Bennett</v>
      </c>
      <c r="D839" s="15" t="str">
        <f t="shared" si="288"/>
        <v>Mikayla Elizabeth</v>
      </c>
      <c r="E839" s="15" t="str">
        <f t="shared" si="289"/>
        <v>35 Khanal Crescent</v>
      </c>
      <c r="F839" s="15" t="str">
        <f t="shared" si="290"/>
        <v>Bamboo</v>
      </c>
      <c r="G839" s="15" t="str">
        <f t="shared" si="291"/>
        <v>QLD</v>
      </c>
      <c r="H839" s="15">
        <f t="shared" si="292"/>
        <v>4873</v>
      </c>
      <c r="I839" s="15">
        <f t="shared" si="303"/>
        <v>1741</v>
      </c>
      <c r="J839" s="15">
        <f>OrdersTable!B839</f>
        <v>436</v>
      </c>
      <c r="K839" s="15" t="str">
        <f t="shared" si="293"/>
        <v>Giftware</v>
      </c>
      <c r="L839" s="15" t="str">
        <f t="shared" si="294"/>
        <v>Doctor Who: Adult Watch: TARDIS</v>
      </c>
      <c r="M839" s="15" t="str">
        <f t="shared" si="295"/>
        <v>-</v>
      </c>
      <c r="N839" s="15">
        <f t="shared" si="296"/>
        <v>1.5</v>
      </c>
      <c r="O839" s="15" t="str">
        <f t="shared" si="297"/>
        <v>A20</v>
      </c>
      <c r="P839" s="15" t="str">
        <f t="shared" si="298"/>
        <v>Morbius Inc.</v>
      </c>
      <c r="Q839" s="15" t="str">
        <f t="shared" si="299"/>
        <v>56 Michael Spice Hwy</v>
      </c>
      <c r="R839" s="3">
        <f>OrdersTable!C839</f>
        <v>44620</v>
      </c>
      <c r="S839" s="15">
        <f>OrdersTable!E839</f>
        <v>7</v>
      </c>
      <c r="T839" s="15">
        <f t="shared" si="300"/>
        <v>29.99</v>
      </c>
      <c r="U839" s="15">
        <f t="shared" si="301"/>
        <v>40.96</v>
      </c>
      <c r="V839" s="15">
        <f t="shared" si="302"/>
        <v>48.58</v>
      </c>
      <c r="W839" s="15">
        <f>IF(MarkupType="Store Markup",ROUND(V839+V839*StoreMarkup,2),IF(MarkupType="Supplier Markup",V839+V839*SupplierMarkup,"Error at finding value"))</f>
        <v>76.510000000000005</v>
      </c>
      <c r="X839" s="32" t="str">
        <f t="shared" si="304"/>
        <v>0.00</v>
      </c>
      <c r="Y839" s="15">
        <f t="shared" si="305"/>
        <v>340.06</v>
      </c>
      <c r="Z839" s="15">
        <f t="shared" si="306"/>
        <v>535.57000000000005</v>
      </c>
      <c r="AA839" s="15">
        <f>IF(FreightType="Lethbridge-Stewart Freight ",ROUND(2.99+IF(N839&gt;0.75,(N839-0.75)*2.25,0)*S839,2),IF(MarkupType="Supplier Markup",V839+V839*SupplierMarkup,"Error at finding value"))</f>
        <v>14.8</v>
      </c>
      <c r="AB839" s="15">
        <f t="shared" si="307"/>
        <v>0</v>
      </c>
    </row>
    <row r="840" spans="1:28" x14ac:dyDescent="0.25">
      <c r="A840" s="16">
        <f>OrdersTable!A840</f>
        <v>46</v>
      </c>
      <c r="B840" s="15" t="str">
        <f t="shared" si="287"/>
        <v>Mrs</v>
      </c>
      <c r="C840" s="15" t="str">
        <f t="shared" si="286"/>
        <v>Dovey</v>
      </c>
      <c r="D840" s="15" t="str">
        <f t="shared" si="288"/>
        <v>Aisha Jade</v>
      </c>
      <c r="E840" s="15" t="str">
        <f t="shared" si="289"/>
        <v>43 Wilkes Circuit</v>
      </c>
      <c r="F840" s="15" t="str">
        <f t="shared" si="290"/>
        <v>Alfredtown</v>
      </c>
      <c r="G840" s="15" t="str">
        <f t="shared" si="291"/>
        <v>NSW</v>
      </c>
      <c r="H840" s="15">
        <f t="shared" si="292"/>
        <v>2650</v>
      </c>
      <c r="I840" s="15">
        <f t="shared" si="303"/>
        <v>1124</v>
      </c>
      <c r="J840" s="15">
        <f>OrdersTable!B840</f>
        <v>840</v>
      </c>
      <c r="K840" s="15" t="str">
        <f t="shared" si="293"/>
        <v>Statues and Busts</v>
      </c>
      <c r="L840" s="15" t="str">
        <f t="shared" si="294"/>
        <v>Doctor Who: Signature Edition Statue: Gallifrey Edition: Patrick Troughton</v>
      </c>
      <c r="M840" s="15" t="str">
        <f t="shared" si="295"/>
        <v>-</v>
      </c>
      <c r="N840" s="15">
        <f t="shared" si="296"/>
        <v>2.5</v>
      </c>
      <c r="O840" s="15" t="str">
        <f t="shared" si="297"/>
        <v>A40</v>
      </c>
      <c r="P840" s="15" t="str">
        <f t="shared" si="298"/>
        <v>Romana Imports</v>
      </c>
      <c r="Q840" s="15" t="str">
        <f t="shared" si="299"/>
        <v>17 Lalla Ward Road</v>
      </c>
      <c r="R840" s="3">
        <f>OrdersTable!C840</f>
        <v>44621</v>
      </c>
      <c r="S840" s="15">
        <f>OrdersTable!E840</f>
        <v>1</v>
      </c>
      <c r="T840" s="15">
        <f t="shared" si="300"/>
        <v>49.99</v>
      </c>
      <c r="U840" s="15">
        <f t="shared" si="301"/>
        <v>68.510000000000005</v>
      </c>
      <c r="V840" s="15">
        <f t="shared" si="302"/>
        <v>80.98</v>
      </c>
      <c r="W840" s="15">
        <f>IF(MarkupType="Store Markup",ROUND(V840+V840*StoreMarkup,2),IF(MarkupType="Supplier Markup",V840+V840*SupplierMarkup,"Error at finding value"))</f>
        <v>127.54</v>
      </c>
      <c r="X840" s="32" t="str">
        <f t="shared" si="304"/>
        <v>0.00</v>
      </c>
      <c r="Y840" s="15">
        <f t="shared" si="305"/>
        <v>80.98</v>
      </c>
      <c r="Z840" s="15">
        <f t="shared" si="306"/>
        <v>127.54</v>
      </c>
      <c r="AA840" s="15">
        <f>IF(FreightType="Lethbridge-Stewart Freight ",ROUND(2.99+IF(N840&gt;0.75,(N840-0.75)*2.25,0)*S840,2),IF(MarkupType="Supplier Markup",V840+V840*SupplierMarkup,"Error at finding value"))</f>
        <v>6.93</v>
      </c>
      <c r="AB840" s="15">
        <f t="shared" si="307"/>
        <v>0</v>
      </c>
    </row>
    <row r="841" spans="1:28" x14ac:dyDescent="0.25">
      <c r="A841" s="16">
        <f>OrdersTable!A841</f>
        <v>224</v>
      </c>
      <c r="B841" s="15" t="str">
        <f t="shared" si="287"/>
        <v>Miss</v>
      </c>
      <c r="C841" s="15" t="str">
        <f t="shared" si="286"/>
        <v>Baruwal</v>
      </c>
      <c r="D841" s="15" t="str">
        <f t="shared" si="288"/>
        <v>Pratikshya</v>
      </c>
      <c r="E841" s="15" t="str">
        <f t="shared" si="289"/>
        <v>43 Gilloway Street</v>
      </c>
      <c r="F841" s="15" t="str">
        <f t="shared" si="290"/>
        <v>Iluka</v>
      </c>
      <c r="G841" s="15" t="str">
        <f t="shared" si="291"/>
        <v>NSW</v>
      </c>
      <c r="H841" s="15">
        <f t="shared" si="292"/>
        <v>2466</v>
      </c>
      <c r="I841" s="15">
        <f t="shared" si="303"/>
        <v>347</v>
      </c>
      <c r="J841" s="15">
        <f>OrdersTable!B841</f>
        <v>762</v>
      </c>
      <c r="K841" s="15" t="str">
        <f t="shared" si="293"/>
        <v>Statues and Busts</v>
      </c>
      <c r="L841" s="15" t="str">
        <f t="shared" si="294"/>
        <v>Doctor Who: Legends Forever Bust: Patrick Troughton</v>
      </c>
      <c r="M841" s="15" t="str">
        <f t="shared" si="295"/>
        <v>-</v>
      </c>
      <c r="N841" s="15">
        <f t="shared" si="296"/>
        <v>1.375</v>
      </c>
      <c r="O841" s="15" t="str">
        <f t="shared" si="297"/>
        <v>A40</v>
      </c>
      <c r="P841" s="15" t="str">
        <f t="shared" si="298"/>
        <v>Romana Imports</v>
      </c>
      <c r="Q841" s="15" t="str">
        <f t="shared" si="299"/>
        <v>17 Lalla Ward Road</v>
      </c>
      <c r="R841" s="3">
        <f>OrdersTable!C841</f>
        <v>44621</v>
      </c>
      <c r="S841" s="15">
        <f>OrdersTable!E841</f>
        <v>3</v>
      </c>
      <c r="T841" s="15">
        <f t="shared" si="300"/>
        <v>27.5</v>
      </c>
      <c r="U841" s="15">
        <f t="shared" si="301"/>
        <v>37.799999999999997</v>
      </c>
      <c r="V841" s="15">
        <f t="shared" si="302"/>
        <v>44.55</v>
      </c>
      <c r="W841" s="15">
        <f>IF(MarkupType="Store Markup",ROUND(V841+V841*StoreMarkup,2),IF(MarkupType="Supplier Markup",V841+V841*SupplierMarkup,"Error at finding value"))</f>
        <v>70.17</v>
      </c>
      <c r="X841" s="32" t="str">
        <f t="shared" si="304"/>
        <v>0.00</v>
      </c>
      <c r="Y841" s="15">
        <f t="shared" si="305"/>
        <v>133.65</v>
      </c>
      <c r="Z841" s="15">
        <f t="shared" si="306"/>
        <v>210.51</v>
      </c>
      <c r="AA841" s="15">
        <f>IF(FreightType="Lethbridge-Stewart Freight ",ROUND(2.99+IF(N841&gt;0.75,(N841-0.75)*2.25,0)*S841,2),IF(MarkupType="Supplier Markup",V841+V841*SupplierMarkup,"Error at finding value"))</f>
        <v>7.21</v>
      </c>
      <c r="AB841" s="15">
        <f t="shared" si="307"/>
        <v>0</v>
      </c>
    </row>
    <row r="842" spans="1:28" x14ac:dyDescent="0.25">
      <c r="A842" s="16">
        <f>OrdersTable!A842</f>
        <v>226</v>
      </c>
      <c r="B842" s="15" t="str">
        <f t="shared" si="287"/>
        <v>Ms</v>
      </c>
      <c r="C842" s="15" t="str">
        <f t="shared" si="286"/>
        <v>Stewart</v>
      </c>
      <c r="D842" s="15" t="str">
        <f t="shared" si="288"/>
        <v>Jodi Louise</v>
      </c>
      <c r="E842" s="15" t="str">
        <f t="shared" si="289"/>
        <v>33 Abington Court</v>
      </c>
      <c r="F842" s="15" t="str">
        <f t="shared" si="290"/>
        <v>Iluka</v>
      </c>
      <c r="G842" s="15" t="str">
        <f t="shared" si="291"/>
        <v>NSW</v>
      </c>
      <c r="H842" s="15">
        <f t="shared" si="292"/>
        <v>2466</v>
      </c>
      <c r="I842" s="15">
        <f t="shared" si="303"/>
        <v>347</v>
      </c>
      <c r="J842" s="15">
        <f>OrdersTable!B842</f>
        <v>813</v>
      </c>
      <c r="K842" s="15" t="str">
        <f t="shared" si="293"/>
        <v>Statues and Busts</v>
      </c>
      <c r="L842" s="15" t="str">
        <f t="shared" si="294"/>
        <v>Doctor Who: Masterpiece Collection Maxi Bust: Leela</v>
      </c>
      <c r="M842" s="15" t="str">
        <f t="shared" si="295"/>
        <v>-</v>
      </c>
      <c r="N842" s="15">
        <f t="shared" si="296"/>
        <v>2.5</v>
      </c>
      <c r="O842" s="15" t="str">
        <f t="shared" si="297"/>
        <v>A30</v>
      </c>
      <c r="P842" s="15" t="str">
        <f t="shared" si="298"/>
        <v>Chesterton Enterprises</v>
      </c>
      <c r="Q842" s="15" t="str">
        <f t="shared" si="299"/>
        <v>41 William Russell Road</v>
      </c>
      <c r="R842" s="3">
        <f>OrdersTable!C842</f>
        <v>44621</v>
      </c>
      <c r="S842" s="15">
        <f>OrdersTable!E842</f>
        <v>5</v>
      </c>
      <c r="T842" s="15">
        <f t="shared" si="300"/>
        <v>49.99</v>
      </c>
      <c r="U842" s="15">
        <f t="shared" si="301"/>
        <v>68.319999999999993</v>
      </c>
      <c r="V842" s="15">
        <f t="shared" si="302"/>
        <v>80.98</v>
      </c>
      <c r="W842" s="15">
        <f>IF(MarkupType="Store Markup",ROUND(V842+V842*StoreMarkup,2),IF(MarkupType="Supplier Markup",V842+V842*SupplierMarkup,"Error at finding value"))</f>
        <v>127.54</v>
      </c>
      <c r="X842" s="32">
        <f t="shared" si="304"/>
        <v>9.09</v>
      </c>
      <c r="Y842" s="15">
        <f t="shared" si="305"/>
        <v>404.9</v>
      </c>
      <c r="Z842" s="15">
        <f t="shared" si="306"/>
        <v>592.25</v>
      </c>
      <c r="AA842" s="15">
        <f>IF(FreightType="Lethbridge-Stewart Freight ",ROUND(2.99+IF(N842&gt;0.75,(N842-0.75)*2.25,0)*S842,2),IF(MarkupType="Supplier Markup",V842+V842*SupplierMarkup,"Error at finding value"))</f>
        <v>22.68</v>
      </c>
      <c r="AB842" s="15">
        <f t="shared" si="307"/>
        <v>45.45</v>
      </c>
    </row>
    <row r="843" spans="1:28" x14ac:dyDescent="0.25">
      <c r="A843" s="16">
        <f>OrdersTable!A843</f>
        <v>232</v>
      </c>
      <c r="B843" s="15" t="str">
        <f t="shared" si="287"/>
        <v>Mrs</v>
      </c>
      <c r="C843" s="15" t="str">
        <f t="shared" ref="C843:C906" si="308">VLOOKUP($A843,Cust,3,0)</f>
        <v>Bishop</v>
      </c>
      <c r="D843" s="15" t="str">
        <f t="shared" si="288"/>
        <v>Katherine Marie</v>
      </c>
      <c r="E843" s="15" t="str">
        <f t="shared" si="289"/>
        <v>19 Whitehorn Circuit</v>
      </c>
      <c r="F843" s="15" t="str">
        <f t="shared" si="290"/>
        <v>Black Hills</v>
      </c>
      <c r="G843" s="15" t="str">
        <f t="shared" si="291"/>
        <v>TAS</v>
      </c>
      <c r="H843" s="15">
        <f t="shared" si="292"/>
        <v>7140</v>
      </c>
      <c r="I843" s="15">
        <f t="shared" si="303"/>
        <v>2191</v>
      </c>
      <c r="J843" s="15">
        <f>OrdersTable!B843</f>
        <v>698</v>
      </c>
      <c r="K843" s="15" t="str">
        <f t="shared" si="293"/>
        <v>Posters, Prints and Standees</v>
      </c>
      <c r="L843" s="15" t="str">
        <f t="shared" si="294"/>
        <v>Doctor Who: Art Print: My Mysterious Doctor</v>
      </c>
      <c r="M843" s="15" t="str">
        <f t="shared" si="295"/>
        <v>-</v>
      </c>
      <c r="N843" s="15">
        <f t="shared" si="296"/>
        <v>0.75</v>
      </c>
      <c r="O843" s="15" t="str">
        <f t="shared" si="297"/>
        <v>A30</v>
      </c>
      <c r="P843" s="15" t="str">
        <f t="shared" si="298"/>
        <v>Chesterton Enterprises</v>
      </c>
      <c r="Q843" s="15" t="str">
        <f t="shared" si="299"/>
        <v>41 William Russell Road</v>
      </c>
      <c r="R843" s="3">
        <f>OrdersTable!C843</f>
        <v>44621</v>
      </c>
      <c r="S843" s="15">
        <f>OrdersTable!E843</f>
        <v>6</v>
      </c>
      <c r="T843" s="15">
        <f t="shared" si="300"/>
        <v>14.99</v>
      </c>
      <c r="U843" s="15">
        <f t="shared" si="301"/>
        <v>20.56</v>
      </c>
      <c r="V843" s="15">
        <f t="shared" si="302"/>
        <v>24.28</v>
      </c>
      <c r="W843" s="15">
        <f>IF(MarkupType="Store Markup",ROUND(V843+V843*StoreMarkup,2),IF(MarkupType="Supplier Markup",V843+V843*SupplierMarkup,"Error at finding value"))</f>
        <v>38.24</v>
      </c>
      <c r="X843" s="32" t="str">
        <f t="shared" si="304"/>
        <v>0.00</v>
      </c>
      <c r="Y843" s="15">
        <f t="shared" si="305"/>
        <v>145.68</v>
      </c>
      <c r="Z843" s="15">
        <f t="shared" si="306"/>
        <v>229.44</v>
      </c>
      <c r="AA843" s="15">
        <f>IF(FreightType="Lethbridge-Stewart Freight ",ROUND(2.99+IF(N843&gt;0.75,(N843-0.75)*2.25,0)*S843,2),IF(MarkupType="Supplier Markup",V843+V843*SupplierMarkup,"Error at finding value"))</f>
        <v>2.99</v>
      </c>
      <c r="AB843" s="15">
        <f t="shared" si="307"/>
        <v>0</v>
      </c>
    </row>
    <row r="844" spans="1:28" x14ac:dyDescent="0.25">
      <c r="A844" s="16">
        <f>OrdersTable!A844</f>
        <v>249</v>
      </c>
      <c r="B844" s="15" t="str">
        <f t="shared" si="287"/>
        <v>Mr</v>
      </c>
      <c r="C844" s="15" t="str">
        <f t="shared" si="308"/>
        <v>Sinclair</v>
      </c>
      <c r="D844" s="15" t="str">
        <f t="shared" si="288"/>
        <v>Travis James Foord</v>
      </c>
      <c r="E844" s="15" t="str">
        <f t="shared" si="289"/>
        <v>25 Leunen Avenue</v>
      </c>
      <c r="F844" s="15" t="str">
        <f t="shared" si="290"/>
        <v>Batlow</v>
      </c>
      <c r="G844" s="15" t="str">
        <f t="shared" si="291"/>
        <v>NSW</v>
      </c>
      <c r="H844" s="15">
        <f t="shared" si="292"/>
        <v>2730</v>
      </c>
      <c r="I844" s="15">
        <f t="shared" si="303"/>
        <v>1138</v>
      </c>
      <c r="J844" s="15">
        <f>OrdersTable!B844</f>
        <v>563</v>
      </c>
      <c r="K844" s="15" t="str">
        <f t="shared" si="293"/>
        <v>Giftware</v>
      </c>
      <c r="L844" s="15" t="str">
        <f t="shared" si="294"/>
        <v>Doctor Who: TARDIS Jewellery Box</v>
      </c>
      <c r="M844" s="15" t="str">
        <f t="shared" si="295"/>
        <v>-</v>
      </c>
      <c r="N844" s="15">
        <f t="shared" si="296"/>
        <v>1.1499999999999999</v>
      </c>
      <c r="O844" s="15" t="str">
        <f t="shared" si="297"/>
        <v>A50</v>
      </c>
      <c r="P844" s="15" t="str">
        <f t="shared" si="298"/>
        <v>Rassilon Ltd.</v>
      </c>
      <c r="Q844" s="15" t="str">
        <f t="shared" si="299"/>
        <v>82 Richard Mathews Road</v>
      </c>
      <c r="R844" s="3">
        <f>OrdersTable!C844</f>
        <v>44621</v>
      </c>
      <c r="S844" s="15">
        <f>OrdersTable!E844</f>
        <v>4</v>
      </c>
      <c r="T844" s="15">
        <f t="shared" si="300"/>
        <v>22.99</v>
      </c>
      <c r="U844" s="15">
        <f t="shared" si="301"/>
        <v>31.63</v>
      </c>
      <c r="V844" s="15">
        <f t="shared" si="302"/>
        <v>37.24</v>
      </c>
      <c r="W844" s="15">
        <f>IF(MarkupType="Store Markup",ROUND(V844+V844*StoreMarkup,2),IF(MarkupType="Supplier Markup",V844+V844*SupplierMarkup,"Error at finding value"))</f>
        <v>58.65</v>
      </c>
      <c r="X844" s="32" t="str">
        <f t="shared" si="304"/>
        <v>0.00</v>
      </c>
      <c r="Y844" s="15">
        <f t="shared" si="305"/>
        <v>148.96</v>
      </c>
      <c r="Z844" s="15">
        <f t="shared" si="306"/>
        <v>234.6</v>
      </c>
      <c r="AA844" s="15">
        <f>IF(FreightType="Lethbridge-Stewart Freight ",ROUND(2.99+IF(N844&gt;0.75,(N844-0.75)*2.25,0)*S844,2),IF(MarkupType="Supplier Markup",V844+V844*SupplierMarkup,"Error at finding value"))</f>
        <v>6.59</v>
      </c>
      <c r="AB844" s="15">
        <f t="shared" si="307"/>
        <v>0</v>
      </c>
    </row>
    <row r="845" spans="1:28" x14ac:dyDescent="0.25">
      <c r="A845" s="16">
        <f>OrdersTable!A845</f>
        <v>308</v>
      </c>
      <c r="B845" s="15" t="str">
        <f t="shared" si="287"/>
        <v>Dr</v>
      </c>
      <c r="C845" s="15" t="str">
        <f t="shared" si="308"/>
        <v>Azar</v>
      </c>
      <c r="D845" s="15" t="str">
        <f t="shared" si="288"/>
        <v>Mariam</v>
      </c>
      <c r="E845" s="15" t="str">
        <f t="shared" si="289"/>
        <v>26 Osmond Road</v>
      </c>
      <c r="F845" s="15" t="str">
        <f t="shared" si="290"/>
        <v>Boston</v>
      </c>
      <c r="G845" s="15" t="str">
        <f t="shared" si="291"/>
        <v>SA</v>
      </c>
      <c r="H845" s="15">
        <f t="shared" si="292"/>
        <v>5607</v>
      </c>
      <c r="I845" s="15">
        <f t="shared" si="303"/>
        <v>2076</v>
      </c>
      <c r="J845" s="15">
        <f>OrdersTable!B845</f>
        <v>201</v>
      </c>
      <c r="K845" s="15" t="str">
        <f t="shared" si="293"/>
        <v>Clothing and Apparel</v>
      </c>
      <c r="L845" s="15" t="str">
        <f t="shared" si="294"/>
        <v>Doctor Who: Dalek Beanie</v>
      </c>
      <c r="M845" s="15" t="str">
        <f t="shared" si="295"/>
        <v>-</v>
      </c>
      <c r="N845" s="15">
        <f t="shared" si="296"/>
        <v>1.1399999999999999</v>
      </c>
      <c r="O845" s="15" t="str">
        <f t="shared" si="297"/>
        <v>A50</v>
      </c>
      <c r="P845" s="15" t="str">
        <f t="shared" si="298"/>
        <v>Rassilon Ltd.</v>
      </c>
      <c r="Q845" s="15" t="str">
        <f t="shared" si="299"/>
        <v>82 Richard Mathews Road</v>
      </c>
      <c r="R845" s="3">
        <f>OrdersTable!C845</f>
        <v>44621</v>
      </c>
      <c r="S845" s="15">
        <f>OrdersTable!E845</f>
        <v>2</v>
      </c>
      <c r="T845" s="15">
        <f t="shared" si="300"/>
        <v>22.75</v>
      </c>
      <c r="U845" s="15">
        <f t="shared" si="301"/>
        <v>31.26</v>
      </c>
      <c r="V845" s="15">
        <f t="shared" si="302"/>
        <v>36.86</v>
      </c>
      <c r="W845" s="15">
        <f>IF(MarkupType="Store Markup",ROUND(V845+V845*StoreMarkup,2),IF(MarkupType="Supplier Markup",V845+V845*SupplierMarkup,"Error at finding value"))</f>
        <v>58.05</v>
      </c>
      <c r="X845" s="32" t="str">
        <f t="shared" si="304"/>
        <v>0.00</v>
      </c>
      <c r="Y845" s="15">
        <f t="shared" si="305"/>
        <v>73.72</v>
      </c>
      <c r="Z845" s="15">
        <f t="shared" si="306"/>
        <v>116.1</v>
      </c>
      <c r="AA845" s="15">
        <f>IF(FreightType="Lethbridge-Stewart Freight ",ROUND(2.99+IF(N845&gt;0.75,(N845-0.75)*2.25,0)*S845,2),IF(MarkupType="Supplier Markup",V845+V845*SupplierMarkup,"Error at finding value"))</f>
        <v>4.75</v>
      </c>
      <c r="AB845" s="15">
        <f t="shared" si="307"/>
        <v>0</v>
      </c>
    </row>
    <row r="846" spans="1:28" x14ac:dyDescent="0.25">
      <c r="A846" s="16">
        <f>OrdersTable!A846</f>
        <v>573</v>
      </c>
      <c r="B846" s="15" t="str">
        <f t="shared" si="287"/>
        <v>Mrs</v>
      </c>
      <c r="C846" s="15" t="str">
        <f t="shared" si="308"/>
        <v>Hollonds</v>
      </c>
      <c r="D846" s="15" t="str">
        <f t="shared" si="288"/>
        <v>Suzan</v>
      </c>
      <c r="E846" s="15" t="str">
        <f t="shared" si="289"/>
        <v>49 Patel Way</v>
      </c>
      <c r="F846" s="15" t="str">
        <f t="shared" si="290"/>
        <v>Belconnen</v>
      </c>
      <c r="G846" s="15" t="str">
        <f t="shared" si="291"/>
        <v>ACT</v>
      </c>
      <c r="H846" s="15">
        <f t="shared" si="292"/>
        <v>2617</v>
      </c>
      <c r="I846" s="15">
        <f t="shared" si="303"/>
        <v>1194</v>
      </c>
      <c r="J846" s="15">
        <f>OrdersTable!B846</f>
        <v>374</v>
      </c>
      <c r="K846" s="15" t="str">
        <f t="shared" si="293"/>
        <v>Clothing and Apparel</v>
      </c>
      <c r="L846" s="15" t="str">
        <f t="shared" si="294"/>
        <v xml:space="preserve">Doctor Who: T-Shirts: 5th Doctor Costume </v>
      </c>
      <c r="M846" s="15" t="str">
        <f t="shared" si="295"/>
        <v>XL</v>
      </c>
      <c r="N846" s="15">
        <f t="shared" si="296"/>
        <v>0.8</v>
      </c>
      <c r="O846" s="15" t="str">
        <f t="shared" si="297"/>
        <v>A50</v>
      </c>
      <c r="P846" s="15" t="str">
        <f t="shared" si="298"/>
        <v>Rassilon Ltd.</v>
      </c>
      <c r="Q846" s="15" t="str">
        <f t="shared" si="299"/>
        <v>82 Richard Mathews Road</v>
      </c>
      <c r="R846" s="3">
        <f>OrdersTable!C846</f>
        <v>44621</v>
      </c>
      <c r="S846" s="15">
        <f>OrdersTable!E846</f>
        <v>1</v>
      </c>
      <c r="T846" s="15">
        <f t="shared" si="300"/>
        <v>15.99</v>
      </c>
      <c r="U846" s="15">
        <f t="shared" si="301"/>
        <v>21.97</v>
      </c>
      <c r="V846" s="15">
        <f t="shared" si="302"/>
        <v>25.9</v>
      </c>
      <c r="W846" s="15">
        <f>IF(MarkupType="Store Markup",ROUND(V846+V846*StoreMarkup,2),IF(MarkupType="Supplier Markup",V846+V846*SupplierMarkup,"Error at finding value"))</f>
        <v>40.79</v>
      </c>
      <c r="X846" s="32" t="str">
        <f t="shared" si="304"/>
        <v>0.00</v>
      </c>
      <c r="Y846" s="15">
        <f t="shared" si="305"/>
        <v>25.9</v>
      </c>
      <c r="Z846" s="15">
        <f t="shared" si="306"/>
        <v>40.79</v>
      </c>
      <c r="AA846" s="15">
        <f>IF(FreightType="Lethbridge-Stewart Freight ",ROUND(2.99+IF(N846&gt;0.75,(N846-0.75)*2.25,0)*S846,2),IF(MarkupType="Supplier Markup",V846+V846*SupplierMarkup,"Error at finding value"))</f>
        <v>3.1</v>
      </c>
      <c r="AB846" s="15">
        <f t="shared" si="307"/>
        <v>0</v>
      </c>
    </row>
    <row r="847" spans="1:28" x14ac:dyDescent="0.25">
      <c r="A847" s="16">
        <f>OrdersTable!A847</f>
        <v>657</v>
      </c>
      <c r="B847" s="15" t="str">
        <f t="shared" si="287"/>
        <v>Mr</v>
      </c>
      <c r="C847" s="15" t="str">
        <f t="shared" si="308"/>
        <v>Poljak</v>
      </c>
      <c r="D847" s="15" t="str">
        <f t="shared" si="288"/>
        <v>Anthony</v>
      </c>
      <c r="E847" s="15" t="str">
        <f t="shared" si="289"/>
        <v>45 Robertson Boulevard</v>
      </c>
      <c r="F847" s="15" t="str">
        <f t="shared" si="290"/>
        <v>Iluka</v>
      </c>
      <c r="G847" s="15" t="str">
        <f t="shared" si="291"/>
        <v>NSW</v>
      </c>
      <c r="H847" s="15">
        <f t="shared" si="292"/>
        <v>2466</v>
      </c>
      <c r="I847" s="15">
        <f t="shared" si="303"/>
        <v>347</v>
      </c>
      <c r="J847" s="15">
        <f>OrdersTable!B847</f>
        <v>563</v>
      </c>
      <c r="K847" s="15" t="str">
        <f t="shared" si="293"/>
        <v>Giftware</v>
      </c>
      <c r="L847" s="15" t="str">
        <f t="shared" si="294"/>
        <v>Doctor Who: TARDIS Jewellery Box</v>
      </c>
      <c r="M847" s="15" t="str">
        <f t="shared" si="295"/>
        <v>-</v>
      </c>
      <c r="N847" s="15">
        <f t="shared" si="296"/>
        <v>1.1499999999999999</v>
      </c>
      <c r="O847" s="15" t="str">
        <f t="shared" si="297"/>
        <v>A50</v>
      </c>
      <c r="P847" s="15" t="str">
        <f t="shared" si="298"/>
        <v>Rassilon Ltd.</v>
      </c>
      <c r="Q847" s="15" t="str">
        <f t="shared" si="299"/>
        <v>82 Richard Mathews Road</v>
      </c>
      <c r="R847" s="3">
        <f>OrdersTable!C847</f>
        <v>44621</v>
      </c>
      <c r="S847" s="15">
        <f>OrdersTable!E847</f>
        <v>4</v>
      </c>
      <c r="T847" s="15">
        <f t="shared" si="300"/>
        <v>22.99</v>
      </c>
      <c r="U847" s="15">
        <f t="shared" si="301"/>
        <v>31.63</v>
      </c>
      <c r="V847" s="15">
        <f t="shared" si="302"/>
        <v>37.24</v>
      </c>
      <c r="W847" s="15">
        <f>IF(MarkupType="Store Markup",ROUND(V847+V847*StoreMarkup,2),IF(MarkupType="Supplier Markup",V847+V847*SupplierMarkup,"Error at finding value"))</f>
        <v>58.65</v>
      </c>
      <c r="X847" s="32" t="str">
        <f t="shared" si="304"/>
        <v>0.00</v>
      </c>
      <c r="Y847" s="15">
        <f t="shared" si="305"/>
        <v>148.96</v>
      </c>
      <c r="Z847" s="15">
        <f t="shared" si="306"/>
        <v>234.6</v>
      </c>
      <c r="AA847" s="15">
        <f>IF(FreightType="Lethbridge-Stewart Freight ",ROUND(2.99+IF(N847&gt;0.75,(N847-0.75)*2.25,0)*S847,2),IF(MarkupType="Supplier Markup",V847+V847*SupplierMarkup,"Error at finding value"))</f>
        <v>6.59</v>
      </c>
      <c r="AB847" s="15">
        <f t="shared" si="307"/>
        <v>0</v>
      </c>
    </row>
    <row r="848" spans="1:28" x14ac:dyDescent="0.25">
      <c r="A848" s="16">
        <f>OrdersTable!A848</f>
        <v>730</v>
      </c>
      <c r="B848" s="15" t="str">
        <f t="shared" si="287"/>
        <v>Mr</v>
      </c>
      <c r="C848" s="15" t="str">
        <f t="shared" si="308"/>
        <v>Romer</v>
      </c>
      <c r="D848" s="15" t="str">
        <f t="shared" si="288"/>
        <v>Leo Alexander</v>
      </c>
      <c r="E848" s="15" t="str">
        <f t="shared" si="289"/>
        <v>47 Bennett Circuit</v>
      </c>
      <c r="F848" s="15" t="str">
        <f t="shared" si="290"/>
        <v>Caliph</v>
      </c>
      <c r="G848" s="15" t="str">
        <f t="shared" si="291"/>
        <v>SA</v>
      </c>
      <c r="H848" s="15">
        <f t="shared" si="292"/>
        <v>5310</v>
      </c>
      <c r="I848" s="15">
        <f t="shared" si="303"/>
        <v>1720</v>
      </c>
      <c r="J848" s="15">
        <f>OrdersTable!B848</f>
        <v>282</v>
      </c>
      <c r="K848" s="15" t="str">
        <f t="shared" si="293"/>
        <v>Clothing and Apparel</v>
      </c>
      <c r="L848" s="15" t="str">
        <f t="shared" si="294"/>
        <v>Doctor Who: Tardis Laplander Hat</v>
      </c>
      <c r="M848" s="15" t="str">
        <f t="shared" si="295"/>
        <v>-</v>
      </c>
      <c r="N848" s="15">
        <f t="shared" si="296"/>
        <v>0.97499999999999998</v>
      </c>
      <c r="O848" s="15" t="str">
        <f t="shared" si="297"/>
        <v>A10</v>
      </c>
      <c r="P848" s="15" t="str">
        <f t="shared" si="298"/>
        <v>Gallifrey International</v>
      </c>
      <c r="Q848" s="15" t="str">
        <f t="shared" si="299"/>
        <v>181 Arcadia Street</v>
      </c>
      <c r="R848" s="3">
        <f>OrdersTable!C848</f>
        <v>44621</v>
      </c>
      <c r="S848" s="15">
        <f>OrdersTable!E848</f>
        <v>8</v>
      </c>
      <c r="T848" s="15">
        <f t="shared" si="300"/>
        <v>19.5</v>
      </c>
      <c r="U848" s="15">
        <f t="shared" si="301"/>
        <v>26.93</v>
      </c>
      <c r="V848" s="15">
        <f t="shared" si="302"/>
        <v>31.59</v>
      </c>
      <c r="W848" s="15">
        <f>IF(MarkupType="Store Markup",ROUND(V848+V848*StoreMarkup,2),IF(MarkupType="Supplier Markup",V848+V848*SupplierMarkup,"Error at finding value"))</f>
        <v>49.75</v>
      </c>
      <c r="X848" s="32" t="str">
        <f t="shared" si="304"/>
        <v>0.00</v>
      </c>
      <c r="Y848" s="15">
        <f t="shared" si="305"/>
        <v>252.72</v>
      </c>
      <c r="Z848" s="15">
        <f t="shared" si="306"/>
        <v>398</v>
      </c>
      <c r="AA848" s="15">
        <f>IF(FreightType="Lethbridge-Stewart Freight ",ROUND(2.99+IF(N848&gt;0.75,(N848-0.75)*2.25,0)*S848,2),IF(MarkupType="Supplier Markup",V848+V848*SupplierMarkup,"Error at finding value"))</f>
        <v>7.04</v>
      </c>
      <c r="AB848" s="15">
        <f t="shared" si="307"/>
        <v>0</v>
      </c>
    </row>
    <row r="849" spans="1:28" x14ac:dyDescent="0.25">
      <c r="A849" s="16">
        <f>OrdersTable!A849</f>
        <v>747</v>
      </c>
      <c r="B849" s="15" t="str">
        <f t="shared" si="287"/>
        <v>Miss</v>
      </c>
      <c r="C849" s="15" t="str">
        <f t="shared" si="308"/>
        <v>Coom</v>
      </c>
      <c r="D849" s="15" t="str">
        <f t="shared" si="288"/>
        <v>Mackenzie Megan</v>
      </c>
      <c r="E849" s="15" t="str">
        <f t="shared" si="289"/>
        <v>2 Tsalikis Road</v>
      </c>
      <c r="F849" s="15" t="str">
        <f t="shared" si="290"/>
        <v>Aberfoyle</v>
      </c>
      <c r="G849" s="15" t="str">
        <f t="shared" si="291"/>
        <v>NSW</v>
      </c>
      <c r="H849" s="15">
        <f t="shared" si="292"/>
        <v>2350</v>
      </c>
      <c r="I849" s="15">
        <f t="shared" si="303"/>
        <v>363</v>
      </c>
      <c r="J849" s="15">
        <f>OrdersTable!B849</f>
        <v>853</v>
      </c>
      <c r="K849" s="15" t="str">
        <f t="shared" si="293"/>
        <v>Statues and Busts</v>
      </c>
      <c r="L849" s="15" t="str">
        <f t="shared" si="294"/>
        <v>Doctor Who: Statue: The Master And Auton</v>
      </c>
      <c r="M849" s="15" t="str">
        <f t="shared" si="295"/>
        <v>-</v>
      </c>
      <c r="N849" s="15">
        <f t="shared" si="296"/>
        <v>3.5</v>
      </c>
      <c r="O849" s="15" t="str">
        <f t="shared" si="297"/>
        <v>A50</v>
      </c>
      <c r="P849" s="15" t="str">
        <f t="shared" si="298"/>
        <v>Rassilon Ltd.</v>
      </c>
      <c r="Q849" s="15" t="str">
        <f t="shared" si="299"/>
        <v>82 Richard Mathews Road</v>
      </c>
      <c r="R849" s="3">
        <f>OrdersTable!C849</f>
        <v>44621</v>
      </c>
      <c r="S849" s="15">
        <f>OrdersTable!E849</f>
        <v>6</v>
      </c>
      <c r="T849" s="15">
        <f t="shared" si="300"/>
        <v>69.989999999999995</v>
      </c>
      <c r="U849" s="15">
        <f t="shared" si="301"/>
        <v>95.51</v>
      </c>
      <c r="V849" s="15">
        <f t="shared" si="302"/>
        <v>113.38</v>
      </c>
      <c r="W849" s="15">
        <f>IF(MarkupType="Store Markup",ROUND(V849+V849*StoreMarkup,2),IF(MarkupType="Supplier Markup",V849+V849*SupplierMarkup,"Error at finding value"))</f>
        <v>178.57</v>
      </c>
      <c r="X849" s="32">
        <f t="shared" si="304"/>
        <v>12.72</v>
      </c>
      <c r="Y849" s="15">
        <f t="shared" si="305"/>
        <v>680.28</v>
      </c>
      <c r="Z849" s="15">
        <f t="shared" si="306"/>
        <v>995.1</v>
      </c>
      <c r="AA849" s="15">
        <f>IF(FreightType="Lethbridge-Stewart Freight ",ROUND(2.99+IF(N849&gt;0.75,(N849-0.75)*2.25,0)*S849,2),IF(MarkupType="Supplier Markup",V849+V849*SupplierMarkup,"Error at finding value"))</f>
        <v>40.119999999999997</v>
      </c>
      <c r="AB849" s="15">
        <f t="shared" si="307"/>
        <v>76.319999999999993</v>
      </c>
    </row>
    <row r="850" spans="1:28" x14ac:dyDescent="0.25">
      <c r="A850" s="16">
        <f>OrdersTable!A850</f>
        <v>758</v>
      </c>
      <c r="B850" s="15" t="str">
        <f t="shared" si="287"/>
        <v>Mr</v>
      </c>
      <c r="C850" s="15" t="str">
        <f t="shared" si="308"/>
        <v>Whitehorn</v>
      </c>
      <c r="D850" s="15" t="str">
        <f t="shared" si="288"/>
        <v>James</v>
      </c>
      <c r="E850" s="15" t="str">
        <f t="shared" si="289"/>
        <v>32 Raubenheimer Circuit</v>
      </c>
      <c r="F850" s="15" t="str">
        <f t="shared" si="290"/>
        <v>Belconnen</v>
      </c>
      <c r="G850" s="15" t="str">
        <f t="shared" si="291"/>
        <v>ACT</v>
      </c>
      <c r="H850" s="15">
        <f t="shared" si="292"/>
        <v>2617</v>
      </c>
      <c r="I850" s="15">
        <f t="shared" si="303"/>
        <v>1194</v>
      </c>
      <c r="J850" s="15">
        <f>OrdersTable!B850</f>
        <v>826</v>
      </c>
      <c r="K850" s="15" t="str">
        <f t="shared" si="293"/>
        <v>Statues and Busts</v>
      </c>
      <c r="L850" s="15" t="str">
        <f t="shared" si="294"/>
        <v>Doctor Who: Mini Bust: Cyberman</v>
      </c>
      <c r="M850" s="15" t="str">
        <f t="shared" si="295"/>
        <v>-</v>
      </c>
      <c r="N850" s="15">
        <f t="shared" si="296"/>
        <v>1.8</v>
      </c>
      <c r="O850" s="15" t="str">
        <f t="shared" si="297"/>
        <v>A40</v>
      </c>
      <c r="P850" s="15" t="str">
        <f t="shared" si="298"/>
        <v>Romana Imports</v>
      </c>
      <c r="Q850" s="15" t="str">
        <f t="shared" si="299"/>
        <v>17 Lalla Ward Road</v>
      </c>
      <c r="R850" s="3">
        <f>OrdersTable!C850</f>
        <v>44621</v>
      </c>
      <c r="S850" s="15">
        <f>OrdersTable!E850</f>
        <v>9</v>
      </c>
      <c r="T850" s="15">
        <f t="shared" si="300"/>
        <v>35.99</v>
      </c>
      <c r="U850" s="15">
        <f t="shared" si="301"/>
        <v>49.13</v>
      </c>
      <c r="V850" s="15">
        <f t="shared" si="302"/>
        <v>58.3</v>
      </c>
      <c r="W850" s="15">
        <f>IF(MarkupType="Store Markup",ROUND(V850+V850*StoreMarkup,2),IF(MarkupType="Supplier Markup",V850+V850*SupplierMarkup,"Error at finding value"))</f>
        <v>91.82</v>
      </c>
      <c r="X850" s="32" t="str">
        <f t="shared" si="304"/>
        <v>0.00</v>
      </c>
      <c r="Y850" s="15">
        <f t="shared" si="305"/>
        <v>524.70000000000005</v>
      </c>
      <c r="Z850" s="15">
        <f t="shared" si="306"/>
        <v>826.38</v>
      </c>
      <c r="AA850" s="15">
        <f>IF(FreightType="Lethbridge-Stewart Freight ",ROUND(2.99+IF(N850&gt;0.75,(N850-0.75)*2.25,0)*S850,2),IF(MarkupType="Supplier Markup",V850+V850*SupplierMarkup,"Error at finding value"))</f>
        <v>24.25</v>
      </c>
      <c r="AB850" s="15">
        <f t="shared" si="307"/>
        <v>0</v>
      </c>
    </row>
    <row r="851" spans="1:28" x14ac:dyDescent="0.25">
      <c r="A851" s="16">
        <f>OrdersTable!A851</f>
        <v>961</v>
      </c>
      <c r="B851" s="15" t="str">
        <f t="shared" si="287"/>
        <v>Ms</v>
      </c>
      <c r="C851" s="15" t="str">
        <f t="shared" si="308"/>
        <v>Schuh</v>
      </c>
      <c r="D851" s="15" t="str">
        <f t="shared" si="288"/>
        <v>Rebecca Anne</v>
      </c>
      <c r="E851" s="15" t="str">
        <f t="shared" si="289"/>
        <v>48 Wilson Court</v>
      </c>
      <c r="F851" s="15" t="str">
        <f t="shared" si="290"/>
        <v>Breakwater</v>
      </c>
      <c r="G851" s="15" t="str">
        <f t="shared" si="291"/>
        <v>VIC</v>
      </c>
      <c r="H851" s="15">
        <f t="shared" si="292"/>
        <v>3219</v>
      </c>
      <c r="I851" s="15">
        <f t="shared" si="303"/>
        <v>1596</v>
      </c>
      <c r="J851" s="15">
        <f>OrdersTable!B851</f>
        <v>594</v>
      </c>
      <c r="K851" s="15" t="str">
        <f t="shared" si="293"/>
        <v>iPhone Skins</v>
      </c>
      <c r="L851" s="15" t="str">
        <f t="shared" si="294"/>
        <v>Doctor Who: iPhone Skin: Keep Calm And Don't Blink</v>
      </c>
      <c r="M851" s="15" t="str">
        <f t="shared" si="295"/>
        <v>-</v>
      </c>
      <c r="N851" s="15">
        <f t="shared" si="296"/>
        <v>0.5</v>
      </c>
      <c r="O851" s="15" t="str">
        <f t="shared" si="297"/>
        <v>A20</v>
      </c>
      <c r="P851" s="15" t="str">
        <f t="shared" si="298"/>
        <v>Morbius Inc.</v>
      </c>
      <c r="Q851" s="15" t="str">
        <f t="shared" si="299"/>
        <v>56 Michael Spice Hwy</v>
      </c>
      <c r="R851" s="3">
        <f>OrdersTable!C851</f>
        <v>44621</v>
      </c>
      <c r="S851" s="15">
        <f>OrdersTable!E851</f>
        <v>3</v>
      </c>
      <c r="T851" s="15">
        <f t="shared" si="300"/>
        <v>9.99</v>
      </c>
      <c r="U851" s="15">
        <f t="shared" si="301"/>
        <v>13.88</v>
      </c>
      <c r="V851" s="15">
        <f t="shared" si="302"/>
        <v>16.18</v>
      </c>
      <c r="W851" s="15">
        <f>IF(MarkupType="Store Markup",ROUND(V851+V851*StoreMarkup,2),IF(MarkupType="Supplier Markup",V851+V851*SupplierMarkup,"Error at finding value"))</f>
        <v>25.48</v>
      </c>
      <c r="X851" s="32" t="str">
        <f t="shared" si="304"/>
        <v>0.00</v>
      </c>
      <c r="Y851" s="15">
        <f t="shared" si="305"/>
        <v>48.54</v>
      </c>
      <c r="Z851" s="15">
        <f t="shared" si="306"/>
        <v>76.44</v>
      </c>
      <c r="AA851" s="15">
        <f>IF(FreightType="Lethbridge-Stewart Freight ",ROUND(2.99+IF(N851&gt;0.75,(N851-0.75)*2.25,0)*S851,2),IF(MarkupType="Supplier Markup",V851+V851*SupplierMarkup,"Error at finding value"))</f>
        <v>2.99</v>
      </c>
      <c r="AB851" s="15">
        <f t="shared" si="307"/>
        <v>0</v>
      </c>
    </row>
    <row r="852" spans="1:28" x14ac:dyDescent="0.25">
      <c r="A852" s="16">
        <f>OrdersTable!A852</f>
        <v>983</v>
      </c>
      <c r="B852" s="15" t="str">
        <f t="shared" si="287"/>
        <v>Mrs</v>
      </c>
      <c r="C852" s="15" t="str">
        <f t="shared" si="308"/>
        <v>Bennett</v>
      </c>
      <c r="D852" s="15" t="str">
        <f t="shared" si="288"/>
        <v>Mikayla Elizabeth</v>
      </c>
      <c r="E852" s="15" t="str">
        <f t="shared" si="289"/>
        <v>35 Khanal Crescent</v>
      </c>
      <c r="F852" s="15" t="str">
        <f t="shared" si="290"/>
        <v>Bamboo</v>
      </c>
      <c r="G852" s="15" t="str">
        <f t="shared" si="291"/>
        <v>QLD</v>
      </c>
      <c r="H852" s="15">
        <f t="shared" si="292"/>
        <v>4873</v>
      </c>
      <c r="I852" s="15">
        <f t="shared" si="303"/>
        <v>1741</v>
      </c>
      <c r="J852" s="15">
        <f>OrdersTable!B852</f>
        <v>689</v>
      </c>
      <c r="K852" s="15" t="str">
        <f t="shared" si="293"/>
        <v>Posters, Prints and Standees</v>
      </c>
      <c r="L852" s="15" t="str">
        <f t="shared" si="294"/>
        <v>Doctor Who: 16'x12' Framed Print: Cold War</v>
      </c>
      <c r="M852" s="15" t="str">
        <f t="shared" si="295"/>
        <v>-</v>
      </c>
      <c r="N852" s="15">
        <f t="shared" si="296"/>
        <v>0.75</v>
      </c>
      <c r="O852" s="15" t="str">
        <f t="shared" si="297"/>
        <v>A50</v>
      </c>
      <c r="P852" s="15" t="str">
        <f t="shared" si="298"/>
        <v>Rassilon Ltd.</v>
      </c>
      <c r="Q852" s="15" t="str">
        <f t="shared" si="299"/>
        <v>82 Richard Mathews Road</v>
      </c>
      <c r="R852" s="3">
        <f>OrdersTable!C852</f>
        <v>44621</v>
      </c>
      <c r="S852" s="15">
        <f>OrdersTable!E852</f>
        <v>5</v>
      </c>
      <c r="T852" s="15">
        <f t="shared" si="300"/>
        <v>14.99</v>
      </c>
      <c r="U852" s="15">
        <f t="shared" si="301"/>
        <v>20.77</v>
      </c>
      <c r="V852" s="15">
        <f t="shared" si="302"/>
        <v>24.28</v>
      </c>
      <c r="W852" s="15">
        <f>IF(MarkupType="Store Markup",ROUND(V852+V852*StoreMarkup,2),IF(MarkupType="Supplier Markup",V852+V852*SupplierMarkup,"Error at finding value"))</f>
        <v>38.24</v>
      </c>
      <c r="X852" s="32" t="str">
        <f t="shared" si="304"/>
        <v>0.00</v>
      </c>
      <c r="Y852" s="15">
        <f t="shared" si="305"/>
        <v>121.4</v>
      </c>
      <c r="Z852" s="15">
        <f t="shared" si="306"/>
        <v>191.2</v>
      </c>
      <c r="AA852" s="15">
        <f>IF(FreightType="Lethbridge-Stewart Freight ",ROUND(2.99+IF(N852&gt;0.75,(N852-0.75)*2.25,0)*S852,2),IF(MarkupType="Supplier Markup",V852+V852*SupplierMarkup,"Error at finding value"))</f>
        <v>2.99</v>
      </c>
      <c r="AB852" s="15">
        <f t="shared" si="307"/>
        <v>0</v>
      </c>
    </row>
    <row r="853" spans="1:28" x14ac:dyDescent="0.25">
      <c r="A853" s="16">
        <f>OrdersTable!A853</f>
        <v>139</v>
      </c>
      <c r="B853" s="15" t="str">
        <f t="shared" si="287"/>
        <v>Mrs</v>
      </c>
      <c r="C853" s="15" t="str">
        <f t="shared" si="308"/>
        <v>Atkinson</v>
      </c>
      <c r="D853" s="15" t="str">
        <f t="shared" si="288"/>
        <v>Leanne</v>
      </c>
      <c r="E853" s="15" t="str">
        <f t="shared" si="289"/>
        <v>45 Maloney Boulevard</v>
      </c>
      <c r="F853" s="15" t="str">
        <f t="shared" si="290"/>
        <v>Avon Plains</v>
      </c>
      <c r="G853" s="15" t="str">
        <f t="shared" si="291"/>
        <v>VIC</v>
      </c>
      <c r="H853" s="15">
        <f t="shared" si="292"/>
        <v>3477</v>
      </c>
      <c r="I853" s="15">
        <f t="shared" si="303"/>
        <v>1565</v>
      </c>
      <c r="J853" s="15">
        <f>OrdersTable!B853</f>
        <v>652</v>
      </c>
      <c r="K853" s="15" t="str">
        <f t="shared" si="293"/>
        <v>Mugs</v>
      </c>
      <c r="L853" s="15" t="str">
        <f t="shared" si="294"/>
        <v>Doctor Who: Mug: Dalek 2D</v>
      </c>
      <c r="M853" s="15" t="str">
        <f t="shared" si="295"/>
        <v>-</v>
      </c>
      <c r="N853" s="15">
        <f t="shared" si="296"/>
        <v>0.35</v>
      </c>
      <c r="O853" s="15" t="str">
        <f t="shared" si="297"/>
        <v>A10</v>
      </c>
      <c r="P853" s="15" t="str">
        <f t="shared" si="298"/>
        <v>Gallifrey International</v>
      </c>
      <c r="Q853" s="15" t="str">
        <f t="shared" si="299"/>
        <v>181 Arcadia Street</v>
      </c>
      <c r="R853" s="3">
        <f>OrdersTable!C853</f>
        <v>44622</v>
      </c>
      <c r="S853" s="15">
        <f>OrdersTable!E853</f>
        <v>6</v>
      </c>
      <c r="T853" s="15">
        <f t="shared" si="300"/>
        <v>6.99</v>
      </c>
      <c r="U853" s="15">
        <f t="shared" si="301"/>
        <v>9.8800000000000008</v>
      </c>
      <c r="V853" s="15">
        <f t="shared" si="302"/>
        <v>11.32</v>
      </c>
      <c r="W853" s="15">
        <f>IF(MarkupType="Store Markup",ROUND(V853+V853*StoreMarkup,2),IF(MarkupType="Supplier Markup",V853+V853*SupplierMarkup,"Error at finding value"))</f>
        <v>17.829999999999998</v>
      </c>
      <c r="X853" s="32" t="str">
        <f t="shared" si="304"/>
        <v>0.00</v>
      </c>
      <c r="Y853" s="15">
        <f t="shared" si="305"/>
        <v>67.92</v>
      </c>
      <c r="Z853" s="15">
        <f t="shared" si="306"/>
        <v>106.98</v>
      </c>
      <c r="AA853" s="15">
        <f>IF(FreightType="Lethbridge-Stewart Freight ",ROUND(2.99+IF(N853&gt;0.75,(N853-0.75)*2.25,0)*S853,2),IF(MarkupType="Supplier Markup",V853+V853*SupplierMarkup,"Error at finding value"))</f>
        <v>2.99</v>
      </c>
      <c r="AB853" s="15">
        <f t="shared" si="307"/>
        <v>0</v>
      </c>
    </row>
    <row r="854" spans="1:28" x14ac:dyDescent="0.25">
      <c r="A854" s="16">
        <f>OrdersTable!A854</f>
        <v>254</v>
      </c>
      <c r="B854" s="15" t="str">
        <f t="shared" si="287"/>
        <v>Miss</v>
      </c>
      <c r="C854" s="15" t="str">
        <f t="shared" si="308"/>
        <v>Hoolihan</v>
      </c>
      <c r="D854" s="15" t="str">
        <f t="shared" si="288"/>
        <v>Crystal Claire Grace</v>
      </c>
      <c r="E854" s="15" t="str">
        <f t="shared" si="289"/>
        <v>7 Van Riet Avenue</v>
      </c>
      <c r="F854" s="15" t="str">
        <f t="shared" si="290"/>
        <v>Aberfoyle</v>
      </c>
      <c r="G854" s="15" t="str">
        <f t="shared" si="291"/>
        <v>NSW</v>
      </c>
      <c r="H854" s="15">
        <f t="shared" si="292"/>
        <v>2350</v>
      </c>
      <c r="I854" s="15">
        <f t="shared" si="303"/>
        <v>363</v>
      </c>
      <c r="J854" s="15">
        <f>OrdersTable!B854</f>
        <v>810</v>
      </c>
      <c r="K854" s="15" t="str">
        <f t="shared" si="293"/>
        <v>Statues and Busts</v>
      </c>
      <c r="L854" s="15" t="str">
        <f t="shared" si="294"/>
        <v>Doctor Who: Masterpiece Collection Maxi Bust: Amy Pond</v>
      </c>
      <c r="M854" s="15" t="str">
        <f t="shared" si="295"/>
        <v>-</v>
      </c>
      <c r="N854" s="15">
        <f t="shared" si="296"/>
        <v>2.5</v>
      </c>
      <c r="O854" s="15" t="str">
        <f t="shared" si="297"/>
        <v>A50</v>
      </c>
      <c r="P854" s="15" t="str">
        <f t="shared" si="298"/>
        <v>Rassilon Ltd.</v>
      </c>
      <c r="Q854" s="15" t="str">
        <f t="shared" si="299"/>
        <v>82 Richard Mathews Road</v>
      </c>
      <c r="R854" s="3">
        <f>OrdersTable!C854</f>
        <v>44622</v>
      </c>
      <c r="S854" s="15">
        <f>OrdersTable!E854</f>
        <v>1</v>
      </c>
      <c r="T854" s="15">
        <f t="shared" si="300"/>
        <v>49.99</v>
      </c>
      <c r="U854" s="15">
        <f t="shared" si="301"/>
        <v>68.260000000000005</v>
      </c>
      <c r="V854" s="15">
        <f t="shared" si="302"/>
        <v>80.98</v>
      </c>
      <c r="W854" s="15">
        <f>IF(MarkupType="Store Markup",ROUND(V854+V854*StoreMarkup,2),IF(MarkupType="Supplier Markup",V854+V854*SupplierMarkup,"Error at finding value"))</f>
        <v>127.54</v>
      </c>
      <c r="X854" s="32" t="str">
        <f t="shared" si="304"/>
        <v>0.00</v>
      </c>
      <c r="Y854" s="15">
        <f t="shared" si="305"/>
        <v>80.98</v>
      </c>
      <c r="Z854" s="15">
        <f t="shared" si="306"/>
        <v>127.54</v>
      </c>
      <c r="AA854" s="15">
        <f>IF(FreightType="Lethbridge-Stewart Freight ",ROUND(2.99+IF(N854&gt;0.75,(N854-0.75)*2.25,0)*S854,2),IF(MarkupType="Supplier Markup",V854+V854*SupplierMarkup,"Error at finding value"))</f>
        <v>6.93</v>
      </c>
      <c r="AB854" s="15">
        <f t="shared" si="307"/>
        <v>0</v>
      </c>
    </row>
    <row r="855" spans="1:28" x14ac:dyDescent="0.25">
      <c r="A855" s="16">
        <f>OrdersTable!A855</f>
        <v>323</v>
      </c>
      <c r="B855" s="15" t="str">
        <f t="shared" si="287"/>
        <v>Dr</v>
      </c>
      <c r="C855" s="15" t="str">
        <f t="shared" si="308"/>
        <v>King</v>
      </c>
      <c r="D855" s="15" t="str">
        <f t="shared" si="288"/>
        <v>Leith</v>
      </c>
      <c r="E855" s="15" t="str">
        <f t="shared" si="289"/>
        <v>25 Carbone Court</v>
      </c>
      <c r="F855" s="15" t="str">
        <f t="shared" si="290"/>
        <v>Nayook</v>
      </c>
      <c r="G855" s="15" t="str">
        <f t="shared" si="291"/>
        <v>VIC</v>
      </c>
      <c r="H855" s="15">
        <f t="shared" si="292"/>
        <v>3832</v>
      </c>
      <c r="I855" s="15">
        <f t="shared" si="303"/>
        <v>1552</v>
      </c>
      <c r="J855" s="15">
        <f>OrdersTable!B855</f>
        <v>667</v>
      </c>
      <c r="K855" s="15" t="str">
        <f t="shared" si="293"/>
        <v>Mugs</v>
      </c>
      <c r="L855" s="15" t="str">
        <f t="shared" si="294"/>
        <v>Doctor Who: Mug: Keep Calm And Don't Blink</v>
      </c>
      <c r="M855" s="15" t="str">
        <f t="shared" si="295"/>
        <v>-</v>
      </c>
      <c r="N855" s="15">
        <f t="shared" si="296"/>
        <v>0.35</v>
      </c>
      <c r="O855" s="15" t="str">
        <f t="shared" si="297"/>
        <v>A10</v>
      </c>
      <c r="P855" s="15" t="str">
        <f t="shared" si="298"/>
        <v>Gallifrey International</v>
      </c>
      <c r="Q855" s="15" t="str">
        <f t="shared" si="299"/>
        <v>181 Arcadia Street</v>
      </c>
      <c r="R855" s="3">
        <f>OrdersTable!C855</f>
        <v>44622</v>
      </c>
      <c r="S855" s="15">
        <f>OrdersTable!E855</f>
        <v>1</v>
      </c>
      <c r="T855" s="15">
        <f t="shared" si="300"/>
        <v>6.99</v>
      </c>
      <c r="U855" s="15">
        <f t="shared" si="301"/>
        <v>9.84</v>
      </c>
      <c r="V855" s="15">
        <f t="shared" si="302"/>
        <v>11.32</v>
      </c>
      <c r="W855" s="15">
        <f>IF(MarkupType="Store Markup",ROUND(V855+V855*StoreMarkup,2),IF(MarkupType="Supplier Markup",V855+V855*SupplierMarkup,"Error at finding value"))</f>
        <v>17.829999999999998</v>
      </c>
      <c r="X855" s="32" t="str">
        <f t="shared" si="304"/>
        <v>0.00</v>
      </c>
      <c r="Y855" s="15">
        <f t="shared" si="305"/>
        <v>11.32</v>
      </c>
      <c r="Z855" s="15">
        <f t="shared" si="306"/>
        <v>17.829999999999998</v>
      </c>
      <c r="AA855" s="15">
        <f>IF(FreightType="Lethbridge-Stewart Freight ",ROUND(2.99+IF(N855&gt;0.75,(N855-0.75)*2.25,0)*S855,2),IF(MarkupType="Supplier Markup",V855+V855*SupplierMarkup,"Error at finding value"))</f>
        <v>2.99</v>
      </c>
      <c r="AB855" s="15">
        <f t="shared" si="307"/>
        <v>0</v>
      </c>
    </row>
    <row r="856" spans="1:28" x14ac:dyDescent="0.25">
      <c r="A856" s="16">
        <f>OrdersTable!A856</f>
        <v>332</v>
      </c>
      <c r="B856" s="15" t="str">
        <f t="shared" si="287"/>
        <v>Mr</v>
      </c>
      <c r="C856" s="15" t="str">
        <f t="shared" si="308"/>
        <v>Selman</v>
      </c>
      <c r="D856" s="15" t="str">
        <f t="shared" si="288"/>
        <v>Jack Ryan</v>
      </c>
      <c r="E856" s="15" t="str">
        <f t="shared" si="289"/>
        <v>17 Van Essen Street</v>
      </c>
      <c r="F856" s="15" t="str">
        <f t="shared" si="290"/>
        <v>Airly</v>
      </c>
      <c r="G856" s="15" t="str">
        <f t="shared" si="291"/>
        <v>VIC</v>
      </c>
      <c r="H856" s="15">
        <f t="shared" si="292"/>
        <v>3851</v>
      </c>
      <c r="I856" s="15">
        <f t="shared" si="303"/>
        <v>1583</v>
      </c>
      <c r="J856" s="15">
        <f>OrdersTable!B856</f>
        <v>330</v>
      </c>
      <c r="K856" s="15" t="str">
        <f t="shared" si="293"/>
        <v>Clothing and Apparel</v>
      </c>
      <c r="L856" s="15" t="str">
        <f t="shared" si="294"/>
        <v xml:space="preserve">Doctor Who: T-Shirts: 4th Doctor Costume </v>
      </c>
      <c r="M856" s="15" t="str">
        <f t="shared" si="295"/>
        <v>M</v>
      </c>
      <c r="N856" s="15">
        <f t="shared" si="296"/>
        <v>0.8</v>
      </c>
      <c r="O856" s="15" t="str">
        <f t="shared" si="297"/>
        <v>A20</v>
      </c>
      <c r="P856" s="15" t="str">
        <f t="shared" si="298"/>
        <v>Morbius Inc.</v>
      </c>
      <c r="Q856" s="15" t="str">
        <f t="shared" si="299"/>
        <v>56 Michael Spice Hwy</v>
      </c>
      <c r="R856" s="3">
        <f>OrdersTable!C856</f>
        <v>44622</v>
      </c>
      <c r="S856" s="15">
        <f>OrdersTable!E856</f>
        <v>9</v>
      </c>
      <c r="T856" s="15">
        <f t="shared" si="300"/>
        <v>15.99</v>
      </c>
      <c r="U856" s="15">
        <f t="shared" si="301"/>
        <v>22.03</v>
      </c>
      <c r="V856" s="15">
        <f t="shared" si="302"/>
        <v>25.9</v>
      </c>
      <c r="W856" s="15">
        <f>IF(MarkupType="Store Markup",ROUND(V856+V856*StoreMarkup,2),IF(MarkupType="Supplier Markup",V856+V856*SupplierMarkup,"Error at finding value"))</f>
        <v>40.79</v>
      </c>
      <c r="X856" s="32" t="str">
        <f t="shared" si="304"/>
        <v>0.00</v>
      </c>
      <c r="Y856" s="15">
        <f t="shared" si="305"/>
        <v>233.1</v>
      </c>
      <c r="Z856" s="15">
        <f t="shared" si="306"/>
        <v>367.11</v>
      </c>
      <c r="AA856" s="15">
        <f>IF(FreightType="Lethbridge-Stewart Freight ",ROUND(2.99+IF(N856&gt;0.75,(N856-0.75)*2.25,0)*S856,2),IF(MarkupType="Supplier Markup",V856+V856*SupplierMarkup,"Error at finding value"))</f>
        <v>4</v>
      </c>
      <c r="AB856" s="15">
        <f t="shared" si="307"/>
        <v>0</v>
      </c>
    </row>
    <row r="857" spans="1:28" x14ac:dyDescent="0.25">
      <c r="A857" s="16">
        <f>OrdersTable!A857</f>
        <v>360</v>
      </c>
      <c r="B857" s="15" t="str">
        <f t="shared" si="287"/>
        <v>Ms</v>
      </c>
      <c r="C857" s="15" t="str">
        <f t="shared" si="308"/>
        <v>Bobonica</v>
      </c>
      <c r="D857" s="15" t="str">
        <f t="shared" si="288"/>
        <v>Claudia</v>
      </c>
      <c r="E857" s="15" t="str">
        <f t="shared" si="289"/>
        <v>47 Klein Way</v>
      </c>
      <c r="F857" s="15" t="str">
        <f t="shared" si="290"/>
        <v>Avon Plains</v>
      </c>
      <c r="G857" s="15" t="str">
        <f t="shared" si="291"/>
        <v>VIC</v>
      </c>
      <c r="H857" s="15">
        <f t="shared" si="292"/>
        <v>3477</v>
      </c>
      <c r="I857" s="15">
        <f t="shared" si="303"/>
        <v>1565</v>
      </c>
      <c r="J857" s="15">
        <f>OrdersTable!B857</f>
        <v>673</v>
      </c>
      <c r="K857" s="15" t="str">
        <f t="shared" si="293"/>
        <v>Mugs</v>
      </c>
      <c r="L857" s="15" t="str">
        <f t="shared" si="294"/>
        <v>Doctor Who: Mug: TARDIS With Lid</v>
      </c>
      <c r="M857" s="15" t="str">
        <f t="shared" si="295"/>
        <v>-</v>
      </c>
      <c r="N857" s="15">
        <f t="shared" si="296"/>
        <v>0.58499999999999996</v>
      </c>
      <c r="O857" s="15" t="str">
        <f t="shared" si="297"/>
        <v>A10</v>
      </c>
      <c r="P857" s="15" t="str">
        <f t="shared" si="298"/>
        <v>Gallifrey International</v>
      </c>
      <c r="Q857" s="15" t="str">
        <f t="shared" si="299"/>
        <v>181 Arcadia Street</v>
      </c>
      <c r="R857" s="3">
        <f>OrdersTable!C857</f>
        <v>44622</v>
      </c>
      <c r="S857" s="15">
        <f>OrdersTable!E857</f>
        <v>7</v>
      </c>
      <c r="T857" s="15">
        <f t="shared" si="300"/>
        <v>11.69</v>
      </c>
      <c r="U857" s="15">
        <f t="shared" si="301"/>
        <v>16.190000000000001</v>
      </c>
      <c r="V857" s="15">
        <f t="shared" si="302"/>
        <v>18.940000000000001</v>
      </c>
      <c r="W857" s="15">
        <f>IF(MarkupType="Store Markup",ROUND(V857+V857*StoreMarkup,2),IF(MarkupType="Supplier Markup",V857+V857*SupplierMarkup,"Error at finding value"))</f>
        <v>29.83</v>
      </c>
      <c r="X857" s="32" t="str">
        <f t="shared" si="304"/>
        <v>0.00</v>
      </c>
      <c r="Y857" s="15">
        <f t="shared" si="305"/>
        <v>132.58000000000001</v>
      </c>
      <c r="Z857" s="15">
        <f t="shared" si="306"/>
        <v>208.81</v>
      </c>
      <c r="AA857" s="15">
        <f>IF(FreightType="Lethbridge-Stewart Freight ",ROUND(2.99+IF(N857&gt;0.75,(N857-0.75)*2.25,0)*S857,2),IF(MarkupType="Supplier Markup",V857+V857*SupplierMarkup,"Error at finding value"))</f>
        <v>2.99</v>
      </c>
      <c r="AB857" s="15">
        <f t="shared" si="307"/>
        <v>0</v>
      </c>
    </row>
    <row r="858" spans="1:28" x14ac:dyDescent="0.25">
      <c r="A858" s="16">
        <f>OrdersTable!A858</f>
        <v>489</v>
      </c>
      <c r="B858" s="15" t="str">
        <f t="shared" si="287"/>
        <v>Mr</v>
      </c>
      <c r="C858" s="15" t="str">
        <f t="shared" si="308"/>
        <v>Edwards</v>
      </c>
      <c r="D858" s="15" t="str">
        <f t="shared" si="288"/>
        <v>Luke Russell</v>
      </c>
      <c r="E858" s="15" t="str">
        <f t="shared" si="289"/>
        <v>43 Valusaga Court</v>
      </c>
      <c r="F858" s="15" t="str">
        <f t="shared" si="290"/>
        <v>Alfredtown</v>
      </c>
      <c r="G858" s="15" t="str">
        <f t="shared" si="291"/>
        <v>NSW</v>
      </c>
      <c r="H858" s="15">
        <f t="shared" si="292"/>
        <v>2650</v>
      </c>
      <c r="I858" s="15">
        <f t="shared" si="303"/>
        <v>1124</v>
      </c>
      <c r="J858" s="15">
        <f>OrdersTable!B858</f>
        <v>852</v>
      </c>
      <c r="K858" s="15" t="str">
        <f t="shared" si="293"/>
        <v>Statues and Busts</v>
      </c>
      <c r="L858" s="15" t="str">
        <f t="shared" si="294"/>
        <v>Doctor Who: Statue: Revenge Of The Cybermen Cyberleader</v>
      </c>
      <c r="M858" s="15" t="str">
        <f t="shared" si="295"/>
        <v>-</v>
      </c>
      <c r="N858" s="15">
        <f t="shared" si="296"/>
        <v>5.4</v>
      </c>
      <c r="O858" s="15" t="str">
        <f t="shared" si="297"/>
        <v>A50</v>
      </c>
      <c r="P858" s="15" t="str">
        <f t="shared" si="298"/>
        <v>Rassilon Ltd.</v>
      </c>
      <c r="Q858" s="15" t="str">
        <f t="shared" si="299"/>
        <v>82 Richard Mathews Road</v>
      </c>
      <c r="R858" s="3">
        <f>OrdersTable!C858</f>
        <v>44622</v>
      </c>
      <c r="S858" s="15">
        <f>OrdersTable!E858</f>
        <v>4</v>
      </c>
      <c r="T858" s="15">
        <f t="shared" si="300"/>
        <v>108</v>
      </c>
      <c r="U858" s="15">
        <f t="shared" si="301"/>
        <v>147.29</v>
      </c>
      <c r="V858" s="15">
        <f t="shared" si="302"/>
        <v>174.96</v>
      </c>
      <c r="W858" s="15">
        <f>IF(MarkupType="Store Markup",ROUND(V858+V858*StoreMarkup,2),IF(MarkupType="Supplier Markup",V858+V858*SupplierMarkup,"Error at finding value"))</f>
        <v>275.56</v>
      </c>
      <c r="X858" s="32">
        <f t="shared" si="304"/>
        <v>19.63</v>
      </c>
      <c r="Y858" s="15">
        <f t="shared" si="305"/>
        <v>699.84</v>
      </c>
      <c r="Z858" s="15">
        <f t="shared" si="306"/>
        <v>1023.72</v>
      </c>
      <c r="AA858" s="15">
        <f>IF(FreightType="Lethbridge-Stewart Freight ",ROUND(2.99+IF(N858&gt;0.75,(N858-0.75)*2.25,0)*S858,2),IF(MarkupType="Supplier Markup",V858+V858*SupplierMarkup,"Error at finding value"))</f>
        <v>44.84</v>
      </c>
      <c r="AB858" s="15">
        <f t="shared" si="307"/>
        <v>78.52</v>
      </c>
    </row>
    <row r="859" spans="1:28" x14ac:dyDescent="0.25">
      <c r="A859" s="16">
        <f>OrdersTable!A859</f>
        <v>515</v>
      </c>
      <c r="B859" s="15" t="str">
        <f t="shared" si="287"/>
        <v>Mr</v>
      </c>
      <c r="C859" s="15" t="str">
        <f t="shared" si="308"/>
        <v>Noffke</v>
      </c>
      <c r="D859" s="15" t="str">
        <f t="shared" si="288"/>
        <v>William Thomas</v>
      </c>
      <c r="E859" s="15" t="str">
        <f t="shared" si="289"/>
        <v>20 Tyler Drive</v>
      </c>
      <c r="F859" s="15" t="str">
        <f t="shared" si="290"/>
        <v>Areegra</v>
      </c>
      <c r="G859" s="15" t="str">
        <f t="shared" si="291"/>
        <v>VIC</v>
      </c>
      <c r="H859" s="15">
        <f t="shared" si="292"/>
        <v>3480</v>
      </c>
      <c r="I859" s="15">
        <f t="shared" si="303"/>
        <v>1559</v>
      </c>
      <c r="J859" s="15">
        <f>OrdersTable!B859</f>
        <v>726</v>
      </c>
      <c r="K859" s="15" t="str">
        <f t="shared" si="293"/>
        <v>Props and Replicas</v>
      </c>
      <c r="L859" s="15" t="str">
        <f t="shared" si="294"/>
        <v>Doctor Who: Dalek Death Ray</v>
      </c>
      <c r="M859" s="15" t="str">
        <f t="shared" si="295"/>
        <v>-</v>
      </c>
      <c r="N859" s="15">
        <f t="shared" si="296"/>
        <v>18</v>
      </c>
      <c r="O859" s="15" t="str">
        <f t="shared" si="297"/>
        <v>A30</v>
      </c>
      <c r="P859" s="15" t="str">
        <f t="shared" si="298"/>
        <v>Chesterton Enterprises</v>
      </c>
      <c r="Q859" s="15" t="str">
        <f t="shared" si="299"/>
        <v>41 William Russell Road</v>
      </c>
      <c r="R859" s="3">
        <f>OrdersTable!C859</f>
        <v>44622</v>
      </c>
      <c r="S859" s="15">
        <f>OrdersTable!E859</f>
        <v>9</v>
      </c>
      <c r="T859" s="15">
        <f t="shared" si="300"/>
        <v>359.99</v>
      </c>
      <c r="U859" s="15">
        <f t="shared" si="301"/>
        <v>491.12</v>
      </c>
      <c r="V859" s="15">
        <f t="shared" si="302"/>
        <v>583.17999999999995</v>
      </c>
      <c r="W859" s="15">
        <f>IF(MarkupType="Store Markup",ROUND(V859+V859*StoreMarkup,2),IF(MarkupType="Supplier Markup",V859+V859*SupplierMarkup,"Error at finding value"))</f>
        <v>918.51</v>
      </c>
      <c r="X859" s="32">
        <f t="shared" si="304"/>
        <v>65.44</v>
      </c>
      <c r="Y859" s="15">
        <f t="shared" si="305"/>
        <v>5248.62</v>
      </c>
      <c r="Z859" s="15">
        <f t="shared" si="306"/>
        <v>7677.63</v>
      </c>
      <c r="AA859" s="15">
        <f>IF(FreightType="Lethbridge-Stewart Freight ",ROUND(2.99+IF(N859&gt;0.75,(N859-0.75)*2.25,0)*S859,2),IF(MarkupType="Supplier Markup",V859+V859*SupplierMarkup,"Error at finding value"))</f>
        <v>352.3</v>
      </c>
      <c r="AB859" s="15">
        <f t="shared" si="307"/>
        <v>588.96</v>
      </c>
    </row>
    <row r="860" spans="1:28" x14ac:dyDescent="0.25">
      <c r="A860" s="16">
        <f>OrdersTable!A860</f>
        <v>531</v>
      </c>
      <c r="B860" s="15" t="str">
        <f t="shared" si="287"/>
        <v>Ms</v>
      </c>
      <c r="C860" s="15" t="str">
        <f t="shared" si="308"/>
        <v>Stanton</v>
      </c>
      <c r="D860" s="15" t="str">
        <f t="shared" si="288"/>
        <v>Sharaze</v>
      </c>
      <c r="E860" s="15" t="str">
        <f t="shared" si="289"/>
        <v>1 Siddons Crescent</v>
      </c>
      <c r="F860" s="15" t="str">
        <f t="shared" si="290"/>
        <v>Alfredtown</v>
      </c>
      <c r="G860" s="15" t="str">
        <f t="shared" si="291"/>
        <v>NSW</v>
      </c>
      <c r="H860" s="15">
        <f t="shared" si="292"/>
        <v>2650</v>
      </c>
      <c r="I860" s="15">
        <f t="shared" si="303"/>
        <v>1124</v>
      </c>
      <c r="J860" s="15">
        <f>OrdersTable!B860</f>
        <v>398</v>
      </c>
      <c r="K860" s="15" t="str">
        <f t="shared" si="293"/>
        <v>Clothing and Apparel</v>
      </c>
      <c r="L860" s="15" t="str">
        <f t="shared" si="294"/>
        <v>Doctor Who: Women's Winter Pyjamas</v>
      </c>
      <c r="M860" s="15" t="str">
        <f t="shared" si="295"/>
        <v>S</v>
      </c>
      <c r="N860" s="15">
        <f t="shared" si="296"/>
        <v>1.5</v>
      </c>
      <c r="O860" s="15" t="str">
        <f t="shared" si="297"/>
        <v>A40</v>
      </c>
      <c r="P860" s="15" t="str">
        <f t="shared" si="298"/>
        <v>Romana Imports</v>
      </c>
      <c r="Q860" s="15" t="str">
        <f t="shared" si="299"/>
        <v>17 Lalla Ward Road</v>
      </c>
      <c r="R860" s="3">
        <f>OrdersTable!C860</f>
        <v>44622</v>
      </c>
      <c r="S860" s="15">
        <f>OrdersTable!E860</f>
        <v>7</v>
      </c>
      <c r="T860" s="15">
        <f t="shared" si="300"/>
        <v>29.99</v>
      </c>
      <c r="U860" s="15">
        <f t="shared" si="301"/>
        <v>41.07</v>
      </c>
      <c r="V860" s="15">
        <f t="shared" si="302"/>
        <v>48.58</v>
      </c>
      <c r="W860" s="15">
        <f>IF(MarkupType="Store Markup",ROUND(V860+V860*StoreMarkup,2),IF(MarkupType="Supplier Markup",V860+V860*SupplierMarkup,"Error at finding value"))</f>
        <v>76.510000000000005</v>
      </c>
      <c r="X860" s="32" t="str">
        <f t="shared" si="304"/>
        <v>0.00</v>
      </c>
      <c r="Y860" s="15">
        <f t="shared" si="305"/>
        <v>340.06</v>
      </c>
      <c r="Z860" s="15">
        <f t="shared" si="306"/>
        <v>535.57000000000005</v>
      </c>
      <c r="AA860" s="15">
        <f>IF(FreightType="Lethbridge-Stewart Freight ",ROUND(2.99+IF(N860&gt;0.75,(N860-0.75)*2.25,0)*S860,2),IF(MarkupType="Supplier Markup",V860+V860*SupplierMarkup,"Error at finding value"))</f>
        <v>14.8</v>
      </c>
      <c r="AB860" s="15">
        <f t="shared" si="307"/>
        <v>0</v>
      </c>
    </row>
    <row r="861" spans="1:28" x14ac:dyDescent="0.25">
      <c r="A861" s="16">
        <f>OrdersTable!A861</f>
        <v>557</v>
      </c>
      <c r="B861" s="15" t="str">
        <f t="shared" si="287"/>
        <v>Mrs</v>
      </c>
      <c r="C861" s="15" t="str">
        <f t="shared" si="308"/>
        <v>Allen</v>
      </c>
      <c r="D861" s="15" t="str">
        <f t="shared" si="288"/>
        <v>Morgan</v>
      </c>
      <c r="E861" s="15" t="str">
        <f t="shared" si="289"/>
        <v>15 Winsor Street</v>
      </c>
      <c r="F861" s="15" t="str">
        <f t="shared" si="290"/>
        <v>Appletree Flat</v>
      </c>
      <c r="G861" s="15" t="str">
        <f t="shared" si="291"/>
        <v>NSW</v>
      </c>
      <c r="H861" s="15">
        <f t="shared" si="292"/>
        <v>2330</v>
      </c>
      <c r="I861" s="15">
        <f t="shared" si="303"/>
        <v>691</v>
      </c>
      <c r="J861" s="15">
        <f>OrdersTable!B861</f>
        <v>840</v>
      </c>
      <c r="K861" s="15" t="str">
        <f t="shared" si="293"/>
        <v>Statues and Busts</v>
      </c>
      <c r="L861" s="15" t="str">
        <f t="shared" si="294"/>
        <v>Doctor Who: Signature Edition Statue: Gallifrey Edition: Patrick Troughton</v>
      </c>
      <c r="M861" s="15" t="str">
        <f t="shared" si="295"/>
        <v>-</v>
      </c>
      <c r="N861" s="15">
        <f t="shared" si="296"/>
        <v>2.5</v>
      </c>
      <c r="O861" s="15" t="str">
        <f t="shared" si="297"/>
        <v>A40</v>
      </c>
      <c r="P861" s="15" t="str">
        <f t="shared" si="298"/>
        <v>Romana Imports</v>
      </c>
      <c r="Q861" s="15" t="str">
        <f t="shared" si="299"/>
        <v>17 Lalla Ward Road</v>
      </c>
      <c r="R861" s="3">
        <f>OrdersTable!C861</f>
        <v>44622</v>
      </c>
      <c r="S861" s="15">
        <f>OrdersTable!E861</f>
        <v>6</v>
      </c>
      <c r="T861" s="15">
        <f t="shared" si="300"/>
        <v>49.99</v>
      </c>
      <c r="U861" s="15">
        <f t="shared" si="301"/>
        <v>68.510000000000005</v>
      </c>
      <c r="V861" s="15">
        <f t="shared" si="302"/>
        <v>80.98</v>
      </c>
      <c r="W861" s="15">
        <f>IF(MarkupType="Store Markup",ROUND(V861+V861*StoreMarkup,2),IF(MarkupType="Supplier Markup",V861+V861*SupplierMarkup,"Error at finding value"))</f>
        <v>127.54</v>
      </c>
      <c r="X861" s="32">
        <f t="shared" si="304"/>
        <v>9.09</v>
      </c>
      <c r="Y861" s="15">
        <f t="shared" si="305"/>
        <v>485.88</v>
      </c>
      <c r="Z861" s="15">
        <f t="shared" si="306"/>
        <v>710.7</v>
      </c>
      <c r="AA861" s="15">
        <f>IF(FreightType="Lethbridge-Stewart Freight ",ROUND(2.99+IF(N861&gt;0.75,(N861-0.75)*2.25,0)*S861,2),IF(MarkupType="Supplier Markup",V861+V861*SupplierMarkup,"Error at finding value"))</f>
        <v>26.62</v>
      </c>
      <c r="AB861" s="15">
        <f t="shared" si="307"/>
        <v>54.54</v>
      </c>
    </row>
    <row r="862" spans="1:28" x14ac:dyDescent="0.25">
      <c r="A862" s="16">
        <f>OrdersTable!A862</f>
        <v>600</v>
      </c>
      <c r="B862" s="15" t="str">
        <f t="shared" si="287"/>
        <v>Dr</v>
      </c>
      <c r="C862" s="15" t="str">
        <f t="shared" si="308"/>
        <v>McConnell</v>
      </c>
      <c r="D862" s="15" t="str">
        <f t="shared" si="288"/>
        <v>Hannah Clair</v>
      </c>
      <c r="E862" s="15" t="str">
        <f t="shared" si="289"/>
        <v>27 Mccarthy Circuit</v>
      </c>
      <c r="F862" s="15" t="str">
        <f t="shared" si="290"/>
        <v>Ashford</v>
      </c>
      <c r="G862" s="15" t="str">
        <f t="shared" si="291"/>
        <v>SA</v>
      </c>
      <c r="H862" s="15">
        <f t="shared" si="292"/>
        <v>5035</v>
      </c>
      <c r="I862" s="15">
        <f t="shared" si="303"/>
        <v>1877</v>
      </c>
      <c r="J862" s="15">
        <f>OrdersTable!B862</f>
        <v>213</v>
      </c>
      <c r="K862" s="15" t="str">
        <f t="shared" si="293"/>
        <v>Clothing and Apparel</v>
      </c>
      <c r="L862" s="15" t="str">
        <f t="shared" si="294"/>
        <v>Doctor Who: Fez and Bow Tie</v>
      </c>
      <c r="M862" s="15" t="str">
        <f t="shared" si="295"/>
        <v>-</v>
      </c>
      <c r="N862" s="15">
        <f t="shared" si="296"/>
        <v>0.97499999999999998</v>
      </c>
      <c r="O862" s="15" t="str">
        <f t="shared" si="297"/>
        <v>A50</v>
      </c>
      <c r="P862" s="15" t="str">
        <f t="shared" si="298"/>
        <v>Rassilon Ltd.</v>
      </c>
      <c r="Q862" s="15" t="str">
        <f t="shared" si="299"/>
        <v>82 Richard Mathews Road</v>
      </c>
      <c r="R862" s="3">
        <f>OrdersTable!C862</f>
        <v>44622</v>
      </c>
      <c r="S862" s="15">
        <f>OrdersTable!E862</f>
        <v>8</v>
      </c>
      <c r="T862" s="15">
        <f t="shared" si="300"/>
        <v>19.5</v>
      </c>
      <c r="U862" s="15">
        <f t="shared" si="301"/>
        <v>26.88</v>
      </c>
      <c r="V862" s="15">
        <f t="shared" si="302"/>
        <v>31.59</v>
      </c>
      <c r="W862" s="15">
        <f>IF(MarkupType="Store Markup",ROUND(V862+V862*StoreMarkup,2),IF(MarkupType="Supplier Markup",V862+V862*SupplierMarkup,"Error at finding value"))</f>
        <v>49.75</v>
      </c>
      <c r="X862" s="32" t="str">
        <f t="shared" si="304"/>
        <v>0.00</v>
      </c>
      <c r="Y862" s="15">
        <f t="shared" si="305"/>
        <v>252.72</v>
      </c>
      <c r="Z862" s="15">
        <f t="shared" si="306"/>
        <v>398</v>
      </c>
      <c r="AA862" s="15">
        <f>IF(FreightType="Lethbridge-Stewart Freight ",ROUND(2.99+IF(N862&gt;0.75,(N862-0.75)*2.25,0)*S862,2),IF(MarkupType="Supplier Markup",V862+V862*SupplierMarkup,"Error at finding value"))</f>
        <v>7.04</v>
      </c>
      <c r="AB862" s="15">
        <f t="shared" si="307"/>
        <v>0</v>
      </c>
    </row>
    <row r="863" spans="1:28" x14ac:dyDescent="0.25">
      <c r="A863" s="16">
        <f>OrdersTable!A863</f>
        <v>802</v>
      </c>
      <c r="B863" s="15" t="str">
        <f t="shared" si="287"/>
        <v>Mr</v>
      </c>
      <c r="C863" s="15" t="str">
        <f t="shared" si="308"/>
        <v>Carlton</v>
      </c>
      <c r="D863" s="15" t="str">
        <f t="shared" si="288"/>
        <v>Lawrence</v>
      </c>
      <c r="E863" s="15" t="str">
        <f t="shared" si="289"/>
        <v>39 Walsh Way</v>
      </c>
      <c r="F863" s="15" t="str">
        <f t="shared" si="290"/>
        <v>Breakwater</v>
      </c>
      <c r="G863" s="15" t="str">
        <f t="shared" si="291"/>
        <v>VIC</v>
      </c>
      <c r="H863" s="15">
        <f t="shared" si="292"/>
        <v>3219</v>
      </c>
      <c r="I863" s="15">
        <f t="shared" si="303"/>
        <v>1596</v>
      </c>
      <c r="J863" s="15">
        <f>OrdersTable!B863</f>
        <v>849</v>
      </c>
      <c r="K863" s="15" t="str">
        <f t="shared" si="293"/>
        <v>Statues and Busts</v>
      </c>
      <c r="L863" s="15" t="str">
        <f t="shared" si="294"/>
        <v>Doctor Who: Statue: Cyber Controller</v>
      </c>
      <c r="M863" s="15" t="str">
        <f t="shared" si="295"/>
        <v>-</v>
      </c>
      <c r="N863" s="15">
        <f t="shared" si="296"/>
        <v>5</v>
      </c>
      <c r="O863" s="15" t="str">
        <f t="shared" si="297"/>
        <v>A10</v>
      </c>
      <c r="P863" s="15" t="str">
        <f t="shared" si="298"/>
        <v>Gallifrey International</v>
      </c>
      <c r="Q863" s="15" t="str">
        <f t="shared" si="299"/>
        <v>181 Arcadia Street</v>
      </c>
      <c r="R863" s="3">
        <f>OrdersTable!C863</f>
        <v>44622</v>
      </c>
      <c r="S863" s="15">
        <f>OrdersTable!E863</f>
        <v>9</v>
      </c>
      <c r="T863" s="15">
        <f t="shared" si="300"/>
        <v>99.99</v>
      </c>
      <c r="U863" s="15">
        <f t="shared" si="301"/>
        <v>136.41</v>
      </c>
      <c r="V863" s="15">
        <f t="shared" si="302"/>
        <v>161.97999999999999</v>
      </c>
      <c r="W863" s="15">
        <f>IF(MarkupType="Store Markup",ROUND(V863+V863*StoreMarkup,2),IF(MarkupType="Supplier Markup",V863+V863*SupplierMarkup,"Error at finding value"))</f>
        <v>255.12</v>
      </c>
      <c r="X863" s="32">
        <f t="shared" si="304"/>
        <v>18.18</v>
      </c>
      <c r="Y863" s="15">
        <f t="shared" si="305"/>
        <v>1457.82</v>
      </c>
      <c r="Z863" s="15">
        <f t="shared" si="306"/>
        <v>2132.46</v>
      </c>
      <c r="AA863" s="15">
        <f>IF(FreightType="Lethbridge-Stewart Freight ",ROUND(2.99+IF(N863&gt;0.75,(N863-0.75)*2.25,0)*S863,2),IF(MarkupType="Supplier Markup",V863+V863*SupplierMarkup,"Error at finding value"))</f>
        <v>89.05</v>
      </c>
      <c r="AB863" s="15">
        <f t="shared" si="307"/>
        <v>163.62</v>
      </c>
    </row>
    <row r="864" spans="1:28" x14ac:dyDescent="0.25">
      <c r="A864" s="16">
        <f>OrdersTable!A864</f>
        <v>849</v>
      </c>
      <c r="B864" s="15" t="str">
        <f t="shared" si="287"/>
        <v>Dr</v>
      </c>
      <c r="C864" s="15" t="str">
        <f t="shared" si="308"/>
        <v>Blair</v>
      </c>
      <c r="D864" s="15" t="str">
        <f t="shared" si="288"/>
        <v>Taylor Ashleigh</v>
      </c>
      <c r="E864" s="15" t="str">
        <f t="shared" si="289"/>
        <v>42 Ward Avenue</v>
      </c>
      <c r="F864" s="15" t="str">
        <f t="shared" si="290"/>
        <v>Airly</v>
      </c>
      <c r="G864" s="15" t="str">
        <f t="shared" si="291"/>
        <v>VIC</v>
      </c>
      <c r="H864" s="15">
        <f t="shared" si="292"/>
        <v>3851</v>
      </c>
      <c r="I864" s="15">
        <f t="shared" si="303"/>
        <v>1583</v>
      </c>
      <c r="J864" s="15">
        <f>OrdersTable!B864</f>
        <v>711</v>
      </c>
      <c r="K864" s="15" t="str">
        <f t="shared" si="293"/>
        <v>Posters, Prints and Standees</v>
      </c>
      <c r="L864" s="15" t="str">
        <f t="shared" si="294"/>
        <v>Doctor Who: Poster: TARDIS Door Poster</v>
      </c>
      <c r="M864" s="15" t="str">
        <f t="shared" si="295"/>
        <v>-</v>
      </c>
      <c r="N864" s="15">
        <f t="shared" si="296"/>
        <v>0.3</v>
      </c>
      <c r="O864" s="15" t="str">
        <f t="shared" si="297"/>
        <v>A20</v>
      </c>
      <c r="P864" s="15" t="str">
        <f t="shared" si="298"/>
        <v>Morbius Inc.</v>
      </c>
      <c r="Q864" s="15" t="str">
        <f t="shared" si="299"/>
        <v>56 Michael Spice Hwy</v>
      </c>
      <c r="R864" s="3">
        <f>OrdersTable!C864</f>
        <v>44622</v>
      </c>
      <c r="S864" s="15">
        <f>OrdersTable!E864</f>
        <v>2</v>
      </c>
      <c r="T864" s="15">
        <f t="shared" si="300"/>
        <v>5.99</v>
      </c>
      <c r="U864" s="15">
        <f t="shared" si="301"/>
        <v>8.41</v>
      </c>
      <c r="V864" s="15">
        <f t="shared" si="302"/>
        <v>9.6999999999999993</v>
      </c>
      <c r="W864" s="15">
        <f>IF(MarkupType="Store Markup",ROUND(V864+V864*StoreMarkup,2),IF(MarkupType="Supplier Markup",V864+V864*SupplierMarkup,"Error at finding value"))</f>
        <v>15.28</v>
      </c>
      <c r="X864" s="32" t="str">
        <f t="shared" si="304"/>
        <v>0.00</v>
      </c>
      <c r="Y864" s="15">
        <f t="shared" si="305"/>
        <v>19.399999999999999</v>
      </c>
      <c r="Z864" s="15">
        <f t="shared" si="306"/>
        <v>30.56</v>
      </c>
      <c r="AA864" s="15">
        <f>IF(FreightType="Lethbridge-Stewart Freight ",ROUND(2.99+IF(N864&gt;0.75,(N864-0.75)*2.25,0)*S864,2),IF(MarkupType="Supplier Markup",V864+V864*SupplierMarkup,"Error at finding value"))</f>
        <v>2.99</v>
      </c>
      <c r="AB864" s="15">
        <f t="shared" si="307"/>
        <v>0</v>
      </c>
    </row>
    <row r="865" spans="1:28" x14ac:dyDescent="0.25">
      <c r="A865" s="16">
        <f>OrdersTable!A865</f>
        <v>180</v>
      </c>
      <c r="B865" s="15" t="str">
        <f t="shared" si="287"/>
        <v>Mrs</v>
      </c>
      <c r="C865" s="15" t="str">
        <f t="shared" si="308"/>
        <v>Feeney</v>
      </c>
      <c r="D865" s="15" t="str">
        <f t="shared" si="288"/>
        <v>Jennifer Ruth</v>
      </c>
      <c r="E865" s="15" t="str">
        <f t="shared" si="289"/>
        <v>18 Cook Avenue</v>
      </c>
      <c r="F865" s="15" t="str">
        <f t="shared" si="290"/>
        <v>Nayook</v>
      </c>
      <c r="G865" s="15" t="str">
        <f t="shared" si="291"/>
        <v>VIC</v>
      </c>
      <c r="H865" s="15">
        <f t="shared" si="292"/>
        <v>3832</v>
      </c>
      <c r="I865" s="15">
        <f t="shared" si="303"/>
        <v>1552</v>
      </c>
      <c r="J865" s="15">
        <f>OrdersTable!B865</f>
        <v>840</v>
      </c>
      <c r="K865" s="15" t="str">
        <f t="shared" si="293"/>
        <v>Statues and Busts</v>
      </c>
      <c r="L865" s="15" t="str">
        <f t="shared" si="294"/>
        <v>Doctor Who: Signature Edition Statue: Gallifrey Edition: Patrick Troughton</v>
      </c>
      <c r="M865" s="15" t="str">
        <f t="shared" si="295"/>
        <v>-</v>
      </c>
      <c r="N865" s="15">
        <f t="shared" si="296"/>
        <v>2.5</v>
      </c>
      <c r="O865" s="15" t="str">
        <f t="shared" si="297"/>
        <v>A40</v>
      </c>
      <c r="P865" s="15" t="str">
        <f t="shared" si="298"/>
        <v>Romana Imports</v>
      </c>
      <c r="Q865" s="15" t="str">
        <f t="shared" si="299"/>
        <v>17 Lalla Ward Road</v>
      </c>
      <c r="R865" s="3">
        <f>OrdersTable!C865</f>
        <v>44623</v>
      </c>
      <c r="S865" s="15">
        <f>OrdersTable!E865</f>
        <v>8</v>
      </c>
      <c r="T865" s="15">
        <f t="shared" si="300"/>
        <v>49.99</v>
      </c>
      <c r="U865" s="15">
        <f t="shared" si="301"/>
        <v>68.510000000000005</v>
      </c>
      <c r="V865" s="15">
        <f t="shared" si="302"/>
        <v>80.98</v>
      </c>
      <c r="W865" s="15">
        <f>IF(MarkupType="Store Markup",ROUND(V865+V865*StoreMarkup,2),IF(MarkupType="Supplier Markup",V865+V865*SupplierMarkup,"Error at finding value"))</f>
        <v>127.54</v>
      </c>
      <c r="X865" s="32">
        <f t="shared" si="304"/>
        <v>9.09</v>
      </c>
      <c r="Y865" s="15">
        <f t="shared" si="305"/>
        <v>647.84</v>
      </c>
      <c r="Z865" s="15">
        <f t="shared" si="306"/>
        <v>947.6</v>
      </c>
      <c r="AA865" s="15">
        <f>IF(FreightType="Lethbridge-Stewart Freight ",ROUND(2.99+IF(N865&gt;0.75,(N865-0.75)*2.25,0)*S865,2),IF(MarkupType="Supplier Markup",V865+V865*SupplierMarkup,"Error at finding value"))</f>
        <v>34.49</v>
      </c>
      <c r="AB865" s="15">
        <f t="shared" si="307"/>
        <v>72.72</v>
      </c>
    </row>
    <row r="866" spans="1:28" x14ac:dyDescent="0.25">
      <c r="A866" s="16">
        <f>OrdersTable!A866</f>
        <v>224</v>
      </c>
      <c r="B866" s="15" t="str">
        <f t="shared" si="287"/>
        <v>Miss</v>
      </c>
      <c r="C866" s="15" t="str">
        <f t="shared" si="308"/>
        <v>Baruwal</v>
      </c>
      <c r="D866" s="15" t="str">
        <f t="shared" si="288"/>
        <v>Pratikshya</v>
      </c>
      <c r="E866" s="15" t="str">
        <f t="shared" si="289"/>
        <v>43 Gilloway Street</v>
      </c>
      <c r="F866" s="15" t="str">
        <f t="shared" si="290"/>
        <v>Iluka</v>
      </c>
      <c r="G866" s="15" t="str">
        <f t="shared" si="291"/>
        <v>NSW</v>
      </c>
      <c r="H866" s="15">
        <f t="shared" si="292"/>
        <v>2466</v>
      </c>
      <c r="I866" s="15">
        <f t="shared" si="303"/>
        <v>347</v>
      </c>
      <c r="J866" s="15">
        <f>OrdersTable!B866</f>
        <v>812</v>
      </c>
      <c r="K866" s="15" t="str">
        <f t="shared" si="293"/>
        <v>Statues and Busts</v>
      </c>
      <c r="L866" s="15" t="str">
        <f t="shared" si="294"/>
        <v>Doctor Who: Masterpiece Collection Maxi Bust: Dalek: Day Of The Daleks</v>
      </c>
      <c r="M866" s="15" t="str">
        <f t="shared" si="295"/>
        <v>-</v>
      </c>
      <c r="N866" s="15">
        <f t="shared" si="296"/>
        <v>2.5</v>
      </c>
      <c r="O866" s="15" t="str">
        <f t="shared" si="297"/>
        <v>A20</v>
      </c>
      <c r="P866" s="15" t="str">
        <f t="shared" si="298"/>
        <v>Morbius Inc.</v>
      </c>
      <c r="Q866" s="15" t="str">
        <f t="shared" si="299"/>
        <v>56 Michael Spice Hwy</v>
      </c>
      <c r="R866" s="3">
        <f>OrdersTable!C866</f>
        <v>44623</v>
      </c>
      <c r="S866" s="15">
        <f>OrdersTable!E866</f>
        <v>1</v>
      </c>
      <c r="T866" s="15">
        <f t="shared" si="300"/>
        <v>49.99</v>
      </c>
      <c r="U866" s="15">
        <f t="shared" si="301"/>
        <v>68.47</v>
      </c>
      <c r="V866" s="15">
        <f t="shared" si="302"/>
        <v>80.98</v>
      </c>
      <c r="W866" s="15">
        <f>IF(MarkupType="Store Markup",ROUND(V866+V866*StoreMarkup,2),IF(MarkupType="Supplier Markup",V866+V866*SupplierMarkup,"Error at finding value"))</f>
        <v>127.54</v>
      </c>
      <c r="X866" s="32" t="str">
        <f t="shared" si="304"/>
        <v>0.00</v>
      </c>
      <c r="Y866" s="15">
        <f t="shared" si="305"/>
        <v>80.98</v>
      </c>
      <c r="Z866" s="15">
        <f t="shared" si="306"/>
        <v>127.54</v>
      </c>
      <c r="AA866" s="15">
        <f>IF(FreightType="Lethbridge-Stewart Freight ",ROUND(2.99+IF(N866&gt;0.75,(N866-0.75)*2.25,0)*S866,2),IF(MarkupType="Supplier Markup",V866+V866*SupplierMarkup,"Error at finding value"))</f>
        <v>6.93</v>
      </c>
      <c r="AB866" s="15">
        <f t="shared" si="307"/>
        <v>0</v>
      </c>
    </row>
    <row r="867" spans="1:28" x14ac:dyDescent="0.25">
      <c r="A867" s="16">
        <f>OrdersTable!A867</f>
        <v>285</v>
      </c>
      <c r="B867" s="15" t="str">
        <f t="shared" si="287"/>
        <v>Mr</v>
      </c>
      <c r="C867" s="15" t="str">
        <f t="shared" si="308"/>
        <v>Temple Morgan</v>
      </c>
      <c r="D867" s="15" t="str">
        <f t="shared" si="288"/>
        <v>Mathew Peter</v>
      </c>
      <c r="E867" s="15" t="str">
        <f t="shared" si="289"/>
        <v>19 Tansky Court</v>
      </c>
      <c r="F867" s="15" t="str">
        <f t="shared" si="290"/>
        <v>Belford</v>
      </c>
      <c r="G867" s="15" t="str">
        <f t="shared" si="291"/>
        <v>NSW</v>
      </c>
      <c r="H867" s="15">
        <f t="shared" si="292"/>
        <v>2335</v>
      </c>
      <c r="I867" s="15">
        <f t="shared" si="303"/>
        <v>716</v>
      </c>
      <c r="J867" s="15">
        <f>OrdersTable!B867</f>
        <v>563</v>
      </c>
      <c r="K867" s="15" t="str">
        <f t="shared" si="293"/>
        <v>Giftware</v>
      </c>
      <c r="L867" s="15" t="str">
        <f t="shared" si="294"/>
        <v>Doctor Who: TARDIS Jewellery Box</v>
      </c>
      <c r="M867" s="15" t="str">
        <f t="shared" si="295"/>
        <v>-</v>
      </c>
      <c r="N867" s="15">
        <f t="shared" si="296"/>
        <v>1.1499999999999999</v>
      </c>
      <c r="O867" s="15" t="str">
        <f t="shared" si="297"/>
        <v>A50</v>
      </c>
      <c r="P867" s="15" t="str">
        <f t="shared" si="298"/>
        <v>Rassilon Ltd.</v>
      </c>
      <c r="Q867" s="15" t="str">
        <f t="shared" si="299"/>
        <v>82 Richard Mathews Road</v>
      </c>
      <c r="R867" s="3">
        <f>OrdersTable!C867</f>
        <v>44623</v>
      </c>
      <c r="S867" s="15">
        <f>OrdersTable!E867</f>
        <v>3</v>
      </c>
      <c r="T867" s="15">
        <f t="shared" si="300"/>
        <v>22.99</v>
      </c>
      <c r="U867" s="15">
        <f t="shared" si="301"/>
        <v>31.63</v>
      </c>
      <c r="V867" s="15">
        <f t="shared" si="302"/>
        <v>37.24</v>
      </c>
      <c r="W867" s="15">
        <f>IF(MarkupType="Store Markup",ROUND(V867+V867*StoreMarkup,2),IF(MarkupType="Supplier Markup",V867+V867*SupplierMarkup,"Error at finding value"))</f>
        <v>58.65</v>
      </c>
      <c r="X867" s="32" t="str">
        <f t="shared" si="304"/>
        <v>0.00</v>
      </c>
      <c r="Y867" s="15">
        <f t="shared" si="305"/>
        <v>111.72</v>
      </c>
      <c r="Z867" s="15">
        <f t="shared" si="306"/>
        <v>175.95</v>
      </c>
      <c r="AA867" s="15">
        <f>IF(FreightType="Lethbridge-Stewart Freight ",ROUND(2.99+IF(N867&gt;0.75,(N867-0.75)*2.25,0)*S867,2),IF(MarkupType="Supplier Markup",V867+V867*SupplierMarkup,"Error at finding value"))</f>
        <v>5.69</v>
      </c>
      <c r="AB867" s="15">
        <f t="shared" si="307"/>
        <v>0</v>
      </c>
    </row>
    <row r="868" spans="1:28" x14ac:dyDescent="0.25">
      <c r="A868" s="16">
        <f>OrdersTable!A868</f>
        <v>331</v>
      </c>
      <c r="B868" s="15" t="str">
        <f t="shared" si="287"/>
        <v>Mrs</v>
      </c>
      <c r="C868" s="15" t="str">
        <f t="shared" si="308"/>
        <v>McKenzie</v>
      </c>
      <c r="D868" s="15" t="str">
        <f t="shared" si="288"/>
        <v>Melinda Kate</v>
      </c>
      <c r="E868" s="15" t="str">
        <f t="shared" si="289"/>
        <v>49 McKay Way</v>
      </c>
      <c r="F868" s="15" t="str">
        <f t="shared" si="290"/>
        <v>Black Hills</v>
      </c>
      <c r="G868" s="15" t="str">
        <f t="shared" si="291"/>
        <v>TAS</v>
      </c>
      <c r="H868" s="15">
        <f t="shared" si="292"/>
        <v>7140</v>
      </c>
      <c r="I868" s="15">
        <f t="shared" si="303"/>
        <v>2191</v>
      </c>
      <c r="J868" s="15">
        <f>OrdersTable!B868</f>
        <v>219</v>
      </c>
      <c r="K868" s="15" t="str">
        <f t="shared" si="293"/>
        <v>Clothing and Apparel</v>
      </c>
      <c r="L868" s="15" t="str">
        <f t="shared" si="294"/>
        <v>Doctor Who: Men's Winter Pyjamas</v>
      </c>
      <c r="M868" s="15" t="str">
        <f t="shared" si="295"/>
        <v>M</v>
      </c>
      <c r="N868" s="15">
        <f t="shared" si="296"/>
        <v>1.5</v>
      </c>
      <c r="O868" s="15" t="str">
        <f t="shared" si="297"/>
        <v>A40</v>
      </c>
      <c r="P868" s="15" t="str">
        <f t="shared" si="298"/>
        <v>Romana Imports</v>
      </c>
      <c r="Q868" s="15" t="str">
        <f t="shared" si="299"/>
        <v>17 Lalla Ward Road</v>
      </c>
      <c r="R868" s="3">
        <f>OrdersTable!C868</f>
        <v>44623</v>
      </c>
      <c r="S868" s="15">
        <f>OrdersTable!E868</f>
        <v>7</v>
      </c>
      <c r="T868" s="15">
        <f t="shared" si="300"/>
        <v>29.99</v>
      </c>
      <c r="U868" s="15">
        <f t="shared" si="301"/>
        <v>41.24</v>
      </c>
      <c r="V868" s="15">
        <f t="shared" si="302"/>
        <v>48.58</v>
      </c>
      <c r="W868" s="15">
        <f>IF(MarkupType="Store Markup",ROUND(V868+V868*StoreMarkup,2),IF(MarkupType="Supplier Markup",V868+V868*SupplierMarkup,"Error at finding value"))</f>
        <v>76.510000000000005</v>
      </c>
      <c r="X868" s="32" t="str">
        <f t="shared" si="304"/>
        <v>0.00</v>
      </c>
      <c r="Y868" s="15">
        <f t="shared" si="305"/>
        <v>340.06</v>
      </c>
      <c r="Z868" s="15">
        <f t="shared" si="306"/>
        <v>535.57000000000005</v>
      </c>
      <c r="AA868" s="15">
        <f>IF(FreightType="Lethbridge-Stewart Freight ",ROUND(2.99+IF(N868&gt;0.75,(N868-0.75)*2.25,0)*S868,2),IF(MarkupType="Supplier Markup",V868+V868*SupplierMarkup,"Error at finding value"))</f>
        <v>14.8</v>
      </c>
      <c r="AB868" s="15">
        <f t="shared" si="307"/>
        <v>0</v>
      </c>
    </row>
    <row r="869" spans="1:28" x14ac:dyDescent="0.25">
      <c r="A869" s="16">
        <f>OrdersTable!A869</f>
        <v>561</v>
      </c>
      <c r="B869" s="15" t="str">
        <f t="shared" si="287"/>
        <v>Ms</v>
      </c>
      <c r="C869" s="15" t="str">
        <f t="shared" si="308"/>
        <v>Mulcahy</v>
      </c>
      <c r="D869" s="15" t="str">
        <f t="shared" si="288"/>
        <v>Jodie Leigh</v>
      </c>
      <c r="E869" s="15" t="str">
        <f t="shared" si="289"/>
        <v>32 Scott Crescent</v>
      </c>
      <c r="F869" s="15" t="str">
        <f t="shared" si="290"/>
        <v>Bray Park</v>
      </c>
      <c r="G869" s="15" t="str">
        <f t="shared" si="291"/>
        <v>QLD</v>
      </c>
      <c r="H869" s="15">
        <f t="shared" si="292"/>
        <v>4500</v>
      </c>
      <c r="I869" s="15">
        <f t="shared" si="303"/>
        <v>139</v>
      </c>
      <c r="J869" s="15">
        <f>OrdersTable!B869</f>
        <v>853</v>
      </c>
      <c r="K869" s="15" t="str">
        <f t="shared" si="293"/>
        <v>Statues and Busts</v>
      </c>
      <c r="L869" s="15" t="str">
        <f t="shared" si="294"/>
        <v>Doctor Who: Statue: The Master And Auton</v>
      </c>
      <c r="M869" s="15" t="str">
        <f t="shared" si="295"/>
        <v>-</v>
      </c>
      <c r="N869" s="15">
        <f t="shared" si="296"/>
        <v>3.5</v>
      </c>
      <c r="O869" s="15" t="str">
        <f t="shared" si="297"/>
        <v>A50</v>
      </c>
      <c r="P869" s="15" t="str">
        <f t="shared" si="298"/>
        <v>Rassilon Ltd.</v>
      </c>
      <c r="Q869" s="15" t="str">
        <f t="shared" si="299"/>
        <v>82 Richard Mathews Road</v>
      </c>
      <c r="R869" s="3">
        <f>OrdersTable!C869</f>
        <v>44623</v>
      </c>
      <c r="S869" s="15">
        <f>OrdersTable!E869</f>
        <v>7</v>
      </c>
      <c r="T869" s="15">
        <f t="shared" si="300"/>
        <v>69.989999999999995</v>
      </c>
      <c r="U869" s="15">
        <f t="shared" si="301"/>
        <v>95.51</v>
      </c>
      <c r="V869" s="15">
        <f t="shared" si="302"/>
        <v>113.38</v>
      </c>
      <c r="W869" s="15">
        <f>IF(MarkupType="Store Markup",ROUND(V869+V869*StoreMarkup,2),IF(MarkupType="Supplier Markup",V869+V869*SupplierMarkup,"Error at finding value"))</f>
        <v>178.57</v>
      </c>
      <c r="X869" s="32">
        <f t="shared" si="304"/>
        <v>12.72</v>
      </c>
      <c r="Y869" s="15">
        <f t="shared" si="305"/>
        <v>793.66</v>
      </c>
      <c r="Z869" s="15">
        <f t="shared" si="306"/>
        <v>1160.95</v>
      </c>
      <c r="AA869" s="15">
        <f>IF(FreightType="Lethbridge-Stewart Freight ",ROUND(2.99+IF(N869&gt;0.75,(N869-0.75)*2.25,0)*S869,2),IF(MarkupType="Supplier Markup",V869+V869*SupplierMarkup,"Error at finding value"))</f>
        <v>46.3</v>
      </c>
      <c r="AB869" s="15">
        <f t="shared" si="307"/>
        <v>89.04</v>
      </c>
    </row>
    <row r="870" spans="1:28" x14ac:dyDescent="0.25">
      <c r="A870" s="16">
        <f>OrdersTable!A870</f>
        <v>567</v>
      </c>
      <c r="B870" s="15" t="str">
        <f t="shared" si="287"/>
        <v>Ms</v>
      </c>
      <c r="C870" s="15" t="str">
        <f t="shared" si="308"/>
        <v>Perkins</v>
      </c>
      <c r="D870" s="15" t="str">
        <f t="shared" si="288"/>
        <v>Sarah</v>
      </c>
      <c r="E870" s="15" t="str">
        <f t="shared" si="289"/>
        <v>7 Tengdahl Road</v>
      </c>
      <c r="F870" s="15" t="str">
        <f t="shared" si="290"/>
        <v>Areegra</v>
      </c>
      <c r="G870" s="15" t="str">
        <f t="shared" si="291"/>
        <v>VIC</v>
      </c>
      <c r="H870" s="15">
        <f t="shared" si="292"/>
        <v>3480</v>
      </c>
      <c r="I870" s="15">
        <f t="shared" si="303"/>
        <v>1559</v>
      </c>
      <c r="J870" s="15">
        <f>OrdersTable!B870</f>
        <v>186</v>
      </c>
      <c r="K870" s="15" t="str">
        <f t="shared" si="293"/>
        <v>Bobbleheads</v>
      </c>
      <c r="L870" s="15" t="str">
        <f t="shared" si="294"/>
        <v>Doctor Who: Monitor Mate: 50th Anniversary Original TARDIS</v>
      </c>
      <c r="M870" s="15" t="str">
        <f t="shared" si="295"/>
        <v>-</v>
      </c>
      <c r="N870" s="15">
        <f t="shared" si="296"/>
        <v>0.45</v>
      </c>
      <c r="O870" s="15" t="str">
        <f t="shared" si="297"/>
        <v>A20</v>
      </c>
      <c r="P870" s="15" t="str">
        <f t="shared" si="298"/>
        <v>Morbius Inc.</v>
      </c>
      <c r="Q870" s="15" t="str">
        <f t="shared" si="299"/>
        <v>56 Michael Spice Hwy</v>
      </c>
      <c r="R870" s="3">
        <f>OrdersTable!C870</f>
        <v>44623</v>
      </c>
      <c r="S870" s="15">
        <f>OrdersTable!E870</f>
        <v>10</v>
      </c>
      <c r="T870" s="15">
        <f t="shared" si="300"/>
        <v>8.99</v>
      </c>
      <c r="U870" s="15">
        <f t="shared" si="301"/>
        <v>12.46</v>
      </c>
      <c r="V870" s="15">
        <f t="shared" si="302"/>
        <v>14.56</v>
      </c>
      <c r="W870" s="15">
        <f>IF(MarkupType="Store Markup",ROUND(V870+V870*StoreMarkup,2),IF(MarkupType="Supplier Markup",V870+V870*SupplierMarkup,"Error at finding value"))</f>
        <v>22.93</v>
      </c>
      <c r="X870" s="32" t="str">
        <f t="shared" si="304"/>
        <v>0.00</v>
      </c>
      <c r="Y870" s="15">
        <f t="shared" si="305"/>
        <v>145.6</v>
      </c>
      <c r="Z870" s="15">
        <f t="shared" si="306"/>
        <v>229.3</v>
      </c>
      <c r="AA870" s="15">
        <f>IF(FreightType="Lethbridge-Stewart Freight ",ROUND(2.99+IF(N870&gt;0.75,(N870-0.75)*2.25,0)*S870,2),IF(MarkupType="Supplier Markup",V870+V870*SupplierMarkup,"Error at finding value"))</f>
        <v>2.99</v>
      </c>
      <c r="AB870" s="15">
        <f t="shared" si="307"/>
        <v>0</v>
      </c>
    </row>
    <row r="871" spans="1:28" x14ac:dyDescent="0.25">
      <c r="A871" s="16">
        <f>OrdersTable!A871</f>
        <v>586</v>
      </c>
      <c r="B871" s="15" t="str">
        <f t="shared" si="287"/>
        <v>Dr</v>
      </c>
      <c r="C871" s="15" t="str">
        <f t="shared" si="308"/>
        <v>Coetzee</v>
      </c>
      <c r="D871" s="15" t="str">
        <f t="shared" si="288"/>
        <v>Riekert</v>
      </c>
      <c r="E871" s="15" t="str">
        <f t="shared" si="289"/>
        <v>5 Western Road</v>
      </c>
      <c r="F871" s="15" t="str">
        <f t="shared" si="290"/>
        <v>Alfredtown</v>
      </c>
      <c r="G871" s="15" t="str">
        <f t="shared" si="291"/>
        <v>NSW</v>
      </c>
      <c r="H871" s="15">
        <f t="shared" si="292"/>
        <v>2650</v>
      </c>
      <c r="I871" s="15">
        <f t="shared" si="303"/>
        <v>1124</v>
      </c>
      <c r="J871" s="15">
        <f>OrdersTable!B871</f>
        <v>681</v>
      </c>
      <c r="K871" s="15" t="str">
        <f t="shared" si="293"/>
        <v>Mugs</v>
      </c>
      <c r="L871" s="15" t="str">
        <f t="shared" si="294"/>
        <v>Doctor Who: Mug: The First Doctor</v>
      </c>
      <c r="M871" s="15" t="str">
        <f t="shared" si="295"/>
        <v>-</v>
      </c>
      <c r="N871" s="15">
        <f t="shared" si="296"/>
        <v>0.45</v>
      </c>
      <c r="O871" s="15" t="str">
        <f t="shared" si="297"/>
        <v>A20</v>
      </c>
      <c r="P871" s="15" t="str">
        <f t="shared" si="298"/>
        <v>Morbius Inc.</v>
      </c>
      <c r="Q871" s="15" t="str">
        <f t="shared" si="299"/>
        <v>56 Michael Spice Hwy</v>
      </c>
      <c r="R871" s="3">
        <f>OrdersTable!C871</f>
        <v>44623</v>
      </c>
      <c r="S871" s="15">
        <f>OrdersTable!E871</f>
        <v>10</v>
      </c>
      <c r="T871" s="15">
        <f t="shared" si="300"/>
        <v>8.99</v>
      </c>
      <c r="U871" s="15">
        <f t="shared" si="301"/>
        <v>12.51</v>
      </c>
      <c r="V871" s="15">
        <f t="shared" si="302"/>
        <v>14.56</v>
      </c>
      <c r="W871" s="15">
        <f>IF(MarkupType="Store Markup",ROUND(V871+V871*StoreMarkup,2),IF(MarkupType="Supplier Markup",V871+V871*SupplierMarkup,"Error at finding value"))</f>
        <v>22.93</v>
      </c>
      <c r="X871" s="32" t="str">
        <f t="shared" si="304"/>
        <v>0.00</v>
      </c>
      <c r="Y871" s="15">
        <f t="shared" si="305"/>
        <v>145.6</v>
      </c>
      <c r="Z871" s="15">
        <f t="shared" si="306"/>
        <v>229.3</v>
      </c>
      <c r="AA871" s="15">
        <f>IF(FreightType="Lethbridge-Stewart Freight ",ROUND(2.99+IF(N871&gt;0.75,(N871-0.75)*2.25,0)*S871,2),IF(MarkupType="Supplier Markup",V871+V871*SupplierMarkup,"Error at finding value"))</f>
        <v>2.99</v>
      </c>
      <c r="AB871" s="15">
        <f t="shared" si="307"/>
        <v>0</v>
      </c>
    </row>
    <row r="872" spans="1:28" x14ac:dyDescent="0.25">
      <c r="A872" s="16">
        <f>OrdersTable!A872</f>
        <v>610</v>
      </c>
      <c r="B872" s="15" t="str">
        <f t="shared" si="287"/>
        <v>Ms</v>
      </c>
      <c r="C872" s="15" t="str">
        <f t="shared" si="308"/>
        <v>Bichel</v>
      </c>
      <c r="D872" s="15" t="str">
        <f t="shared" si="288"/>
        <v>Abbey Kate</v>
      </c>
      <c r="E872" s="15" t="str">
        <f t="shared" si="289"/>
        <v>32 Rambau Avenue</v>
      </c>
      <c r="F872" s="15" t="str">
        <f t="shared" si="290"/>
        <v>Bamboo</v>
      </c>
      <c r="G872" s="15" t="str">
        <f t="shared" si="291"/>
        <v>QLD</v>
      </c>
      <c r="H872" s="15">
        <f t="shared" si="292"/>
        <v>4873</v>
      </c>
      <c r="I872" s="15">
        <f t="shared" si="303"/>
        <v>1741</v>
      </c>
      <c r="J872" s="15">
        <f>OrdersTable!B872</f>
        <v>830</v>
      </c>
      <c r="K872" s="15" t="str">
        <f t="shared" si="293"/>
        <v>Statues and Busts</v>
      </c>
      <c r="L872" s="15" t="str">
        <f t="shared" si="294"/>
        <v>Doctor Who: Mini Bust: Weeping Angel</v>
      </c>
      <c r="M872" s="15" t="str">
        <f t="shared" si="295"/>
        <v>-</v>
      </c>
      <c r="N872" s="15">
        <f t="shared" si="296"/>
        <v>1.8</v>
      </c>
      <c r="O872" s="15" t="str">
        <f t="shared" si="297"/>
        <v>A50</v>
      </c>
      <c r="P872" s="15" t="str">
        <f t="shared" si="298"/>
        <v>Rassilon Ltd.</v>
      </c>
      <c r="Q872" s="15" t="str">
        <f t="shared" si="299"/>
        <v>82 Richard Mathews Road</v>
      </c>
      <c r="R872" s="3">
        <f>OrdersTable!C872</f>
        <v>44623</v>
      </c>
      <c r="S872" s="15">
        <f>OrdersTable!E872</f>
        <v>3</v>
      </c>
      <c r="T872" s="15">
        <f t="shared" si="300"/>
        <v>35.99</v>
      </c>
      <c r="U872" s="15">
        <f t="shared" si="301"/>
        <v>49.35</v>
      </c>
      <c r="V872" s="15">
        <f t="shared" si="302"/>
        <v>58.3</v>
      </c>
      <c r="W872" s="15">
        <f>IF(MarkupType="Store Markup",ROUND(V872+V872*StoreMarkup,2),IF(MarkupType="Supplier Markup",V872+V872*SupplierMarkup,"Error at finding value"))</f>
        <v>91.82</v>
      </c>
      <c r="X872" s="32" t="str">
        <f t="shared" si="304"/>
        <v>0.00</v>
      </c>
      <c r="Y872" s="15">
        <f t="shared" si="305"/>
        <v>174.9</v>
      </c>
      <c r="Z872" s="15">
        <f t="shared" si="306"/>
        <v>275.45999999999998</v>
      </c>
      <c r="AA872" s="15">
        <f>IF(FreightType="Lethbridge-Stewart Freight ",ROUND(2.99+IF(N872&gt;0.75,(N872-0.75)*2.25,0)*S872,2),IF(MarkupType="Supplier Markup",V872+V872*SupplierMarkup,"Error at finding value"))</f>
        <v>10.08</v>
      </c>
      <c r="AB872" s="15">
        <f t="shared" si="307"/>
        <v>0</v>
      </c>
    </row>
    <row r="873" spans="1:28" x14ac:dyDescent="0.25">
      <c r="A873" s="16">
        <f>OrdersTable!A873</f>
        <v>611</v>
      </c>
      <c r="B873" s="15" t="str">
        <f t="shared" si="287"/>
        <v>Mr</v>
      </c>
      <c r="C873" s="15" t="str">
        <f t="shared" si="308"/>
        <v>Wittman</v>
      </c>
      <c r="D873" s="15" t="str">
        <f t="shared" si="288"/>
        <v>Nicholas Jackson</v>
      </c>
      <c r="E873" s="15" t="str">
        <f t="shared" si="289"/>
        <v>48 Sheppard-Kadel Way</v>
      </c>
      <c r="F873" s="15" t="str">
        <f t="shared" si="290"/>
        <v>Nayook</v>
      </c>
      <c r="G873" s="15" t="str">
        <f t="shared" si="291"/>
        <v>VIC</v>
      </c>
      <c r="H873" s="15">
        <f t="shared" si="292"/>
        <v>3832</v>
      </c>
      <c r="I873" s="15">
        <f t="shared" si="303"/>
        <v>1552</v>
      </c>
      <c r="J873" s="15">
        <f>OrdersTable!B873</f>
        <v>704</v>
      </c>
      <c r="K873" s="15" t="str">
        <f t="shared" si="293"/>
        <v>Posters, Prints and Standees</v>
      </c>
      <c r="L873" s="15" t="str">
        <f t="shared" si="294"/>
        <v>Doctor Who: Poster: Doctor's Enemies</v>
      </c>
      <c r="M873" s="15" t="str">
        <f t="shared" si="295"/>
        <v>-</v>
      </c>
      <c r="N873" s="15">
        <f t="shared" si="296"/>
        <v>0.2</v>
      </c>
      <c r="O873" s="15" t="str">
        <f t="shared" si="297"/>
        <v>A30</v>
      </c>
      <c r="P873" s="15" t="str">
        <f t="shared" si="298"/>
        <v>Chesterton Enterprises</v>
      </c>
      <c r="Q873" s="15" t="str">
        <f t="shared" si="299"/>
        <v>41 William Russell Road</v>
      </c>
      <c r="R873" s="3">
        <f>OrdersTable!C873</f>
        <v>44623</v>
      </c>
      <c r="S873" s="15">
        <f>OrdersTable!E873</f>
        <v>5</v>
      </c>
      <c r="T873" s="15">
        <f t="shared" si="300"/>
        <v>3.99</v>
      </c>
      <c r="U873" s="15">
        <f t="shared" si="301"/>
        <v>5.52</v>
      </c>
      <c r="V873" s="15">
        <f t="shared" si="302"/>
        <v>6.46</v>
      </c>
      <c r="W873" s="15">
        <f>IF(MarkupType="Store Markup",ROUND(V873+V873*StoreMarkup,2),IF(MarkupType="Supplier Markup",V873+V873*SupplierMarkup,"Error at finding value"))</f>
        <v>10.17</v>
      </c>
      <c r="X873" s="32" t="str">
        <f t="shared" si="304"/>
        <v>0.00</v>
      </c>
      <c r="Y873" s="15">
        <f t="shared" si="305"/>
        <v>32.299999999999997</v>
      </c>
      <c r="Z873" s="15">
        <f t="shared" si="306"/>
        <v>50.85</v>
      </c>
      <c r="AA873" s="15">
        <f>IF(FreightType="Lethbridge-Stewart Freight ",ROUND(2.99+IF(N873&gt;0.75,(N873-0.75)*2.25,0)*S873,2),IF(MarkupType="Supplier Markup",V873+V873*SupplierMarkup,"Error at finding value"))</f>
        <v>2.99</v>
      </c>
      <c r="AB873" s="15">
        <f t="shared" si="307"/>
        <v>0</v>
      </c>
    </row>
    <row r="874" spans="1:28" x14ac:dyDescent="0.25">
      <c r="A874" s="16">
        <f>OrdersTable!A874</f>
        <v>747</v>
      </c>
      <c r="B874" s="15" t="str">
        <f t="shared" si="287"/>
        <v>Miss</v>
      </c>
      <c r="C874" s="15" t="str">
        <f t="shared" si="308"/>
        <v>Coom</v>
      </c>
      <c r="D874" s="15" t="str">
        <f t="shared" si="288"/>
        <v>Mackenzie Megan</v>
      </c>
      <c r="E874" s="15" t="str">
        <f t="shared" si="289"/>
        <v>2 Tsalikis Road</v>
      </c>
      <c r="F874" s="15" t="str">
        <f t="shared" si="290"/>
        <v>Aberfoyle</v>
      </c>
      <c r="G874" s="15" t="str">
        <f t="shared" si="291"/>
        <v>NSW</v>
      </c>
      <c r="H874" s="15">
        <f t="shared" si="292"/>
        <v>2350</v>
      </c>
      <c r="I874" s="15">
        <f t="shared" si="303"/>
        <v>363</v>
      </c>
      <c r="J874" s="15">
        <f>OrdersTable!B874</f>
        <v>282</v>
      </c>
      <c r="K874" s="15" t="str">
        <f t="shared" si="293"/>
        <v>Clothing and Apparel</v>
      </c>
      <c r="L874" s="15" t="str">
        <f t="shared" si="294"/>
        <v>Doctor Who: Tardis Laplander Hat</v>
      </c>
      <c r="M874" s="15" t="str">
        <f t="shared" si="295"/>
        <v>-</v>
      </c>
      <c r="N874" s="15">
        <f t="shared" si="296"/>
        <v>0.97499999999999998</v>
      </c>
      <c r="O874" s="15" t="str">
        <f t="shared" si="297"/>
        <v>A10</v>
      </c>
      <c r="P874" s="15" t="str">
        <f t="shared" si="298"/>
        <v>Gallifrey International</v>
      </c>
      <c r="Q874" s="15" t="str">
        <f t="shared" si="299"/>
        <v>181 Arcadia Street</v>
      </c>
      <c r="R874" s="3">
        <f>OrdersTable!C874</f>
        <v>44623</v>
      </c>
      <c r="S874" s="15">
        <f>OrdersTable!E874</f>
        <v>4</v>
      </c>
      <c r="T874" s="15">
        <f t="shared" si="300"/>
        <v>19.5</v>
      </c>
      <c r="U874" s="15">
        <f t="shared" si="301"/>
        <v>26.93</v>
      </c>
      <c r="V874" s="15">
        <f t="shared" si="302"/>
        <v>31.59</v>
      </c>
      <c r="W874" s="15">
        <f>IF(MarkupType="Store Markup",ROUND(V874+V874*StoreMarkup,2),IF(MarkupType="Supplier Markup",V874+V874*SupplierMarkup,"Error at finding value"))</f>
        <v>49.75</v>
      </c>
      <c r="X874" s="32" t="str">
        <f t="shared" si="304"/>
        <v>0.00</v>
      </c>
      <c r="Y874" s="15">
        <f t="shared" si="305"/>
        <v>126.36</v>
      </c>
      <c r="Z874" s="15">
        <f t="shared" si="306"/>
        <v>199</v>
      </c>
      <c r="AA874" s="15">
        <f>IF(FreightType="Lethbridge-Stewart Freight ",ROUND(2.99+IF(N874&gt;0.75,(N874-0.75)*2.25,0)*S874,2),IF(MarkupType="Supplier Markup",V874+V874*SupplierMarkup,"Error at finding value"))</f>
        <v>5.0199999999999996</v>
      </c>
      <c r="AB874" s="15">
        <f t="shared" si="307"/>
        <v>0</v>
      </c>
    </row>
    <row r="875" spans="1:28" x14ac:dyDescent="0.25">
      <c r="A875" s="16">
        <f>OrdersTable!A875</f>
        <v>747</v>
      </c>
      <c r="B875" s="15" t="str">
        <f t="shared" si="287"/>
        <v>Miss</v>
      </c>
      <c r="C875" s="15" t="str">
        <f t="shared" si="308"/>
        <v>Coom</v>
      </c>
      <c r="D875" s="15" t="str">
        <f t="shared" si="288"/>
        <v>Mackenzie Megan</v>
      </c>
      <c r="E875" s="15" t="str">
        <f t="shared" si="289"/>
        <v>2 Tsalikis Road</v>
      </c>
      <c r="F875" s="15" t="str">
        <f t="shared" si="290"/>
        <v>Aberfoyle</v>
      </c>
      <c r="G875" s="15" t="str">
        <f t="shared" si="291"/>
        <v>NSW</v>
      </c>
      <c r="H875" s="15">
        <f t="shared" si="292"/>
        <v>2350</v>
      </c>
      <c r="I875" s="15">
        <f t="shared" si="303"/>
        <v>363</v>
      </c>
      <c r="J875" s="15">
        <f>OrdersTable!B875</f>
        <v>801</v>
      </c>
      <c r="K875" s="15" t="str">
        <f t="shared" si="293"/>
        <v>Statues and Busts</v>
      </c>
      <c r="L875" s="15" t="str">
        <f t="shared" si="294"/>
        <v>Doctor Who: Masterpiece Collection Maxi Bust: 4th Doctor</v>
      </c>
      <c r="M875" s="15" t="str">
        <f t="shared" si="295"/>
        <v>-</v>
      </c>
      <c r="N875" s="15">
        <f t="shared" si="296"/>
        <v>2.5</v>
      </c>
      <c r="O875" s="15" t="str">
        <f t="shared" si="297"/>
        <v>A30</v>
      </c>
      <c r="P875" s="15" t="str">
        <f t="shared" si="298"/>
        <v>Chesterton Enterprises</v>
      </c>
      <c r="Q875" s="15" t="str">
        <f t="shared" si="299"/>
        <v>41 William Russell Road</v>
      </c>
      <c r="R875" s="3">
        <f>OrdersTable!C875</f>
        <v>44623</v>
      </c>
      <c r="S875" s="15">
        <f>OrdersTable!E875</f>
        <v>9</v>
      </c>
      <c r="T875" s="15">
        <f t="shared" si="300"/>
        <v>49.99</v>
      </c>
      <c r="U875" s="15">
        <f t="shared" si="301"/>
        <v>68.180000000000007</v>
      </c>
      <c r="V875" s="15">
        <f t="shared" si="302"/>
        <v>80.98</v>
      </c>
      <c r="W875" s="15">
        <f>IF(MarkupType="Store Markup",ROUND(V875+V875*StoreMarkup,2),IF(MarkupType="Supplier Markup",V875+V875*SupplierMarkup,"Error at finding value"))</f>
        <v>127.54</v>
      </c>
      <c r="X875" s="32">
        <f t="shared" si="304"/>
        <v>9.09</v>
      </c>
      <c r="Y875" s="15">
        <f t="shared" si="305"/>
        <v>728.82</v>
      </c>
      <c r="Z875" s="15">
        <f t="shared" si="306"/>
        <v>1066.05</v>
      </c>
      <c r="AA875" s="15">
        <f>IF(FreightType="Lethbridge-Stewart Freight ",ROUND(2.99+IF(N875&gt;0.75,(N875-0.75)*2.25,0)*S875,2),IF(MarkupType="Supplier Markup",V875+V875*SupplierMarkup,"Error at finding value"))</f>
        <v>38.43</v>
      </c>
      <c r="AB875" s="15">
        <f t="shared" si="307"/>
        <v>81.81</v>
      </c>
    </row>
    <row r="876" spans="1:28" x14ac:dyDescent="0.25">
      <c r="A876" s="16">
        <f>OrdersTable!A876</f>
        <v>923</v>
      </c>
      <c r="B876" s="15" t="str">
        <f t="shared" si="287"/>
        <v>Ms</v>
      </c>
      <c r="C876" s="15" t="str">
        <f t="shared" si="308"/>
        <v>Savage</v>
      </c>
      <c r="D876" s="15" t="str">
        <f t="shared" si="288"/>
        <v>Eliza Margaret</v>
      </c>
      <c r="E876" s="15" t="str">
        <f t="shared" si="289"/>
        <v>28 Whisson Crescent</v>
      </c>
      <c r="F876" s="15" t="str">
        <f t="shared" si="290"/>
        <v>Belconnen</v>
      </c>
      <c r="G876" s="15" t="str">
        <f t="shared" si="291"/>
        <v>ACT</v>
      </c>
      <c r="H876" s="15">
        <f t="shared" si="292"/>
        <v>2617</v>
      </c>
      <c r="I876" s="15">
        <f t="shared" si="303"/>
        <v>1194</v>
      </c>
      <c r="J876" s="15">
        <f>OrdersTable!B876</f>
        <v>762</v>
      </c>
      <c r="K876" s="15" t="str">
        <f t="shared" si="293"/>
        <v>Statues and Busts</v>
      </c>
      <c r="L876" s="15" t="str">
        <f t="shared" si="294"/>
        <v>Doctor Who: Legends Forever Bust: Patrick Troughton</v>
      </c>
      <c r="M876" s="15" t="str">
        <f t="shared" si="295"/>
        <v>-</v>
      </c>
      <c r="N876" s="15">
        <f t="shared" si="296"/>
        <v>1.375</v>
      </c>
      <c r="O876" s="15" t="str">
        <f t="shared" si="297"/>
        <v>A40</v>
      </c>
      <c r="P876" s="15" t="str">
        <f t="shared" si="298"/>
        <v>Romana Imports</v>
      </c>
      <c r="Q876" s="15" t="str">
        <f t="shared" si="299"/>
        <v>17 Lalla Ward Road</v>
      </c>
      <c r="R876" s="3">
        <f>OrdersTable!C876</f>
        <v>44623</v>
      </c>
      <c r="S876" s="15">
        <f>OrdersTable!E876</f>
        <v>10</v>
      </c>
      <c r="T876" s="15">
        <f t="shared" si="300"/>
        <v>27.5</v>
      </c>
      <c r="U876" s="15">
        <f t="shared" si="301"/>
        <v>37.799999999999997</v>
      </c>
      <c r="V876" s="15">
        <f t="shared" si="302"/>
        <v>44.55</v>
      </c>
      <c r="W876" s="15">
        <f>IF(MarkupType="Store Markup",ROUND(V876+V876*StoreMarkup,2),IF(MarkupType="Supplier Markup",V876+V876*SupplierMarkup,"Error at finding value"))</f>
        <v>70.17</v>
      </c>
      <c r="X876" s="32" t="str">
        <f t="shared" si="304"/>
        <v>0.00</v>
      </c>
      <c r="Y876" s="15">
        <f t="shared" si="305"/>
        <v>445.5</v>
      </c>
      <c r="Z876" s="15">
        <f t="shared" si="306"/>
        <v>701.7</v>
      </c>
      <c r="AA876" s="15">
        <f>IF(FreightType="Lethbridge-Stewart Freight ",ROUND(2.99+IF(N876&gt;0.75,(N876-0.75)*2.25,0)*S876,2),IF(MarkupType="Supplier Markup",V876+V876*SupplierMarkup,"Error at finding value"))</f>
        <v>17.05</v>
      </c>
      <c r="AB876" s="15">
        <f t="shared" si="307"/>
        <v>0</v>
      </c>
    </row>
    <row r="877" spans="1:28" x14ac:dyDescent="0.25">
      <c r="A877" s="16">
        <f>OrdersTable!A877</f>
        <v>961</v>
      </c>
      <c r="B877" s="15" t="str">
        <f t="shared" si="287"/>
        <v>Ms</v>
      </c>
      <c r="C877" s="15" t="str">
        <f t="shared" si="308"/>
        <v>Schuh</v>
      </c>
      <c r="D877" s="15" t="str">
        <f t="shared" si="288"/>
        <v>Rebecca Anne</v>
      </c>
      <c r="E877" s="15" t="str">
        <f t="shared" si="289"/>
        <v>48 Wilson Court</v>
      </c>
      <c r="F877" s="15" t="str">
        <f t="shared" si="290"/>
        <v>Breakwater</v>
      </c>
      <c r="G877" s="15" t="str">
        <f t="shared" si="291"/>
        <v>VIC</v>
      </c>
      <c r="H877" s="15">
        <f t="shared" si="292"/>
        <v>3219</v>
      </c>
      <c r="I877" s="15">
        <f t="shared" si="303"/>
        <v>1596</v>
      </c>
      <c r="J877" s="15">
        <f>OrdersTable!B877</f>
        <v>840</v>
      </c>
      <c r="K877" s="15" t="str">
        <f t="shared" si="293"/>
        <v>Statues and Busts</v>
      </c>
      <c r="L877" s="15" t="str">
        <f t="shared" si="294"/>
        <v>Doctor Who: Signature Edition Statue: Gallifrey Edition: Patrick Troughton</v>
      </c>
      <c r="M877" s="15" t="str">
        <f t="shared" si="295"/>
        <v>-</v>
      </c>
      <c r="N877" s="15">
        <f t="shared" si="296"/>
        <v>2.5</v>
      </c>
      <c r="O877" s="15" t="str">
        <f t="shared" si="297"/>
        <v>A40</v>
      </c>
      <c r="P877" s="15" t="str">
        <f t="shared" si="298"/>
        <v>Romana Imports</v>
      </c>
      <c r="Q877" s="15" t="str">
        <f t="shared" si="299"/>
        <v>17 Lalla Ward Road</v>
      </c>
      <c r="R877" s="3">
        <f>OrdersTable!C877</f>
        <v>44623</v>
      </c>
      <c r="S877" s="15">
        <f>OrdersTable!E877</f>
        <v>7</v>
      </c>
      <c r="T877" s="15">
        <f t="shared" si="300"/>
        <v>49.99</v>
      </c>
      <c r="U877" s="15">
        <f t="shared" si="301"/>
        <v>68.510000000000005</v>
      </c>
      <c r="V877" s="15">
        <f t="shared" si="302"/>
        <v>80.98</v>
      </c>
      <c r="W877" s="15">
        <f>IF(MarkupType="Store Markup",ROUND(V877+V877*StoreMarkup,2),IF(MarkupType="Supplier Markup",V877+V877*SupplierMarkup,"Error at finding value"))</f>
        <v>127.54</v>
      </c>
      <c r="X877" s="32">
        <f t="shared" si="304"/>
        <v>9.09</v>
      </c>
      <c r="Y877" s="15">
        <f t="shared" si="305"/>
        <v>566.86</v>
      </c>
      <c r="Z877" s="15">
        <f t="shared" si="306"/>
        <v>829.15</v>
      </c>
      <c r="AA877" s="15">
        <f>IF(FreightType="Lethbridge-Stewart Freight ",ROUND(2.99+IF(N877&gt;0.75,(N877-0.75)*2.25,0)*S877,2),IF(MarkupType="Supplier Markup",V877+V877*SupplierMarkup,"Error at finding value"))</f>
        <v>30.55</v>
      </c>
      <c r="AB877" s="15">
        <f t="shared" si="307"/>
        <v>63.63</v>
      </c>
    </row>
    <row r="878" spans="1:28" x14ac:dyDescent="0.25">
      <c r="A878" s="16">
        <f>OrdersTable!A878</f>
        <v>46</v>
      </c>
      <c r="B878" s="15" t="str">
        <f t="shared" si="287"/>
        <v>Mrs</v>
      </c>
      <c r="C878" s="15" t="str">
        <f t="shared" si="308"/>
        <v>Dovey</v>
      </c>
      <c r="D878" s="15" t="str">
        <f t="shared" si="288"/>
        <v>Aisha Jade</v>
      </c>
      <c r="E878" s="15" t="str">
        <f t="shared" si="289"/>
        <v>43 Wilkes Circuit</v>
      </c>
      <c r="F878" s="15" t="str">
        <f t="shared" si="290"/>
        <v>Alfredtown</v>
      </c>
      <c r="G878" s="15" t="str">
        <f t="shared" si="291"/>
        <v>NSW</v>
      </c>
      <c r="H878" s="15">
        <f t="shared" si="292"/>
        <v>2650</v>
      </c>
      <c r="I878" s="15">
        <f t="shared" si="303"/>
        <v>1124</v>
      </c>
      <c r="J878" s="15">
        <f>OrdersTable!B878</f>
        <v>834</v>
      </c>
      <c r="K878" s="15" t="str">
        <f t="shared" si="293"/>
        <v>Statues and Busts</v>
      </c>
      <c r="L878" s="15" t="str">
        <f t="shared" si="294"/>
        <v>Doctor Who: Signature Edition Statue: Gallifrey Edition: Matt Smith</v>
      </c>
      <c r="M878" s="15" t="str">
        <f t="shared" si="295"/>
        <v>-</v>
      </c>
      <c r="N878" s="15">
        <f t="shared" si="296"/>
        <v>2.5</v>
      </c>
      <c r="O878" s="15" t="str">
        <f t="shared" si="297"/>
        <v>A30</v>
      </c>
      <c r="P878" s="15" t="str">
        <f t="shared" si="298"/>
        <v>Chesterton Enterprises</v>
      </c>
      <c r="Q878" s="15" t="str">
        <f t="shared" si="299"/>
        <v>41 William Russell Road</v>
      </c>
      <c r="R878" s="3">
        <f>OrdersTable!C878</f>
        <v>44624</v>
      </c>
      <c r="S878" s="15">
        <f>OrdersTable!E878</f>
        <v>5</v>
      </c>
      <c r="T878" s="15">
        <f t="shared" si="300"/>
        <v>49.99</v>
      </c>
      <c r="U878" s="15">
        <f t="shared" si="301"/>
        <v>68.52</v>
      </c>
      <c r="V878" s="15">
        <f t="shared" si="302"/>
        <v>80.98</v>
      </c>
      <c r="W878" s="15">
        <f>IF(MarkupType="Store Markup",ROUND(V878+V878*StoreMarkup,2),IF(MarkupType="Supplier Markup",V878+V878*SupplierMarkup,"Error at finding value"))</f>
        <v>127.54</v>
      </c>
      <c r="X878" s="32">
        <f t="shared" si="304"/>
        <v>9.09</v>
      </c>
      <c r="Y878" s="15">
        <f t="shared" si="305"/>
        <v>404.9</v>
      </c>
      <c r="Z878" s="15">
        <f t="shared" si="306"/>
        <v>592.25</v>
      </c>
      <c r="AA878" s="15">
        <f>IF(FreightType="Lethbridge-Stewart Freight ",ROUND(2.99+IF(N878&gt;0.75,(N878-0.75)*2.25,0)*S878,2),IF(MarkupType="Supplier Markup",V878+V878*SupplierMarkup,"Error at finding value"))</f>
        <v>22.68</v>
      </c>
      <c r="AB878" s="15">
        <f t="shared" si="307"/>
        <v>45.45</v>
      </c>
    </row>
    <row r="879" spans="1:28" x14ac:dyDescent="0.25">
      <c r="A879" s="16">
        <f>OrdersTable!A879</f>
        <v>66</v>
      </c>
      <c r="B879" s="15" t="str">
        <f t="shared" si="287"/>
        <v>Mr</v>
      </c>
      <c r="C879" s="15" t="str">
        <f t="shared" si="308"/>
        <v>Bachmann</v>
      </c>
      <c r="D879" s="15" t="str">
        <f t="shared" si="288"/>
        <v>Aaron</v>
      </c>
      <c r="E879" s="15" t="str">
        <f t="shared" si="289"/>
        <v>3 Csabai Avenue</v>
      </c>
      <c r="F879" s="15" t="str">
        <f t="shared" si="290"/>
        <v>Bridgewater</v>
      </c>
      <c r="G879" s="15" t="str">
        <f t="shared" si="291"/>
        <v>VIC</v>
      </c>
      <c r="H879" s="15">
        <f t="shared" si="292"/>
        <v>3516</v>
      </c>
      <c r="I879" s="15">
        <f t="shared" si="303"/>
        <v>1486</v>
      </c>
      <c r="J879" s="15">
        <f>OrdersTable!B879</f>
        <v>282</v>
      </c>
      <c r="K879" s="15" t="str">
        <f t="shared" si="293"/>
        <v>Clothing and Apparel</v>
      </c>
      <c r="L879" s="15" t="str">
        <f t="shared" si="294"/>
        <v>Doctor Who: Tardis Laplander Hat</v>
      </c>
      <c r="M879" s="15" t="str">
        <f t="shared" si="295"/>
        <v>-</v>
      </c>
      <c r="N879" s="15">
        <f t="shared" si="296"/>
        <v>0.97499999999999998</v>
      </c>
      <c r="O879" s="15" t="str">
        <f t="shared" si="297"/>
        <v>A10</v>
      </c>
      <c r="P879" s="15" t="str">
        <f t="shared" si="298"/>
        <v>Gallifrey International</v>
      </c>
      <c r="Q879" s="15" t="str">
        <f t="shared" si="299"/>
        <v>181 Arcadia Street</v>
      </c>
      <c r="R879" s="3">
        <f>OrdersTable!C879</f>
        <v>44624</v>
      </c>
      <c r="S879" s="15">
        <f>OrdersTable!E879</f>
        <v>4</v>
      </c>
      <c r="T879" s="15">
        <f t="shared" si="300"/>
        <v>19.5</v>
      </c>
      <c r="U879" s="15">
        <f t="shared" si="301"/>
        <v>26.93</v>
      </c>
      <c r="V879" s="15">
        <f t="shared" si="302"/>
        <v>31.59</v>
      </c>
      <c r="W879" s="15">
        <f>IF(MarkupType="Store Markup",ROUND(V879+V879*StoreMarkup,2),IF(MarkupType="Supplier Markup",V879+V879*SupplierMarkup,"Error at finding value"))</f>
        <v>49.75</v>
      </c>
      <c r="X879" s="32" t="str">
        <f t="shared" si="304"/>
        <v>0.00</v>
      </c>
      <c r="Y879" s="15">
        <f t="shared" si="305"/>
        <v>126.36</v>
      </c>
      <c r="Z879" s="15">
        <f t="shared" si="306"/>
        <v>199</v>
      </c>
      <c r="AA879" s="15">
        <f>IF(FreightType="Lethbridge-Stewart Freight ",ROUND(2.99+IF(N879&gt;0.75,(N879-0.75)*2.25,0)*S879,2),IF(MarkupType="Supplier Markup",V879+V879*SupplierMarkup,"Error at finding value"))</f>
        <v>5.0199999999999996</v>
      </c>
      <c r="AB879" s="15">
        <f t="shared" si="307"/>
        <v>0</v>
      </c>
    </row>
    <row r="880" spans="1:28" x14ac:dyDescent="0.25">
      <c r="A880" s="16">
        <f>OrdersTable!A880</f>
        <v>158</v>
      </c>
      <c r="B880" s="15" t="str">
        <f t="shared" si="287"/>
        <v>Mr</v>
      </c>
      <c r="C880" s="15" t="str">
        <f t="shared" si="308"/>
        <v>Fowler</v>
      </c>
      <c r="D880" s="15" t="str">
        <f t="shared" si="288"/>
        <v>James</v>
      </c>
      <c r="E880" s="15" t="str">
        <f t="shared" si="289"/>
        <v>30 Virk Court</v>
      </c>
      <c r="F880" s="15" t="str">
        <f t="shared" si="290"/>
        <v>Black Hills</v>
      </c>
      <c r="G880" s="15" t="str">
        <f t="shared" si="291"/>
        <v>TAS</v>
      </c>
      <c r="H880" s="15">
        <f t="shared" si="292"/>
        <v>7140</v>
      </c>
      <c r="I880" s="15">
        <f t="shared" si="303"/>
        <v>2191</v>
      </c>
      <c r="J880" s="15">
        <f>OrdersTable!B880</f>
        <v>732</v>
      </c>
      <c r="K880" s="15" t="str">
        <f t="shared" si="293"/>
        <v>Props and Replicas</v>
      </c>
      <c r="L880" s="15" t="str">
        <f t="shared" si="294"/>
        <v>Doctor Who: Eleventh Doctor's Sonic Screwdriver</v>
      </c>
      <c r="M880" s="15" t="str">
        <f t="shared" si="295"/>
        <v>-</v>
      </c>
      <c r="N880" s="15">
        <f t="shared" si="296"/>
        <v>3</v>
      </c>
      <c r="O880" s="15" t="str">
        <f t="shared" si="297"/>
        <v>A40</v>
      </c>
      <c r="P880" s="15" t="str">
        <f t="shared" si="298"/>
        <v>Romana Imports</v>
      </c>
      <c r="Q880" s="15" t="str">
        <f t="shared" si="299"/>
        <v>17 Lalla Ward Road</v>
      </c>
      <c r="R880" s="3">
        <f>OrdersTable!C880</f>
        <v>44624</v>
      </c>
      <c r="S880" s="15">
        <f>OrdersTable!E880</f>
        <v>8</v>
      </c>
      <c r="T880" s="15">
        <f t="shared" si="300"/>
        <v>59.99</v>
      </c>
      <c r="U880" s="15">
        <f t="shared" si="301"/>
        <v>81.83</v>
      </c>
      <c r="V880" s="15">
        <f t="shared" si="302"/>
        <v>97.18</v>
      </c>
      <c r="W880" s="15">
        <f>IF(MarkupType="Store Markup",ROUND(V880+V880*StoreMarkup,2),IF(MarkupType="Supplier Markup",V880+V880*SupplierMarkup,"Error at finding value"))</f>
        <v>153.06</v>
      </c>
      <c r="X880" s="32">
        <f t="shared" si="304"/>
        <v>10.91</v>
      </c>
      <c r="Y880" s="15">
        <f t="shared" si="305"/>
        <v>777.44</v>
      </c>
      <c r="Z880" s="15">
        <f t="shared" si="306"/>
        <v>1137.2</v>
      </c>
      <c r="AA880" s="15">
        <f>IF(FreightType="Lethbridge-Stewart Freight ",ROUND(2.99+IF(N880&gt;0.75,(N880-0.75)*2.25,0)*S880,2),IF(MarkupType="Supplier Markup",V880+V880*SupplierMarkup,"Error at finding value"))</f>
        <v>43.49</v>
      </c>
      <c r="AB880" s="15">
        <f t="shared" si="307"/>
        <v>87.28</v>
      </c>
    </row>
    <row r="881" spans="1:28" x14ac:dyDescent="0.25">
      <c r="A881" s="16">
        <f>OrdersTable!A881</f>
        <v>158</v>
      </c>
      <c r="B881" s="15" t="str">
        <f t="shared" si="287"/>
        <v>Mr</v>
      </c>
      <c r="C881" s="15" t="str">
        <f t="shared" si="308"/>
        <v>Fowler</v>
      </c>
      <c r="D881" s="15" t="str">
        <f t="shared" si="288"/>
        <v>James</v>
      </c>
      <c r="E881" s="15" t="str">
        <f t="shared" si="289"/>
        <v>30 Virk Court</v>
      </c>
      <c r="F881" s="15" t="str">
        <f t="shared" si="290"/>
        <v>Black Hills</v>
      </c>
      <c r="G881" s="15" t="str">
        <f t="shared" si="291"/>
        <v>TAS</v>
      </c>
      <c r="H881" s="15">
        <f t="shared" si="292"/>
        <v>7140</v>
      </c>
      <c r="I881" s="15">
        <f t="shared" si="303"/>
        <v>2191</v>
      </c>
      <c r="J881" s="15">
        <f>OrdersTable!B881</f>
        <v>747</v>
      </c>
      <c r="K881" s="15" t="str">
        <f t="shared" si="293"/>
        <v>Props and Replicas</v>
      </c>
      <c r="L881" s="15" t="str">
        <f t="shared" si="294"/>
        <v>Doctor Who: The Master's Fob Watch</v>
      </c>
      <c r="M881" s="15" t="str">
        <f t="shared" si="295"/>
        <v>-</v>
      </c>
      <c r="N881" s="15">
        <f t="shared" si="296"/>
        <v>2.25</v>
      </c>
      <c r="O881" s="15" t="str">
        <f t="shared" si="297"/>
        <v>A10</v>
      </c>
      <c r="P881" s="15" t="str">
        <f t="shared" si="298"/>
        <v>Gallifrey International</v>
      </c>
      <c r="Q881" s="15" t="str">
        <f t="shared" si="299"/>
        <v>181 Arcadia Street</v>
      </c>
      <c r="R881" s="3">
        <f>OrdersTable!C881</f>
        <v>44624</v>
      </c>
      <c r="S881" s="15">
        <f>OrdersTable!E881</f>
        <v>2</v>
      </c>
      <c r="T881" s="15">
        <f t="shared" si="300"/>
        <v>44.99</v>
      </c>
      <c r="U881" s="15">
        <f t="shared" si="301"/>
        <v>61.7</v>
      </c>
      <c r="V881" s="15">
        <f t="shared" si="302"/>
        <v>72.88</v>
      </c>
      <c r="W881" s="15">
        <f>IF(MarkupType="Store Markup",ROUND(V881+V881*StoreMarkup,2),IF(MarkupType="Supplier Markup",V881+V881*SupplierMarkup,"Error at finding value"))</f>
        <v>114.79</v>
      </c>
      <c r="X881" s="32" t="str">
        <f t="shared" si="304"/>
        <v>0.00</v>
      </c>
      <c r="Y881" s="15">
        <f t="shared" si="305"/>
        <v>145.76</v>
      </c>
      <c r="Z881" s="15">
        <f t="shared" si="306"/>
        <v>229.58</v>
      </c>
      <c r="AA881" s="15">
        <f>IF(FreightType="Lethbridge-Stewart Freight ",ROUND(2.99+IF(N881&gt;0.75,(N881-0.75)*2.25,0)*S881,2),IF(MarkupType="Supplier Markup",V881+V881*SupplierMarkup,"Error at finding value"))</f>
        <v>9.74</v>
      </c>
      <c r="AB881" s="15">
        <f t="shared" si="307"/>
        <v>0</v>
      </c>
    </row>
    <row r="882" spans="1:28" x14ac:dyDescent="0.25">
      <c r="A882" s="16">
        <f>OrdersTable!A882</f>
        <v>334</v>
      </c>
      <c r="B882" s="15" t="str">
        <f t="shared" si="287"/>
        <v>Mrs</v>
      </c>
      <c r="C882" s="15" t="str">
        <f t="shared" si="308"/>
        <v>Wilson</v>
      </c>
      <c r="D882" s="15" t="str">
        <f t="shared" si="288"/>
        <v>Hayley Lauren</v>
      </c>
      <c r="E882" s="15" t="str">
        <f t="shared" si="289"/>
        <v>3 Ashley Crescent</v>
      </c>
      <c r="F882" s="15" t="str">
        <f t="shared" si="290"/>
        <v>Black Hills</v>
      </c>
      <c r="G882" s="15" t="str">
        <f t="shared" si="291"/>
        <v>TAS</v>
      </c>
      <c r="H882" s="15">
        <f t="shared" si="292"/>
        <v>7140</v>
      </c>
      <c r="I882" s="15">
        <f t="shared" si="303"/>
        <v>2191</v>
      </c>
      <c r="J882" s="15">
        <f>OrdersTable!B882</f>
        <v>762</v>
      </c>
      <c r="K882" s="15" t="str">
        <f t="shared" si="293"/>
        <v>Statues and Busts</v>
      </c>
      <c r="L882" s="15" t="str">
        <f t="shared" si="294"/>
        <v>Doctor Who: Legends Forever Bust: Patrick Troughton</v>
      </c>
      <c r="M882" s="15" t="str">
        <f t="shared" si="295"/>
        <v>-</v>
      </c>
      <c r="N882" s="15">
        <f t="shared" si="296"/>
        <v>1.375</v>
      </c>
      <c r="O882" s="15" t="str">
        <f t="shared" si="297"/>
        <v>A40</v>
      </c>
      <c r="P882" s="15" t="str">
        <f t="shared" si="298"/>
        <v>Romana Imports</v>
      </c>
      <c r="Q882" s="15" t="str">
        <f t="shared" si="299"/>
        <v>17 Lalla Ward Road</v>
      </c>
      <c r="R882" s="3">
        <f>OrdersTable!C882</f>
        <v>44624</v>
      </c>
      <c r="S882" s="15">
        <f>OrdersTable!E882</f>
        <v>7</v>
      </c>
      <c r="T882" s="15">
        <f t="shared" si="300"/>
        <v>27.5</v>
      </c>
      <c r="U882" s="15">
        <f t="shared" si="301"/>
        <v>37.799999999999997</v>
      </c>
      <c r="V882" s="15">
        <f t="shared" si="302"/>
        <v>44.55</v>
      </c>
      <c r="W882" s="15">
        <f>IF(MarkupType="Store Markup",ROUND(V882+V882*StoreMarkup,2),IF(MarkupType="Supplier Markup",V882+V882*SupplierMarkup,"Error at finding value"))</f>
        <v>70.17</v>
      </c>
      <c r="X882" s="32" t="str">
        <f t="shared" si="304"/>
        <v>0.00</v>
      </c>
      <c r="Y882" s="15">
        <f t="shared" si="305"/>
        <v>311.85000000000002</v>
      </c>
      <c r="Z882" s="15">
        <f t="shared" si="306"/>
        <v>491.19</v>
      </c>
      <c r="AA882" s="15">
        <f>IF(FreightType="Lethbridge-Stewart Freight ",ROUND(2.99+IF(N882&gt;0.75,(N882-0.75)*2.25,0)*S882,2),IF(MarkupType="Supplier Markup",V882+V882*SupplierMarkup,"Error at finding value"))</f>
        <v>12.83</v>
      </c>
      <c r="AB882" s="15">
        <f t="shared" si="307"/>
        <v>0</v>
      </c>
    </row>
    <row r="883" spans="1:28" x14ac:dyDescent="0.25">
      <c r="A883" s="16">
        <f>OrdersTable!A883</f>
        <v>370</v>
      </c>
      <c r="B883" s="15" t="str">
        <f t="shared" si="287"/>
        <v>Mr</v>
      </c>
      <c r="C883" s="15" t="str">
        <f t="shared" si="308"/>
        <v>Kennedy</v>
      </c>
      <c r="D883" s="15" t="str">
        <f t="shared" si="288"/>
        <v>Joseph Dominic</v>
      </c>
      <c r="E883" s="15" t="str">
        <f t="shared" si="289"/>
        <v>43 Barton Road</v>
      </c>
      <c r="F883" s="15" t="str">
        <f t="shared" si="290"/>
        <v>Boston</v>
      </c>
      <c r="G883" s="15" t="str">
        <f t="shared" si="291"/>
        <v>SA</v>
      </c>
      <c r="H883" s="15">
        <f t="shared" si="292"/>
        <v>5607</v>
      </c>
      <c r="I883" s="15">
        <f t="shared" si="303"/>
        <v>2076</v>
      </c>
      <c r="J883" s="15">
        <f>OrdersTable!B883</f>
        <v>543</v>
      </c>
      <c r="K883" s="15" t="str">
        <f t="shared" si="293"/>
        <v>Giftware</v>
      </c>
      <c r="L883" s="15" t="str">
        <f t="shared" si="294"/>
        <v>Doctor Who: Sonic Screwdriver Pen</v>
      </c>
      <c r="M883" s="15" t="str">
        <f t="shared" si="295"/>
        <v>-</v>
      </c>
      <c r="N883" s="15">
        <f t="shared" si="296"/>
        <v>0.65</v>
      </c>
      <c r="O883" s="15" t="str">
        <f t="shared" si="297"/>
        <v>A20</v>
      </c>
      <c r="P883" s="15" t="str">
        <f t="shared" si="298"/>
        <v>Morbius Inc.</v>
      </c>
      <c r="Q883" s="15" t="str">
        <f t="shared" si="299"/>
        <v>56 Michael Spice Hwy</v>
      </c>
      <c r="R883" s="3">
        <f>OrdersTable!C883</f>
        <v>44624</v>
      </c>
      <c r="S883" s="15">
        <f>OrdersTable!E883</f>
        <v>8</v>
      </c>
      <c r="T883" s="15">
        <f t="shared" si="300"/>
        <v>12.99</v>
      </c>
      <c r="U883" s="15">
        <f t="shared" si="301"/>
        <v>18.02</v>
      </c>
      <c r="V883" s="15">
        <f t="shared" si="302"/>
        <v>21.04</v>
      </c>
      <c r="W883" s="15">
        <f>IF(MarkupType="Store Markup",ROUND(V883+V883*StoreMarkup,2),IF(MarkupType="Supplier Markup",V883+V883*SupplierMarkup,"Error at finding value"))</f>
        <v>33.14</v>
      </c>
      <c r="X883" s="32" t="str">
        <f t="shared" si="304"/>
        <v>0.00</v>
      </c>
      <c r="Y883" s="15">
        <f t="shared" si="305"/>
        <v>168.32</v>
      </c>
      <c r="Z883" s="15">
        <f t="shared" si="306"/>
        <v>265.12</v>
      </c>
      <c r="AA883" s="15">
        <f>IF(FreightType="Lethbridge-Stewart Freight ",ROUND(2.99+IF(N883&gt;0.75,(N883-0.75)*2.25,0)*S883,2),IF(MarkupType="Supplier Markup",V883+V883*SupplierMarkup,"Error at finding value"))</f>
        <v>2.99</v>
      </c>
      <c r="AB883" s="15">
        <f t="shared" si="307"/>
        <v>0</v>
      </c>
    </row>
    <row r="884" spans="1:28" x14ac:dyDescent="0.25">
      <c r="A884" s="16">
        <f>OrdersTable!A884</f>
        <v>546</v>
      </c>
      <c r="B884" s="15" t="str">
        <f t="shared" si="287"/>
        <v>Ms</v>
      </c>
      <c r="C884" s="15" t="str">
        <f t="shared" si="308"/>
        <v>Shortt</v>
      </c>
      <c r="D884" s="15" t="str">
        <f t="shared" si="288"/>
        <v>Rickylee Sidonia</v>
      </c>
      <c r="E884" s="15" t="str">
        <f t="shared" si="289"/>
        <v>4 Hughes Road</v>
      </c>
      <c r="F884" s="15" t="str">
        <f t="shared" si="290"/>
        <v>Glenfern</v>
      </c>
      <c r="G884" s="15" t="str">
        <f t="shared" si="291"/>
        <v>QLD</v>
      </c>
      <c r="H884" s="15">
        <f t="shared" si="292"/>
        <v>4515</v>
      </c>
      <c r="I884" s="15">
        <f t="shared" si="303"/>
        <v>128</v>
      </c>
      <c r="J884" s="15">
        <f>OrdersTable!B884</f>
        <v>164</v>
      </c>
      <c r="K884" s="15" t="str">
        <f t="shared" si="293"/>
        <v>Bobbleheads</v>
      </c>
      <c r="L884" s="15" t="str">
        <f t="shared" si="294"/>
        <v>Doctor Who: Bobblehead: Fourth Doctor</v>
      </c>
      <c r="M884" s="15" t="str">
        <f t="shared" si="295"/>
        <v>-</v>
      </c>
      <c r="N884" s="15">
        <f t="shared" si="296"/>
        <v>0.75</v>
      </c>
      <c r="O884" s="15" t="str">
        <f t="shared" si="297"/>
        <v>A40</v>
      </c>
      <c r="P884" s="15" t="str">
        <f t="shared" si="298"/>
        <v>Romana Imports</v>
      </c>
      <c r="Q884" s="15" t="str">
        <f t="shared" si="299"/>
        <v>17 Lalla Ward Road</v>
      </c>
      <c r="R884" s="3">
        <f>OrdersTable!C884</f>
        <v>44624</v>
      </c>
      <c r="S884" s="15">
        <f>OrdersTable!E884</f>
        <v>1</v>
      </c>
      <c r="T884" s="15">
        <f t="shared" si="300"/>
        <v>14.99</v>
      </c>
      <c r="U884" s="15">
        <f t="shared" si="301"/>
        <v>20.53</v>
      </c>
      <c r="V884" s="15">
        <f t="shared" si="302"/>
        <v>24.28</v>
      </c>
      <c r="W884" s="15">
        <f>IF(MarkupType="Store Markup",ROUND(V884+V884*StoreMarkup,2),IF(MarkupType="Supplier Markup",V884+V884*SupplierMarkup,"Error at finding value"))</f>
        <v>38.24</v>
      </c>
      <c r="X884" s="32" t="str">
        <f t="shared" si="304"/>
        <v>0.00</v>
      </c>
      <c r="Y884" s="15">
        <f t="shared" si="305"/>
        <v>24.28</v>
      </c>
      <c r="Z884" s="15">
        <f t="shared" si="306"/>
        <v>38.24</v>
      </c>
      <c r="AA884" s="15">
        <f>IF(FreightType="Lethbridge-Stewart Freight ",ROUND(2.99+IF(N884&gt;0.75,(N884-0.75)*2.25,0)*S884,2),IF(MarkupType="Supplier Markup",V884+V884*SupplierMarkup,"Error at finding value"))</f>
        <v>2.99</v>
      </c>
      <c r="AB884" s="15">
        <f t="shared" si="307"/>
        <v>0</v>
      </c>
    </row>
    <row r="885" spans="1:28" x14ac:dyDescent="0.25">
      <c r="A885" s="16">
        <f>OrdersTable!A885</f>
        <v>557</v>
      </c>
      <c r="B885" s="15" t="str">
        <f t="shared" si="287"/>
        <v>Mrs</v>
      </c>
      <c r="C885" s="15" t="str">
        <f t="shared" si="308"/>
        <v>Allen</v>
      </c>
      <c r="D885" s="15" t="str">
        <f t="shared" si="288"/>
        <v>Morgan</v>
      </c>
      <c r="E885" s="15" t="str">
        <f t="shared" si="289"/>
        <v>15 Winsor Street</v>
      </c>
      <c r="F885" s="15" t="str">
        <f t="shared" si="290"/>
        <v>Appletree Flat</v>
      </c>
      <c r="G885" s="15" t="str">
        <f t="shared" si="291"/>
        <v>NSW</v>
      </c>
      <c r="H885" s="15">
        <f t="shared" si="292"/>
        <v>2330</v>
      </c>
      <c r="I885" s="15">
        <f t="shared" si="303"/>
        <v>691</v>
      </c>
      <c r="J885" s="15">
        <f>OrdersTable!B885</f>
        <v>239</v>
      </c>
      <c r="K885" s="15" t="str">
        <f t="shared" si="293"/>
        <v>Clothing and Apparel</v>
      </c>
      <c r="L885" s="15" t="str">
        <f t="shared" si="294"/>
        <v>Doctor Who: Men's Winter Pyjamas</v>
      </c>
      <c r="M885" s="15" t="str">
        <f t="shared" si="295"/>
        <v>L</v>
      </c>
      <c r="N885" s="15">
        <f t="shared" si="296"/>
        <v>1.5</v>
      </c>
      <c r="O885" s="15" t="str">
        <f t="shared" si="297"/>
        <v>A10</v>
      </c>
      <c r="P885" s="15" t="str">
        <f t="shared" si="298"/>
        <v>Gallifrey International</v>
      </c>
      <c r="Q885" s="15" t="str">
        <f t="shared" si="299"/>
        <v>181 Arcadia Street</v>
      </c>
      <c r="R885" s="3">
        <f>OrdersTable!C885</f>
        <v>44624</v>
      </c>
      <c r="S885" s="15">
        <f>OrdersTable!E885</f>
        <v>1</v>
      </c>
      <c r="T885" s="15">
        <f t="shared" si="300"/>
        <v>29.99</v>
      </c>
      <c r="U885" s="15">
        <f t="shared" si="301"/>
        <v>41.23</v>
      </c>
      <c r="V885" s="15">
        <f t="shared" si="302"/>
        <v>48.58</v>
      </c>
      <c r="W885" s="15">
        <f>IF(MarkupType="Store Markup",ROUND(V885+V885*StoreMarkup,2),IF(MarkupType="Supplier Markup",V885+V885*SupplierMarkup,"Error at finding value"))</f>
        <v>76.510000000000005</v>
      </c>
      <c r="X885" s="32" t="str">
        <f t="shared" si="304"/>
        <v>0.00</v>
      </c>
      <c r="Y885" s="15">
        <f t="shared" si="305"/>
        <v>48.58</v>
      </c>
      <c r="Z885" s="15">
        <f t="shared" si="306"/>
        <v>76.510000000000005</v>
      </c>
      <c r="AA885" s="15">
        <f>IF(FreightType="Lethbridge-Stewart Freight ",ROUND(2.99+IF(N885&gt;0.75,(N885-0.75)*2.25,0)*S885,2),IF(MarkupType="Supplier Markup",V885+V885*SupplierMarkup,"Error at finding value"))</f>
        <v>4.68</v>
      </c>
      <c r="AB885" s="15">
        <f t="shared" si="307"/>
        <v>0</v>
      </c>
    </row>
    <row r="886" spans="1:28" x14ac:dyDescent="0.25">
      <c r="A886" s="16">
        <f>OrdersTable!A886</f>
        <v>557</v>
      </c>
      <c r="B886" s="15" t="str">
        <f t="shared" si="287"/>
        <v>Mrs</v>
      </c>
      <c r="C886" s="15" t="str">
        <f t="shared" si="308"/>
        <v>Allen</v>
      </c>
      <c r="D886" s="15" t="str">
        <f t="shared" si="288"/>
        <v>Morgan</v>
      </c>
      <c r="E886" s="15" t="str">
        <f t="shared" si="289"/>
        <v>15 Winsor Street</v>
      </c>
      <c r="F886" s="15" t="str">
        <f t="shared" si="290"/>
        <v>Appletree Flat</v>
      </c>
      <c r="G886" s="15" t="str">
        <f t="shared" si="291"/>
        <v>NSW</v>
      </c>
      <c r="H886" s="15">
        <f t="shared" si="292"/>
        <v>2330</v>
      </c>
      <c r="I886" s="15">
        <f t="shared" si="303"/>
        <v>691</v>
      </c>
      <c r="J886" s="15">
        <f>OrdersTable!B886</f>
        <v>759</v>
      </c>
      <c r="K886" s="15" t="str">
        <f t="shared" si="293"/>
        <v>Statues and Busts</v>
      </c>
      <c r="L886" s="15" t="str">
        <f t="shared" si="294"/>
        <v>Doctor Who: Legends Forever Bust: Jon Pertwee</v>
      </c>
      <c r="M886" s="15" t="str">
        <f t="shared" si="295"/>
        <v>-</v>
      </c>
      <c r="N886" s="15">
        <f t="shared" si="296"/>
        <v>1.375</v>
      </c>
      <c r="O886" s="15" t="str">
        <f t="shared" si="297"/>
        <v>A30</v>
      </c>
      <c r="P886" s="15" t="str">
        <f t="shared" si="298"/>
        <v>Chesterton Enterprises</v>
      </c>
      <c r="Q886" s="15" t="str">
        <f t="shared" si="299"/>
        <v>41 William Russell Road</v>
      </c>
      <c r="R886" s="3">
        <f>OrdersTable!C886</f>
        <v>44624</v>
      </c>
      <c r="S886" s="15">
        <f>OrdersTable!E886</f>
        <v>3</v>
      </c>
      <c r="T886" s="15">
        <f t="shared" si="300"/>
        <v>27.5</v>
      </c>
      <c r="U886" s="15">
        <f t="shared" si="301"/>
        <v>37.630000000000003</v>
      </c>
      <c r="V886" s="15">
        <f t="shared" si="302"/>
        <v>44.55</v>
      </c>
      <c r="W886" s="15">
        <f>IF(MarkupType="Store Markup",ROUND(V886+V886*StoreMarkup,2),IF(MarkupType="Supplier Markup",V886+V886*SupplierMarkup,"Error at finding value"))</f>
        <v>70.17</v>
      </c>
      <c r="X886" s="32" t="str">
        <f t="shared" si="304"/>
        <v>0.00</v>
      </c>
      <c r="Y886" s="15">
        <f t="shared" si="305"/>
        <v>133.65</v>
      </c>
      <c r="Z886" s="15">
        <f t="shared" si="306"/>
        <v>210.51</v>
      </c>
      <c r="AA886" s="15">
        <f>IF(FreightType="Lethbridge-Stewart Freight ",ROUND(2.99+IF(N886&gt;0.75,(N886-0.75)*2.25,0)*S886,2),IF(MarkupType="Supplier Markup",V886+V886*SupplierMarkup,"Error at finding value"))</f>
        <v>7.21</v>
      </c>
      <c r="AB886" s="15">
        <f t="shared" si="307"/>
        <v>0</v>
      </c>
    </row>
    <row r="887" spans="1:28" x14ac:dyDescent="0.25">
      <c r="A887" s="16">
        <f>OrdersTable!A887</f>
        <v>580</v>
      </c>
      <c r="B887" s="15" t="str">
        <f t="shared" si="287"/>
        <v>Mr</v>
      </c>
      <c r="C887" s="15" t="str">
        <f t="shared" si="308"/>
        <v>Faatoafe</v>
      </c>
      <c r="D887" s="15" t="str">
        <f t="shared" si="288"/>
        <v>Jasson Iosefa</v>
      </c>
      <c r="E887" s="15" t="str">
        <f t="shared" si="289"/>
        <v>29 Schaffer Boulevard</v>
      </c>
      <c r="F887" s="15" t="str">
        <f t="shared" si="290"/>
        <v>Binduli</v>
      </c>
      <c r="G887" s="15" t="str">
        <f t="shared" si="291"/>
        <v>WA</v>
      </c>
      <c r="H887" s="15">
        <f t="shared" si="292"/>
        <v>6430</v>
      </c>
      <c r="I887" s="15">
        <f t="shared" si="303"/>
        <v>3543</v>
      </c>
      <c r="J887" s="15">
        <f>OrdersTable!B887</f>
        <v>752</v>
      </c>
      <c r="K887" s="15" t="str">
        <f t="shared" si="293"/>
        <v>Statues and Busts</v>
      </c>
      <c r="L887" s="15" t="str">
        <f t="shared" si="294"/>
        <v>Doctor Who: Helmet: Cyberman Leader</v>
      </c>
      <c r="M887" s="15" t="str">
        <f t="shared" si="295"/>
        <v>-</v>
      </c>
      <c r="N887" s="15">
        <f t="shared" si="296"/>
        <v>2</v>
      </c>
      <c r="O887" s="15" t="str">
        <f t="shared" si="297"/>
        <v>A30</v>
      </c>
      <c r="P887" s="15" t="str">
        <f t="shared" si="298"/>
        <v>Chesterton Enterprises</v>
      </c>
      <c r="Q887" s="15" t="str">
        <f t="shared" si="299"/>
        <v>41 William Russell Road</v>
      </c>
      <c r="R887" s="3">
        <f>OrdersTable!C887</f>
        <v>44624</v>
      </c>
      <c r="S887" s="15">
        <f>OrdersTable!E887</f>
        <v>2</v>
      </c>
      <c r="T887" s="15">
        <f t="shared" si="300"/>
        <v>39.99</v>
      </c>
      <c r="U887" s="15">
        <f t="shared" si="301"/>
        <v>54.85</v>
      </c>
      <c r="V887" s="15">
        <f t="shared" si="302"/>
        <v>64.78</v>
      </c>
      <c r="W887" s="15">
        <f>IF(MarkupType="Store Markup",ROUND(V887+V887*StoreMarkup,2),IF(MarkupType="Supplier Markup",V887+V887*SupplierMarkup,"Error at finding value"))</f>
        <v>102.03</v>
      </c>
      <c r="X887" s="32" t="str">
        <f t="shared" si="304"/>
        <v>0.00</v>
      </c>
      <c r="Y887" s="15">
        <f t="shared" si="305"/>
        <v>129.56</v>
      </c>
      <c r="Z887" s="15">
        <f t="shared" si="306"/>
        <v>204.06</v>
      </c>
      <c r="AA887" s="15">
        <f>IF(FreightType="Lethbridge-Stewart Freight ",ROUND(2.99+IF(N887&gt;0.75,(N887-0.75)*2.25,0)*S887,2),IF(MarkupType="Supplier Markup",V887+V887*SupplierMarkup,"Error at finding value"))</f>
        <v>8.6199999999999992</v>
      </c>
      <c r="AB887" s="15">
        <f t="shared" si="307"/>
        <v>0</v>
      </c>
    </row>
    <row r="888" spans="1:28" x14ac:dyDescent="0.25">
      <c r="A888" s="16">
        <f>OrdersTable!A888</f>
        <v>609</v>
      </c>
      <c r="B888" s="15" t="str">
        <f t="shared" si="287"/>
        <v>Ms</v>
      </c>
      <c r="C888" s="15" t="str">
        <f t="shared" si="308"/>
        <v>Ashley</v>
      </c>
      <c r="D888" s="15" t="str">
        <f t="shared" si="288"/>
        <v>Matthew</v>
      </c>
      <c r="E888" s="15" t="str">
        <f t="shared" si="289"/>
        <v>3 Wagener Crescent</v>
      </c>
      <c r="F888" s="15" t="str">
        <f t="shared" si="290"/>
        <v>Aberfoyle</v>
      </c>
      <c r="G888" s="15" t="str">
        <f t="shared" si="291"/>
        <v>NSW</v>
      </c>
      <c r="H888" s="15">
        <f t="shared" si="292"/>
        <v>2350</v>
      </c>
      <c r="I888" s="15">
        <f t="shared" si="303"/>
        <v>363</v>
      </c>
      <c r="J888" s="15">
        <f>OrdersTable!B888</f>
        <v>853</v>
      </c>
      <c r="K888" s="15" t="str">
        <f t="shared" si="293"/>
        <v>Statues and Busts</v>
      </c>
      <c r="L888" s="15" t="str">
        <f t="shared" si="294"/>
        <v>Doctor Who: Statue: The Master And Auton</v>
      </c>
      <c r="M888" s="15" t="str">
        <f t="shared" si="295"/>
        <v>-</v>
      </c>
      <c r="N888" s="15">
        <f t="shared" si="296"/>
        <v>3.5</v>
      </c>
      <c r="O888" s="15" t="str">
        <f t="shared" si="297"/>
        <v>A50</v>
      </c>
      <c r="P888" s="15" t="str">
        <f t="shared" si="298"/>
        <v>Rassilon Ltd.</v>
      </c>
      <c r="Q888" s="15" t="str">
        <f t="shared" si="299"/>
        <v>82 Richard Mathews Road</v>
      </c>
      <c r="R888" s="3">
        <f>OrdersTable!C888</f>
        <v>44624</v>
      </c>
      <c r="S888" s="15">
        <f>OrdersTable!E888</f>
        <v>1</v>
      </c>
      <c r="T888" s="15">
        <f t="shared" si="300"/>
        <v>69.989999999999995</v>
      </c>
      <c r="U888" s="15">
        <f t="shared" si="301"/>
        <v>95.51</v>
      </c>
      <c r="V888" s="15">
        <f t="shared" si="302"/>
        <v>113.38</v>
      </c>
      <c r="W888" s="15">
        <f>IF(MarkupType="Store Markup",ROUND(V888+V888*StoreMarkup,2),IF(MarkupType="Supplier Markup",V888+V888*SupplierMarkup,"Error at finding value"))</f>
        <v>178.57</v>
      </c>
      <c r="X888" s="32" t="str">
        <f t="shared" si="304"/>
        <v>0.00</v>
      </c>
      <c r="Y888" s="15">
        <f t="shared" si="305"/>
        <v>113.38</v>
      </c>
      <c r="Z888" s="15">
        <f t="shared" si="306"/>
        <v>178.57</v>
      </c>
      <c r="AA888" s="15">
        <f>IF(FreightType="Lethbridge-Stewart Freight ",ROUND(2.99+IF(N888&gt;0.75,(N888-0.75)*2.25,0)*S888,2),IF(MarkupType="Supplier Markup",V888+V888*SupplierMarkup,"Error at finding value"))</f>
        <v>9.18</v>
      </c>
      <c r="AB888" s="15">
        <f t="shared" si="307"/>
        <v>0</v>
      </c>
    </row>
    <row r="889" spans="1:28" x14ac:dyDescent="0.25">
      <c r="A889" s="16">
        <f>OrdersTable!A889</f>
        <v>651</v>
      </c>
      <c r="B889" s="15" t="str">
        <f t="shared" si="287"/>
        <v>Mr</v>
      </c>
      <c r="C889" s="15" t="str">
        <f t="shared" si="308"/>
        <v>Wilkes</v>
      </c>
      <c r="D889" s="15" t="str">
        <f t="shared" si="288"/>
        <v>Harley</v>
      </c>
      <c r="E889" s="15" t="str">
        <f t="shared" si="289"/>
        <v>12 Locke Circuit</v>
      </c>
      <c r="F889" s="15" t="str">
        <f t="shared" si="290"/>
        <v>Bray Park</v>
      </c>
      <c r="G889" s="15" t="str">
        <f t="shared" si="291"/>
        <v>QLD</v>
      </c>
      <c r="H889" s="15">
        <f t="shared" si="292"/>
        <v>4500</v>
      </c>
      <c r="I889" s="15">
        <f t="shared" si="303"/>
        <v>139</v>
      </c>
      <c r="J889" s="15">
        <f>OrdersTable!B889</f>
        <v>694</v>
      </c>
      <c r="K889" s="15" t="str">
        <f t="shared" si="293"/>
        <v>Posters, Prints and Standees</v>
      </c>
      <c r="L889" s="15" t="str">
        <f t="shared" si="294"/>
        <v>Doctor Who: 16'x12' Framed Print: Hide</v>
      </c>
      <c r="M889" s="15" t="str">
        <f t="shared" si="295"/>
        <v>-</v>
      </c>
      <c r="N889" s="15">
        <f t="shared" si="296"/>
        <v>0.75</v>
      </c>
      <c r="O889" s="15" t="str">
        <f t="shared" si="297"/>
        <v>A40</v>
      </c>
      <c r="P889" s="15" t="str">
        <f t="shared" si="298"/>
        <v>Romana Imports</v>
      </c>
      <c r="Q889" s="15" t="str">
        <f t="shared" si="299"/>
        <v>17 Lalla Ward Road</v>
      </c>
      <c r="R889" s="3">
        <f>OrdersTable!C889</f>
        <v>44624</v>
      </c>
      <c r="S889" s="15">
        <f>OrdersTable!E889</f>
        <v>3</v>
      </c>
      <c r="T889" s="15">
        <f t="shared" si="300"/>
        <v>14.99</v>
      </c>
      <c r="U889" s="15">
        <f t="shared" si="301"/>
        <v>20.49</v>
      </c>
      <c r="V889" s="15">
        <f t="shared" si="302"/>
        <v>24.28</v>
      </c>
      <c r="W889" s="15">
        <f>IF(MarkupType="Store Markup",ROUND(V889+V889*StoreMarkup,2),IF(MarkupType="Supplier Markup",V889+V889*SupplierMarkup,"Error at finding value"))</f>
        <v>38.24</v>
      </c>
      <c r="X889" s="32" t="str">
        <f t="shared" si="304"/>
        <v>0.00</v>
      </c>
      <c r="Y889" s="15">
        <f t="shared" si="305"/>
        <v>72.84</v>
      </c>
      <c r="Z889" s="15">
        <f t="shared" si="306"/>
        <v>114.72</v>
      </c>
      <c r="AA889" s="15">
        <f>IF(FreightType="Lethbridge-Stewart Freight ",ROUND(2.99+IF(N889&gt;0.75,(N889-0.75)*2.25,0)*S889,2),IF(MarkupType="Supplier Markup",V889+V889*SupplierMarkup,"Error at finding value"))</f>
        <v>2.99</v>
      </c>
      <c r="AB889" s="15">
        <f t="shared" si="307"/>
        <v>0</v>
      </c>
    </row>
    <row r="890" spans="1:28" x14ac:dyDescent="0.25">
      <c r="A890" s="16">
        <f>OrdersTable!A890</f>
        <v>730</v>
      </c>
      <c r="B890" s="15" t="str">
        <f t="shared" si="287"/>
        <v>Mr</v>
      </c>
      <c r="C890" s="15" t="str">
        <f t="shared" si="308"/>
        <v>Romer</v>
      </c>
      <c r="D890" s="15" t="str">
        <f t="shared" si="288"/>
        <v>Leo Alexander</v>
      </c>
      <c r="E890" s="15" t="str">
        <f t="shared" si="289"/>
        <v>47 Bennett Circuit</v>
      </c>
      <c r="F890" s="15" t="str">
        <f t="shared" si="290"/>
        <v>Caliph</v>
      </c>
      <c r="G890" s="15" t="str">
        <f t="shared" si="291"/>
        <v>SA</v>
      </c>
      <c r="H890" s="15">
        <f t="shared" si="292"/>
        <v>5310</v>
      </c>
      <c r="I890" s="15">
        <f t="shared" si="303"/>
        <v>1720</v>
      </c>
      <c r="J890" s="15">
        <f>OrdersTable!B890</f>
        <v>585</v>
      </c>
      <c r="K890" s="15" t="str">
        <f t="shared" si="293"/>
        <v>iPhone Skins</v>
      </c>
      <c r="L890" s="15" t="str">
        <f t="shared" si="294"/>
        <v>Doctor Who: iPhone Skin: Dalek To Victory</v>
      </c>
      <c r="M890" s="15" t="str">
        <f t="shared" si="295"/>
        <v>-</v>
      </c>
      <c r="N890" s="15">
        <f t="shared" si="296"/>
        <v>0.5</v>
      </c>
      <c r="O890" s="15" t="str">
        <f t="shared" si="297"/>
        <v>A10</v>
      </c>
      <c r="P890" s="15" t="str">
        <f t="shared" si="298"/>
        <v>Gallifrey International</v>
      </c>
      <c r="Q890" s="15" t="str">
        <f t="shared" si="299"/>
        <v>181 Arcadia Street</v>
      </c>
      <c r="R890" s="3">
        <f>OrdersTable!C890</f>
        <v>44624</v>
      </c>
      <c r="S890" s="15">
        <f>OrdersTable!E890</f>
        <v>2</v>
      </c>
      <c r="T890" s="15">
        <f t="shared" si="300"/>
        <v>9.99</v>
      </c>
      <c r="U890" s="15">
        <f t="shared" si="301"/>
        <v>13.7</v>
      </c>
      <c r="V890" s="15">
        <f t="shared" si="302"/>
        <v>16.18</v>
      </c>
      <c r="W890" s="15">
        <f>IF(MarkupType="Store Markup",ROUND(V890+V890*StoreMarkup,2),IF(MarkupType="Supplier Markup",V890+V890*SupplierMarkup,"Error at finding value"))</f>
        <v>25.48</v>
      </c>
      <c r="X890" s="32" t="str">
        <f t="shared" si="304"/>
        <v>0.00</v>
      </c>
      <c r="Y890" s="15">
        <f t="shared" si="305"/>
        <v>32.36</v>
      </c>
      <c r="Z890" s="15">
        <f t="shared" si="306"/>
        <v>50.96</v>
      </c>
      <c r="AA890" s="15">
        <f>IF(FreightType="Lethbridge-Stewart Freight ",ROUND(2.99+IF(N890&gt;0.75,(N890-0.75)*2.25,0)*S890,2),IF(MarkupType="Supplier Markup",V890+V890*SupplierMarkup,"Error at finding value"))</f>
        <v>2.99</v>
      </c>
      <c r="AB890" s="15">
        <f t="shared" si="307"/>
        <v>0</v>
      </c>
    </row>
    <row r="891" spans="1:28" x14ac:dyDescent="0.25">
      <c r="A891" s="16">
        <f>OrdersTable!A891</f>
        <v>730</v>
      </c>
      <c r="B891" s="15" t="str">
        <f t="shared" si="287"/>
        <v>Mr</v>
      </c>
      <c r="C891" s="15" t="str">
        <f t="shared" si="308"/>
        <v>Romer</v>
      </c>
      <c r="D891" s="15" t="str">
        <f t="shared" si="288"/>
        <v>Leo Alexander</v>
      </c>
      <c r="E891" s="15" t="str">
        <f t="shared" si="289"/>
        <v>47 Bennett Circuit</v>
      </c>
      <c r="F891" s="15" t="str">
        <f t="shared" si="290"/>
        <v>Caliph</v>
      </c>
      <c r="G891" s="15" t="str">
        <f t="shared" si="291"/>
        <v>SA</v>
      </c>
      <c r="H891" s="15">
        <f t="shared" si="292"/>
        <v>5310</v>
      </c>
      <c r="I891" s="15">
        <f t="shared" si="303"/>
        <v>1720</v>
      </c>
      <c r="J891" s="15">
        <f>OrdersTable!B891</f>
        <v>698</v>
      </c>
      <c r="K891" s="15" t="str">
        <f t="shared" si="293"/>
        <v>Posters, Prints and Standees</v>
      </c>
      <c r="L891" s="15" t="str">
        <f t="shared" si="294"/>
        <v>Doctor Who: Art Print: My Mysterious Doctor</v>
      </c>
      <c r="M891" s="15" t="str">
        <f t="shared" si="295"/>
        <v>-</v>
      </c>
      <c r="N891" s="15">
        <f t="shared" si="296"/>
        <v>0.75</v>
      </c>
      <c r="O891" s="15" t="str">
        <f t="shared" si="297"/>
        <v>A30</v>
      </c>
      <c r="P891" s="15" t="str">
        <f t="shared" si="298"/>
        <v>Chesterton Enterprises</v>
      </c>
      <c r="Q891" s="15" t="str">
        <f t="shared" si="299"/>
        <v>41 William Russell Road</v>
      </c>
      <c r="R891" s="3">
        <f>OrdersTable!C891</f>
        <v>44624</v>
      </c>
      <c r="S891" s="15">
        <f>OrdersTable!E891</f>
        <v>7</v>
      </c>
      <c r="T891" s="15">
        <f t="shared" si="300"/>
        <v>14.99</v>
      </c>
      <c r="U891" s="15">
        <f t="shared" si="301"/>
        <v>20.56</v>
      </c>
      <c r="V891" s="15">
        <f t="shared" si="302"/>
        <v>24.28</v>
      </c>
      <c r="W891" s="15">
        <f>IF(MarkupType="Store Markup",ROUND(V891+V891*StoreMarkup,2),IF(MarkupType="Supplier Markup",V891+V891*SupplierMarkup,"Error at finding value"))</f>
        <v>38.24</v>
      </c>
      <c r="X891" s="32" t="str">
        <f t="shared" si="304"/>
        <v>0.00</v>
      </c>
      <c r="Y891" s="15">
        <f t="shared" si="305"/>
        <v>169.96</v>
      </c>
      <c r="Z891" s="15">
        <f t="shared" si="306"/>
        <v>267.68</v>
      </c>
      <c r="AA891" s="15">
        <f>IF(FreightType="Lethbridge-Stewart Freight ",ROUND(2.99+IF(N891&gt;0.75,(N891-0.75)*2.25,0)*S891,2),IF(MarkupType="Supplier Markup",V891+V891*SupplierMarkup,"Error at finding value"))</f>
        <v>2.99</v>
      </c>
      <c r="AB891" s="15">
        <f t="shared" si="307"/>
        <v>0</v>
      </c>
    </row>
    <row r="892" spans="1:28" x14ac:dyDescent="0.25">
      <c r="A892" s="16">
        <f>OrdersTable!A892</f>
        <v>46</v>
      </c>
      <c r="B892" s="15" t="str">
        <f t="shared" si="287"/>
        <v>Mrs</v>
      </c>
      <c r="C892" s="15" t="str">
        <f t="shared" si="308"/>
        <v>Dovey</v>
      </c>
      <c r="D892" s="15" t="str">
        <f t="shared" si="288"/>
        <v>Aisha Jade</v>
      </c>
      <c r="E892" s="15" t="str">
        <f t="shared" si="289"/>
        <v>43 Wilkes Circuit</v>
      </c>
      <c r="F892" s="15" t="str">
        <f t="shared" si="290"/>
        <v>Alfredtown</v>
      </c>
      <c r="G892" s="15" t="str">
        <f t="shared" si="291"/>
        <v>NSW</v>
      </c>
      <c r="H892" s="15">
        <f t="shared" si="292"/>
        <v>2650</v>
      </c>
      <c r="I892" s="15">
        <f t="shared" si="303"/>
        <v>1124</v>
      </c>
      <c r="J892" s="15">
        <f>OrdersTable!B892</f>
        <v>701</v>
      </c>
      <c r="K892" s="15" t="str">
        <f t="shared" si="293"/>
        <v>Posters, Prints and Standees</v>
      </c>
      <c r="L892" s="15" t="str">
        <f t="shared" si="294"/>
        <v>Doctor Who: Half Sized Standee: The TARDIS</v>
      </c>
      <c r="M892" s="15" t="str">
        <f t="shared" si="295"/>
        <v>-</v>
      </c>
      <c r="N892" s="15">
        <f t="shared" si="296"/>
        <v>0.5</v>
      </c>
      <c r="O892" s="15" t="str">
        <f t="shared" si="297"/>
        <v>A40</v>
      </c>
      <c r="P892" s="15" t="str">
        <f t="shared" si="298"/>
        <v>Romana Imports</v>
      </c>
      <c r="Q892" s="15" t="str">
        <f t="shared" si="299"/>
        <v>17 Lalla Ward Road</v>
      </c>
      <c r="R892" s="3">
        <f>OrdersTable!C892</f>
        <v>44625</v>
      </c>
      <c r="S892" s="15">
        <f>OrdersTable!E892</f>
        <v>10</v>
      </c>
      <c r="T892" s="15">
        <f t="shared" si="300"/>
        <v>9.99</v>
      </c>
      <c r="U892" s="15">
        <f t="shared" si="301"/>
        <v>13.83</v>
      </c>
      <c r="V892" s="15">
        <f t="shared" si="302"/>
        <v>16.18</v>
      </c>
      <c r="W892" s="15">
        <f>IF(MarkupType="Store Markup",ROUND(V892+V892*StoreMarkup,2),IF(MarkupType="Supplier Markup",V892+V892*SupplierMarkup,"Error at finding value"))</f>
        <v>25.48</v>
      </c>
      <c r="X892" s="32" t="str">
        <f t="shared" si="304"/>
        <v>0.00</v>
      </c>
      <c r="Y892" s="15">
        <f t="shared" si="305"/>
        <v>161.80000000000001</v>
      </c>
      <c r="Z892" s="15">
        <f t="shared" si="306"/>
        <v>254.8</v>
      </c>
      <c r="AA892" s="15">
        <f>IF(FreightType="Lethbridge-Stewart Freight ",ROUND(2.99+IF(N892&gt;0.75,(N892-0.75)*2.25,0)*S892,2),IF(MarkupType="Supplier Markup",V892+V892*SupplierMarkup,"Error at finding value"))</f>
        <v>2.99</v>
      </c>
      <c r="AB892" s="15">
        <f t="shared" si="307"/>
        <v>0</v>
      </c>
    </row>
    <row r="893" spans="1:28" x14ac:dyDescent="0.25">
      <c r="A893" s="16">
        <f>OrdersTable!A893</f>
        <v>139</v>
      </c>
      <c r="B893" s="15" t="str">
        <f t="shared" si="287"/>
        <v>Mrs</v>
      </c>
      <c r="C893" s="15" t="str">
        <f t="shared" si="308"/>
        <v>Atkinson</v>
      </c>
      <c r="D893" s="15" t="str">
        <f t="shared" si="288"/>
        <v>Leanne</v>
      </c>
      <c r="E893" s="15" t="str">
        <f t="shared" si="289"/>
        <v>45 Maloney Boulevard</v>
      </c>
      <c r="F893" s="15" t="str">
        <f t="shared" si="290"/>
        <v>Avon Plains</v>
      </c>
      <c r="G893" s="15" t="str">
        <f t="shared" si="291"/>
        <v>VIC</v>
      </c>
      <c r="H893" s="15">
        <f t="shared" si="292"/>
        <v>3477</v>
      </c>
      <c r="I893" s="15">
        <f t="shared" si="303"/>
        <v>1565</v>
      </c>
      <c r="J893" s="15">
        <f>OrdersTable!B893</f>
        <v>164</v>
      </c>
      <c r="K893" s="15" t="str">
        <f t="shared" si="293"/>
        <v>Bobbleheads</v>
      </c>
      <c r="L893" s="15" t="str">
        <f t="shared" si="294"/>
        <v>Doctor Who: Bobblehead: Fourth Doctor</v>
      </c>
      <c r="M893" s="15" t="str">
        <f t="shared" si="295"/>
        <v>-</v>
      </c>
      <c r="N893" s="15">
        <f t="shared" si="296"/>
        <v>0.75</v>
      </c>
      <c r="O893" s="15" t="str">
        <f t="shared" si="297"/>
        <v>A40</v>
      </c>
      <c r="P893" s="15" t="str">
        <f t="shared" si="298"/>
        <v>Romana Imports</v>
      </c>
      <c r="Q893" s="15" t="str">
        <f t="shared" si="299"/>
        <v>17 Lalla Ward Road</v>
      </c>
      <c r="R893" s="3">
        <f>OrdersTable!C893</f>
        <v>44625</v>
      </c>
      <c r="S893" s="15">
        <f>OrdersTable!E893</f>
        <v>4</v>
      </c>
      <c r="T893" s="15">
        <f t="shared" si="300"/>
        <v>14.99</v>
      </c>
      <c r="U893" s="15">
        <f t="shared" si="301"/>
        <v>20.53</v>
      </c>
      <c r="V893" s="15">
        <f t="shared" si="302"/>
        <v>24.28</v>
      </c>
      <c r="W893" s="15">
        <f>IF(MarkupType="Store Markup",ROUND(V893+V893*StoreMarkup,2),IF(MarkupType="Supplier Markup",V893+V893*SupplierMarkup,"Error at finding value"))</f>
        <v>38.24</v>
      </c>
      <c r="X893" s="32" t="str">
        <f t="shared" si="304"/>
        <v>0.00</v>
      </c>
      <c r="Y893" s="15">
        <f t="shared" si="305"/>
        <v>97.12</v>
      </c>
      <c r="Z893" s="15">
        <f t="shared" si="306"/>
        <v>152.96</v>
      </c>
      <c r="AA893" s="15">
        <f>IF(FreightType="Lethbridge-Stewart Freight ",ROUND(2.99+IF(N893&gt;0.75,(N893-0.75)*2.25,0)*S893,2),IF(MarkupType="Supplier Markup",V893+V893*SupplierMarkup,"Error at finding value"))</f>
        <v>2.99</v>
      </c>
      <c r="AB893" s="15">
        <f t="shared" si="307"/>
        <v>0</v>
      </c>
    </row>
    <row r="894" spans="1:28" x14ac:dyDescent="0.25">
      <c r="A894" s="16">
        <f>OrdersTable!A894</f>
        <v>180</v>
      </c>
      <c r="B894" s="15" t="str">
        <f t="shared" si="287"/>
        <v>Mrs</v>
      </c>
      <c r="C894" s="15" t="str">
        <f t="shared" si="308"/>
        <v>Feeney</v>
      </c>
      <c r="D894" s="15" t="str">
        <f t="shared" si="288"/>
        <v>Jennifer Ruth</v>
      </c>
      <c r="E894" s="15" t="str">
        <f t="shared" si="289"/>
        <v>18 Cook Avenue</v>
      </c>
      <c r="F894" s="15" t="str">
        <f t="shared" si="290"/>
        <v>Nayook</v>
      </c>
      <c r="G894" s="15" t="str">
        <f t="shared" si="291"/>
        <v>VIC</v>
      </c>
      <c r="H894" s="15">
        <f t="shared" si="292"/>
        <v>3832</v>
      </c>
      <c r="I894" s="15">
        <f t="shared" si="303"/>
        <v>1552</v>
      </c>
      <c r="J894" s="15">
        <f>OrdersTable!B894</f>
        <v>834</v>
      </c>
      <c r="K894" s="15" t="str">
        <f t="shared" si="293"/>
        <v>Statues and Busts</v>
      </c>
      <c r="L894" s="15" t="str">
        <f t="shared" si="294"/>
        <v>Doctor Who: Signature Edition Statue: Gallifrey Edition: Matt Smith</v>
      </c>
      <c r="M894" s="15" t="str">
        <f t="shared" si="295"/>
        <v>-</v>
      </c>
      <c r="N894" s="15">
        <f t="shared" si="296"/>
        <v>2.5</v>
      </c>
      <c r="O894" s="15" t="str">
        <f t="shared" si="297"/>
        <v>A30</v>
      </c>
      <c r="P894" s="15" t="str">
        <f t="shared" si="298"/>
        <v>Chesterton Enterprises</v>
      </c>
      <c r="Q894" s="15" t="str">
        <f t="shared" si="299"/>
        <v>41 William Russell Road</v>
      </c>
      <c r="R894" s="3">
        <f>OrdersTable!C894</f>
        <v>44625</v>
      </c>
      <c r="S894" s="15">
        <f>OrdersTable!E894</f>
        <v>7</v>
      </c>
      <c r="T894" s="15">
        <f t="shared" si="300"/>
        <v>49.99</v>
      </c>
      <c r="U894" s="15">
        <f t="shared" si="301"/>
        <v>68.52</v>
      </c>
      <c r="V894" s="15">
        <f t="shared" si="302"/>
        <v>80.98</v>
      </c>
      <c r="W894" s="15">
        <f>IF(MarkupType="Store Markup",ROUND(V894+V894*StoreMarkup,2),IF(MarkupType="Supplier Markup",V894+V894*SupplierMarkup,"Error at finding value"))</f>
        <v>127.54</v>
      </c>
      <c r="X894" s="32">
        <f t="shared" si="304"/>
        <v>9.09</v>
      </c>
      <c r="Y894" s="15">
        <f t="shared" si="305"/>
        <v>566.86</v>
      </c>
      <c r="Z894" s="15">
        <f t="shared" si="306"/>
        <v>829.15</v>
      </c>
      <c r="AA894" s="15">
        <f>IF(FreightType="Lethbridge-Stewart Freight ",ROUND(2.99+IF(N894&gt;0.75,(N894-0.75)*2.25,0)*S894,2),IF(MarkupType="Supplier Markup",V894+V894*SupplierMarkup,"Error at finding value"))</f>
        <v>30.55</v>
      </c>
      <c r="AB894" s="15">
        <f t="shared" si="307"/>
        <v>63.63</v>
      </c>
    </row>
    <row r="895" spans="1:28" x14ac:dyDescent="0.25">
      <c r="A895" s="16">
        <f>OrdersTable!A895</f>
        <v>254</v>
      </c>
      <c r="B895" s="15" t="str">
        <f t="shared" si="287"/>
        <v>Miss</v>
      </c>
      <c r="C895" s="15" t="str">
        <f t="shared" si="308"/>
        <v>Hoolihan</v>
      </c>
      <c r="D895" s="15" t="str">
        <f t="shared" si="288"/>
        <v>Crystal Claire Grace</v>
      </c>
      <c r="E895" s="15" t="str">
        <f t="shared" si="289"/>
        <v>7 Van Riet Avenue</v>
      </c>
      <c r="F895" s="15" t="str">
        <f t="shared" si="290"/>
        <v>Aberfoyle</v>
      </c>
      <c r="G895" s="15" t="str">
        <f t="shared" si="291"/>
        <v>NSW</v>
      </c>
      <c r="H895" s="15">
        <f t="shared" si="292"/>
        <v>2350</v>
      </c>
      <c r="I895" s="15">
        <f t="shared" si="303"/>
        <v>363</v>
      </c>
      <c r="J895" s="15">
        <f>OrdersTable!B895</f>
        <v>813</v>
      </c>
      <c r="K895" s="15" t="str">
        <f t="shared" si="293"/>
        <v>Statues and Busts</v>
      </c>
      <c r="L895" s="15" t="str">
        <f t="shared" si="294"/>
        <v>Doctor Who: Masterpiece Collection Maxi Bust: Leela</v>
      </c>
      <c r="M895" s="15" t="str">
        <f t="shared" si="295"/>
        <v>-</v>
      </c>
      <c r="N895" s="15">
        <f t="shared" si="296"/>
        <v>2.5</v>
      </c>
      <c r="O895" s="15" t="str">
        <f t="shared" si="297"/>
        <v>A30</v>
      </c>
      <c r="P895" s="15" t="str">
        <f t="shared" si="298"/>
        <v>Chesterton Enterprises</v>
      </c>
      <c r="Q895" s="15" t="str">
        <f t="shared" si="299"/>
        <v>41 William Russell Road</v>
      </c>
      <c r="R895" s="3">
        <f>OrdersTable!C895</f>
        <v>44625</v>
      </c>
      <c r="S895" s="15">
        <f>OrdersTable!E895</f>
        <v>7</v>
      </c>
      <c r="T895" s="15">
        <f t="shared" si="300"/>
        <v>49.99</v>
      </c>
      <c r="U895" s="15">
        <f t="shared" si="301"/>
        <v>68.319999999999993</v>
      </c>
      <c r="V895" s="15">
        <f t="shared" si="302"/>
        <v>80.98</v>
      </c>
      <c r="W895" s="15">
        <f>IF(MarkupType="Store Markup",ROUND(V895+V895*StoreMarkup,2),IF(MarkupType="Supplier Markup",V895+V895*SupplierMarkup,"Error at finding value"))</f>
        <v>127.54</v>
      </c>
      <c r="X895" s="32">
        <f t="shared" si="304"/>
        <v>9.09</v>
      </c>
      <c r="Y895" s="15">
        <f t="shared" si="305"/>
        <v>566.86</v>
      </c>
      <c r="Z895" s="15">
        <f t="shared" si="306"/>
        <v>829.15</v>
      </c>
      <c r="AA895" s="15">
        <f>IF(FreightType="Lethbridge-Stewart Freight ",ROUND(2.99+IF(N895&gt;0.75,(N895-0.75)*2.25,0)*S895,2),IF(MarkupType="Supplier Markup",V895+V895*SupplierMarkup,"Error at finding value"))</f>
        <v>30.55</v>
      </c>
      <c r="AB895" s="15">
        <f t="shared" si="307"/>
        <v>63.63</v>
      </c>
    </row>
    <row r="896" spans="1:28" x14ac:dyDescent="0.25">
      <c r="A896" s="16">
        <f>OrdersTable!A896</f>
        <v>282</v>
      </c>
      <c r="B896" s="15" t="str">
        <f t="shared" si="287"/>
        <v>Dr</v>
      </c>
      <c r="C896" s="15" t="str">
        <f t="shared" si="308"/>
        <v>Johnson</v>
      </c>
      <c r="D896" s="15" t="str">
        <f t="shared" si="288"/>
        <v>Samantha Emily Louise</v>
      </c>
      <c r="E896" s="15" t="str">
        <f t="shared" si="289"/>
        <v>2 Wiggan Avenue</v>
      </c>
      <c r="F896" s="15" t="str">
        <f t="shared" si="290"/>
        <v>Boston</v>
      </c>
      <c r="G896" s="15" t="str">
        <f t="shared" si="291"/>
        <v>SA</v>
      </c>
      <c r="H896" s="15">
        <f t="shared" si="292"/>
        <v>5607</v>
      </c>
      <c r="I896" s="15">
        <f t="shared" si="303"/>
        <v>2076</v>
      </c>
      <c r="J896" s="15">
        <f>OrdersTable!B896</f>
        <v>707</v>
      </c>
      <c r="K896" s="15" t="str">
        <f t="shared" si="293"/>
        <v>Posters, Prints and Standees</v>
      </c>
      <c r="L896" s="15" t="str">
        <f t="shared" si="294"/>
        <v>Doctor Who: Poster: Ironside Dalek Blueprint</v>
      </c>
      <c r="M896" s="15" t="str">
        <f t="shared" si="295"/>
        <v>-</v>
      </c>
      <c r="N896" s="15">
        <f t="shared" si="296"/>
        <v>0.2</v>
      </c>
      <c r="O896" s="15" t="str">
        <f t="shared" si="297"/>
        <v>A20</v>
      </c>
      <c r="P896" s="15" t="str">
        <f t="shared" si="298"/>
        <v>Morbius Inc.</v>
      </c>
      <c r="Q896" s="15" t="str">
        <f t="shared" si="299"/>
        <v>56 Michael Spice Hwy</v>
      </c>
      <c r="R896" s="3">
        <f>OrdersTable!C896</f>
        <v>44625</v>
      </c>
      <c r="S896" s="15">
        <f>OrdersTable!E896</f>
        <v>4</v>
      </c>
      <c r="T896" s="15">
        <f t="shared" si="300"/>
        <v>3.99</v>
      </c>
      <c r="U896" s="15">
        <f t="shared" si="301"/>
        <v>5.48</v>
      </c>
      <c r="V896" s="15">
        <f t="shared" si="302"/>
        <v>6.46</v>
      </c>
      <c r="W896" s="15">
        <f>IF(MarkupType="Store Markup",ROUND(V896+V896*StoreMarkup,2),IF(MarkupType="Supplier Markup",V896+V896*SupplierMarkup,"Error at finding value"))</f>
        <v>10.17</v>
      </c>
      <c r="X896" s="32" t="str">
        <f t="shared" si="304"/>
        <v>0.00</v>
      </c>
      <c r="Y896" s="15">
        <f t="shared" si="305"/>
        <v>25.84</v>
      </c>
      <c r="Z896" s="15">
        <f t="shared" si="306"/>
        <v>40.68</v>
      </c>
      <c r="AA896" s="15">
        <f>IF(FreightType="Lethbridge-Stewart Freight ",ROUND(2.99+IF(N896&gt;0.75,(N896-0.75)*2.25,0)*S896,2),IF(MarkupType="Supplier Markup",V896+V896*SupplierMarkup,"Error at finding value"))</f>
        <v>2.99</v>
      </c>
      <c r="AB896" s="15">
        <f t="shared" si="307"/>
        <v>0</v>
      </c>
    </row>
    <row r="897" spans="1:28" x14ac:dyDescent="0.25">
      <c r="A897" s="16">
        <f>OrdersTable!A897</f>
        <v>282</v>
      </c>
      <c r="B897" s="15" t="str">
        <f t="shared" si="287"/>
        <v>Dr</v>
      </c>
      <c r="C897" s="15" t="str">
        <f t="shared" si="308"/>
        <v>Johnson</v>
      </c>
      <c r="D897" s="15" t="str">
        <f t="shared" si="288"/>
        <v>Samantha Emily Louise</v>
      </c>
      <c r="E897" s="15" t="str">
        <f t="shared" si="289"/>
        <v>2 Wiggan Avenue</v>
      </c>
      <c r="F897" s="15" t="str">
        <f t="shared" si="290"/>
        <v>Boston</v>
      </c>
      <c r="G897" s="15" t="str">
        <f t="shared" si="291"/>
        <v>SA</v>
      </c>
      <c r="H897" s="15">
        <f t="shared" si="292"/>
        <v>5607</v>
      </c>
      <c r="I897" s="15">
        <f t="shared" si="303"/>
        <v>2076</v>
      </c>
      <c r="J897" s="15">
        <f>OrdersTable!B897</f>
        <v>719</v>
      </c>
      <c r="K897" s="15" t="str">
        <f t="shared" si="293"/>
        <v>Posters, Prints and Standees</v>
      </c>
      <c r="L897" s="15" t="str">
        <f t="shared" si="294"/>
        <v>Doctor Who: Standee: Supreme Dalek</v>
      </c>
      <c r="M897" s="15" t="str">
        <f t="shared" si="295"/>
        <v>-</v>
      </c>
      <c r="N897" s="15">
        <f t="shared" si="296"/>
        <v>1.125</v>
      </c>
      <c r="O897" s="15" t="str">
        <f t="shared" si="297"/>
        <v>A50</v>
      </c>
      <c r="P897" s="15" t="str">
        <f t="shared" si="298"/>
        <v>Rassilon Ltd.</v>
      </c>
      <c r="Q897" s="15" t="str">
        <f t="shared" si="299"/>
        <v>82 Richard Mathews Road</v>
      </c>
      <c r="R897" s="3">
        <f>OrdersTable!C897</f>
        <v>44625</v>
      </c>
      <c r="S897" s="15">
        <f>OrdersTable!E897</f>
        <v>2</v>
      </c>
      <c r="T897" s="15">
        <f t="shared" si="300"/>
        <v>22.49</v>
      </c>
      <c r="U897" s="15">
        <f t="shared" si="301"/>
        <v>30.76</v>
      </c>
      <c r="V897" s="15">
        <f t="shared" si="302"/>
        <v>36.43</v>
      </c>
      <c r="W897" s="15">
        <f>IF(MarkupType="Store Markup",ROUND(V897+V897*StoreMarkup,2),IF(MarkupType="Supplier Markup",V897+V897*SupplierMarkup,"Error at finding value"))</f>
        <v>57.38</v>
      </c>
      <c r="X897" s="32" t="str">
        <f t="shared" si="304"/>
        <v>0.00</v>
      </c>
      <c r="Y897" s="15">
        <f t="shared" si="305"/>
        <v>72.86</v>
      </c>
      <c r="Z897" s="15">
        <f t="shared" si="306"/>
        <v>114.76</v>
      </c>
      <c r="AA897" s="15">
        <f>IF(FreightType="Lethbridge-Stewart Freight ",ROUND(2.99+IF(N897&gt;0.75,(N897-0.75)*2.25,0)*S897,2),IF(MarkupType="Supplier Markup",V897+V897*SupplierMarkup,"Error at finding value"))</f>
        <v>4.68</v>
      </c>
      <c r="AB897" s="15">
        <f t="shared" si="307"/>
        <v>0</v>
      </c>
    </row>
    <row r="898" spans="1:28" x14ac:dyDescent="0.25">
      <c r="A898" s="16">
        <f>OrdersTable!A898</f>
        <v>285</v>
      </c>
      <c r="B898" s="15" t="str">
        <f t="shared" si="287"/>
        <v>Mr</v>
      </c>
      <c r="C898" s="15" t="str">
        <f t="shared" si="308"/>
        <v>Temple Morgan</v>
      </c>
      <c r="D898" s="15" t="str">
        <f t="shared" si="288"/>
        <v>Mathew Peter</v>
      </c>
      <c r="E898" s="15" t="str">
        <f t="shared" si="289"/>
        <v>19 Tansky Court</v>
      </c>
      <c r="F898" s="15" t="str">
        <f t="shared" si="290"/>
        <v>Belford</v>
      </c>
      <c r="G898" s="15" t="str">
        <f t="shared" si="291"/>
        <v>NSW</v>
      </c>
      <c r="H898" s="15">
        <f t="shared" si="292"/>
        <v>2335</v>
      </c>
      <c r="I898" s="15">
        <f t="shared" si="303"/>
        <v>716</v>
      </c>
      <c r="J898" s="15">
        <f>OrdersTable!B898</f>
        <v>703</v>
      </c>
      <c r="K898" s="15" t="str">
        <f t="shared" si="293"/>
        <v>Posters, Prints and Standees</v>
      </c>
      <c r="L898" s="15" t="str">
        <f t="shared" si="294"/>
        <v>Doctor Who: Poster: Doctor With Sonic Screwdriver</v>
      </c>
      <c r="M898" s="15" t="str">
        <f t="shared" si="295"/>
        <v>-</v>
      </c>
      <c r="N898" s="15">
        <f t="shared" si="296"/>
        <v>0.2</v>
      </c>
      <c r="O898" s="15" t="str">
        <f t="shared" si="297"/>
        <v>A50</v>
      </c>
      <c r="P898" s="15" t="str">
        <f t="shared" si="298"/>
        <v>Rassilon Ltd.</v>
      </c>
      <c r="Q898" s="15" t="str">
        <f t="shared" si="299"/>
        <v>82 Richard Mathews Road</v>
      </c>
      <c r="R898" s="3">
        <f>OrdersTable!C898</f>
        <v>44625</v>
      </c>
      <c r="S898" s="15">
        <f>OrdersTable!E898</f>
        <v>10</v>
      </c>
      <c r="T898" s="15">
        <f t="shared" si="300"/>
        <v>3.99</v>
      </c>
      <c r="U898" s="15">
        <f t="shared" si="301"/>
        <v>5.51</v>
      </c>
      <c r="V898" s="15">
        <f t="shared" si="302"/>
        <v>6.46</v>
      </c>
      <c r="W898" s="15">
        <f>IF(MarkupType="Store Markup",ROUND(V898+V898*StoreMarkup,2),IF(MarkupType="Supplier Markup",V898+V898*SupplierMarkup,"Error at finding value"))</f>
        <v>10.17</v>
      </c>
      <c r="X898" s="32" t="str">
        <f t="shared" si="304"/>
        <v>0.00</v>
      </c>
      <c r="Y898" s="15">
        <f t="shared" si="305"/>
        <v>64.599999999999994</v>
      </c>
      <c r="Z898" s="15">
        <f t="shared" si="306"/>
        <v>101.7</v>
      </c>
      <c r="AA898" s="15">
        <f>IF(FreightType="Lethbridge-Stewart Freight ",ROUND(2.99+IF(N898&gt;0.75,(N898-0.75)*2.25,0)*S898,2),IF(MarkupType="Supplier Markup",V898+V898*SupplierMarkup,"Error at finding value"))</f>
        <v>2.99</v>
      </c>
      <c r="AB898" s="15">
        <f t="shared" si="307"/>
        <v>0</v>
      </c>
    </row>
    <row r="899" spans="1:28" x14ac:dyDescent="0.25">
      <c r="A899" s="16">
        <f>OrdersTable!A899</f>
        <v>285</v>
      </c>
      <c r="B899" s="15" t="str">
        <f t="shared" si="287"/>
        <v>Mr</v>
      </c>
      <c r="C899" s="15" t="str">
        <f t="shared" si="308"/>
        <v>Temple Morgan</v>
      </c>
      <c r="D899" s="15" t="str">
        <f t="shared" si="288"/>
        <v>Mathew Peter</v>
      </c>
      <c r="E899" s="15" t="str">
        <f t="shared" si="289"/>
        <v>19 Tansky Court</v>
      </c>
      <c r="F899" s="15" t="str">
        <f t="shared" si="290"/>
        <v>Belford</v>
      </c>
      <c r="G899" s="15" t="str">
        <f t="shared" si="291"/>
        <v>NSW</v>
      </c>
      <c r="H899" s="15">
        <f t="shared" si="292"/>
        <v>2335</v>
      </c>
      <c r="I899" s="15">
        <f t="shared" si="303"/>
        <v>716</v>
      </c>
      <c r="J899" s="15">
        <f>OrdersTable!B899</f>
        <v>747</v>
      </c>
      <c r="K899" s="15" t="str">
        <f t="shared" si="293"/>
        <v>Props and Replicas</v>
      </c>
      <c r="L899" s="15" t="str">
        <f t="shared" si="294"/>
        <v>Doctor Who: The Master's Fob Watch</v>
      </c>
      <c r="M899" s="15" t="str">
        <f t="shared" si="295"/>
        <v>-</v>
      </c>
      <c r="N899" s="15">
        <f t="shared" si="296"/>
        <v>2.25</v>
      </c>
      <c r="O899" s="15" t="str">
        <f t="shared" si="297"/>
        <v>A10</v>
      </c>
      <c r="P899" s="15" t="str">
        <f t="shared" si="298"/>
        <v>Gallifrey International</v>
      </c>
      <c r="Q899" s="15" t="str">
        <f t="shared" si="299"/>
        <v>181 Arcadia Street</v>
      </c>
      <c r="R899" s="3">
        <f>OrdersTable!C899</f>
        <v>44625</v>
      </c>
      <c r="S899" s="15">
        <f>OrdersTable!E899</f>
        <v>9</v>
      </c>
      <c r="T899" s="15">
        <f t="shared" si="300"/>
        <v>44.99</v>
      </c>
      <c r="U899" s="15">
        <f t="shared" si="301"/>
        <v>61.7</v>
      </c>
      <c r="V899" s="15">
        <f t="shared" si="302"/>
        <v>72.88</v>
      </c>
      <c r="W899" s="15">
        <f>IF(MarkupType="Store Markup",ROUND(V899+V899*StoreMarkup,2),IF(MarkupType="Supplier Markup",V899+V899*SupplierMarkup,"Error at finding value"))</f>
        <v>114.79</v>
      </c>
      <c r="X899" s="32">
        <f t="shared" si="304"/>
        <v>8.18</v>
      </c>
      <c r="Y899" s="15">
        <f t="shared" si="305"/>
        <v>655.92</v>
      </c>
      <c r="Z899" s="15">
        <f t="shared" si="306"/>
        <v>959.49</v>
      </c>
      <c r="AA899" s="15">
        <f>IF(FreightType="Lethbridge-Stewart Freight ",ROUND(2.99+IF(N899&gt;0.75,(N899-0.75)*2.25,0)*S899,2),IF(MarkupType="Supplier Markup",V899+V899*SupplierMarkup,"Error at finding value"))</f>
        <v>33.369999999999997</v>
      </c>
      <c r="AB899" s="15">
        <f t="shared" si="307"/>
        <v>73.62</v>
      </c>
    </row>
    <row r="900" spans="1:28" x14ac:dyDescent="0.25">
      <c r="A900" s="16">
        <f>OrdersTable!A900</f>
        <v>360</v>
      </c>
      <c r="B900" s="15" t="str">
        <f t="shared" ref="B900:B963" si="309">VLOOKUP($A900,Cust,2,0)</f>
        <v>Ms</v>
      </c>
      <c r="C900" s="15" t="str">
        <f t="shared" si="308"/>
        <v>Bobonica</v>
      </c>
      <c r="D900" s="15" t="str">
        <f t="shared" ref="D900:D963" si="310">VLOOKUP($A900,Cust,4,0)</f>
        <v>Claudia</v>
      </c>
      <c r="E900" s="15" t="str">
        <f t="shared" ref="E900:E963" si="311">VLOOKUP($A900,Cust,6,0)</f>
        <v>47 Klein Way</v>
      </c>
      <c r="F900" s="15" t="str">
        <f t="shared" ref="F900:F963" si="312">VLOOKUP($A900,Cust,7,0)</f>
        <v>Avon Plains</v>
      </c>
      <c r="G900" s="15" t="str">
        <f t="shared" ref="G900:G963" si="313">VLOOKUP($A900,Cust,8,0)</f>
        <v>VIC</v>
      </c>
      <c r="H900" s="15">
        <f t="shared" ref="H900:H963" si="314">VLOOKUP($A900,Cust,9,0)</f>
        <v>3477</v>
      </c>
      <c r="I900" s="15">
        <f t="shared" si="303"/>
        <v>1565</v>
      </c>
      <c r="J900" s="15">
        <f>OrdersTable!B900</f>
        <v>377</v>
      </c>
      <c r="K900" s="15" t="str">
        <f t="shared" ref="K900:K963" si="315">VLOOKUP($J900,Itms,2,0)</f>
        <v>Clothing and Apparel</v>
      </c>
      <c r="L900" s="15" t="str">
        <f t="shared" ref="L900:L963" si="316">VLOOKUP($J900,Itms,3,0)</f>
        <v xml:space="preserve">Doctor Who: T-Shirts: 7th Doctor Costume </v>
      </c>
      <c r="M900" s="15" t="str">
        <f t="shared" ref="M900:M963" si="317">VLOOKUP($J900,Itms,4,0)</f>
        <v>M</v>
      </c>
      <c r="N900" s="15">
        <f t="shared" ref="N900:N963" si="318">VLOOKUP($J900,Itms,5,0)</f>
        <v>0.8</v>
      </c>
      <c r="O900" s="15" t="str">
        <f t="shared" ref="O900:O963" si="319">VLOOKUP($J900,Itms,6,0)</f>
        <v>A40</v>
      </c>
      <c r="P900" s="15" t="str">
        <f t="shared" ref="P900:P963" si="320">VLOOKUP($O900,Supp,2,0)</f>
        <v>Romana Imports</v>
      </c>
      <c r="Q900" s="15" t="str">
        <f t="shared" ref="Q900:Q963" si="321">VLOOKUP($O900,Supp,3,0)</f>
        <v>17 Lalla Ward Road</v>
      </c>
      <c r="R900" s="3">
        <f>OrdersTable!C900</f>
        <v>44625</v>
      </c>
      <c r="S900" s="15">
        <f>OrdersTable!E900</f>
        <v>8</v>
      </c>
      <c r="T900" s="15">
        <f t="shared" ref="T900:T963" si="322">VLOOKUP($J900,Itms,9,0)</f>
        <v>15.99</v>
      </c>
      <c r="U900" s="15">
        <f t="shared" ref="U900:U963" si="323">VLOOKUP($J900,Itms,10,0)</f>
        <v>21.95</v>
      </c>
      <c r="V900" s="15">
        <f t="shared" ref="V900:V963" si="324">IF(ExchRateType="IR",ROUND(T900*ExchRateIR,2),IF(ExchRateType="CA",ROUND(U900*ExchRateCA,2),"Error at finding value"))</f>
        <v>25.9</v>
      </c>
      <c r="W900" s="15">
        <f>IF(MarkupType="Store Markup",ROUND(V900+V900*StoreMarkup,2),IF(MarkupType="Supplier Markup",V900+V900*SupplierMarkup,"Error at finding value"))</f>
        <v>40.79</v>
      </c>
      <c r="X900" s="32" t="str">
        <f t="shared" si="304"/>
        <v>0.00</v>
      </c>
      <c r="Y900" s="15">
        <f t="shared" si="305"/>
        <v>207.2</v>
      </c>
      <c r="Z900" s="15">
        <f t="shared" si="306"/>
        <v>326.32</v>
      </c>
      <c r="AA900" s="15">
        <f>IF(FreightType="Lethbridge-Stewart Freight ",ROUND(2.99+IF(N900&gt;0.75,(N900-0.75)*2.25,0)*S900,2),IF(MarkupType="Supplier Markup",V900+V900*SupplierMarkup,"Error at finding value"))</f>
        <v>3.89</v>
      </c>
      <c r="AB900" s="15">
        <f t="shared" si="307"/>
        <v>0</v>
      </c>
    </row>
    <row r="901" spans="1:28" x14ac:dyDescent="0.25">
      <c r="A901" s="16">
        <f>OrdersTable!A901</f>
        <v>370</v>
      </c>
      <c r="B901" s="15" t="str">
        <f t="shared" si="309"/>
        <v>Mr</v>
      </c>
      <c r="C901" s="15" t="str">
        <f t="shared" si="308"/>
        <v>Kennedy</v>
      </c>
      <c r="D901" s="15" t="str">
        <f t="shared" si="310"/>
        <v>Joseph Dominic</v>
      </c>
      <c r="E901" s="15" t="str">
        <f t="shared" si="311"/>
        <v>43 Barton Road</v>
      </c>
      <c r="F901" s="15" t="str">
        <f t="shared" si="312"/>
        <v>Boston</v>
      </c>
      <c r="G901" s="15" t="str">
        <f t="shared" si="313"/>
        <v>SA</v>
      </c>
      <c r="H901" s="15">
        <f t="shared" si="314"/>
        <v>5607</v>
      </c>
      <c r="I901" s="15">
        <f t="shared" ref="I901:I964" si="325">VLOOKUP($A901,Cust,10,0)</f>
        <v>2076</v>
      </c>
      <c r="J901" s="15">
        <f>OrdersTable!B901</f>
        <v>782</v>
      </c>
      <c r="K901" s="15" t="str">
        <f t="shared" si="315"/>
        <v>Statues and Busts</v>
      </c>
      <c r="L901" s="15" t="str">
        <f t="shared" si="316"/>
        <v>Doctor Who: Masterpiece Collection Maxi Bust: 10th Doctor</v>
      </c>
      <c r="M901" s="15" t="str">
        <f t="shared" si="317"/>
        <v>-</v>
      </c>
      <c r="N901" s="15">
        <f t="shared" si="318"/>
        <v>2.5</v>
      </c>
      <c r="O901" s="15" t="str">
        <f t="shared" si="319"/>
        <v>A30</v>
      </c>
      <c r="P901" s="15" t="str">
        <f t="shared" si="320"/>
        <v>Chesterton Enterprises</v>
      </c>
      <c r="Q901" s="15" t="str">
        <f t="shared" si="321"/>
        <v>41 William Russell Road</v>
      </c>
      <c r="R901" s="3">
        <f>OrdersTable!C901</f>
        <v>44625</v>
      </c>
      <c r="S901" s="15">
        <f>OrdersTable!E901</f>
        <v>7</v>
      </c>
      <c r="T901" s="15">
        <f t="shared" si="322"/>
        <v>49.99</v>
      </c>
      <c r="U901" s="15">
        <f t="shared" si="323"/>
        <v>68.5</v>
      </c>
      <c r="V901" s="15">
        <f t="shared" si="324"/>
        <v>80.98</v>
      </c>
      <c r="W901" s="15">
        <f>IF(MarkupType="Store Markup",ROUND(V901+V901*StoreMarkup,2),IF(MarkupType="Supplier Markup",V901+V901*SupplierMarkup,"Error at finding value"))</f>
        <v>127.54</v>
      </c>
      <c r="X901" s="32">
        <f t="shared" ref="X901:X964" si="326">IF(AND(W901&gt;100,S901&gt;=3),ROUND(0.07125*W901,2),"0.00")</f>
        <v>9.09</v>
      </c>
      <c r="Y901" s="15">
        <f t="shared" ref="Y901:Y964" si="327">ROUND(V901*S901,2)</f>
        <v>566.86</v>
      </c>
      <c r="Z901" s="15">
        <f t="shared" ref="Z901:Z964" si="328">ROUND((W901-X901)*S901,2)</f>
        <v>829.15</v>
      </c>
      <c r="AA901" s="15">
        <f>IF(FreightType="Lethbridge-Stewart Freight ",ROUND(2.99+IF(N901&gt;0.75,(N901-0.75)*2.25,0)*S901,2),IF(MarkupType="Supplier Markup",V901+V901*SupplierMarkup,"Error at finding value"))</f>
        <v>30.55</v>
      </c>
      <c r="AB901" s="15">
        <f t="shared" ref="AB901:AB964" si="329">ROUND(X901*S901,2)</f>
        <v>63.63</v>
      </c>
    </row>
    <row r="902" spans="1:28" x14ac:dyDescent="0.25">
      <c r="A902" s="16">
        <f>OrdersTable!A902</f>
        <v>412</v>
      </c>
      <c r="B902" s="15" t="str">
        <f t="shared" si="309"/>
        <v>Miss</v>
      </c>
      <c r="C902" s="15" t="str">
        <f t="shared" si="308"/>
        <v>Moraitis</v>
      </c>
      <c r="D902" s="15" t="str">
        <f t="shared" si="310"/>
        <v>Vikki Sue</v>
      </c>
      <c r="E902" s="15" t="str">
        <f t="shared" si="311"/>
        <v>11 Stuckings Boulevard</v>
      </c>
      <c r="F902" s="15" t="str">
        <f t="shared" si="312"/>
        <v>Airly</v>
      </c>
      <c r="G902" s="15" t="str">
        <f t="shared" si="313"/>
        <v>VIC</v>
      </c>
      <c r="H902" s="15">
        <f t="shared" si="314"/>
        <v>3851</v>
      </c>
      <c r="I902" s="15">
        <f t="shared" si="325"/>
        <v>1583</v>
      </c>
      <c r="J902" s="15">
        <f>OrdersTable!B902</f>
        <v>201</v>
      </c>
      <c r="K902" s="15" t="str">
        <f t="shared" si="315"/>
        <v>Clothing and Apparel</v>
      </c>
      <c r="L902" s="15" t="str">
        <f t="shared" si="316"/>
        <v>Doctor Who: Dalek Beanie</v>
      </c>
      <c r="M902" s="15" t="str">
        <f t="shared" si="317"/>
        <v>-</v>
      </c>
      <c r="N902" s="15">
        <f t="shared" si="318"/>
        <v>1.1399999999999999</v>
      </c>
      <c r="O902" s="15" t="str">
        <f t="shared" si="319"/>
        <v>A50</v>
      </c>
      <c r="P902" s="15" t="str">
        <f t="shared" si="320"/>
        <v>Rassilon Ltd.</v>
      </c>
      <c r="Q902" s="15" t="str">
        <f t="shared" si="321"/>
        <v>82 Richard Mathews Road</v>
      </c>
      <c r="R902" s="3">
        <f>OrdersTable!C902</f>
        <v>44625</v>
      </c>
      <c r="S902" s="15">
        <f>OrdersTable!E902</f>
        <v>6</v>
      </c>
      <c r="T902" s="15">
        <f t="shared" si="322"/>
        <v>22.75</v>
      </c>
      <c r="U902" s="15">
        <f t="shared" si="323"/>
        <v>31.26</v>
      </c>
      <c r="V902" s="15">
        <f t="shared" si="324"/>
        <v>36.86</v>
      </c>
      <c r="W902" s="15">
        <f>IF(MarkupType="Store Markup",ROUND(V902+V902*StoreMarkup,2),IF(MarkupType="Supplier Markup",V902+V902*SupplierMarkup,"Error at finding value"))</f>
        <v>58.05</v>
      </c>
      <c r="X902" s="32" t="str">
        <f t="shared" si="326"/>
        <v>0.00</v>
      </c>
      <c r="Y902" s="15">
        <f t="shared" si="327"/>
        <v>221.16</v>
      </c>
      <c r="Z902" s="15">
        <f t="shared" si="328"/>
        <v>348.3</v>
      </c>
      <c r="AA902" s="15">
        <f>IF(FreightType="Lethbridge-Stewart Freight ",ROUND(2.99+IF(N902&gt;0.75,(N902-0.75)*2.25,0)*S902,2),IF(MarkupType="Supplier Markup",V902+V902*SupplierMarkup,"Error at finding value"))</f>
        <v>8.26</v>
      </c>
      <c r="AB902" s="15">
        <f t="shared" si="329"/>
        <v>0</v>
      </c>
    </row>
    <row r="903" spans="1:28" x14ac:dyDescent="0.25">
      <c r="A903" s="16">
        <f>OrdersTable!A903</f>
        <v>448</v>
      </c>
      <c r="B903" s="15" t="str">
        <f t="shared" si="309"/>
        <v>Mr</v>
      </c>
      <c r="C903" s="15" t="str">
        <f t="shared" si="308"/>
        <v>Earl</v>
      </c>
      <c r="D903" s="15" t="str">
        <f t="shared" si="310"/>
        <v>Benn Robert</v>
      </c>
      <c r="E903" s="15" t="str">
        <f t="shared" si="311"/>
        <v>31 Kae Drive</v>
      </c>
      <c r="F903" s="15" t="str">
        <f t="shared" si="312"/>
        <v>Belford</v>
      </c>
      <c r="G903" s="15" t="str">
        <f t="shared" si="313"/>
        <v>NSW</v>
      </c>
      <c r="H903" s="15">
        <f t="shared" si="314"/>
        <v>2335</v>
      </c>
      <c r="I903" s="15">
        <f t="shared" si="325"/>
        <v>716</v>
      </c>
      <c r="J903" s="15">
        <f>OrdersTable!B903</f>
        <v>563</v>
      </c>
      <c r="K903" s="15" t="str">
        <f t="shared" si="315"/>
        <v>Giftware</v>
      </c>
      <c r="L903" s="15" t="str">
        <f t="shared" si="316"/>
        <v>Doctor Who: TARDIS Jewellery Box</v>
      </c>
      <c r="M903" s="15" t="str">
        <f t="shared" si="317"/>
        <v>-</v>
      </c>
      <c r="N903" s="15">
        <f t="shared" si="318"/>
        <v>1.1499999999999999</v>
      </c>
      <c r="O903" s="15" t="str">
        <f t="shared" si="319"/>
        <v>A50</v>
      </c>
      <c r="P903" s="15" t="str">
        <f t="shared" si="320"/>
        <v>Rassilon Ltd.</v>
      </c>
      <c r="Q903" s="15" t="str">
        <f t="shared" si="321"/>
        <v>82 Richard Mathews Road</v>
      </c>
      <c r="R903" s="3">
        <f>OrdersTable!C903</f>
        <v>44625</v>
      </c>
      <c r="S903" s="15">
        <f>OrdersTable!E903</f>
        <v>9</v>
      </c>
      <c r="T903" s="15">
        <f t="shared" si="322"/>
        <v>22.99</v>
      </c>
      <c r="U903" s="15">
        <f t="shared" si="323"/>
        <v>31.63</v>
      </c>
      <c r="V903" s="15">
        <f t="shared" si="324"/>
        <v>37.24</v>
      </c>
      <c r="W903" s="15">
        <f>IF(MarkupType="Store Markup",ROUND(V903+V903*StoreMarkup,2),IF(MarkupType="Supplier Markup",V903+V903*SupplierMarkup,"Error at finding value"))</f>
        <v>58.65</v>
      </c>
      <c r="X903" s="32" t="str">
        <f t="shared" si="326"/>
        <v>0.00</v>
      </c>
      <c r="Y903" s="15">
        <f t="shared" si="327"/>
        <v>335.16</v>
      </c>
      <c r="Z903" s="15">
        <f t="shared" si="328"/>
        <v>527.85</v>
      </c>
      <c r="AA903" s="15">
        <f>IF(FreightType="Lethbridge-Stewart Freight ",ROUND(2.99+IF(N903&gt;0.75,(N903-0.75)*2.25,0)*S903,2),IF(MarkupType="Supplier Markup",V903+V903*SupplierMarkup,"Error at finding value"))</f>
        <v>11.09</v>
      </c>
      <c r="AB903" s="15">
        <f t="shared" si="329"/>
        <v>0</v>
      </c>
    </row>
    <row r="904" spans="1:28" x14ac:dyDescent="0.25">
      <c r="A904" s="16">
        <f>OrdersTable!A904</f>
        <v>501</v>
      </c>
      <c r="B904" s="15" t="str">
        <f t="shared" si="309"/>
        <v>Miss</v>
      </c>
      <c r="C904" s="15" t="str">
        <f t="shared" si="308"/>
        <v>Tharenou</v>
      </c>
      <c r="D904" s="15" t="str">
        <f t="shared" si="310"/>
        <v>Kimberley Jacinta</v>
      </c>
      <c r="E904" s="15" t="str">
        <f t="shared" si="311"/>
        <v>49 Moncada Circuit</v>
      </c>
      <c r="F904" s="15" t="str">
        <f t="shared" si="312"/>
        <v>Belford</v>
      </c>
      <c r="G904" s="15" t="str">
        <f t="shared" si="313"/>
        <v>NSW</v>
      </c>
      <c r="H904" s="15">
        <f t="shared" si="314"/>
        <v>2335</v>
      </c>
      <c r="I904" s="15">
        <f t="shared" si="325"/>
        <v>716</v>
      </c>
      <c r="J904" s="15">
        <f>OrdersTable!B904</f>
        <v>373</v>
      </c>
      <c r="K904" s="15" t="str">
        <f t="shared" si="315"/>
        <v>Clothing and Apparel</v>
      </c>
      <c r="L904" s="15" t="str">
        <f t="shared" si="316"/>
        <v xml:space="preserve">Doctor Who: T-Shirts: 5th Doctor Costume </v>
      </c>
      <c r="M904" s="15" t="str">
        <f t="shared" si="317"/>
        <v>L</v>
      </c>
      <c r="N904" s="15">
        <f t="shared" si="318"/>
        <v>0.8</v>
      </c>
      <c r="O904" s="15" t="str">
        <f t="shared" si="319"/>
        <v>A20</v>
      </c>
      <c r="P904" s="15" t="str">
        <f t="shared" si="320"/>
        <v>Morbius Inc.</v>
      </c>
      <c r="Q904" s="15" t="str">
        <f t="shared" si="321"/>
        <v>56 Michael Spice Hwy</v>
      </c>
      <c r="R904" s="3">
        <f>OrdersTable!C904</f>
        <v>44625</v>
      </c>
      <c r="S904" s="15">
        <f>OrdersTable!E904</f>
        <v>10</v>
      </c>
      <c r="T904" s="15">
        <f t="shared" si="322"/>
        <v>15.99</v>
      </c>
      <c r="U904" s="15">
        <f t="shared" si="323"/>
        <v>22.09</v>
      </c>
      <c r="V904" s="15">
        <f t="shared" si="324"/>
        <v>25.9</v>
      </c>
      <c r="W904" s="15">
        <f>IF(MarkupType="Store Markup",ROUND(V904+V904*StoreMarkup,2),IF(MarkupType="Supplier Markup",V904+V904*SupplierMarkup,"Error at finding value"))</f>
        <v>40.79</v>
      </c>
      <c r="X904" s="32" t="str">
        <f t="shared" si="326"/>
        <v>0.00</v>
      </c>
      <c r="Y904" s="15">
        <f t="shared" si="327"/>
        <v>259</v>
      </c>
      <c r="Z904" s="15">
        <f t="shared" si="328"/>
        <v>407.9</v>
      </c>
      <c r="AA904" s="15">
        <f>IF(FreightType="Lethbridge-Stewart Freight ",ROUND(2.99+IF(N904&gt;0.75,(N904-0.75)*2.25,0)*S904,2),IF(MarkupType="Supplier Markup",V904+V904*SupplierMarkup,"Error at finding value"))</f>
        <v>4.12</v>
      </c>
      <c r="AB904" s="15">
        <f t="shared" si="329"/>
        <v>0</v>
      </c>
    </row>
    <row r="905" spans="1:28" x14ac:dyDescent="0.25">
      <c r="A905" s="16">
        <f>OrdersTable!A905</f>
        <v>531</v>
      </c>
      <c r="B905" s="15" t="str">
        <f t="shared" si="309"/>
        <v>Ms</v>
      </c>
      <c r="C905" s="15" t="str">
        <f t="shared" si="308"/>
        <v>Stanton</v>
      </c>
      <c r="D905" s="15" t="str">
        <f t="shared" si="310"/>
        <v>Sharaze</v>
      </c>
      <c r="E905" s="15" t="str">
        <f t="shared" si="311"/>
        <v>1 Siddons Crescent</v>
      </c>
      <c r="F905" s="15" t="str">
        <f t="shared" si="312"/>
        <v>Alfredtown</v>
      </c>
      <c r="G905" s="15" t="str">
        <f t="shared" si="313"/>
        <v>NSW</v>
      </c>
      <c r="H905" s="15">
        <f t="shared" si="314"/>
        <v>2650</v>
      </c>
      <c r="I905" s="15">
        <f t="shared" si="325"/>
        <v>1124</v>
      </c>
      <c r="J905" s="15">
        <f>OrdersTable!B905</f>
        <v>453</v>
      </c>
      <c r="K905" s="15" t="str">
        <f t="shared" si="315"/>
        <v>Giftware</v>
      </c>
      <c r="L905" s="15" t="str">
        <f t="shared" si="316"/>
        <v>Doctor Who: Ceramic Cookie Jar: TARDIS</v>
      </c>
      <c r="M905" s="15" t="str">
        <f t="shared" si="317"/>
        <v>-</v>
      </c>
      <c r="N905" s="15">
        <f t="shared" si="318"/>
        <v>1.35</v>
      </c>
      <c r="O905" s="15" t="str">
        <f t="shared" si="319"/>
        <v>A40</v>
      </c>
      <c r="P905" s="15" t="str">
        <f t="shared" si="320"/>
        <v>Romana Imports</v>
      </c>
      <c r="Q905" s="15" t="str">
        <f t="shared" si="321"/>
        <v>17 Lalla Ward Road</v>
      </c>
      <c r="R905" s="3">
        <f>OrdersTable!C905</f>
        <v>44625</v>
      </c>
      <c r="S905" s="15">
        <f>OrdersTable!E905</f>
        <v>6</v>
      </c>
      <c r="T905" s="15">
        <f t="shared" si="322"/>
        <v>26.99</v>
      </c>
      <c r="U905" s="15">
        <f t="shared" si="323"/>
        <v>37.119999999999997</v>
      </c>
      <c r="V905" s="15">
        <f t="shared" si="324"/>
        <v>43.72</v>
      </c>
      <c r="W905" s="15">
        <f>IF(MarkupType="Store Markup",ROUND(V905+V905*StoreMarkup,2),IF(MarkupType="Supplier Markup",V905+V905*SupplierMarkup,"Error at finding value"))</f>
        <v>68.86</v>
      </c>
      <c r="X905" s="32" t="str">
        <f t="shared" si="326"/>
        <v>0.00</v>
      </c>
      <c r="Y905" s="15">
        <f t="shared" si="327"/>
        <v>262.32</v>
      </c>
      <c r="Z905" s="15">
        <f t="shared" si="328"/>
        <v>413.16</v>
      </c>
      <c r="AA905" s="15">
        <f>IF(FreightType="Lethbridge-Stewart Freight ",ROUND(2.99+IF(N905&gt;0.75,(N905-0.75)*2.25,0)*S905,2),IF(MarkupType="Supplier Markup",V905+V905*SupplierMarkup,"Error at finding value"))</f>
        <v>11.09</v>
      </c>
      <c r="AB905" s="15">
        <f t="shared" si="329"/>
        <v>0</v>
      </c>
    </row>
    <row r="906" spans="1:28" x14ac:dyDescent="0.25">
      <c r="A906" s="16">
        <f>OrdersTable!A906</f>
        <v>540</v>
      </c>
      <c r="B906" s="15" t="str">
        <f t="shared" si="309"/>
        <v>Dr</v>
      </c>
      <c r="C906" s="15" t="str">
        <f t="shared" si="308"/>
        <v>Hackett</v>
      </c>
      <c r="D906" s="15" t="str">
        <f t="shared" si="310"/>
        <v>Patrick</v>
      </c>
      <c r="E906" s="15" t="str">
        <f t="shared" si="311"/>
        <v>25 Sweet Drive</v>
      </c>
      <c r="F906" s="15" t="str">
        <f t="shared" si="312"/>
        <v>Bridgewater</v>
      </c>
      <c r="G906" s="15" t="str">
        <f t="shared" si="313"/>
        <v>VIC</v>
      </c>
      <c r="H906" s="15">
        <f t="shared" si="314"/>
        <v>3516</v>
      </c>
      <c r="I906" s="15">
        <f t="shared" si="325"/>
        <v>1486</v>
      </c>
      <c r="J906" s="15">
        <f>OrdersTable!B906</f>
        <v>852</v>
      </c>
      <c r="K906" s="15" t="str">
        <f t="shared" si="315"/>
        <v>Statues and Busts</v>
      </c>
      <c r="L906" s="15" t="str">
        <f t="shared" si="316"/>
        <v>Doctor Who: Statue: Revenge Of The Cybermen Cyberleader</v>
      </c>
      <c r="M906" s="15" t="str">
        <f t="shared" si="317"/>
        <v>-</v>
      </c>
      <c r="N906" s="15">
        <f t="shared" si="318"/>
        <v>5.4</v>
      </c>
      <c r="O906" s="15" t="str">
        <f t="shared" si="319"/>
        <v>A50</v>
      </c>
      <c r="P906" s="15" t="str">
        <f t="shared" si="320"/>
        <v>Rassilon Ltd.</v>
      </c>
      <c r="Q906" s="15" t="str">
        <f t="shared" si="321"/>
        <v>82 Richard Mathews Road</v>
      </c>
      <c r="R906" s="3">
        <f>OrdersTable!C906</f>
        <v>44625</v>
      </c>
      <c r="S906" s="15">
        <f>OrdersTable!E906</f>
        <v>7</v>
      </c>
      <c r="T906" s="15">
        <f t="shared" si="322"/>
        <v>108</v>
      </c>
      <c r="U906" s="15">
        <f t="shared" si="323"/>
        <v>147.29</v>
      </c>
      <c r="V906" s="15">
        <f t="shared" si="324"/>
        <v>174.96</v>
      </c>
      <c r="W906" s="15">
        <f>IF(MarkupType="Store Markup",ROUND(V906+V906*StoreMarkup,2),IF(MarkupType="Supplier Markup",V906+V906*SupplierMarkup,"Error at finding value"))</f>
        <v>275.56</v>
      </c>
      <c r="X906" s="32">
        <f t="shared" si="326"/>
        <v>19.63</v>
      </c>
      <c r="Y906" s="15">
        <f t="shared" si="327"/>
        <v>1224.72</v>
      </c>
      <c r="Z906" s="15">
        <f t="shared" si="328"/>
        <v>1791.51</v>
      </c>
      <c r="AA906" s="15">
        <f>IF(FreightType="Lethbridge-Stewart Freight ",ROUND(2.99+IF(N906&gt;0.75,(N906-0.75)*2.25,0)*S906,2),IF(MarkupType="Supplier Markup",V906+V906*SupplierMarkup,"Error at finding value"))</f>
        <v>76.23</v>
      </c>
      <c r="AB906" s="15">
        <f t="shared" si="329"/>
        <v>137.41</v>
      </c>
    </row>
    <row r="907" spans="1:28" x14ac:dyDescent="0.25">
      <c r="A907" s="16">
        <f>OrdersTable!A907</f>
        <v>557</v>
      </c>
      <c r="B907" s="15" t="str">
        <f t="shared" si="309"/>
        <v>Mrs</v>
      </c>
      <c r="C907" s="15" t="str">
        <f t="shared" ref="C907:C970" si="330">VLOOKUP($A907,Cust,3,0)</f>
        <v>Allen</v>
      </c>
      <c r="D907" s="15" t="str">
        <f t="shared" si="310"/>
        <v>Morgan</v>
      </c>
      <c r="E907" s="15" t="str">
        <f t="shared" si="311"/>
        <v>15 Winsor Street</v>
      </c>
      <c r="F907" s="15" t="str">
        <f t="shared" si="312"/>
        <v>Appletree Flat</v>
      </c>
      <c r="G907" s="15" t="str">
        <f t="shared" si="313"/>
        <v>NSW</v>
      </c>
      <c r="H907" s="15">
        <f t="shared" si="314"/>
        <v>2330</v>
      </c>
      <c r="I907" s="15">
        <f t="shared" si="325"/>
        <v>691</v>
      </c>
      <c r="J907" s="15">
        <f>OrdersTable!B907</f>
        <v>810</v>
      </c>
      <c r="K907" s="15" t="str">
        <f t="shared" si="315"/>
        <v>Statues and Busts</v>
      </c>
      <c r="L907" s="15" t="str">
        <f t="shared" si="316"/>
        <v>Doctor Who: Masterpiece Collection Maxi Bust: Amy Pond</v>
      </c>
      <c r="M907" s="15" t="str">
        <f t="shared" si="317"/>
        <v>-</v>
      </c>
      <c r="N907" s="15">
        <f t="shared" si="318"/>
        <v>2.5</v>
      </c>
      <c r="O907" s="15" t="str">
        <f t="shared" si="319"/>
        <v>A50</v>
      </c>
      <c r="P907" s="15" t="str">
        <f t="shared" si="320"/>
        <v>Rassilon Ltd.</v>
      </c>
      <c r="Q907" s="15" t="str">
        <f t="shared" si="321"/>
        <v>82 Richard Mathews Road</v>
      </c>
      <c r="R907" s="3">
        <f>OrdersTable!C907</f>
        <v>44625</v>
      </c>
      <c r="S907" s="15">
        <f>OrdersTable!E907</f>
        <v>3</v>
      </c>
      <c r="T907" s="15">
        <f t="shared" si="322"/>
        <v>49.99</v>
      </c>
      <c r="U907" s="15">
        <f t="shared" si="323"/>
        <v>68.260000000000005</v>
      </c>
      <c r="V907" s="15">
        <f t="shared" si="324"/>
        <v>80.98</v>
      </c>
      <c r="W907" s="15">
        <f>IF(MarkupType="Store Markup",ROUND(V907+V907*StoreMarkup,2),IF(MarkupType="Supplier Markup",V907+V907*SupplierMarkup,"Error at finding value"))</f>
        <v>127.54</v>
      </c>
      <c r="X907" s="32">
        <f t="shared" si="326"/>
        <v>9.09</v>
      </c>
      <c r="Y907" s="15">
        <f t="shared" si="327"/>
        <v>242.94</v>
      </c>
      <c r="Z907" s="15">
        <f t="shared" si="328"/>
        <v>355.35</v>
      </c>
      <c r="AA907" s="15">
        <f>IF(FreightType="Lethbridge-Stewart Freight ",ROUND(2.99+IF(N907&gt;0.75,(N907-0.75)*2.25,0)*S907,2),IF(MarkupType="Supplier Markup",V907+V907*SupplierMarkup,"Error at finding value"))</f>
        <v>14.8</v>
      </c>
      <c r="AB907" s="15">
        <f t="shared" si="329"/>
        <v>27.27</v>
      </c>
    </row>
    <row r="908" spans="1:28" x14ac:dyDescent="0.25">
      <c r="A908" s="16">
        <f>OrdersTable!A908</f>
        <v>585</v>
      </c>
      <c r="B908" s="15" t="str">
        <f t="shared" si="309"/>
        <v>Miss</v>
      </c>
      <c r="C908" s="15" t="str">
        <f t="shared" si="330"/>
        <v>Long</v>
      </c>
      <c r="D908" s="15" t="str">
        <f t="shared" si="310"/>
        <v>Bellinda May</v>
      </c>
      <c r="E908" s="15" t="str">
        <f t="shared" si="311"/>
        <v>5 Hutcheson Avenue</v>
      </c>
      <c r="F908" s="15" t="str">
        <f t="shared" si="312"/>
        <v>Glenfern</v>
      </c>
      <c r="G908" s="15" t="str">
        <f t="shared" si="313"/>
        <v>QLD</v>
      </c>
      <c r="H908" s="15">
        <f t="shared" si="314"/>
        <v>4515</v>
      </c>
      <c r="I908" s="15">
        <f t="shared" si="325"/>
        <v>128</v>
      </c>
      <c r="J908" s="15">
        <f>OrdersTable!B908</f>
        <v>867</v>
      </c>
      <c r="K908" s="15" t="str">
        <f t="shared" si="315"/>
        <v>Statues and Busts</v>
      </c>
      <c r="L908" s="15" t="str">
        <f t="shared" si="316"/>
        <v>Doctor Who: TITANS: The 11th Doctor</v>
      </c>
      <c r="M908" s="15" t="str">
        <f t="shared" si="317"/>
        <v>-</v>
      </c>
      <c r="N908" s="15">
        <f t="shared" si="318"/>
        <v>0.4</v>
      </c>
      <c r="O908" s="15" t="str">
        <f t="shared" si="319"/>
        <v>A20</v>
      </c>
      <c r="P908" s="15" t="str">
        <f t="shared" si="320"/>
        <v>Morbius Inc.</v>
      </c>
      <c r="Q908" s="15" t="str">
        <f t="shared" si="321"/>
        <v>56 Michael Spice Hwy</v>
      </c>
      <c r="R908" s="3">
        <f>OrdersTable!C908</f>
        <v>44625</v>
      </c>
      <c r="S908" s="15">
        <f>OrdersTable!E908</f>
        <v>4</v>
      </c>
      <c r="T908" s="15">
        <f t="shared" si="322"/>
        <v>7.99</v>
      </c>
      <c r="U908" s="15">
        <f t="shared" si="323"/>
        <v>11.1</v>
      </c>
      <c r="V908" s="15">
        <f t="shared" si="324"/>
        <v>12.94</v>
      </c>
      <c r="W908" s="15">
        <f>IF(MarkupType="Store Markup",ROUND(V908+V908*StoreMarkup,2),IF(MarkupType="Supplier Markup",V908+V908*SupplierMarkup,"Error at finding value"))</f>
        <v>20.38</v>
      </c>
      <c r="X908" s="32" t="str">
        <f t="shared" si="326"/>
        <v>0.00</v>
      </c>
      <c r="Y908" s="15">
        <f t="shared" si="327"/>
        <v>51.76</v>
      </c>
      <c r="Z908" s="15">
        <f t="shared" si="328"/>
        <v>81.52</v>
      </c>
      <c r="AA908" s="15">
        <f>IF(FreightType="Lethbridge-Stewart Freight ",ROUND(2.99+IF(N908&gt;0.75,(N908-0.75)*2.25,0)*S908,2),IF(MarkupType="Supplier Markup",V908+V908*SupplierMarkup,"Error at finding value"))</f>
        <v>2.99</v>
      </c>
      <c r="AB908" s="15">
        <f t="shared" si="329"/>
        <v>0</v>
      </c>
    </row>
    <row r="909" spans="1:28" x14ac:dyDescent="0.25">
      <c r="A909" s="16">
        <f>OrdersTable!A909</f>
        <v>602</v>
      </c>
      <c r="B909" s="15" t="str">
        <f t="shared" si="309"/>
        <v>Mr</v>
      </c>
      <c r="C909" s="15" t="str">
        <f t="shared" si="330"/>
        <v>Spinelli</v>
      </c>
      <c r="D909" s="15" t="str">
        <f t="shared" si="310"/>
        <v>Paul Walter</v>
      </c>
      <c r="E909" s="15" t="str">
        <f t="shared" si="311"/>
        <v>35 Azar Drive</v>
      </c>
      <c r="F909" s="15" t="str">
        <f t="shared" si="312"/>
        <v>Bray Park</v>
      </c>
      <c r="G909" s="15" t="str">
        <f t="shared" si="313"/>
        <v>QLD</v>
      </c>
      <c r="H909" s="15">
        <f t="shared" si="314"/>
        <v>4500</v>
      </c>
      <c r="I909" s="15">
        <f t="shared" si="325"/>
        <v>139</v>
      </c>
      <c r="J909" s="15">
        <f>OrdersTable!B909</f>
        <v>792</v>
      </c>
      <c r="K909" s="15" t="str">
        <f t="shared" si="315"/>
        <v>Statues and Busts</v>
      </c>
      <c r="L909" s="15" t="str">
        <f t="shared" si="316"/>
        <v>Doctor Who: Masterpiece Collection Maxi Bust: 3rd Doctor</v>
      </c>
      <c r="M909" s="15" t="str">
        <f t="shared" si="317"/>
        <v>-</v>
      </c>
      <c r="N909" s="15">
        <f t="shared" si="318"/>
        <v>2.5</v>
      </c>
      <c r="O909" s="15" t="str">
        <f t="shared" si="319"/>
        <v>A20</v>
      </c>
      <c r="P909" s="15" t="str">
        <f t="shared" si="320"/>
        <v>Morbius Inc.</v>
      </c>
      <c r="Q909" s="15" t="str">
        <f t="shared" si="321"/>
        <v>56 Michael Spice Hwy</v>
      </c>
      <c r="R909" s="3">
        <f>OrdersTable!C909</f>
        <v>44625</v>
      </c>
      <c r="S909" s="15">
        <f>OrdersTable!E909</f>
        <v>4</v>
      </c>
      <c r="T909" s="15">
        <f t="shared" si="322"/>
        <v>49.99</v>
      </c>
      <c r="U909" s="15">
        <f t="shared" si="323"/>
        <v>68.39</v>
      </c>
      <c r="V909" s="15">
        <f t="shared" si="324"/>
        <v>80.98</v>
      </c>
      <c r="W909" s="15">
        <f>IF(MarkupType="Store Markup",ROUND(V909+V909*StoreMarkup,2),IF(MarkupType="Supplier Markup",V909+V909*SupplierMarkup,"Error at finding value"))</f>
        <v>127.54</v>
      </c>
      <c r="X909" s="32">
        <f t="shared" si="326"/>
        <v>9.09</v>
      </c>
      <c r="Y909" s="15">
        <f t="shared" si="327"/>
        <v>323.92</v>
      </c>
      <c r="Z909" s="15">
        <f t="shared" si="328"/>
        <v>473.8</v>
      </c>
      <c r="AA909" s="15">
        <f>IF(FreightType="Lethbridge-Stewart Freight ",ROUND(2.99+IF(N909&gt;0.75,(N909-0.75)*2.25,0)*S909,2),IF(MarkupType="Supplier Markup",V909+V909*SupplierMarkup,"Error at finding value"))</f>
        <v>18.739999999999998</v>
      </c>
      <c r="AB909" s="15">
        <f t="shared" si="329"/>
        <v>36.36</v>
      </c>
    </row>
    <row r="910" spans="1:28" x14ac:dyDescent="0.25">
      <c r="A910" s="16">
        <f>OrdersTable!A910</f>
        <v>651</v>
      </c>
      <c r="B910" s="15" t="str">
        <f t="shared" si="309"/>
        <v>Mr</v>
      </c>
      <c r="C910" s="15" t="str">
        <f t="shared" si="330"/>
        <v>Wilkes</v>
      </c>
      <c r="D910" s="15" t="str">
        <f t="shared" si="310"/>
        <v>Harley</v>
      </c>
      <c r="E910" s="15" t="str">
        <f t="shared" si="311"/>
        <v>12 Locke Circuit</v>
      </c>
      <c r="F910" s="15" t="str">
        <f t="shared" si="312"/>
        <v>Bray Park</v>
      </c>
      <c r="G910" s="15" t="str">
        <f t="shared" si="313"/>
        <v>QLD</v>
      </c>
      <c r="H910" s="15">
        <f t="shared" si="314"/>
        <v>4500</v>
      </c>
      <c r="I910" s="15">
        <f t="shared" si="325"/>
        <v>139</v>
      </c>
      <c r="J910" s="15">
        <f>OrdersTable!B910</f>
        <v>699</v>
      </c>
      <c r="K910" s="15" t="str">
        <f t="shared" si="315"/>
        <v>Posters, Prints and Standees</v>
      </c>
      <c r="L910" s="15" t="str">
        <f t="shared" si="316"/>
        <v>Doctor Who: Half Sized Standee: The Master</v>
      </c>
      <c r="M910" s="15" t="str">
        <f t="shared" si="317"/>
        <v>-</v>
      </c>
      <c r="N910" s="15">
        <f t="shared" si="318"/>
        <v>0.5</v>
      </c>
      <c r="O910" s="15" t="str">
        <f t="shared" si="319"/>
        <v>A20</v>
      </c>
      <c r="P910" s="15" t="str">
        <f t="shared" si="320"/>
        <v>Morbius Inc.</v>
      </c>
      <c r="Q910" s="15" t="str">
        <f t="shared" si="321"/>
        <v>56 Michael Spice Hwy</v>
      </c>
      <c r="R910" s="3">
        <f>OrdersTable!C910</f>
        <v>44625</v>
      </c>
      <c r="S910" s="15">
        <f>OrdersTable!E910</f>
        <v>2</v>
      </c>
      <c r="T910" s="15">
        <f t="shared" si="322"/>
        <v>9.99</v>
      </c>
      <c r="U910" s="15">
        <f t="shared" si="323"/>
        <v>13.79</v>
      </c>
      <c r="V910" s="15">
        <f t="shared" si="324"/>
        <v>16.18</v>
      </c>
      <c r="W910" s="15">
        <f>IF(MarkupType="Store Markup",ROUND(V910+V910*StoreMarkup,2),IF(MarkupType="Supplier Markup",V910+V910*SupplierMarkup,"Error at finding value"))</f>
        <v>25.48</v>
      </c>
      <c r="X910" s="32" t="str">
        <f t="shared" si="326"/>
        <v>0.00</v>
      </c>
      <c r="Y910" s="15">
        <f t="shared" si="327"/>
        <v>32.36</v>
      </c>
      <c r="Z910" s="15">
        <f t="shared" si="328"/>
        <v>50.96</v>
      </c>
      <c r="AA910" s="15">
        <f>IF(FreightType="Lethbridge-Stewart Freight ",ROUND(2.99+IF(N910&gt;0.75,(N910-0.75)*2.25,0)*S910,2),IF(MarkupType="Supplier Markup",V910+V910*SupplierMarkup,"Error at finding value"))</f>
        <v>2.99</v>
      </c>
      <c r="AB910" s="15">
        <f t="shared" si="329"/>
        <v>0</v>
      </c>
    </row>
    <row r="911" spans="1:28" x14ac:dyDescent="0.25">
      <c r="A911" s="16">
        <f>OrdersTable!A911</f>
        <v>302</v>
      </c>
      <c r="B911" s="15" t="str">
        <f t="shared" si="309"/>
        <v>Ms</v>
      </c>
      <c r="C911" s="15" t="str">
        <f t="shared" si="330"/>
        <v>Lamshed</v>
      </c>
      <c r="D911" s="15" t="str">
        <f t="shared" si="310"/>
        <v>Laura Clare</v>
      </c>
      <c r="E911" s="15" t="str">
        <f t="shared" si="311"/>
        <v>22 Edser Drive</v>
      </c>
      <c r="F911" s="15" t="str">
        <f t="shared" si="312"/>
        <v>Caliph</v>
      </c>
      <c r="G911" s="15" t="str">
        <f t="shared" si="313"/>
        <v>SA</v>
      </c>
      <c r="H911" s="15">
        <f t="shared" si="314"/>
        <v>5310</v>
      </c>
      <c r="I911" s="15">
        <f t="shared" si="325"/>
        <v>1720</v>
      </c>
      <c r="J911" s="15">
        <f>OrdersTable!B911</f>
        <v>849</v>
      </c>
      <c r="K911" s="15" t="str">
        <f t="shared" si="315"/>
        <v>Statues and Busts</v>
      </c>
      <c r="L911" s="15" t="str">
        <f t="shared" si="316"/>
        <v>Doctor Who: Statue: Cyber Controller</v>
      </c>
      <c r="M911" s="15" t="str">
        <f t="shared" si="317"/>
        <v>-</v>
      </c>
      <c r="N911" s="15">
        <f t="shared" si="318"/>
        <v>5</v>
      </c>
      <c r="O911" s="15" t="str">
        <f t="shared" si="319"/>
        <v>A10</v>
      </c>
      <c r="P911" s="15" t="str">
        <f t="shared" si="320"/>
        <v>Gallifrey International</v>
      </c>
      <c r="Q911" s="15" t="str">
        <f t="shared" si="321"/>
        <v>181 Arcadia Street</v>
      </c>
      <c r="R911" s="3">
        <f>OrdersTable!C911</f>
        <v>44626</v>
      </c>
      <c r="S911" s="15">
        <f>OrdersTable!E911</f>
        <v>1</v>
      </c>
      <c r="T911" s="15">
        <f t="shared" si="322"/>
        <v>99.99</v>
      </c>
      <c r="U911" s="15">
        <f t="shared" si="323"/>
        <v>136.41</v>
      </c>
      <c r="V911" s="15">
        <f t="shared" si="324"/>
        <v>161.97999999999999</v>
      </c>
      <c r="W911" s="15">
        <f>IF(MarkupType="Store Markup",ROUND(V911+V911*StoreMarkup,2),IF(MarkupType="Supplier Markup",V911+V911*SupplierMarkup,"Error at finding value"))</f>
        <v>255.12</v>
      </c>
      <c r="X911" s="32" t="str">
        <f t="shared" si="326"/>
        <v>0.00</v>
      </c>
      <c r="Y911" s="15">
        <f t="shared" si="327"/>
        <v>161.97999999999999</v>
      </c>
      <c r="Z911" s="15">
        <f t="shared" si="328"/>
        <v>255.12</v>
      </c>
      <c r="AA911" s="15">
        <f>IF(FreightType="Lethbridge-Stewart Freight ",ROUND(2.99+IF(N911&gt;0.75,(N911-0.75)*2.25,0)*S911,2),IF(MarkupType="Supplier Markup",V911+V911*SupplierMarkup,"Error at finding value"))</f>
        <v>12.55</v>
      </c>
      <c r="AB911" s="15">
        <f t="shared" si="329"/>
        <v>0</v>
      </c>
    </row>
    <row r="912" spans="1:28" x14ac:dyDescent="0.25">
      <c r="A912" s="16">
        <f>OrdersTable!A912</f>
        <v>328</v>
      </c>
      <c r="B912" s="15" t="str">
        <f t="shared" si="309"/>
        <v>Dr</v>
      </c>
      <c r="C912" s="15" t="str">
        <f t="shared" si="330"/>
        <v>Ward</v>
      </c>
      <c r="D912" s="15" t="str">
        <f t="shared" si="310"/>
        <v>Keiren Nicholas</v>
      </c>
      <c r="E912" s="15" t="str">
        <f t="shared" si="311"/>
        <v>13 Green Crescent</v>
      </c>
      <c r="F912" s="15" t="str">
        <f t="shared" si="312"/>
        <v>Breakwater</v>
      </c>
      <c r="G912" s="15" t="str">
        <f t="shared" si="313"/>
        <v>VIC</v>
      </c>
      <c r="H912" s="15">
        <f t="shared" si="314"/>
        <v>3219</v>
      </c>
      <c r="I912" s="15">
        <f t="shared" si="325"/>
        <v>1596</v>
      </c>
      <c r="J912" s="15">
        <f>OrdersTable!B912</f>
        <v>331</v>
      </c>
      <c r="K912" s="15" t="str">
        <f t="shared" si="315"/>
        <v>Clothing and Apparel</v>
      </c>
      <c r="L912" s="15" t="str">
        <f t="shared" si="316"/>
        <v xml:space="preserve">Doctor Who: T-Shirts: 4th Doctor Costume </v>
      </c>
      <c r="M912" s="15" t="str">
        <f t="shared" si="317"/>
        <v>L</v>
      </c>
      <c r="N912" s="15">
        <f t="shared" si="318"/>
        <v>0.8</v>
      </c>
      <c r="O912" s="15" t="str">
        <f t="shared" si="319"/>
        <v>A20</v>
      </c>
      <c r="P912" s="15" t="str">
        <f t="shared" si="320"/>
        <v>Morbius Inc.</v>
      </c>
      <c r="Q912" s="15" t="str">
        <f t="shared" si="321"/>
        <v>56 Michael Spice Hwy</v>
      </c>
      <c r="R912" s="3">
        <f>OrdersTable!C912</f>
        <v>44626</v>
      </c>
      <c r="S912" s="15">
        <f>OrdersTable!E912</f>
        <v>2</v>
      </c>
      <c r="T912" s="15">
        <f t="shared" si="322"/>
        <v>15.99</v>
      </c>
      <c r="U912" s="15">
        <f t="shared" si="323"/>
        <v>22.08</v>
      </c>
      <c r="V912" s="15">
        <f t="shared" si="324"/>
        <v>25.9</v>
      </c>
      <c r="W912" s="15">
        <f>IF(MarkupType="Store Markup",ROUND(V912+V912*StoreMarkup,2),IF(MarkupType="Supplier Markup",V912+V912*SupplierMarkup,"Error at finding value"))</f>
        <v>40.79</v>
      </c>
      <c r="X912" s="32" t="str">
        <f t="shared" si="326"/>
        <v>0.00</v>
      </c>
      <c r="Y912" s="15">
        <f t="shared" si="327"/>
        <v>51.8</v>
      </c>
      <c r="Z912" s="15">
        <f t="shared" si="328"/>
        <v>81.58</v>
      </c>
      <c r="AA912" s="15">
        <f>IF(FreightType="Lethbridge-Stewart Freight ",ROUND(2.99+IF(N912&gt;0.75,(N912-0.75)*2.25,0)*S912,2),IF(MarkupType="Supplier Markup",V912+V912*SupplierMarkup,"Error at finding value"))</f>
        <v>3.22</v>
      </c>
      <c r="AB912" s="15">
        <f t="shared" si="329"/>
        <v>0</v>
      </c>
    </row>
    <row r="913" spans="1:28" x14ac:dyDescent="0.25">
      <c r="A913" s="16">
        <f>OrdersTable!A913</f>
        <v>360</v>
      </c>
      <c r="B913" s="15" t="str">
        <f t="shared" si="309"/>
        <v>Ms</v>
      </c>
      <c r="C913" s="15" t="str">
        <f t="shared" si="330"/>
        <v>Bobonica</v>
      </c>
      <c r="D913" s="15" t="str">
        <f t="shared" si="310"/>
        <v>Claudia</v>
      </c>
      <c r="E913" s="15" t="str">
        <f t="shared" si="311"/>
        <v>47 Klein Way</v>
      </c>
      <c r="F913" s="15" t="str">
        <f t="shared" si="312"/>
        <v>Avon Plains</v>
      </c>
      <c r="G913" s="15" t="str">
        <f t="shared" si="313"/>
        <v>VIC</v>
      </c>
      <c r="H913" s="15">
        <f t="shared" si="314"/>
        <v>3477</v>
      </c>
      <c r="I913" s="15">
        <f t="shared" si="325"/>
        <v>1565</v>
      </c>
      <c r="J913" s="15">
        <f>OrdersTable!B913</f>
        <v>543</v>
      </c>
      <c r="K913" s="15" t="str">
        <f t="shared" si="315"/>
        <v>Giftware</v>
      </c>
      <c r="L913" s="15" t="str">
        <f t="shared" si="316"/>
        <v>Doctor Who: Sonic Screwdriver Pen</v>
      </c>
      <c r="M913" s="15" t="str">
        <f t="shared" si="317"/>
        <v>-</v>
      </c>
      <c r="N913" s="15">
        <f t="shared" si="318"/>
        <v>0.65</v>
      </c>
      <c r="O913" s="15" t="str">
        <f t="shared" si="319"/>
        <v>A20</v>
      </c>
      <c r="P913" s="15" t="str">
        <f t="shared" si="320"/>
        <v>Morbius Inc.</v>
      </c>
      <c r="Q913" s="15" t="str">
        <f t="shared" si="321"/>
        <v>56 Michael Spice Hwy</v>
      </c>
      <c r="R913" s="3">
        <f>OrdersTable!C913</f>
        <v>44626</v>
      </c>
      <c r="S913" s="15">
        <f>OrdersTable!E913</f>
        <v>10</v>
      </c>
      <c r="T913" s="15">
        <f t="shared" si="322"/>
        <v>12.99</v>
      </c>
      <c r="U913" s="15">
        <f t="shared" si="323"/>
        <v>18.02</v>
      </c>
      <c r="V913" s="15">
        <f t="shared" si="324"/>
        <v>21.04</v>
      </c>
      <c r="W913" s="15">
        <f>IF(MarkupType="Store Markup",ROUND(V913+V913*StoreMarkup,2),IF(MarkupType="Supplier Markup",V913+V913*SupplierMarkup,"Error at finding value"))</f>
        <v>33.14</v>
      </c>
      <c r="X913" s="32" t="str">
        <f t="shared" si="326"/>
        <v>0.00</v>
      </c>
      <c r="Y913" s="15">
        <f t="shared" si="327"/>
        <v>210.4</v>
      </c>
      <c r="Z913" s="15">
        <f t="shared" si="328"/>
        <v>331.4</v>
      </c>
      <c r="AA913" s="15">
        <f>IF(FreightType="Lethbridge-Stewart Freight ",ROUND(2.99+IF(N913&gt;0.75,(N913-0.75)*2.25,0)*S913,2),IF(MarkupType="Supplier Markup",V913+V913*SupplierMarkup,"Error at finding value"))</f>
        <v>2.99</v>
      </c>
      <c r="AB913" s="15">
        <f t="shared" si="329"/>
        <v>0</v>
      </c>
    </row>
    <row r="914" spans="1:28" x14ac:dyDescent="0.25">
      <c r="A914" s="16">
        <f>OrdersTable!A914</f>
        <v>364</v>
      </c>
      <c r="B914" s="15" t="str">
        <f t="shared" si="309"/>
        <v>Dr</v>
      </c>
      <c r="C914" s="15" t="str">
        <f t="shared" si="330"/>
        <v>Reibelt</v>
      </c>
      <c r="D914" s="15" t="str">
        <f t="shared" si="310"/>
        <v>Corey James</v>
      </c>
      <c r="E914" s="15" t="str">
        <f t="shared" si="311"/>
        <v>23 Burns Drive</v>
      </c>
      <c r="F914" s="15" t="str">
        <f t="shared" si="312"/>
        <v>Caliph</v>
      </c>
      <c r="G914" s="15" t="str">
        <f t="shared" si="313"/>
        <v>SA</v>
      </c>
      <c r="H914" s="15">
        <f t="shared" si="314"/>
        <v>5310</v>
      </c>
      <c r="I914" s="15">
        <f t="shared" si="325"/>
        <v>1720</v>
      </c>
      <c r="J914" s="15">
        <f>OrdersTable!B914</f>
        <v>453</v>
      </c>
      <c r="K914" s="15" t="str">
        <f t="shared" si="315"/>
        <v>Giftware</v>
      </c>
      <c r="L914" s="15" t="str">
        <f t="shared" si="316"/>
        <v>Doctor Who: Ceramic Cookie Jar: TARDIS</v>
      </c>
      <c r="M914" s="15" t="str">
        <f t="shared" si="317"/>
        <v>-</v>
      </c>
      <c r="N914" s="15">
        <f t="shared" si="318"/>
        <v>1.35</v>
      </c>
      <c r="O914" s="15" t="str">
        <f t="shared" si="319"/>
        <v>A40</v>
      </c>
      <c r="P914" s="15" t="str">
        <f t="shared" si="320"/>
        <v>Romana Imports</v>
      </c>
      <c r="Q914" s="15" t="str">
        <f t="shared" si="321"/>
        <v>17 Lalla Ward Road</v>
      </c>
      <c r="R914" s="3">
        <f>OrdersTable!C914</f>
        <v>44626</v>
      </c>
      <c r="S914" s="15">
        <f>OrdersTable!E914</f>
        <v>5</v>
      </c>
      <c r="T914" s="15">
        <f t="shared" si="322"/>
        <v>26.99</v>
      </c>
      <c r="U914" s="15">
        <f t="shared" si="323"/>
        <v>37.119999999999997</v>
      </c>
      <c r="V914" s="15">
        <f t="shared" si="324"/>
        <v>43.72</v>
      </c>
      <c r="W914" s="15">
        <f>IF(MarkupType="Store Markup",ROUND(V914+V914*StoreMarkup,2),IF(MarkupType="Supplier Markup",V914+V914*SupplierMarkup,"Error at finding value"))</f>
        <v>68.86</v>
      </c>
      <c r="X914" s="32" t="str">
        <f t="shared" si="326"/>
        <v>0.00</v>
      </c>
      <c r="Y914" s="15">
        <f t="shared" si="327"/>
        <v>218.6</v>
      </c>
      <c r="Z914" s="15">
        <f t="shared" si="328"/>
        <v>344.3</v>
      </c>
      <c r="AA914" s="15">
        <f>IF(FreightType="Lethbridge-Stewart Freight ",ROUND(2.99+IF(N914&gt;0.75,(N914-0.75)*2.25,0)*S914,2),IF(MarkupType="Supplier Markup",V914+V914*SupplierMarkup,"Error at finding value"))</f>
        <v>9.74</v>
      </c>
      <c r="AB914" s="15">
        <f t="shared" si="329"/>
        <v>0</v>
      </c>
    </row>
    <row r="915" spans="1:28" x14ac:dyDescent="0.25">
      <c r="A915" s="16">
        <f>OrdersTable!A915</f>
        <v>412</v>
      </c>
      <c r="B915" s="15" t="str">
        <f t="shared" si="309"/>
        <v>Miss</v>
      </c>
      <c r="C915" s="15" t="str">
        <f t="shared" si="330"/>
        <v>Moraitis</v>
      </c>
      <c r="D915" s="15" t="str">
        <f t="shared" si="310"/>
        <v>Vikki Sue</v>
      </c>
      <c r="E915" s="15" t="str">
        <f t="shared" si="311"/>
        <v>11 Stuckings Boulevard</v>
      </c>
      <c r="F915" s="15" t="str">
        <f t="shared" si="312"/>
        <v>Airly</v>
      </c>
      <c r="G915" s="15" t="str">
        <f t="shared" si="313"/>
        <v>VIC</v>
      </c>
      <c r="H915" s="15">
        <f t="shared" si="314"/>
        <v>3851</v>
      </c>
      <c r="I915" s="15">
        <f t="shared" si="325"/>
        <v>1583</v>
      </c>
      <c r="J915" s="15">
        <f>OrdersTable!B915</f>
        <v>758</v>
      </c>
      <c r="K915" s="15" t="str">
        <f t="shared" si="315"/>
        <v>Statues and Busts</v>
      </c>
      <c r="L915" s="15" t="str">
        <f t="shared" si="316"/>
        <v>Doctor Who: Helmet: Sontaran Officer Linx</v>
      </c>
      <c r="M915" s="15" t="str">
        <f t="shared" si="317"/>
        <v>-</v>
      </c>
      <c r="N915" s="15">
        <f t="shared" si="318"/>
        <v>1.75</v>
      </c>
      <c r="O915" s="15" t="str">
        <f t="shared" si="319"/>
        <v>A50</v>
      </c>
      <c r="P915" s="15" t="str">
        <f t="shared" si="320"/>
        <v>Rassilon Ltd.</v>
      </c>
      <c r="Q915" s="15" t="str">
        <f t="shared" si="321"/>
        <v>82 Richard Mathews Road</v>
      </c>
      <c r="R915" s="3">
        <f>OrdersTable!C915</f>
        <v>44626</v>
      </c>
      <c r="S915" s="15">
        <f>OrdersTable!E915</f>
        <v>8</v>
      </c>
      <c r="T915" s="15">
        <f t="shared" si="322"/>
        <v>34.99</v>
      </c>
      <c r="U915" s="15">
        <f t="shared" si="323"/>
        <v>47.79</v>
      </c>
      <c r="V915" s="15">
        <f t="shared" si="324"/>
        <v>56.68</v>
      </c>
      <c r="W915" s="15">
        <f>IF(MarkupType="Store Markup",ROUND(V915+V915*StoreMarkup,2),IF(MarkupType="Supplier Markup",V915+V915*SupplierMarkup,"Error at finding value"))</f>
        <v>89.27</v>
      </c>
      <c r="X915" s="32" t="str">
        <f t="shared" si="326"/>
        <v>0.00</v>
      </c>
      <c r="Y915" s="15">
        <f t="shared" si="327"/>
        <v>453.44</v>
      </c>
      <c r="Z915" s="15">
        <f t="shared" si="328"/>
        <v>714.16</v>
      </c>
      <c r="AA915" s="15">
        <f>IF(FreightType="Lethbridge-Stewart Freight ",ROUND(2.99+IF(N915&gt;0.75,(N915-0.75)*2.25,0)*S915,2),IF(MarkupType="Supplier Markup",V915+V915*SupplierMarkup,"Error at finding value"))</f>
        <v>20.99</v>
      </c>
      <c r="AB915" s="15">
        <f t="shared" si="329"/>
        <v>0</v>
      </c>
    </row>
    <row r="916" spans="1:28" x14ac:dyDescent="0.25">
      <c r="A916" s="16">
        <f>OrdersTable!A916</f>
        <v>496</v>
      </c>
      <c r="B916" s="15" t="str">
        <f t="shared" si="309"/>
        <v>Dr</v>
      </c>
      <c r="C916" s="15" t="str">
        <f t="shared" si="330"/>
        <v>Johnston</v>
      </c>
      <c r="D916" s="15" t="str">
        <f t="shared" si="310"/>
        <v>Karrina</v>
      </c>
      <c r="E916" s="15" t="str">
        <f t="shared" si="311"/>
        <v>11 Bishop Drive</v>
      </c>
      <c r="F916" s="15" t="str">
        <f t="shared" si="312"/>
        <v>Belford</v>
      </c>
      <c r="G916" s="15" t="str">
        <f t="shared" si="313"/>
        <v>NSW</v>
      </c>
      <c r="H916" s="15">
        <f t="shared" si="314"/>
        <v>2335</v>
      </c>
      <c r="I916" s="15">
        <f t="shared" si="325"/>
        <v>716</v>
      </c>
      <c r="J916" s="15">
        <f>OrdersTable!B916</f>
        <v>780</v>
      </c>
      <c r="K916" s="15" t="str">
        <f t="shared" si="315"/>
        <v>Statues and Busts</v>
      </c>
      <c r="L916" s="15" t="str">
        <f t="shared" si="316"/>
        <v>Doctor Who: Masterpiece Collection Dalek: Genesis Of The Daleks</v>
      </c>
      <c r="M916" s="15" t="str">
        <f t="shared" si="317"/>
        <v>-</v>
      </c>
      <c r="N916" s="15">
        <f t="shared" si="318"/>
        <v>2.5</v>
      </c>
      <c r="O916" s="15" t="str">
        <f t="shared" si="319"/>
        <v>A30</v>
      </c>
      <c r="P916" s="15" t="str">
        <f t="shared" si="320"/>
        <v>Chesterton Enterprises</v>
      </c>
      <c r="Q916" s="15" t="str">
        <f t="shared" si="321"/>
        <v>41 William Russell Road</v>
      </c>
      <c r="R916" s="3">
        <f>OrdersTable!C916</f>
        <v>44626</v>
      </c>
      <c r="S916" s="15">
        <f>OrdersTable!E916</f>
        <v>6</v>
      </c>
      <c r="T916" s="15">
        <f t="shared" si="322"/>
        <v>49.99</v>
      </c>
      <c r="U916" s="15">
        <f t="shared" si="323"/>
        <v>68.23</v>
      </c>
      <c r="V916" s="15">
        <f t="shared" si="324"/>
        <v>80.98</v>
      </c>
      <c r="W916" s="15">
        <f>IF(MarkupType="Store Markup",ROUND(V916+V916*StoreMarkup,2),IF(MarkupType="Supplier Markup",V916+V916*SupplierMarkup,"Error at finding value"))</f>
        <v>127.54</v>
      </c>
      <c r="X916" s="32">
        <f t="shared" si="326"/>
        <v>9.09</v>
      </c>
      <c r="Y916" s="15">
        <f t="shared" si="327"/>
        <v>485.88</v>
      </c>
      <c r="Z916" s="15">
        <f t="shared" si="328"/>
        <v>710.7</v>
      </c>
      <c r="AA916" s="15">
        <f>IF(FreightType="Lethbridge-Stewart Freight ",ROUND(2.99+IF(N916&gt;0.75,(N916-0.75)*2.25,0)*S916,2),IF(MarkupType="Supplier Markup",V916+V916*SupplierMarkup,"Error at finding value"))</f>
        <v>26.62</v>
      </c>
      <c r="AB916" s="15">
        <f t="shared" si="329"/>
        <v>54.54</v>
      </c>
    </row>
    <row r="917" spans="1:28" x14ac:dyDescent="0.25">
      <c r="A917" s="16">
        <f>OrdersTable!A917</f>
        <v>500</v>
      </c>
      <c r="B917" s="15" t="str">
        <f t="shared" si="309"/>
        <v>Ms</v>
      </c>
      <c r="C917" s="15" t="str">
        <f t="shared" si="330"/>
        <v>Helmers</v>
      </c>
      <c r="D917" s="15" t="str">
        <f t="shared" si="310"/>
        <v>Kristy-Lee</v>
      </c>
      <c r="E917" s="15" t="str">
        <f t="shared" si="311"/>
        <v>43 Welthagen Court</v>
      </c>
      <c r="F917" s="15" t="str">
        <f t="shared" si="312"/>
        <v>Areegra</v>
      </c>
      <c r="G917" s="15" t="str">
        <f t="shared" si="313"/>
        <v>VIC</v>
      </c>
      <c r="H917" s="15">
        <f t="shared" si="314"/>
        <v>3480</v>
      </c>
      <c r="I917" s="15">
        <f t="shared" si="325"/>
        <v>1559</v>
      </c>
      <c r="J917" s="15">
        <f>OrdersTable!B917</f>
        <v>543</v>
      </c>
      <c r="K917" s="15" t="str">
        <f t="shared" si="315"/>
        <v>Giftware</v>
      </c>
      <c r="L917" s="15" t="str">
        <f t="shared" si="316"/>
        <v>Doctor Who: Sonic Screwdriver Pen</v>
      </c>
      <c r="M917" s="15" t="str">
        <f t="shared" si="317"/>
        <v>-</v>
      </c>
      <c r="N917" s="15">
        <f t="shared" si="318"/>
        <v>0.65</v>
      </c>
      <c r="O917" s="15" t="str">
        <f t="shared" si="319"/>
        <v>A20</v>
      </c>
      <c r="P917" s="15" t="str">
        <f t="shared" si="320"/>
        <v>Morbius Inc.</v>
      </c>
      <c r="Q917" s="15" t="str">
        <f t="shared" si="321"/>
        <v>56 Michael Spice Hwy</v>
      </c>
      <c r="R917" s="3">
        <f>OrdersTable!C917</f>
        <v>44626</v>
      </c>
      <c r="S917" s="15">
        <f>OrdersTable!E917</f>
        <v>3</v>
      </c>
      <c r="T917" s="15">
        <f t="shared" si="322"/>
        <v>12.99</v>
      </c>
      <c r="U917" s="15">
        <f t="shared" si="323"/>
        <v>18.02</v>
      </c>
      <c r="V917" s="15">
        <f t="shared" si="324"/>
        <v>21.04</v>
      </c>
      <c r="W917" s="15">
        <f>IF(MarkupType="Store Markup",ROUND(V917+V917*StoreMarkup,2),IF(MarkupType="Supplier Markup",V917+V917*SupplierMarkup,"Error at finding value"))</f>
        <v>33.14</v>
      </c>
      <c r="X917" s="32" t="str">
        <f t="shared" si="326"/>
        <v>0.00</v>
      </c>
      <c r="Y917" s="15">
        <f t="shared" si="327"/>
        <v>63.12</v>
      </c>
      <c r="Z917" s="15">
        <f t="shared" si="328"/>
        <v>99.42</v>
      </c>
      <c r="AA917" s="15">
        <f>IF(FreightType="Lethbridge-Stewart Freight ",ROUND(2.99+IF(N917&gt;0.75,(N917-0.75)*2.25,0)*S917,2),IF(MarkupType="Supplier Markup",V917+V917*SupplierMarkup,"Error at finding value"))</f>
        <v>2.99</v>
      </c>
      <c r="AB917" s="15">
        <f t="shared" si="329"/>
        <v>0</v>
      </c>
    </row>
    <row r="918" spans="1:28" x14ac:dyDescent="0.25">
      <c r="A918" s="16">
        <f>OrdersTable!A918</f>
        <v>586</v>
      </c>
      <c r="B918" s="15" t="str">
        <f t="shared" si="309"/>
        <v>Dr</v>
      </c>
      <c r="C918" s="15" t="str">
        <f t="shared" si="330"/>
        <v>Coetzee</v>
      </c>
      <c r="D918" s="15" t="str">
        <f t="shared" si="310"/>
        <v>Riekert</v>
      </c>
      <c r="E918" s="15" t="str">
        <f t="shared" si="311"/>
        <v>5 Western Road</v>
      </c>
      <c r="F918" s="15" t="str">
        <f t="shared" si="312"/>
        <v>Alfredtown</v>
      </c>
      <c r="G918" s="15" t="str">
        <f t="shared" si="313"/>
        <v>NSW</v>
      </c>
      <c r="H918" s="15">
        <f t="shared" si="314"/>
        <v>2650</v>
      </c>
      <c r="I918" s="15">
        <f t="shared" si="325"/>
        <v>1124</v>
      </c>
      <c r="J918" s="15">
        <f>OrdersTable!B918</f>
        <v>219</v>
      </c>
      <c r="K918" s="15" t="str">
        <f t="shared" si="315"/>
        <v>Clothing and Apparel</v>
      </c>
      <c r="L918" s="15" t="str">
        <f t="shared" si="316"/>
        <v>Doctor Who: Men's Winter Pyjamas</v>
      </c>
      <c r="M918" s="15" t="str">
        <f t="shared" si="317"/>
        <v>M</v>
      </c>
      <c r="N918" s="15">
        <f t="shared" si="318"/>
        <v>1.5</v>
      </c>
      <c r="O918" s="15" t="str">
        <f t="shared" si="319"/>
        <v>A40</v>
      </c>
      <c r="P918" s="15" t="str">
        <f t="shared" si="320"/>
        <v>Romana Imports</v>
      </c>
      <c r="Q918" s="15" t="str">
        <f t="shared" si="321"/>
        <v>17 Lalla Ward Road</v>
      </c>
      <c r="R918" s="3">
        <f>OrdersTable!C918</f>
        <v>44626</v>
      </c>
      <c r="S918" s="15">
        <f>OrdersTable!E918</f>
        <v>10</v>
      </c>
      <c r="T918" s="15">
        <f t="shared" si="322"/>
        <v>29.99</v>
      </c>
      <c r="U918" s="15">
        <f t="shared" si="323"/>
        <v>41.24</v>
      </c>
      <c r="V918" s="15">
        <f t="shared" si="324"/>
        <v>48.58</v>
      </c>
      <c r="W918" s="15">
        <f>IF(MarkupType="Store Markup",ROUND(V918+V918*StoreMarkup,2),IF(MarkupType="Supplier Markup",V918+V918*SupplierMarkup,"Error at finding value"))</f>
        <v>76.510000000000005</v>
      </c>
      <c r="X918" s="32" t="str">
        <f t="shared" si="326"/>
        <v>0.00</v>
      </c>
      <c r="Y918" s="15">
        <f t="shared" si="327"/>
        <v>485.8</v>
      </c>
      <c r="Z918" s="15">
        <f t="shared" si="328"/>
        <v>765.1</v>
      </c>
      <c r="AA918" s="15">
        <f>IF(FreightType="Lethbridge-Stewart Freight ",ROUND(2.99+IF(N918&gt;0.75,(N918-0.75)*2.25,0)*S918,2),IF(MarkupType="Supplier Markup",V918+V918*SupplierMarkup,"Error at finding value"))</f>
        <v>19.87</v>
      </c>
      <c r="AB918" s="15">
        <f t="shared" si="329"/>
        <v>0</v>
      </c>
    </row>
    <row r="919" spans="1:28" x14ac:dyDescent="0.25">
      <c r="A919" s="16">
        <f>OrdersTable!A919</f>
        <v>634</v>
      </c>
      <c r="B919" s="15" t="str">
        <f t="shared" si="309"/>
        <v>Miss</v>
      </c>
      <c r="C919" s="15" t="str">
        <f t="shared" si="330"/>
        <v>Betts</v>
      </c>
      <c r="D919" s="15" t="str">
        <f t="shared" si="310"/>
        <v>Melissa Leigh</v>
      </c>
      <c r="E919" s="15" t="str">
        <f t="shared" si="311"/>
        <v>4 Aitcheson Drive</v>
      </c>
      <c r="F919" s="15" t="str">
        <f t="shared" si="312"/>
        <v>Bray Park</v>
      </c>
      <c r="G919" s="15" t="str">
        <f t="shared" si="313"/>
        <v>QLD</v>
      </c>
      <c r="H919" s="15">
        <f t="shared" si="314"/>
        <v>4500</v>
      </c>
      <c r="I919" s="15">
        <f t="shared" si="325"/>
        <v>139</v>
      </c>
      <c r="J919" s="15">
        <f>OrdersTable!B919</f>
        <v>543</v>
      </c>
      <c r="K919" s="15" t="str">
        <f t="shared" si="315"/>
        <v>Giftware</v>
      </c>
      <c r="L919" s="15" t="str">
        <f t="shared" si="316"/>
        <v>Doctor Who: Sonic Screwdriver Pen</v>
      </c>
      <c r="M919" s="15" t="str">
        <f t="shared" si="317"/>
        <v>-</v>
      </c>
      <c r="N919" s="15">
        <f t="shared" si="318"/>
        <v>0.65</v>
      </c>
      <c r="O919" s="15" t="str">
        <f t="shared" si="319"/>
        <v>A20</v>
      </c>
      <c r="P919" s="15" t="str">
        <f t="shared" si="320"/>
        <v>Morbius Inc.</v>
      </c>
      <c r="Q919" s="15" t="str">
        <f t="shared" si="321"/>
        <v>56 Michael Spice Hwy</v>
      </c>
      <c r="R919" s="3">
        <f>OrdersTable!C919</f>
        <v>44626</v>
      </c>
      <c r="S919" s="15">
        <f>OrdersTable!E919</f>
        <v>4</v>
      </c>
      <c r="T919" s="15">
        <f t="shared" si="322"/>
        <v>12.99</v>
      </c>
      <c r="U919" s="15">
        <f t="shared" si="323"/>
        <v>18.02</v>
      </c>
      <c r="V919" s="15">
        <f t="shared" si="324"/>
        <v>21.04</v>
      </c>
      <c r="W919" s="15">
        <f>IF(MarkupType="Store Markup",ROUND(V919+V919*StoreMarkup,2),IF(MarkupType="Supplier Markup",V919+V919*SupplierMarkup,"Error at finding value"))</f>
        <v>33.14</v>
      </c>
      <c r="X919" s="32" t="str">
        <f t="shared" si="326"/>
        <v>0.00</v>
      </c>
      <c r="Y919" s="15">
        <f t="shared" si="327"/>
        <v>84.16</v>
      </c>
      <c r="Z919" s="15">
        <f t="shared" si="328"/>
        <v>132.56</v>
      </c>
      <c r="AA919" s="15">
        <f>IF(FreightType="Lethbridge-Stewart Freight ",ROUND(2.99+IF(N919&gt;0.75,(N919-0.75)*2.25,0)*S919,2),IF(MarkupType="Supplier Markup",V919+V919*SupplierMarkup,"Error at finding value"))</f>
        <v>2.99</v>
      </c>
      <c r="AB919" s="15">
        <f t="shared" si="329"/>
        <v>0</v>
      </c>
    </row>
    <row r="920" spans="1:28" x14ac:dyDescent="0.25">
      <c r="A920" s="16">
        <f>OrdersTable!A920</f>
        <v>634</v>
      </c>
      <c r="B920" s="15" t="str">
        <f t="shared" si="309"/>
        <v>Miss</v>
      </c>
      <c r="C920" s="15" t="str">
        <f t="shared" si="330"/>
        <v>Betts</v>
      </c>
      <c r="D920" s="15" t="str">
        <f t="shared" si="310"/>
        <v>Melissa Leigh</v>
      </c>
      <c r="E920" s="15" t="str">
        <f t="shared" si="311"/>
        <v>4 Aitcheson Drive</v>
      </c>
      <c r="F920" s="15" t="str">
        <f t="shared" si="312"/>
        <v>Bray Park</v>
      </c>
      <c r="G920" s="15" t="str">
        <f t="shared" si="313"/>
        <v>QLD</v>
      </c>
      <c r="H920" s="15">
        <f t="shared" si="314"/>
        <v>4500</v>
      </c>
      <c r="I920" s="15">
        <f t="shared" si="325"/>
        <v>139</v>
      </c>
      <c r="J920" s="15">
        <f>OrdersTable!B920</f>
        <v>689</v>
      </c>
      <c r="K920" s="15" t="str">
        <f t="shared" si="315"/>
        <v>Posters, Prints and Standees</v>
      </c>
      <c r="L920" s="15" t="str">
        <f t="shared" si="316"/>
        <v>Doctor Who: 16'x12' Framed Print: Cold War</v>
      </c>
      <c r="M920" s="15" t="str">
        <f t="shared" si="317"/>
        <v>-</v>
      </c>
      <c r="N920" s="15">
        <f t="shared" si="318"/>
        <v>0.75</v>
      </c>
      <c r="O920" s="15" t="str">
        <f t="shared" si="319"/>
        <v>A50</v>
      </c>
      <c r="P920" s="15" t="str">
        <f t="shared" si="320"/>
        <v>Rassilon Ltd.</v>
      </c>
      <c r="Q920" s="15" t="str">
        <f t="shared" si="321"/>
        <v>82 Richard Mathews Road</v>
      </c>
      <c r="R920" s="3">
        <f>OrdersTable!C920</f>
        <v>44626</v>
      </c>
      <c r="S920" s="15">
        <f>OrdersTable!E920</f>
        <v>9</v>
      </c>
      <c r="T920" s="15">
        <f t="shared" si="322"/>
        <v>14.99</v>
      </c>
      <c r="U920" s="15">
        <f t="shared" si="323"/>
        <v>20.77</v>
      </c>
      <c r="V920" s="15">
        <f t="shared" si="324"/>
        <v>24.28</v>
      </c>
      <c r="W920" s="15">
        <f>IF(MarkupType="Store Markup",ROUND(V920+V920*StoreMarkup,2),IF(MarkupType="Supplier Markup",V920+V920*SupplierMarkup,"Error at finding value"))</f>
        <v>38.24</v>
      </c>
      <c r="X920" s="32" t="str">
        <f t="shared" si="326"/>
        <v>0.00</v>
      </c>
      <c r="Y920" s="15">
        <f t="shared" si="327"/>
        <v>218.52</v>
      </c>
      <c r="Z920" s="15">
        <f t="shared" si="328"/>
        <v>344.16</v>
      </c>
      <c r="AA920" s="15">
        <f>IF(FreightType="Lethbridge-Stewart Freight ",ROUND(2.99+IF(N920&gt;0.75,(N920-0.75)*2.25,0)*S920,2),IF(MarkupType="Supplier Markup",V920+V920*SupplierMarkup,"Error at finding value"))</f>
        <v>2.99</v>
      </c>
      <c r="AB920" s="15">
        <f t="shared" si="329"/>
        <v>0</v>
      </c>
    </row>
    <row r="921" spans="1:28" x14ac:dyDescent="0.25">
      <c r="A921" s="16">
        <f>OrdersTable!A921</f>
        <v>657</v>
      </c>
      <c r="B921" s="15" t="str">
        <f t="shared" si="309"/>
        <v>Mr</v>
      </c>
      <c r="C921" s="15" t="str">
        <f t="shared" si="330"/>
        <v>Poljak</v>
      </c>
      <c r="D921" s="15" t="str">
        <f t="shared" si="310"/>
        <v>Anthony</v>
      </c>
      <c r="E921" s="15" t="str">
        <f t="shared" si="311"/>
        <v>45 Robertson Boulevard</v>
      </c>
      <c r="F921" s="15" t="str">
        <f t="shared" si="312"/>
        <v>Iluka</v>
      </c>
      <c r="G921" s="15" t="str">
        <f t="shared" si="313"/>
        <v>NSW</v>
      </c>
      <c r="H921" s="15">
        <f t="shared" si="314"/>
        <v>2466</v>
      </c>
      <c r="I921" s="15">
        <f t="shared" si="325"/>
        <v>347</v>
      </c>
      <c r="J921" s="15">
        <f>OrdersTable!B921</f>
        <v>752</v>
      </c>
      <c r="K921" s="15" t="str">
        <f t="shared" si="315"/>
        <v>Statues and Busts</v>
      </c>
      <c r="L921" s="15" t="str">
        <f t="shared" si="316"/>
        <v>Doctor Who: Helmet: Cyberman Leader</v>
      </c>
      <c r="M921" s="15" t="str">
        <f t="shared" si="317"/>
        <v>-</v>
      </c>
      <c r="N921" s="15">
        <f t="shared" si="318"/>
        <v>2</v>
      </c>
      <c r="O921" s="15" t="str">
        <f t="shared" si="319"/>
        <v>A30</v>
      </c>
      <c r="P921" s="15" t="str">
        <f t="shared" si="320"/>
        <v>Chesterton Enterprises</v>
      </c>
      <c r="Q921" s="15" t="str">
        <f t="shared" si="321"/>
        <v>41 William Russell Road</v>
      </c>
      <c r="R921" s="3">
        <f>OrdersTable!C921</f>
        <v>44626</v>
      </c>
      <c r="S921" s="15">
        <f>OrdersTable!E921</f>
        <v>2</v>
      </c>
      <c r="T921" s="15">
        <f t="shared" si="322"/>
        <v>39.99</v>
      </c>
      <c r="U921" s="15">
        <f t="shared" si="323"/>
        <v>54.85</v>
      </c>
      <c r="V921" s="15">
        <f t="shared" si="324"/>
        <v>64.78</v>
      </c>
      <c r="W921" s="15">
        <f>IF(MarkupType="Store Markup",ROUND(V921+V921*StoreMarkup,2),IF(MarkupType="Supplier Markup",V921+V921*SupplierMarkup,"Error at finding value"))</f>
        <v>102.03</v>
      </c>
      <c r="X921" s="32" t="str">
        <f t="shared" si="326"/>
        <v>0.00</v>
      </c>
      <c r="Y921" s="15">
        <f t="shared" si="327"/>
        <v>129.56</v>
      </c>
      <c r="Z921" s="15">
        <f t="shared" si="328"/>
        <v>204.06</v>
      </c>
      <c r="AA921" s="15">
        <f>IF(FreightType="Lethbridge-Stewart Freight ",ROUND(2.99+IF(N921&gt;0.75,(N921-0.75)*2.25,0)*S921,2),IF(MarkupType="Supplier Markup",V921+V921*SupplierMarkup,"Error at finding value"))</f>
        <v>8.6199999999999992</v>
      </c>
      <c r="AB921" s="15">
        <f t="shared" si="329"/>
        <v>0</v>
      </c>
    </row>
    <row r="922" spans="1:28" x14ac:dyDescent="0.25">
      <c r="A922" s="16">
        <f>OrdersTable!A922</f>
        <v>669</v>
      </c>
      <c r="B922" s="15" t="str">
        <f t="shared" si="309"/>
        <v>Dr</v>
      </c>
      <c r="C922" s="15" t="str">
        <f t="shared" si="330"/>
        <v>Ferjani</v>
      </c>
      <c r="D922" s="15" t="str">
        <f t="shared" si="310"/>
        <v>Rabah</v>
      </c>
      <c r="E922" s="15" t="str">
        <f t="shared" si="311"/>
        <v>2 Codrington Street</v>
      </c>
      <c r="F922" s="15" t="str">
        <f t="shared" si="312"/>
        <v>Belford</v>
      </c>
      <c r="G922" s="15" t="str">
        <f t="shared" si="313"/>
        <v>NSW</v>
      </c>
      <c r="H922" s="15">
        <f t="shared" si="314"/>
        <v>2335</v>
      </c>
      <c r="I922" s="15">
        <f t="shared" si="325"/>
        <v>716</v>
      </c>
      <c r="J922" s="15">
        <f>OrdersTable!B922</f>
        <v>316</v>
      </c>
      <c r="K922" s="15" t="str">
        <f t="shared" si="315"/>
        <v>Clothing and Apparel</v>
      </c>
      <c r="L922" s="15" t="str">
        <f t="shared" si="316"/>
        <v xml:space="preserve">Doctor Who: T-Shirts: 4th Doctor Costume </v>
      </c>
      <c r="M922" s="15" t="str">
        <f t="shared" si="317"/>
        <v>S</v>
      </c>
      <c r="N922" s="15">
        <f t="shared" si="318"/>
        <v>0.8</v>
      </c>
      <c r="O922" s="15" t="str">
        <f t="shared" si="319"/>
        <v>A30</v>
      </c>
      <c r="P922" s="15" t="str">
        <f t="shared" si="320"/>
        <v>Chesterton Enterprises</v>
      </c>
      <c r="Q922" s="15" t="str">
        <f t="shared" si="321"/>
        <v>41 William Russell Road</v>
      </c>
      <c r="R922" s="3">
        <f>OrdersTable!C922</f>
        <v>44626</v>
      </c>
      <c r="S922" s="15">
        <f>OrdersTable!E922</f>
        <v>8</v>
      </c>
      <c r="T922" s="15">
        <f t="shared" si="322"/>
        <v>15.99</v>
      </c>
      <c r="U922" s="15">
        <f t="shared" si="323"/>
        <v>21.94</v>
      </c>
      <c r="V922" s="15">
        <f t="shared" si="324"/>
        <v>25.9</v>
      </c>
      <c r="W922" s="15">
        <f>IF(MarkupType="Store Markup",ROUND(V922+V922*StoreMarkup,2),IF(MarkupType="Supplier Markup",V922+V922*SupplierMarkup,"Error at finding value"))</f>
        <v>40.79</v>
      </c>
      <c r="X922" s="32" t="str">
        <f t="shared" si="326"/>
        <v>0.00</v>
      </c>
      <c r="Y922" s="15">
        <f t="shared" si="327"/>
        <v>207.2</v>
      </c>
      <c r="Z922" s="15">
        <f t="shared" si="328"/>
        <v>326.32</v>
      </c>
      <c r="AA922" s="15">
        <f>IF(FreightType="Lethbridge-Stewart Freight ",ROUND(2.99+IF(N922&gt;0.75,(N922-0.75)*2.25,0)*S922,2),IF(MarkupType="Supplier Markup",V922+V922*SupplierMarkup,"Error at finding value"))</f>
        <v>3.89</v>
      </c>
      <c r="AB922" s="15">
        <f t="shared" si="329"/>
        <v>0</v>
      </c>
    </row>
    <row r="923" spans="1:28" x14ac:dyDescent="0.25">
      <c r="A923" s="16">
        <f>OrdersTable!A923</f>
        <v>750</v>
      </c>
      <c r="B923" s="15" t="str">
        <f t="shared" si="309"/>
        <v>Ms</v>
      </c>
      <c r="C923" s="15" t="str">
        <f t="shared" si="330"/>
        <v>Talbot</v>
      </c>
      <c r="D923" s="15" t="str">
        <f t="shared" si="310"/>
        <v>Carlie Wenderly</v>
      </c>
      <c r="E923" s="15" t="str">
        <f t="shared" si="311"/>
        <v>31 Somerville Way</v>
      </c>
      <c r="F923" s="15" t="str">
        <f t="shared" si="312"/>
        <v>Boston</v>
      </c>
      <c r="G923" s="15" t="str">
        <f t="shared" si="313"/>
        <v>SA</v>
      </c>
      <c r="H923" s="15">
        <f t="shared" si="314"/>
        <v>5607</v>
      </c>
      <c r="I923" s="15">
        <f t="shared" si="325"/>
        <v>2076</v>
      </c>
      <c r="J923" s="15">
        <f>OrdersTable!B923</f>
        <v>769</v>
      </c>
      <c r="K923" s="15" t="str">
        <f t="shared" si="315"/>
        <v>Statues and Busts</v>
      </c>
      <c r="L923" s="15" t="str">
        <f t="shared" si="316"/>
        <v>Doctor Who: Legends Forever Bust: Tom Baker</v>
      </c>
      <c r="M923" s="15" t="str">
        <f t="shared" si="317"/>
        <v>-</v>
      </c>
      <c r="N923" s="15">
        <f t="shared" si="318"/>
        <v>1.375</v>
      </c>
      <c r="O923" s="15" t="str">
        <f t="shared" si="319"/>
        <v>A30</v>
      </c>
      <c r="P923" s="15" t="str">
        <f t="shared" si="320"/>
        <v>Chesterton Enterprises</v>
      </c>
      <c r="Q923" s="15" t="str">
        <f t="shared" si="321"/>
        <v>41 William Russell Road</v>
      </c>
      <c r="R923" s="3">
        <f>OrdersTable!C923</f>
        <v>44626</v>
      </c>
      <c r="S923" s="15">
        <f>OrdersTable!E923</f>
        <v>5</v>
      </c>
      <c r="T923" s="15">
        <f t="shared" si="322"/>
        <v>27.5</v>
      </c>
      <c r="U923" s="15">
        <f t="shared" si="323"/>
        <v>37.76</v>
      </c>
      <c r="V923" s="15">
        <f t="shared" si="324"/>
        <v>44.55</v>
      </c>
      <c r="W923" s="15">
        <f>IF(MarkupType="Store Markup",ROUND(V923+V923*StoreMarkup,2),IF(MarkupType="Supplier Markup",V923+V923*SupplierMarkup,"Error at finding value"))</f>
        <v>70.17</v>
      </c>
      <c r="X923" s="32" t="str">
        <f t="shared" si="326"/>
        <v>0.00</v>
      </c>
      <c r="Y923" s="15">
        <f t="shared" si="327"/>
        <v>222.75</v>
      </c>
      <c r="Z923" s="15">
        <f t="shared" si="328"/>
        <v>350.85</v>
      </c>
      <c r="AA923" s="15">
        <f>IF(FreightType="Lethbridge-Stewart Freight ",ROUND(2.99+IF(N923&gt;0.75,(N923-0.75)*2.25,0)*S923,2),IF(MarkupType="Supplier Markup",V923+V923*SupplierMarkup,"Error at finding value"))</f>
        <v>10.02</v>
      </c>
      <c r="AB923" s="15">
        <f t="shared" si="329"/>
        <v>0</v>
      </c>
    </row>
    <row r="924" spans="1:28" x14ac:dyDescent="0.25">
      <c r="A924" s="16">
        <f>OrdersTable!A924</f>
        <v>761</v>
      </c>
      <c r="B924" s="15" t="str">
        <f t="shared" si="309"/>
        <v>Miss</v>
      </c>
      <c r="C924" s="15" t="str">
        <f t="shared" si="330"/>
        <v>Randall</v>
      </c>
      <c r="D924" s="15" t="str">
        <f t="shared" si="310"/>
        <v>Kylee</v>
      </c>
      <c r="E924" s="15" t="str">
        <f t="shared" si="311"/>
        <v>45 Cremasco Avenue</v>
      </c>
      <c r="F924" s="15" t="str">
        <f t="shared" si="312"/>
        <v>Breakwater</v>
      </c>
      <c r="G924" s="15" t="str">
        <f t="shared" si="313"/>
        <v>VIC</v>
      </c>
      <c r="H924" s="15">
        <f t="shared" si="314"/>
        <v>3219</v>
      </c>
      <c r="I924" s="15">
        <f t="shared" si="325"/>
        <v>1596</v>
      </c>
      <c r="J924" s="15">
        <f>OrdersTable!B924</f>
        <v>701</v>
      </c>
      <c r="K924" s="15" t="str">
        <f t="shared" si="315"/>
        <v>Posters, Prints and Standees</v>
      </c>
      <c r="L924" s="15" t="str">
        <f t="shared" si="316"/>
        <v>Doctor Who: Half Sized Standee: The TARDIS</v>
      </c>
      <c r="M924" s="15" t="str">
        <f t="shared" si="317"/>
        <v>-</v>
      </c>
      <c r="N924" s="15">
        <f t="shared" si="318"/>
        <v>0.5</v>
      </c>
      <c r="O924" s="15" t="str">
        <f t="shared" si="319"/>
        <v>A40</v>
      </c>
      <c r="P924" s="15" t="str">
        <f t="shared" si="320"/>
        <v>Romana Imports</v>
      </c>
      <c r="Q924" s="15" t="str">
        <f t="shared" si="321"/>
        <v>17 Lalla Ward Road</v>
      </c>
      <c r="R924" s="3">
        <f>OrdersTable!C924</f>
        <v>44626</v>
      </c>
      <c r="S924" s="15">
        <f>OrdersTable!E924</f>
        <v>10</v>
      </c>
      <c r="T924" s="15">
        <f t="shared" si="322"/>
        <v>9.99</v>
      </c>
      <c r="U924" s="15">
        <f t="shared" si="323"/>
        <v>13.83</v>
      </c>
      <c r="V924" s="15">
        <f t="shared" si="324"/>
        <v>16.18</v>
      </c>
      <c r="W924" s="15">
        <f>IF(MarkupType="Store Markup",ROUND(V924+V924*StoreMarkup,2),IF(MarkupType="Supplier Markup",V924+V924*SupplierMarkup,"Error at finding value"))</f>
        <v>25.48</v>
      </c>
      <c r="X924" s="32" t="str">
        <f t="shared" si="326"/>
        <v>0.00</v>
      </c>
      <c r="Y924" s="15">
        <f t="shared" si="327"/>
        <v>161.80000000000001</v>
      </c>
      <c r="Z924" s="15">
        <f t="shared" si="328"/>
        <v>254.8</v>
      </c>
      <c r="AA924" s="15">
        <f>IF(FreightType="Lethbridge-Stewart Freight ",ROUND(2.99+IF(N924&gt;0.75,(N924-0.75)*2.25,0)*S924,2),IF(MarkupType="Supplier Markup",V924+V924*SupplierMarkup,"Error at finding value"))</f>
        <v>2.99</v>
      </c>
      <c r="AB924" s="15">
        <f t="shared" si="329"/>
        <v>0</v>
      </c>
    </row>
    <row r="925" spans="1:28" x14ac:dyDescent="0.25">
      <c r="A925" s="16">
        <f>OrdersTable!A925</f>
        <v>841</v>
      </c>
      <c r="B925" s="15" t="str">
        <f t="shared" si="309"/>
        <v>Miss</v>
      </c>
      <c r="C925" s="15" t="str">
        <f t="shared" si="330"/>
        <v>Donaghy</v>
      </c>
      <c r="D925" s="15" t="str">
        <f t="shared" si="310"/>
        <v>Elizabeth Mathilde Jane</v>
      </c>
      <c r="E925" s="15" t="str">
        <f t="shared" si="311"/>
        <v>31 Johnson Boulevard</v>
      </c>
      <c r="F925" s="15" t="str">
        <f t="shared" si="312"/>
        <v>Belford</v>
      </c>
      <c r="G925" s="15" t="str">
        <f t="shared" si="313"/>
        <v>NSW</v>
      </c>
      <c r="H925" s="15">
        <f t="shared" si="314"/>
        <v>2335</v>
      </c>
      <c r="I925" s="15">
        <f t="shared" si="325"/>
        <v>716</v>
      </c>
      <c r="J925" s="15">
        <f>OrdersTable!B925</f>
        <v>778</v>
      </c>
      <c r="K925" s="15" t="str">
        <f t="shared" si="315"/>
        <v>Statues and Busts</v>
      </c>
      <c r="L925" s="15" t="str">
        <f t="shared" si="316"/>
        <v>Doctor Who: Legends Forever Bust: William Hartnell</v>
      </c>
      <c r="M925" s="15" t="str">
        <f t="shared" si="317"/>
        <v>-</v>
      </c>
      <c r="N925" s="15">
        <f t="shared" si="318"/>
        <v>1.375</v>
      </c>
      <c r="O925" s="15" t="str">
        <f t="shared" si="319"/>
        <v>A40</v>
      </c>
      <c r="P925" s="15" t="str">
        <f t="shared" si="320"/>
        <v>Romana Imports</v>
      </c>
      <c r="Q925" s="15" t="str">
        <f t="shared" si="321"/>
        <v>17 Lalla Ward Road</v>
      </c>
      <c r="R925" s="3">
        <f>OrdersTable!C925</f>
        <v>44626</v>
      </c>
      <c r="S925" s="15">
        <f>OrdersTable!E925</f>
        <v>4</v>
      </c>
      <c r="T925" s="15">
        <f t="shared" si="322"/>
        <v>27.5</v>
      </c>
      <c r="U925" s="15">
        <f t="shared" si="323"/>
        <v>37.520000000000003</v>
      </c>
      <c r="V925" s="15">
        <f t="shared" si="324"/>
        <v>44.55</v>
      </c>
      <c r="W925" s="15">
        <f>IF(MarkupType="Store Markup",ROUND(V925+V925*StoreMarkup,2),IF(MarkupType="Supplier Markup",V925+V925*SupplierMarkup,"Error at finding value"))</f>
        <v>70.17</v>
      </c>
      <c r="X925" s="32" t="str">
        <f t="shared" si="326"/>
        <v>0.00</v>
      </c>
      <c r="Y925" s="15">
        <f t="shared" si="327"/>
        <v>178.2</v>
      </c>
      <c r="Z925" s="15">
        <f t="shared" si="328"/>
        <v>280.68</v>
      </c>
      <c r="AA925" s="15">
        <f>IF(FreightType="Lethbridge-Stewart Freight ",ROUND(2.99+IF(N925&gt;0.75,(N925-0.75)*2.25,0)*S925,2),IF(MarkupType="Supplier Markup",V925+V925*SupplierMarkup,"Error at finding value"))</f>
        <v>8.6199999999999992</v>
      </c>
      <c r="AB925" s="15">
        <f t="shared" si="329"/>
        <v>0</v>
      </c>
    </row>
    <row r="926" spans="1:28" x14ac:dyDescent="0.25">
      <c r="A926" s="16">
        <f>OrdersTable!A926</f>
        <v>232</v>
      </c>
      <c r="B926" s="15" t="str">
        <f t="shared" si="309"/>
        <v>Mrs</v>
      </c>
      <c r="C926" s="15" t="str">
        <f t="shared" si="330"/>
        <v>Bishop</v>
      </c>
      <c r="D926" s="15" t="str">
        <f t="shared" si="310"/>
        <v>Katherine Marie</v>
      </c>
      <c r="E926" s="15" t="str">
        <f t="shared" si="311"/>
        <v>19 Whitehorn Circuit</v>
      </c>
      <c r="F926" s="15" t="str">
        <f t="shared" si="312"/>
        <v>Black Hills</v>
      </c>
      <c r="G926" s="15" t="str">
        <f t="shared" si="313"/>
        <v>TAS</v>
      </c>
      <c r="H926" s="15">
        <f t="shared" si="314"/>
        <v>7140</v>
      </c>
      <c r="I926" s="15">
        <f t="shared" si="325"/>
        <v>2191</v>
      </c>
      <c r="J926" s="15">
        <f>OrdersTable!B926</f>
        <v>673</v>
      </c>
      <c r="K926" s="15" t="str">
        <f t="shared" si="315"/>
        <v>Mugs</v>
      </c>
      <c r="L926" s="15" t="str">
        <f t="shared" si="316"/>
        <v>Doctor Who: Mug: TARDIS With Lid</v>
      </c>
      <c r="M926" s="15" t="str">
        <f t="shared" si="317"/>
        <v>-</v>
      </c>
      <c r="N926" s="15">
        <f t="shared" si="318"/>
        <v>0.58499999999999996</v>
      </c>
      <c r="O926" s="15" t="str">
        <f t="shared" si="319"/>
        <v>A10</v>
      </c>
      <c r="P926" s="15" t="str">
        <f t="shared" si="320"/>
        <v>Gallifrey International</v>
      </c>
      <c r="Q926" s="15" t="str">
        <f t="shared" si="321"/>
        <v>181 Arcadia Street</v>
      </c>
      <c r="R926" s="3">
        <f>OrdersTable!C926</f>
        <v>44627</v>
      </c>
      <c r="S926" s="15">
        <f>OrdersTable!E926</f>
        <v>7</v>
      </c>
      <c r="T926" s="15">
        <f t="shared" si="322"/>
        <v>11.69</v>
      </c>
      <c r="U926" s="15">
        <f t="shared" si="323"/>
        <v>16.190000000000001</v>
      </c>
      <c r="V926" s="15">
        <f t="shared" si="324"/>
        <v>18.940000000000001</v>
      </c>
      <c r="W926" s="15">
        <f>IF(MarkupType="Store Markup",ROUND(V926+V926*StoreMarkup,2),IF(MarkupType="Supplier Markup",V926+V926*SupplierMarkup,"Error at finding value"))</f>
        <v>29.83</v>
      </c>
      <c r="X926" s="32" t="str">
        <f t="shared" si="326"/>
        <v>0.00</v>
      </c>
      <c r="Y926" s="15">
        <f t="shared" si="327"/>
        <v>132.58000000000001</v>
      </c>
      <c r="Z926" s="15">
        <f t="shared" si="328"/>
        <v>208.81</v>
      </c>
      <c r="AA926" s="15">
        <f>IF(FreightType="Lethbridge-Stewart Freight ",ROUND(2.99+IF(N926&gt;0.75,(N926-0.75)*2.25,0)*S926,2),IF(MarkupType="Supplier Markup",V926+V926*SupplierMarkup,"Error at finding value"))</f>
        <v>2.99</v>
      </c>
      <c r="AB926" s="15">
        <f t="shared" si="329"/>
        <v>0</v>
      </c>
    </row>
    <row r="927" spans="1:28" x14ac:dyDescent="0.25">
      <c r="A927" s="16">
        <f>OrdersTable!A927</f>
        <v>328</v>
      </c>
      <c r="B927" s="15" t="str">
        <f t="shared" si="309"/>
        <v>Dr</v>
      </c>
      <c r="C927" s="15" t="str">
        <f t="shared" si="330"/>
        <v>Ward</v>
      </c>
      <c r="D927" s="15" t="str">
        <f t="shared" si="310"/>
        <v>Keiren Nicholas</v>
      </c>
      <c r="E927" s="15" t="str">
        <f t="shared" si="311"/>
        <v>13 Green Crescent</v>
      </c>
      <c r="F927" s="15" t="str">
        <f t="shared" si="312"/>
        <v>Breakwater</v>
      </c>
      <c r="G927" s="15" t="str">
        <f t="shared" si="313"/>
        <v>VIC</v>
      </c>
      <c r="H927" s="15">
        <f t="shared" si="314"/>
        <v>3219</v>
      </c>
      <c r="I927" s="15">
        <f t="shared" si="325"/>
        <v>1596</v>
      </c>
      <c r="J927" s="15">
        <f>OrdersTable!B927</f>
        <v>778</v>
      </c>
      <c r="K927" s="15" t="str">
        <f t="shared" si="315"/>
        <v>Statues and Busts</v>
      </c>
      <c r="L927" s="15" t="str">
        <f t="shared" si="316"/>
        <v>Doctor Who: Legends Forever Bust: William Hartnell</v>
      </c>
      <c r="M927" s="15" t="str">
        <f t="shared" si="317"/>
        <v>-</v>
      </c>
      <c r="N927" s="15">
        <f t="shared" si="318"/>
        <v>1.375</v>
      </c>
      <c r="O927" s="15" t="str">
        <f t="shared" si="319"/>
        <v>A40</v>
      </c>
      <c r="P927" s="15" t="str">
        <f t="shared" si="320"/>
        <v>Romana Imports</v>
      </c>
      <c r="Q927" s="15" t="str">
        <f t="shared" si="321"/>
        <v>17 Lalla Ward Road</v>
      </c>
      <c r="R927" s="3">
        <f>OrdersTable!C927</f>
        <v>44627</v>
      </c>
      <c r="S927" s="15">
        <f>OrdersTable!E927</f>
        <v>10</v>
      </c>
      <c r="T927" s="15">
        <f t="shared" si="322"/>
        <v>27.5</v>
      </c>
      <c r="U927" s="15">
        <f t="shared" si="323"/>
        <v>37.520000000000003</v>
      </c>
      <c r="V927" s="15">
        <f t="shared" si="324"/>
        <v>44.55</v>
      </c>
      <c r="W927" s="15">
        <f>IF(MarkupType="Store Markup",ROUND(V927+V927*StoreMarkup,2),IF(MarkupType="Supplier Markup",V927+V927*SupplierMarkup,"Error at finding value"))</f>
        <v>70.17</v>
      </c>
      <c r="X927" s="32" t="str">
        <f t="shared" si="326"/>
        <v>0.00</v>
      </c>
      <c r="Y927" s="15">
        <f t="shared" si="327"/>
        <v>445.5</v>
      </c>
      <c r="Z927" s="15">
        <f t="shared" si="328"/>
        <v>701.7</v>
      </c>
      <c r="AA927" s="15">
        <f>IF(FreightType="Lethbridge-Stewart Freight ",ROUND(2.99+IF(N927&gt;0.75,(N927-0.75)*2.25,0)*S927,2),IF(MarkupType="Supplier Markup",V927+V927*SupplierMarkup,"Error at finding value"))</f>
        <v>17.05</v>
      </c>
      <c r="AB927" s="15">
        <f t="shared" si="329"/>
        <v>0</v>
      </c>
    </row>
    <row r="928" spans="1:28" x14ac:dyDescent="0.25">
      <c r="A928" s="16">
        <f>OrdersTable!A928</f>
        <v>331</v>
      </c>
      <c r="B928" s="15" t="str">
        <f t="shared" si="309"/>
        <v>Mrs</v>
      </c>
      <c r="C928" s="15" t="str">
        <f t="shared" si="330"/>
        <v>McKenzie</v>
      </c>
      <c r="D928" s="15" t="str">
        <f t="shared" si="310"/>
        <v>Melinda Kate</v>
      </c>
      <c r="E928" s="15" t="str">
        <f t="shared" si="311"/>
        <v>49 McKay Way</v>
      </c>
      <c r="F928" s="15" t="str">
        <f t="shared" si="312"/>
        <v>Black Hills</v>
      </c>
      <c r="G928" s="15" t="str">
        <f t="shared" si="313"/>
        <v>TAS</v>
      </c>
      <c r="H928" s="15">
        <f t="shared" si="314"/>
        <v>7140</v>
      </c>
      <c r="I928" s="15">
        <f t="shared" si="325"/>
        <v>2191</v>
      </c>
      <c r="J928" s="15">
        <f>OrdersTable!B928</f>
        <v>395</v>
      </c>
      <c r="K928" s="15" t="str">
        <f t="shared" si="315"/>
        <v>Clothing and Apparel</v>
      </c>
      <c r="L928" s="15" t="str">
        <f t="shared" si="316"/>
        <v xml:space="preserve">Doctor Who: T-Shirts: 7th Doctor Costume </v>
      </c>
      <c r="M928" s="15" t="str">
        <f t="shared" si="317"/>
        <v>L</v>
      </c>
      <c r="N928" s="15">
        <f t="shared" si="318"/>
        <v>0.8</v>
      </c>
      <c r="O928" s="15" t="str">
        <f t="shared" si="319"/>
        <v>A10</v>
      </c>
      <c r="P928" s="15" t="str">
        <f t="shared" si="320"/>
        <v>Gallifrey International</v>
      </c>
      <c r="Q928" s="15" t="str">
        <f t="shared" si="321"/>
        <v>181 Arcadia Street</v>
      </c>
      <c r="R928" s="3">
        <f>OrdersTable!C928</f>
        <v>44627</v>
      </c>
      <c r="S928" s="15">
        <f>OrdersTable!E928</f>
        <v>5</v>
      </c>
      <c r="T928" s="15">
        <f t="shared" si="322"/>
        <v>15.99</v>
      </c>
      <c r="U928" s="15">
        <f t="shared" si="323"/>
        <v>22.07</v>
      </c>
      <c r="V928" s="15">
        <f t="shared" si="324"/>
        <v>25.9</v>
      </c>
      <c r="W928" s="15">
        <f>IF(MarkupType="Store Markup",ROUND(V928+V928*StoreMarkup,2),IF(MarkupType="Supplier Markup",V928+V928*SupplierMarkup,"Error at finding value"))</f>
        <v>40.79</v>
      </c>
      <c r="X928" s="32" t="str">
        <f t="shared" si="326"/>
        <v>0.00</v>
      </c>
      <c r="Y928" s="15">
        <f t="shared" si="327"/>
        <v>129.5</v>
      </c>
      <c r="Z928" s="15">
        <f t="shared" si="328"/>
        <v>203.95</v>
      </c>
      <c r="AA928" s="15">
        <f>IF(FreightType="Lethbridge-Stewart Freight ",ROUND(2.99+IF(N928&gt;0.75,(N928-0.75)*2.25,0)*S928,2),IF(MarkupType="Supplier Markup",V928+V928*SupplierMarkup,"Error at finding value"))</f>
        <v>3.55</v>
      </c>
      <c r="AB928" s="15">
        <f t="shared" si="329"/>
        <v>0</v>
      </c>
    </row>
    <row r="929" spans="1:28" x14ac:dyDescent="0.25">
      <c r="A929" s="16">
        <f>OrdersTable!A929</f>
        <v>448</v>
      </c>
      <c r="B929" s="15" t="str">
        <f t="shared" si="309"/>
        <v>Mr</v>
      </c>
      <c r="C929" s="15" t="str">
        <f t="shared" si="330"/>
        <v>Earl</v>
      </c>
      <c r="D929" s="15" t="str">
        <f t="shared" si="310"/>
        <v>Benn Robert</v>
      </c>
      <c r="E929" s="15" t="str">
        <f t="shared" si="311"/>
        <v>31 Kae Drive</v>
      </c>
      <c r="F929" s="15" t="str">
        <f t="shared" si="312"/>
        <v>Belford</v>
      </c>
      <c r="G929" s="15" t="str">
        <f t="shared" si="313"/>
        <v>NSW</v>
      </c>
      <c r="H929" s="15">
        <f t="shared" si="314"/>
        <v>2335</v>
      </c>
      <c r="I929" s="15">
        <f t="shared" si="325"/>
        <v>716</v>
      </c>
      <c r="J929" s="15">
        <f>OrdersTable!B929</f>
        <v>725</v>
      </c>
      <c r="K929" s="15" t="str">
        <f t="shared" si="315"/>
        <v>Props and Replicas</v>
      </c>
      <c r="L929" s="15" t="str">
        <f t="shared" si="316"/>
        <v>Doctor Who: Captain Jack Sonic Blaster</v>
      </c>
      <c r="M929" s="15" t="str">
        <f t="shared" si="317"/>
        <v>-</v>
      </c>
      <c r="N929" s="15">
        <f t="shared" si="318"/>
        <v>14.8</v>
      </c>
      <c r="O929" s="15" t="str">
        <f t="shared" si="319"/>
        <v>A30</v>
      </c>
      <c r="P929" s="15" t="str">
        <f t="shared" si="320"/>
        <v>Chesterton Enterprises</v>
      </c>
      <c r="Q929" s="15" t="str">
        <f t="shared" si="321"/>
        <v>41 William Russell Road</v>
      </c>
      <c r="R929" s="3">
        <f>OrdersTable!C929</f>
        <v>44627</v>
      </c>
      <c r="S929" s="15">
        <f>OrdersTable!E929</f>
        <v>9</v>
      </c>
      <c r="T929" s="15">
        <f t="shared" si="322"/>
        <v>295.99</v>
      </c>
      <c r="U929" s="15">
        <f t="shared" si="323"/>
        <v>403.88</v>
      </c>
      <c r="V929" s="15">
        <f t="shared" si="324"/>
        <v>479.5</v>
      </c>
      <c r="W929" s="15">
        <f>IF(MarkupType="Store Markup",ROUND(V929+V929*StoreMarkup,2),IF(MarkupType="Supplier Markup",V929+V929*SupplierMarkup,"Error at finding value"))</f>
        <v>755.21</v>
      </c>
      <c r="X929" s="32">
        <f t="shared" si="326"/>
        <v>53.81</v>
      </c>
      <c r="Y929" s="15">
        <f t="shared" si="327"/>
        <v>4315.5</v>
      </c>
      <c r="Z929" s="15">
        <f t="shared" si="328"/>
        <v>6312.6</v>
      </c>
      <c r="AA929" s="15">
        <f>IF(FreightType="Lethbridge-Stewart Freight ",ROUND(2.99+IF(N929&gt;0.75,(N929-0.75)*2.25,0)*S929,2),IF(MarkupType="Supplier Markup",V929+V929*SupplierMarkup,"Error at finding value"))</f>
        <v>287.5</v>
      </c>
      <c r="AB929" s="15">
        <f t="shared" si="329"/>
        <v>484.29</v>
      </c>
    </row>
    <row r="930" spans="1:28" x14ac:dyDescent="0.25">
      <c r="A930" s="16">
        <f>OrdersTable!A930</f>
        <v>468</v>
      </c>
      <c r="B930" s="15" t="str">
        <f t="shared" si="309"/>
        <v>Mrs</v>
      </c>
      <c r="C930" s="15" t="str">
        <f t="shared" si="330"/>
        <v>Van Essen</v>
      </c>
      <c r="D930" s="15" t="str">
        <f t="shared" si="310"/>
        <v>Bianca Jane</v>
      </c>
      <c r="E930" s="15" t="str">
        <f t="shared" si="311"/>
        <v>47 Ward Circuit</v>
      </c>
      <c r="F930" s="15" t="str">
        <f t="shared" si="312"/>
        <v>Batlow</v>
      </c>
      <c r="G930" s="15" t="str">
        <f t="shared" si="313"/>
        <v>NSW</v>
      </c>
      <c r="H930" s="15">
        <f t="shared" si="314"/>
        <v>2730</v>
      </c>
      <c r="I930" s="15">
        <f t="shared" si="325"/>
        <v>1138</v>
      </c>
      <c r="J930" s="15">
        <f>OrdersTable!B930</f>
        <v>128</v>
      </c>
      <c r="K930" s="15" t="str">
        <f t="shared" si="315"/>
        <v>Bobbleheads</v>
      </c>
      <c r="L930" s="15" t="str">
        <f t="shared" si="316"/>
        <v>Doctor Who: Bobblehead: Davros</v>
      </c>
      <c r="M930" s="15" t="str">
        <f t="shared" si="317"/>
        <v>-</v>
      </c>
      <c r="N930" s="15">
        <f t="shared" si="318"/>
        <v>0.85</v>
      </c>
      <c r="O930" s="15" t="str">
        <f t="shared" si="319"/>
        <v>A50</v>
      </c>
      <c r="P930" s="15" t="str">
        <f t="shared" si="320"/>
        <v>Rassilon Ltd.</v>
      </c>
      <c r="Q930" s="15" t="str">
        <f t="shared" si="321"/>
        <v>82 Richard Mathews Road</v>
      </c>
      <c r="R930" s="3">
        <f>OrdersTable!C930</f>
        <v>44627</v>
      </c>
      <c r="S930" s="15">
        <f>OrdersTable!E930</f>
        <v>6</v>
      </c>
      <c r="T930" s="15">
        <f t="shared" si="322"/>
        <v>16.989999999999998</v>
      </c>
      <c r="U930" s="15">
        <f t="shared" si="323"/>
        <v>23.27</v>
      </c>
      <c r="V930" s="15">
        <f t="shared" si="324"/>
        <v>27.52</v>
      </c>
      <c r="W930" s="15">
        <f>IF(MarkupType="Store Markup",ROUND(V930+V930*StoreMarkup,2),IF(MarkupType="Supplier Markup",V930+V930*SupplierMarkup,"Error at finding value"))</f>
        <v>43.34</v>
      </c>
      <c r="X930" s="32" t="str">
        <f t="shared" si="326"/>
        <v>0.00</v>
      </c>
      <c r="Y930" s="15">
        <f t="shared" si="327"/>
        <v>165.12</v>
      </c>
      <c r="Z930" s="15">
        <f t="shared" si="328"/>
        <v>260.04000000000002</v>
      </c>
      <c r="AA930" s="15">
        <f>IF(FreightType="Lethbridge-Stewart Freight ",ROUND(2.99+IF(N930&gt;0.75,(N930-0.75)*2.25,0)*S930,2),IF(MarkupType="Supplier Markup",V930+V930*SupplierMarkup,"Error at finding value"))</f>
        <v>4.34</v>
      </c>
      <c r="AB930" s="15">
        <f t="shared" si="329"/>
        <v>0</v>
      </c>
    </row>
    <row r="931" spans="1:28" x14ac:dyDescent="0.25">
      <c r="A931" s="16">
        <f>OrdersTable!A931</f>
        <v>500</v>
      </c>
      <c r="B931" s="15" t="str">
        <f t="shared" si="309"/>
        <v>Ms</v>
      </c>
      <c r="C931" s="15" t="str">
        <f t="shared" si="330"/>
        <v>Helmers</v>
      </c>
      <c r="D931" s="15" t="str">
        <f t="shared" si="310"/>
        <v>Kristy-Lee</v>
      </c>
      <c r="E931" s="15" t="str">
        <f t="shared" si="311"/>
        <v>43 Welthagen Court</v>
      </c>
      <c r="F931" s="15" t="str">
        <f t="shared" si="312"/>
        <v>Areegra</v>
      </c>
      <c r="G931" s="15" t="str">
        <f t="shared" si="313"/>
        <v>VIC</v>
      </c>
      <c r="H931" s="15">
        <f t="shared" si="314"/>
        <v>3480</v>
      </c>
      <c r="I931" s="15">
        <f t="shared" si="325"/>
        <v>1559</v>
      </c>
      <c r="J931" s="15">
        <f>OrdersTable!B931</f>
        <v>801</v>
      </c>
      <c r="K931" s="15" t="str">
        <f t="shared" si="315"/>
        <v>Statues and Busts</v>
      </c>
      <c r="L931" s="15" t="str">
        <f t="shared" si="316"/>
        <v>Doctor Who: Masterpiece Collection Maxi Bust: 4th Doctor</v>
      </c>
      <c r="M931" s="15" t="str">
        <f t="shared" si="317"/>
        <v>-</v>
      </c>
      <c r="N931" s="15">
        <f t="shared" si="318"/>
        <v>2.5</v>
      </c>
      <c r="O931" s="15" t="str">
        <f t="shared" si="319"/>
        <v>A30</v>
      </c>
      <c r="P931" s="15" t="str">
        <f t="shared" si="320"/>
        <v>Chesterton Enterprises</v>
      </c>
      <c r="Q931" s="15" t="str">
        <f t="shared" si="321"/>
        <v>41 William Russell Road</v>
      </c>
      <c r="R931" s="3">
        <f>OrdersTable!C931</f>
        <v>44627</v>
      </c>
      <c r="S931" s="15">
        <f>OrdersTable!E931</f>
        <v>6</v>
      </c>
      <c r="T931" s="15">
        <f t="shared" si="322"/>
        <v>49.99</v>
      </c>
      <c r="U931" s="15">
        <f t="shared" si="323"/>
        <v>68.180000000000007</v>
      </c>
      <c r="V931" s="15">
        <f t="shared" si="324"/>
        <v>80.98</v>
      </c>
      <c r="W931" s="15">
        <f>IF(MarkupType="Store Markup",ROUND(V931+V931*StoreMarkup,2),IF(MarkupType="Supplier Markup",V931+V931*SupplierMarkup,"Error at finding value"))</f>
        <v>127.54</v>
      </c>
      <c r="X931" s="32">
        <f t="shared" si="326"/>
        <v>9.09</v>
      </c>
      <c r="Y931" s="15">
        <f t="shared" si="327"/>
        <v>485.88</v>
      </c>
      <c r="Z931" s="15">
        <f t="shared" si="328"/>
        <v>710.7</v>
      </c>
      <c r="AA931" s="15">
        <f>IF(FreightType="Lethbridge-Stewart Freight ",ROUND(2.99+IF(N931&gt;0.75,(N931-0.75)*2.25,0)*S931,2),IF(MarkupType="Supplier Markup",V931+V931*SupplierMarkup,"Error at finding value"))</f>
        <v>26.62</v>
      </c>
      <c r="AB931" s="15">
        <f t="shared" si="329"/>
        <v>54.54</v>
      </c>
    </row>
    <row r="932" spans="1:28" x14ac:dyDescent="0.25">
      <c r="A932" s="16">
        <f>OrdersTable!A932</f>
        <v>501</v>
      </c>
      <c r="B932" s="15" t="str">
        <f t="shared" si="309"/>
        <v>Miss</v>
      </c>
      <c r="C932" s="15" t="str">
        <f t="shared" si="330"/>
        <v>Tharenou</v>
      </c>
      <c r="D932" s="15" t="str">
        <f t="shared" si="310"/>
        <v>Kimberley Jacinta</v>
      </c>
      <c r="E932" s="15" t="str">
        <f t="shared" si="311"/>
        <v>49 Moncada Circuit</v>
      </c>
      <c r="F932" s="15" t="str">
        <f t="shared" si="312"/>
        <v>Belford</v>
      </c>
      <c r="G932" s="15" t="str">
        <f t="shared" si="313"/>
        <v>NSW</v>
      </c>
      <c r="H932" s="15">
        <f t="shared" si="314"/>
        <v>2335</v>
      </c>
      <c r="I932" s="15">
        <f t="shared" si="325"/>
        <v>716</v>
      </c>
      <c r="J932" s="15">
        <f>OrdersTable!B932</f>
        <v>563</v>
      </c>
      <c r="K932" s="15" t="str">
        <f t="shared" si="315"/>
        <v>Giftware</v>
      </c>
      <c r="L932" s="15" t="str">
        <f t="shared" si="316"/>
        <v>Doctor Who: TARDIS Jewellery Box</v>
      </c>
      <c r="M932" s="15" t="str">
        <f t="shared" si="317"/>
        <v>-</v>
      </c>
      <c r="N932" s="15">
        <f t="shared" si="318"/>
        <v>1.1499999999999999</v>
      </c>
      <c r="O932" s="15" t="str">
        <f t="shared" si="319"/>
        <v>A50</v>
      </c>
      <c r="P932" s="15" t="str">
        <f t="shared" si="320"/>
        <v>Rassilon Ltd.</v>
      </c>
      <c r="Q932" s="15" t="str">
        <f t="shared" si="321"/>
        <v>82 Richard Mathews Road</v>
      </c>
      <c r="R932" s="3">
        <f>OrdersTable!C932</f>
        <v>44627</v>
      </c>
      <c r="S932" s="15">
        <f>OrdersTable!E932</f>
        <v>1</v>
      </c>
      <c r="T932" s="15">
        <f t="shared" si="322"/>
        <v>22.99</v>
      </c>
      <c r="U932" s="15">
        <f t="shared" si="323"/>
        <v>31.63</v>
      </c>
      <c r="V932" s="15">
        <f t="shared" si="324"/>
        <v>37.24</v>
      </c>
      <c r="W932" s="15">
        <f>IF(MarkupType="Store Markup",ROUND(V932+V932*StoreMarkup,2),IF(MarkupType="Supplier Markup",V932+V932*SupplierMarkup,"Error at finding value"))</f>
        <v>58.65</v>
      </c>
      <c r="X932" s="32" t="str">
        <f t="shared" si="326"/>
        <v>0.00</v>
      </c>
      <c r="Y932" s="15">
        <f t="shared" si="327"/>
        <v>37.24</v>
      </c>
      <c r="Z932" s="15">
        <f t="shared" si="328"/>
        <v>58.65</v>
      </c>
      <c r="AA932" s="15">
        <f>IF(FreightType="Lethbridge-Stewart Freight ",ROUND(2.99+IF(N932&gt;0.75,(N932-0.75)*2.25,0)*S932,2),IF(MarkupType="Supplier Markup",V932+V932*SupplierMarkup,"Error at finding value"))</f>
        <v>3.89</v>
      </c>
      <c r="AB932" s="15">
        <f t="shared" si="329"/>
        <v>0</v>
      </c>
    </row>
    <row r="933" spans="1:28" x14ac:dyDescent="0.25">
      <c r="A933" s="16">
        <f>OrdersTable!A933</f>
        <v>543</v>
      </c>
      <c r="B933" s="15" t="str">
        <f t="shared" si="309"/>
        <v>Ms</v>
      </c>
      <c r="C933" s="15" t="str">
        <f t="shared" si="330"/>
        <v>Mendezona</v>
      </c>
      <c r="D933" s="15" t="str">
        <f t="shared" si="310"/>
        <v>Tara Colleen-Mary</v>
      </c>
      <c r="E933" s="15" t="str">
        <f t="shared" si="311"/>
        <v>27 Picone Drive</v>
      </c>
      <c r="F933" s="15" t="str">
        <f t="shared" si="312"/>
        <v>Aberfoyle</v>
      </c>
      <c r="G933" s="15" t="str">
        <f t="shared" si="313"/>
        <v>NSW</v>
      </c>
      <c r="H933" s="15">
        <f t="shared" si="314"/>
        <v>2350</v>
      </c>
      <c r="I933" s="15">
        <f t="shared" si="325"/>
        <v>363</v>
      </c>
      <c r="J933" s="15">
        <f>OrdersTable!B933</f>
        <v>711</v>
      </c>
      <c r="K933" s="15" t="str">
        <f t="shared" si="315"/>
        <v>Posters, Prints and Standees</v>
      </c>
      <c r="L933" s="15" t="str">
        <f t="shared" si="316"/>
        <v>Doctor Who: Poster: TARDIS Door Poster</v>
      </c>
      <c r="M933" s="15" t="str">
        <f t="shared" si="317"/>
        <v>-</v>
      </c>
      <c r="N933" s="15">
        <f t="shared" si="318"/>
        <v>0.3</v>
      </c>
      <c r="O933" s="15" t="str">
        <f t="shared" si="319"/>
        <v>A20</v>
      </c>
      <c r="P933" s="15" t="str">
        <f t="shared" si="320"/>
        <v>Morbius Inc.</v>
      </c>
      <c r="Q933" s="15" t="str">
        <f t="shared" si="321"/>
        <v>56 Michael Spice Hwy</v>
      </c>
      <c r="R933" s="3">
        <f>OrdersTable!C933</f>
        <v>44627</v>
      </c>
      <c r="S933" s="15">
        <f>OrdersTable!E933</f>
        <v>7</v>
      </c>
      <c r="T933" s="15">
        <f t="shared" si="322"/>
        <v>5.99</v>
      </c>
      <c r="U933" s="15">
        <f t="shared" si="323"/>
        <v>8.41</v>
      </c>
      <c r="V933" s="15">
        <f t="shared" si="324"/>
        <v>9.6999999999999993</v>
      </c>
      <c r="W933" s="15">
        <f>IF(MarkupType="Store Markup",ROUND(V933+V933*StoreMarkup,2),IF(MarkupType="Supplier Markup",V933+V933*SupplierMarkup,"Error at finding value"))</f>
        <v>15.28</v>
      </c>
      <c r="X933" s="32" t="str">
        <f t="shared" si="326"/>
        <v>0.00</v>
      </c>
      <c r="Y933" s="15">
        <f t="shared" si="327"/>
        <v>67.900000000000006</v>
      </c>
      <c r="Z933" s="15">
        <f t="shared" si="328"/>
        <v>106.96</v>
      </c>
      <c r="AA933" s="15">
        <f>IF(FreightType="Lethbridge-Stewart Freight ",ROUND(2.99+IF(N933&gt;0.75,(N933-0.75)*2.25,0)*S933,2),IF(MarkupType="Supplier Markup",V933+V933*SupplierMarkup,"Error at finding value"))</f>
        <v>2.99</v>
      </c>
      <c r="AB933" s="15">
        <f t="shared" si="329"/>
        <v>0</v>
      </c>
    </row>
    <row r="934" spans="1:28" x14ac:dyDescent="0.25">
      <c r="A934" s="16">
        <f>OrdersTable!A934</f>
        <v>580</v>
      </c>
      <c r="B934" s="15" t="str">
        <f t="shared" si="309"/>
        <v>Mr</v>
      </c>
      <c r="C934" s="15" t="str">
        <f t="shared" si="330"/>
        <v>Faatoafe</v>
      </c>
      <c r="D934" s="15" t="str">
        <f t="shared" si="310"/>
        <v>Jasson Iosefa</v>
      </c>
      <c r="E934" s="15" t="str">
        <f t="shared" si="311"/>
        <v>29 Schaffer Boulevard</v>
      </c>
      <c r="F934" s="15" t="str">
        <f t="shared" si="312"/>
        <v>Binduli</v>
      </c>
      <c r="G934" s="15" t="str">
        <f t="shared" si="313"/>
        <v>WA</v>
      </c>
      <c r="H934" s="15">
        <f t="shared" si="314"/>
        <v>6430</v>
      </c>
      <c r="I934" s="15">
        <f t="shared" si="325"/>
        <v>3543</v>
      </c>
      <c r="J934" s="15">
        <f>OrdersTable!B934</f>
        <v>668</v>
      </c>
      <c r="K934" s="15" t="str">
        <f t="shared" si="315"/>
        <v>Mugs</v>
      </c>
      <c r="L934" s="15" t="str">
        <f t="shared" si="316"/>
        <v>Doctor Who: Mug: Silver TARDIS</v>
      </c>
      <c r="M934" s="15" t="str">
        <f t="shared" si="317"/>
        <v>-</v>
      </c>
      <c r="N934" s="15">
        <f t="shared" si="318"/>
        <v>1.1499999999999999</v>
      </c>
      <c r="O934" s="15" t="str">
        <f t="shared" si="319"/>
        <v>A50</v>
      </c>
      <c r="P934" s="15" t="str">
        <f t="shared" si="320"/>
        <v>Rassilon Ltd.</v>
      </c>
      <c r="Q934" s="15" t="str">
        <f t="shared" si="321"/>
        <v>82 Richard Mathews Road</v>
      </c>
      <c r="R934" s="3">
        <f>OrdersTable!C934</f>
        <v>44627</v>
      </c>
      <c r="S934" s="15">
        <f>OrdersTable!E934</f>
        <v>6</v>
      </c>
      <c r="T934" s="15">
        <f t="shared" si="322"/>
        <v>22.99</v>
      </c>
      <c r="U934" s="15">
        <f t="shared" si="323"/>
        <v>31.53</v>
      </c>
      <c r="V934" s="15">
        <f t="shared" si="324"/>
        <v>37.24</v>
      </c>
      <c r="W934" s="15">
        <f>IF(MarkupType="Store Markup",ROUND(V934+V934*StoreMarkup,2),IF(MarkupType="Supplier Markup",V934+V934*SupplierMarkup,"Error at finding value"))</f>
        <v>58.65</v>
      </c>
      <c r="X934" s="32" t="str">
        <f t="shared" si="326"/>
        <v>0.00</v>
      </c>
      <c r="Y934" s="15">
        <f t="shared" si="327"/>
        <v>223.44</v>
      </c>
      <c r="Z934" s="15">
        <f t="shared" si="328"/>
        <v>351.9</v>
      </c>
      <c r="AA934" s="15">
        <f>IF(FreightType="Lethbridge-Stewart Freight ",ROUND(2.99+IF(N934&gt;0.75,(N934-0.75)*2.25,0)*S934,2),IF(MarkupType="Supplier Markup",V934+V934*SupplierMarkup,"Error at finding value"))</f>
        <v>8.39</v>
      </c>
      <c r="AB934" s="15">
        <f t="shared" si="329"/>
        <v>0</v>
      </c>
    </row>
    <row r="935" spans="1:28" x14ac:dyDescent="0.25">
      <c r="A935" s="16">
        <f>OrdersTable!A935</f>
        <v>586</v>
      </c>
      <c r="B935" s="15" t="str">
        <f t="shared" si="309"/>
        <v>Dr</v>
      </c>
      <c r="C935" s="15" t="str">
        <f t="shared" si="330"/>
        <v>Coetzee</v>
      </c>
      <c r="D935" s="15" t="str">
        <f t="shared" si="310"/>
        <v>Riekert</v>
      </c>
      <c r="E935" s="15" t="str">
        <f t="shared" si="311"/>
        <v>5 Western Road</v>
      </c>
      <c r="F935" s="15" t="str">
        <f t="shared" si="312"/>
        <v>Alfredtown</v>
      </c>
      <c r="G935" s="15" t="str">
        <f t="shared" si="313"/>
        <v>NSW</v>
      </c>
      <c r="H935" s="15">
        <f t="shared" si="314"/>
        <v>2650</v>
      </c>
      <c r="I935" s="15">
        <f t="shared" si="325"/>
        <v>1124</v>
      </c>
      <c r="J935" s="15">
        <f>OrdersTable!B935</f>
        <v>698</v>
      </c>
      <c r="K935" s="15" t="str">
        <f t="shared" si="315"/>
        <v>Posters, Prints and Standees</v>
      </c>
      <c r="L935" s="15" t="str">
        <f t="shared" si="316"/>
        <v>Doctor Who: Art Print: My Mysterious Doctor</v>
      </c>
      <c r="M935" s="15" t="str">
        <f t="shared" si="317"/>
        <v>-</v>
      </c>
      <c r="N935" s="15">
        <f t="shared" si="318"/>
        <v>0.75</v>
      </c>
      <c r="O935" s="15" t="str">
        <f t="shared" si="319"/>
        <v>A30</v>
      </c>
      <c r="P935" s="15" t="str">
        <f t="shared" si="320"/>
        <v>Chesterton Enterprises</v>
      </c>
      <c r="Q935" s="15" t="str">
        <f t="shared" si="321"/>
        <v>41 William Russell Road</v>
      </c>
      <c r="R935" s="3">
        <f>OrdersTable!C935</f>
        <v>44627</v>
      </c>
      <c r="S935" s="15">
        <f>OrdersTable!E935</f>
        <v>1</v>
      </c>
      <c r="T935" s="15">
        <f t="shared" si="322"/>
        <v>14.99</v>
      </c>
      <c r="U935" s="15">
        <f t="shared" si="323"/>
        <v>20.56</v>
      </c>
      <c r="V935" s="15">
        <f t="shared" si="324"/>
        <v>24.28</v>
      </c>
      <c r="W935" s="15">
        <f>IF(MarkupType="Store Markup",ROUND(V935+V935*StoreMarkup,2),IF(MarkupType="Supplier Markup",V935+V935*SupplierMarkup,"Error at finding value"))</f>
        <v>38.24</v>
      </c>
      <c r="X935" s="32" t="str">
        <f t="shared" si="326"/>
        <v>0.00</v>
      </c>
      <c r="Y935" s="15">
        <f t="shared" si="327"/>
        <v>24.28</v>
      </c>
      <c r="Z935" s="15">
        <f t="shared" si="328"/>
        <v>38.24</v>
      </c>
      <c r="AA935" s="15">
        <f>IF(FreightType="Lethbridge-Stewart Freight ",ROUND(2.99+IF(N935&gt;0.75,(N935-0.75)*2.25,0)*S935,2),IF(MarkupType="Supplier Markup",V935+V935*SupplierMarkup,"Error at finding value"))</f>
        <v>2.99</v>
      </c>
      <c r="AB935" s="15">
        <f t="shared" si="329"/>
        <v>0</v>
      </c>
    </row>
    <row r="936" spans="1:28" x14ac:dyDescent="0.25">
      <c r="A936" s="16">
        <f>OrdersTable!A936</f>
        <v>634</v>
      </c>
      <c r="B936" s="15" t="str">
        <f t="shared" si="309"/>
        <v>Miss</v>
      </c>
      <c r="C936" s="15" t="str">
        <f t="shared" si="330"/>
        <v>Betts</v>
      </c>
      <c r="D936" s="15" t="str">
        <f t="shared" si="310"/>
        <v>Melissa Leigh</v>
      </c>
      <c r="E936" s="15" t="str">
        <f t="shared" si="311"/>
        <v>4 Aitcheson Drive</v>
      </c>
      <c r="F936" s="15" t="str">
        <f t="shared" si="312"/>
        <v>Bray Park</v>
      </c>
      <c r="G936" s="15" t="str">
        <f t="shared" si="313"/>
        <v>QLD</v>
      </c>
      <c r="H936" s="15">
        <f t="shared" si="314"/>
        <v>4500</v>
      </c>
      <c r="I936" s="15">
        <f t="shared" si="325"/>
        <v>139</v>
      </c>
      <c r="J936" s="15">
        <f>OrdersTable!B936</f>
        <v>704</v>
      </c>
      <c r="K936" s="15" t="str">
        <f t="shared" si="315"/>
        <v>Posters, Prints and Standees</v>
      </c>
      <c r="L936" s="15" t="str">
        <f t="shared" si="316"/>
        <v>Doctor Who: Poster: Doctor's Enemies</v>
      </c>
      <c r="M936" s="15" t="str">
        <f t="shared" si="317"/>
        <v>-</v>
      </c>
      <c r="N936" s="15">
        <f t="shared" si="318"/>
        <v>0.2</v>
      </c>
      <c r="O936" s="15" t="str">
        <f t="shared" si="319"/>
        <v>A30</v>
      </c>
      <c r="P936" s="15" t="str">
        <f t="shared" si="320"/>
        <v>Chesterton Enterprises</v>
      </c>
      <c r="Q936" s="15" t="str">
        <f t="shared" si="321"/>
        <v>41 William Russell Road</v>
      </c>
      <c r="R936" s="3">
        <f>OrdersTable!C936</f>
        <v>44627</v>
      </c>
      <c r="S936" s="15">
        <f>OrdersTable!E936</f>
        <v>7</v>
      </c>
      <c r="T936" s="15">
        <f t="shared" si="322"/>
        <v>3.99</v>
      </c>
      <c r="U936" s="15">
        <f t="shared" si="323"/>
        <v>5.52</v>
      </c>
      <c r="V936" s="15">
        <f t="shared" si="324"/>
        <v>6.46</v>
      </c>
      <c r="W936" s="15">
        <f>IF(MarkupType="Store Markup",ROUND(V936+V936*StoreMarkup,2),IF(MarkupType="Supplier Markup",V936+V936*SupplierMarkup,"Error at finding value"))</f>
        <v>10.17</v>
      </c>
      <c r="X936" s="32" t="str">
        <f t="shared" si="326"/>
        <v>0.00</v>
      </c>
      <c r="Y936" s="15">
        <f t="shared" si="327"/>
        <v>45.22</v>
      </c>
      <c r="Z936" s="15">
        <f t="shared" si="328"/>
        <v>71.19</v>
      </c>
      <c r="AA936" s="15">
        <f>IF(FreightType="Lethbridge-Stewart Freight ",ROUND(2.99+IF(N936&gt;0.75,(N936-0.75)*2.25,0)*S936,2),IF(MarkupType="Supplier Markup",V936+V936*SupplierMarkup,"Error at finding value"))</f>
        <v>2.99</v>
      </c>
      <c r="AB936" s="15">
        <f t="shared" si="329"/>
        <v>0</v>
      </c>
    </row>
    <row r="937" spans="1:28" x14ac:dyDescent="0.25">
      <c r="A937" s="16">
        <f>OrdersTable!A937</f>
        <v>643</v>
      </c>
      <c r="B937" s="15" t="str">
        <f t="shared" si="309"/>
        <v>Ms</v>
      </c>
      <c r="C937" s="15" t="str">
        <f t="shared" si="330"/>
        <v>Crispin-Purcell</v>
      </c>
      <c r="D937" s="15" t="str">
        <f t="shared" si="310"/>
        <v>Gabriellen Elizabeth</v>
      </c>
      <c r="E937" s="15" t="str">
        <f t="shared" si="311"/>
        <v>12 Williams Road</v>
      </c>
      <c r="F937" s="15" t="str">
        <f t="shared" si="312"/>
        <v>Appletree Flat</v>
      </c>
      <c r="G937" s="15" t="str">
        <f t="shared" si="313"/>
        <v>NSW</v>
      </c>
      <c r="H937" s="15">
        <f t="shared" si="314"/>
        <v>2330</v>
      </c>
      <c r="I937" s="15">
        <f t="shared" si="325"/>
        <v>691</v>
      </c>
      <c r="J937" s="15">
        <f>OrdersTable!B937</f>
        <v>707</v>
      </c>
      <c r="K937" s="15" t="str">
        <f t="shared" si="315"/>
        <v>Posters, Prints and Standees</v>
      </c>
      <c r="L937" s="15" t="str">
        <f t="shared" si="316"/>
        <v>Doctor Who: Poster: Ironside Dalek Blueprint</v>
      </c>
      <c r="M937" s="15" t="str">
        <f t="shared" si="317"/>
        <v>-</v>
      </c>
      <c r="N937" s="15">
        <f t="shared" si="318"/>
        <v>0.2</v>
      </c>
      <c r="O937" s="15" t="str">
        <f t="shared" si="319"/>
        <v>A20</v>
      </c>
      <c r="P937" s="15" t="str">
        <f t="shared" si="320"/>
        <v>Morbius Inc.</v>
      </c>
      <c r="Q937" s="15" t="str">
        <f t="shared" si="321"/>
        <v>56 Michael Spice Hwy</v>
      </c>
      <c r="R937" s="3">
        <f>OrdersTable!C937</f>
        <v>44627</v>
      </c>
      <c r="S937" s="15">
        <f>OrdersTable!E937</f>
        <v>4</v>
      </c>
      <c r="T937" s="15">
        <f t="shared" si="322"/>
        <v>3.99</v>
      </c>
      <c r="U937" s="15">
        <f t="shared" si="323"/>
        <v>5.48</v>
      </c>
      <c r="V937" s="15">
        <f t="shared" si="324"/>
        <v>6.46</v>
      </c>
      <c r="W937" s="15">
        <f>IF(MarkupType="Store Markup",ROUND(V937+V937*StoreMarkup,2),IF(MarkupType="Supplier Markup",V937+V937*SupplierMarkup,"Error at finding value"))</f>
        <v>10.17</v>
      </c>
      <c r="X937" s="32" t="str">
        <f t="shared" si="326"/>
        <v>0.00</v>
      </c>
      <c r="Y937" s="15">
        <f t="shared" si="327"/>
        <v>25.84</v>
      </c>
      <c r="Z937" s="15">
        <f t="shared" si="328"/>
        <v>40.68</v>
      </c>
      <c r="AA937" s="15">
        <f>IF(FreightType="Lethbridge-Stewart Freight ",ROUND(2.99+IF(N937&gt;0.75,(N937-0.75)*2.25,0)*S937,2),IF(MarkupType="Supplier Markup",V937+V937*SupplierMarkup,"Error at finding value"))</f>
        <v>2.99</v>
      </c>
      <c r="AB937" s="15">
        <f t="shared" si="329"/>
        <v>0</v>
      </c>
    </row>
    <row r="938" spans="1:28" x14ac:dyDescent="0.25">
      <c r="A938" s="16">
        <f>OrdersTable!A938</f>
        <v>843</v>
      </c>
      <c r="B938" s="15" t="str">
        <f t="shared" si="309"/>
        <v>Mr</v>
      </c>
      <c r="C938" s="15" t="str">
        <f t="shared" si="330"/>
        <v>Goodwin</v>
      </c>
      <c r="D938" s="15" t="str">
        <f t="shared" si="310"/>
        <v>Damon Joel</v>
      </c>
      <c r="E938" s="15" t="str">
        <f t="shared" si="311"/>
        <v>40 Powell Boulevard</v>
      </c>
      <c r="F938" s="15" t="str">
        <f t="shared" si="312"/>
        <v>Abington</v>
      </c>
      <c r="G938" s="15" t="str">
        <f t="shared" si="313"/>
        <v>QLD</v>
      </c>
      <c r="H938" s="15">
        <f t="shared" si="314"/>
        <v>4660</v>
      </c>
      <c r="I938" s="15">
        <f t="shared" si="325"/>
        <v>336</v>
      </c>
      <c r="J938" s="15">
        <f>OrdersTable!B938</f>
        <v>652</v>
      </c>
      <c r="K938" s="15" t="str">
        <f t="shared" si="315"/>
        <v>Mugs</v>
      </c>
      <c r="L938" s="15" t="str">
        <f t="shared" si="316"/>
        <v>Doctor Who: Mug: Dalek 2D</v>
      </c>
      <c r="M938" s="15" t="str">
        <f t="shared" si="317"/>
        <v>-</v>
      </c>
      <c r="N938" s="15">
        <f t="shared" si="318"/>
        <v>0.35</v>
      </c>
      <c r="O938" s="15" t="str">
        <f t="shared" si="319"/>
        <v>A10</v>
      </c>
      <c r="P938" s="15" t="str">
        <f t="shared" si="320"/>
        <v>Gallifrey International</v>
      </c>
      <c r="Q938" s="15" t="str">
        <f t="shared" si="321"/>
        <v>181 Arcadia Street</v>
      </c>
      <c r="R938" s="3">
        <f>OrdersTable!C938</f>
        <v>44627</v>
      </c>
      <c r="S938" s="15">
        <f>OrdersTable!E938</f>
        <v>7</v>
      </c>
      <c r="T938" s="15">
        <f t="shared" si="322"/>
        <v>6.99</v>
      </c>
      <c r="U938" s="15">
        <f t="shared" si="323"/>
        <v>9.8800000000000008</v>
      </c>
      <c r="V938" s="15">
        <f t="shared" si="324"/>
        <v>11.32</v>
      </c>
      <c r="W938" s="15">
        <f>IF(MarkupType="Store Markup",ROUND(V938+V938*StoreMarkup,2),IF(MarkupType="Supplier Markup",V938+V938*SupplierMarkup,"Error at finding value"))</f>
        <v>17.829999999999998</v>
      </c>
      <c r="X938" s="32" t="str">
        <f t="shared" si="326"/>
        <v>0.00</v>
      </c>
      <c r="Y938" s="15">
        <f t="shared" si="327"/>
        <v>79.239999999999995</v>
      </c>
      <c r="Z938" s="15">
        <f t="shared" si="328"/>
        <v>124.81</v>
      </c>
      <c r="AA938" s="15">
        <f>IF(FreightType="Lethbridge-Stewart Freight ",ROUND(2.99+IF(N938&gt;0.75,(N938-0.75)*2.25,0)*S938,2),IF(MarkupType="Supplier Markup",V938+V938*SupplierMarkup,"Error at finding value"))</f>
        <v>2.99</v>
      </c>
      <c r="AB938" s="15">
        <f t="shared" si="329"/>
        <v>0</v>
      </c>
    </row>
    <row r="939" spans="1:28" x14ac:dyDescent="0.25">
      <c r="A939" s="16">
        <f>OrdersTable!A939</f>
        <v>923</v>
      </c>
      <c r="B939" s="15" t="str">
        <f t="shared" si="309"/>
        <v>Ms</v>
      </c>
      <c r="C939" s="15" t="str">
        <f t="shared" si="330"/>
        <v>Savage</v>
      </c>
      <c r="D939" s="15" t="str">
        <f t="shared" si="310"/>
        <v>Eliza Margaret</v>
      </c>
      <c r="E939" s="15" t="str">
        <f t="shared" si="311"/>
        <v>28 Whisson Crescent</v>
      </c>
      <c r="F939" s="15" t="str">
        <f t="shared" si="312"/>
        <v>Belconnen</v>
      </c>
      <c r="G939" s="15" t="str">
        <f t="shared" si="313"/>
        <v>ACT</v>
      </c>
      <c r="H939" s="15">
        <f t="shared" si="314"/>
        <v>2617</v>
      </c>
      <c r="I939" s="15">
        <f t="shared" si="325"/>
        <v>1194</v>
      </c>
      <c r="J939" s="15">
        <f>OrdersTable!B939</f>
        <v>747</v>
      </c>
      <c r="K939" s="15" t="str">
        <f t="shared" si="315"/>
        <v>Props and Replicas</v>
      </c>
      <c r="L939" s="15" t="str">
        <f t="shared" si="316"/>
        <v>Doctor Who: The Master's Fob Watch</v>
      </c>
      <c r="M939" s="15" t="str">
        <f t="shared" si="317"/>
        <v>-</v>
      </c>
      <c r="N939" s="15">
        <f t="shared" si="318"/>
        <v>2.25</v>
      </c>
      <c r="O939" s="15" t="str">
        <f t="shared" si="319"/>
        <v>A10</v>
      </c>
      <c r="P939" s="15" t="str">
        <f t="shared" si="320"/>
        <v>Gallifrey International</v>
      </c>
      <c r="Q939" s="15" t="str">
        <f t="shared" si="321"/>
        <v>181 Arcadia Street</v>
      </c>
      <c r="R939" s="3">
        <f>OrdersTable!C939</f>
        <v>44627</v>
      </c>
      <c r="S939" s="15">
        <f>OrdersTable!E939</f>
        <v>1</v>
      </c>
      <c r="T939" s="15">
        <f t="shared" si="322"/>
        <v>44.99</v>
      </c>
      <c r="U939" s="15">
        <f t="shared" si="323"/>
        <v>61.7</v>
      </c>
      <c r="V939" s="15">
        <f t="shared" si="324"/>
        <v>72.88</v>
      </c>
      <c r="W939" s="15">
        <f>IF(MarkupType="Store Markup",ROUND(V939+V939*StoreMarkup,2),IF(MarkupType="Supplier Markup",V939+V939*SupplierMarkup,"Error at finding value"))</f>
        <v>114.79</v>
      </c>
      <c r="X939" s="32" t="str">
        <f t="shared" si="326"/>
        <v>0.00</v>
      </c>
      <c r="Y939" s="15">
        <f t="shared" si="327"/>
        <v>72.88</v>
      </c>
      <c r="Z939" s="15">
        <f t="shared" si="328"/>
        <v>114.79</v>
      </c>
      <c r="AA939" s="15">
        <f>IF(FreightType="Lethbridge-Stewart Freight ",ROUND(2.99+IF(N939&gt;0.75,(N939-0.75)*2.25,0)*S939,2),IF(MarkupType="Supplier Markup",V939+V939*SupplierMarkup,"Error at finding value"))</f>
        <v>6.37</v>
      </c>
      <c r="AB939" s="15">
        <f t="shared" si="329"/>
        <v>0</v>
      </c>
    </row>
    <row r="940" spans="1:28" x14ac:dyDescent="0.25">
      <c r="A940" s="16">
        <f>OrdersTable!A940</f>
        <v>329</v>
      </c>
      <c r="B940" s="15" t="str">
        <f t="shared" si="309"/>
        <v>Ms</v>
      </c>
      <c r="C940" s="15" t="str">
        <f t="shared" si="330"/>
        <v>Hubbard</v>
      </c>
      <c r="D940" s="15" t="str">
        <f t="shared" si="310"/>
        <v>Sonya Marie</v>
      </c>
      <c r="E940" s="15" t="str">
        <f t="shared" si="311"/>
        <v>42 Keable Crescent</v>
      </c>
      <c r="F940" s="15" t="str">
        <f t="shared" si="312"/>
        <v>Boston</v>
      </c>
      <c r="G940" s="15" t="str">
        <f t="shared" si="313"/>
        <v>SA</v>
      </c>
      <c r="H940" s="15">
        <f t="shared" si="314"/>
        <v>5607</v>
      </c>
      <c r="I940" s="15">
        <f t="shared" si="325"/>
        <v>2076</v>
      </c>
      <c r="J940" s="15">
        <f>OrdersTable!B940</f>
        <v>543</v>
      </c>
      <c r="K940" s="15" t="str">
        <f t="shared" si="315"/>
        <v>Giftware</v>
      </c>
      <c r="L940" s="15" t="str">
        <f t="shared" si="316"/>
        <v>Doctor Who: Sonic Screwdriver Pen</v>
      </c>
      <c r="M940" s="15" t="str">
        <f t="shared" si="317"/>
        <v>-</v>
      </c>
      <c r="N940" s="15">
        <f t="shared" si="318"/>
        <v>0.65</v>
      </c>
      <c r="O940" s="15" t="str">
        <f t="shared" si="319"/>
        <v>A20</v>
      </c>
      <c r="P940" s="15" t="str">
        <f t="shared" si="320"/>
        <v>Morbius Inc.</v>
      </c>
      <c r="Q940" s="15" t="str">
        <f t="shared" si="321"/>
        <v>56 Michael Spice Hwy</v>
      </c>
      <c r="R940" s="3">
        <f>OrdersTable!C940</f>
        <v>44628</v>
      </c>
      <c r="S940" s="15">
        <f>OrdersTable!E940</f>
        <v>3</v>
      </c>
      <c r="T940" s="15">
        <f t="shared" si="322"/>
        <v>12.99</v>
      </c>
      <c r="U940" s="15">
        <f t="shared" si="323"/>
        <v>18.02</v>
      </c>
      <c r="V940" s="15">
        <f t="shared" si="324"/>
        <v>21.04</v>
      </c>
      <c r="W940" s="15">
        <f>IF(MarkupType="Store Markup",ROUND(V940+V940*StoreMarkup,2),IF(MarkupType="Supplier Markup",V940+V940*SupplierMarkup,"Error at finding value"))</f>
        <v>33.14</v>
      </c>
      <c r="X940" s="32" t="str">
        <f t="shared" si="326"/>
        <v>0.00</v>
      </c>
      <c r="Y940" s="15">
        <f t="shared" si="327"/>
        <v>63.12</v>
      </c>
      <c r="Z940" s="15">
        <f t="shared" si="328"/>
        <v>99.42</v>
      </c>
      <c r="AA940" s="15">
        <f>IF(FreightType="Lethbridge-Stewart Freight ",ROUND(2.99+IF(N940&gt;0.75,(N940-0.75)*2.25,0)*S940,2),IF(MarkupType="Supplier Markup",V940+V940*SupplierMarkup,"Error at finding value"))</f>
        <v>2.99</v>
      </c>
      <c r="AB940" s="15">
        <f t="shared" si="329"/>
        <v>0</v>
      </c>
    </row>
    <row r="941" spans="1:28" x14ac:dyDescent="0.25">
      <c r="A941" s="16">
        <f>OrdersTable!A941</f>
        <v>329</v>
      </c>
      <c r="B941" s="15" t="str">
        <f t="shared" si="309"/>
        <v>Ms</v>
      </c>
      <c r="C941" s="15" t="str">
        <f t="shared" si="330"/>
        <v>Hubbard</v>
      </c>
      <c r="D941" s="15" t="str">
        <f t="shared" si="310"/>
        <v>Sonya Marie</v>
      </c>
      <c r="E941" s="15" t="str">
        <f t="shared" si="311"/>
        <v>42 Keable Crescent</v>
      </c>
      <c r="F941" s="15" t="str">
        <f t="shared" si="312"/>
        <v>Boston</v>
      </c>
      <c r="G941" s="15" t="str">
        <f t="shared" si="313"/>
        <v>SA</v>
      </c>
      <c r="H941" s="15">
        <f t="shared" si="314"/>
        <v>5607</v>
      </c>
      <c r="I941" s="15">
        <f t="shared" si="325"/>
        <v>2076</v>
      </c>
      <c r="J941" s="15">
        <f>OrdersTable!B941</f>
        <v>585</v>
      </c>
      <c r="K941" s="15" t="str">
        <f t="shared" si="315"/>
        <v>iPhone Skins</v>
      </c>
      <c r="L941" s="15" t="str">
        <f t="shared" si="316"/>
        <v>Doctor Who: iPhone Skin: Dalek To Victory</v>
      </c>
      <c r="M941" s="15" t="str">
        <f t="shared" si="317"/>
        <v>-</v>
      </c>
      <c r="N941" s="15">
        <f t="shared" si="318"/>
        <v>0.5</v>
      </c>
      <c r="O941" s="15" t="str">
        <f t="shared" si="319"/>
        <v>A10</v>
      </c>
      <c r="P941" s="15" t="str">
        <f t="shared" si="320"/>
        <v>Gallifrey International</v>
      </c>
      <c r="Q941" s="15" t="str">
        <f t="shared" si="321"/>
        <v>181 Arcadia Street</v>
      </c>
      <c r="R941" s="3">
        <f>OrdersTable!C941</f>
        <v>44628</v>
      </c>
      <c r="S941" s="15">
        <f>OrdersTable!E941</f>
        <v>10</v>
      </c>
      <c r="T941" s="15">
        <f t="shared" si="322"/>
        <v>9.99</v>
      </c>
      <c r="U941" s="15">
        <f t="shared" si="323"/>
        <v>13.7</v>
      </c>
      <c r="V941" s="15">
        <f t="shared" si="324"/>
        <v>16.18</v>
      </c>
      <c r="W941" s="15">
        <f>IF(MarkupType="Store Markup",ROUND(V941+V941*StoreMarkup,2),IF(MarkupType="Supplier Markup",V941+V941*SupplierMarkup,"Error at finding value"))</f>
        <v>25.48</v>
      </c>
      <c r="X941" s="32" t="str">
        <f t="shared" si="326"/>
        <v>0.00</v>
      </c>
      <c r="Y941" s="15">
        <f t="shared" si="327"/>
        <v>161.80000000000001</v>
      </c>
      <c r="Z941" s="15">
        <f t="shared" si="328"/>
        <v>254.8</v>
      </c>
      <c r="AA941" s="15">
        <f>IF(FreightType="Lethbridge-Stewart Freight ",ROUND(2.99+IF(N941&gt;0.75,(N941-0.75)*2.25,0)*S941,2),IF(MarkupType="Supplier Markup",V941+V941*SupplierMarkup,"Error at finding value"))</f>
        <v>2.99</v>
      </c>
      <c r="AB941" s="15">
        <f t="shared" si="329"/>
        <v>0</v>
      </c>
    </row>
    <row r="942" spans="1:28" x14ac:dyDescent="0.25">
      <c r="A942" s="16">
        <f>OrdersTable!A942</f>
        <v>491</v>
      </c>
      <c r="B942" s="15" t="str">
        <f t="shared" si="309"/>
        <v>Miss</v>
      </c>
      <c r="C942" s="15" t="str">
        <f t="shared" si="330"/>
        <v>Winks</v>
      </c>
      <c r="D942" s="15" t="str">
        <f t="shared" si="310"/>
        <v>Lori-Ann</v>
      </c>
      <c r="E942" s="15" t="str">
        <f t="shared" si="311"/>
        <v>40 Lyne Street</v>
      </c>
      <c r="F942" s="15" t="str">
        <f t="shared" si="312"/>
        <v>Bray Park</v>
      </c>
      <c r="G942" s="15" t="str">
        <f t="shared" si="313"/>
        <v>QLD</v>
      </c>
      <c r="H942" s="15">
        <f t="shared" si="314"/>
        <v>4500</v>
      </c>
      <c r="I942" s="15">
        <f t="shared" si="325"/>
        <v>139</v>
      </c>
      <c r="J942" s="15">
        <f>OrdersTable!B942</f>
        <v>259</v>
      </c>
      <c r="K942" s="15" t="str">
        <f t="shared" si="315"/>
        <v>Clothing and Apparel</v>
      </c>
      <c r="L942" s="15" t="str">
        <f t="shared" si="316"/>
        <v>Doctor Who: Men's Winter Pyjamas</v>
      </c>
      <c r="M942" s="15" t="str">
        <f t="shared" si="317"/>
        <v>XL</v>
      </c>
      <c r="N942" s="15">
        <f t="shared" si="318"/>
        <v>1.5</v>
      </c>
      <c r="O942" s="15" t="str">
        <f t="shared" si="319"/>
        <v>A50</v>
      </c>
      <c r="P942" s="15" t="str">
        <f t="shared" si="320"/>
        <v>Rassilon Ltd.</v>
      </c>
      <c r="Q942" s="15" t="str">
        <f t="shared" si="321"/>
        <v>82 Richard Mathews Road</v>
      </c>
      <c r="R942" s="3">
        <f>OrdersTable!C942</f>
        <v>44628</v>
      </c>
      <c r="S942" s="15">
        <f>OrdersTable!E942</f>
        <v>6</v>
      </c>
      <c r="T942" s="15">
        <f t="shared" si="322"/>
        <v>29.99</v>
      </c>
      <c r="U942" s="15">
        <f t="shared" si="323"/>
        <v>41.15</v>
      </c>
      <c r="V942" s="15">
        <f t="shared" si="324"/>
        <v>48.58</v>
      </c>
      <c r="W942" s="15">
        <f>IF(MarkupType="Store Markup",ROUND(V942+V942*StoreMarkup,2),IF(MarkupType="Supplier Markup",V942+V942*SupplierMarkup,"Error at finding value"))</f>
        <v>76.510000000000005</v>
      </c>
      <c r="X942" s="32" t="str">
        <f t="shared" si="326"/>
        <v>0.00</v>
      </c>
      <c r="Y942" s="15">
        <f t="shared" si="327"/>
        <v>291.48</v>
      </c>
      <c r="Z942" s="15">
        <f t="shared" si="328"/>
        <v>459.06</v>
      </c>
      <c r="AA942" s="15">
        <f>IF(FreightType="Lethbridge-Stewart Freight ",ROUND(2.99+IF(N942&gt;0.75,(N942-0.75)*2.25,0)*S942,2),IF(MarkupType="Supplier Markup",V942+V942*SupplierMarkup,"Error at finding value"))</f>
        <v>13.12</v>
      </c>
      <c r="AB942" s="15">
        <f t="shared" si="329"/>
        <v>0</v>
      </c>
    </row>
    <row r="943" spans="1:28" x14ac:dyDescent="0.25">
      <c r="A943" s="16">
        <f>OrdersTable!A943</f>
        <v>491</v>
      </c>
      <c r="B943" s="15" t="str">
        <f t="shared" si="309"/>
        <v>Miss</v>
      </c>
      <c r="C943" s="15" t="str">
        <f t="shared" si="330"/>
        <v>Winks</v>
      </c>
      <c r="D943" s="15" t="str">
        <f t="shared" si="310"/>
        <v>Lori-Ann</v>
      </c>
      <c r="E943" s="15" t="str">
        <f t="shared" si="311"/>
        <v>40 Lyne Street</v>
      </c>
      <c r="F943" s="15" t="str">
        <f t="shared" si="312"/>
        <v>Bray Park</v>
      </c>
      <c r="G943" s="15" t="str">
        <f t="shared" si="313"/>
        <v>QLD</v>
      </c>
      <c r="H943" s="15">
        <f t="shared" si="314"/>
        <v>4500</v>
      </c>
      <c r="I943" s="15">
        <f t="shared" si="325"/>
        <v>139</v>
      </c>
      <c r="J943" s="15">
        <f>OrdersTable!B943</f>
        <v>867</v>
      </c>
      <c r="K943" s="15" t="str">
        <f t="shared" si="315"/>
        <v>Statues and Busts</v>
      </c>
      <c r="L943" s="15" t="str">
        <f t="shared" si="316"/>
        <v>Doctor Who: TITANS: The 11th Doctor</v>
      </c>
      <c r="M943" s="15" t="str">
        <f t="shared" si="317"/>
        <v>-</v>
      </c>
      <c r="N943" s="15">
        <f t="shared" si="318"/>
        <v>0.4</v>
      </c>
      <c r="O943" s="15" t="str">
        <f t="shared" si="319"/>
        <v>A20</v>
      </c>
      <c r="P943" s="15" t="str">
        <f t="shared" si="320"/>
        <v>Morbius Inc.</v>
      </c>
      <c r="Q943" s="15" t="str">
        <f t="shared" si="321"/>
        <v>56 Michael Spice Hwy</v>
      </c>
      <c r="R943" s="3">
        <f>OrdersTable!C943</f>
        <v>44628</v>
      </c>
      <c r="S943" s="15">
        <f>OrdersTable!E943</f>
        <v>4</v>
      </c>
      <c r="T943" s="15">
        <f t="shared" si="322"/>
        <v>7.99</v>
      </c>
      <c r="U943" s="15">
        <f t="shared" si="323"/>
        <v>11.1</v>
      </c>
      <c r="V943" s="15">
        <f t="shared" si="324"/>
        <v>12.94</v>
      </c>
      <c r="W943" s="15">
        <f>IF(MarkupType="Store Markup",ROUND(V943+V943*StoreMarkup,2),IF(MarkupType="Supplier Markup",V943+V943*SupplierMarkup,"Error at finding value"))</f>
        <v>20.38</v>
      </c>
      <c r="X943" s="32" t="str">
        <f t="shared" si="326"/>
        <v>0.00</v>
      </c>
      <c r="Y943" s="15">
        <f t="shared" si="327"/>
        <v>51.76</v>
      </c>
      <c r="Z943" s="15">
        <f t="shared" si="328"/>
        <v>81.52</v>
      </c>
      <c r="AA943" s="15">
        <f>IF(FreightType="Lethbridge-Stewart Freight ",ROUND(2.99+IF(N943&gt;0.75,(N943-0.75)*2.25,0)*S943,2),IF(MarkupType="Supplier Markup",V943+V943*SupplierMarkup,"Error at finding value"))</f>
        <v>2.99</v>
      </c>
      <c r="AB943" s="15">
        <f t="shared" si="329"/>
        <v>0</v>
      </c>
    </row>
    <row r="944" spans="1:28" x14ac:dyDescent="0.25">
      <c r="A944" s="16">
        <f>OrdersTable!A944</f>
        <v>538</v>
      </c>
      <c r="B944" s="15" t="str">
        <f t="shared" si="309"/>
        <v>Dr</v>
      </c>
      <c r="C944" s="15" t="str">
        <f t="shared" si="330"/>
        <v>Radovic</v>
      </c>
      <c r="D944" s="15" t="str">
        <f t="shared" si="310"/>
        <v>Harley Benjamin</v>
      </c>
      <c r="E944" s="15" t="str">
        <f t="shared" si="311"/>
        <v>50 Hocking Way</v>
      </c>
      <c r="F944" s="15" t="str">
        <f t="shared" si="312"/>
        <v>Bray Park</v>
      </c>
      <c r="G944" s="15" t="str">
        <f t="shared" si="313"/>
        <v>QLD</v>
      </c>
      <c r="H944" s="15">
        <f t="shared" si="314"/>
        <v>4500</v>
      </c>
      <c r="I944" s="15">
        <f t="shared" si="325"/>
        <v>139</v>
      </c>
      <c r="J944" s="15">
        <f>OrdersTable!B944</f>
        <v>282</v>
      </c>
      <c r="K944" s="15" t="str">
        <f t="shared" si="315"/>
        <v>Clothing and Apparel</v>
      </c>
      <c r="L944" s="15" t="str">
        <f t="shared" si="316"/>
        <v>Doctor Who: Tardis Laplander Hat</v>
      </c>
      <c r="M944" s="15" t="str">
        <f t="shared" si="317"/>
        <v>-</v>
      </c>
      <c r="N944" s="15">
        <f t="shared" si="318"/>
        <v>0.97499999999999998</v>
      </c>
      <c r="O944" s="15" t="str">
        <f t="shared" si="319"/>
        <v>A10</v>
      </c>
      <c r="P944" s="15" t="str">
        <f t="shared" si="320"/>
        <v>Gallifrey International</v>
      </c>
      <c r="Q944" s="15" t="str">
        <f t="shared" si="321"/>
        <v>181 Arcadia Street</v>
      </c>
      <c r="R944" s="3">
        <f>OrdersTable!C944</f>
        <v>44628</v>
      </c>
      <c r="S944" s="15">
        <f>OrdersTable!E944</f>
        <v>3</v>
      </c>
      <c r="T944" s="15">
        <f t="shared" si="322"/>
        <v>19.5</v>
      </c>
      <c r="U944" s="15">
        <f t="shared" si="323"/>
        <v>26.93</v>
      </c>
      <c r="V944" s="15">
        <f t="shared" si="324"/>
        <v>31.59</v>
      </c>
      <c r="W944" s="15">
        <f>IF(MarkupType="Store Markup",ROUND(V944+V944*StoreMarkup,2),IF(MarkupType="Supplier Markup",V944+V944*SupplierMarkup,"Error at finding value"))</f>
        <v>49.75</v>
      </c>
      <c r="X944" s="32" t="str">
        <f t="shared" si="326"/>
        <v>0.00</v>
      </c>
      <c r="Y944" s="15">
        <f t="shared" si="327"/>
        <v>94.77</v>
      </c>
      <c r="Z944" s="15">
        <f t="shared" si="328"/>
        <v>149.25</v>
      </c>
      <c r="AA944" s="15">
        <f>IF(FreightType="Lethbridge-Stewart Freight ",ROUND(2.99+IF(N944&gt;0.75,(N944-0.75)*2.25,0)*S944,2),IF(MarkupType="Supplier Markup",V944+V944*SupplierMarkup,"Error at finding value"))</f>
        <v>4.51</v>
      </c>
      <c r="AB944" s="15">
        <f t="shared" si="329"/>
        <v>0</v>
      </c>
    </row>
    <row r="945" spans="1:28" x14ac:dyDescent="0.25">
      <c r="A945" s="16">
        <f>OrdersTable!A945</f>
        <v>557</v>
      </c>
      <c r="B945" s="15" t="str">
        <f t="shared" si="309"/>
        <v>Mrs</v>
      </c>
      <c r="C945" s="15" t="str">
        <f t="shared" si="330"/>
        <v>Allen</v>
      </c>
      <c r="D945" s="15" t="str">
        <f t="shared" si="310"/>
        <v>Morgan</v>
      </c>
      <c r="E945" s="15" t="str">
        <f t="shared" si="311"/>
        <v>15 Winsor Street</v>
      </c>
      <c r="F945" s="15" t="str">
        <f t="shared" si="312"/>
        <v>Appletree Flat</v>
      </c>
      <c r="G945" s="15" t="str">
        <f t="shared" si="313"/>
        <v>NSW</v>
      </c>
      <c r="H945" s="15">
        <f t="shared" si="314"/>
        <v>2330</v>
      </c>
      <c r="I945" s="15">
        <f t="shared" si="325"/>
        <v>691</v>
      </c>
      <c r="J945" s="15">
        <f>OrdersTable!B945</f>
        <v>862</v>
      </c>
      <c r="K945" s="15" t="str">
        <f t="shared" si="315"/>
        <v>Statues and Busts</v>
      </c>
      <c r="L945" s="15" t="str">
        <f t="shared" si="316"/>
        <v>Doctor Who: TITANS: The 10th Doctor</v>
      </c>
      <c r="M945" s="15" t="str">
        <f t="shared" si="317"/>
        <v>-</v>
      </c>
      <c r="N945" s="15">
        <f t="shared" si="318"/>
        <v>0.4</v>
      </c>
      <c r="O945" s="15" t="str">
        <f t="shared" si="319"/>
        <v>A40</v>
      </c>
      <c r="P945" s="15" t="str">
        <f t="shared" si="320"/>
        <v>Romana Imports</v>
      </c>
      <c r="Q945" s="15" t="str">
        <f t="shared" si="321"/>
        <v>17 Lalla Ward Road</v>
      </c>
      <c r="R945" s="3">
        <f>OrdersTable!C945</f>
        <v>44628</v>
      </c>
      <c r="S945" s="15">
        <f>OrdersTable!E945</f>
        <v>2</v>
      </c>
      <c r="T945" s="15">
        <f t="shared" si="322"/>
        <v>7.99</v>
      </c>
      <c r="U945" s="15">
        <f t="shared" si="323"/>
        <v>11.01</v>
      </c>
      <c r="V945" s="15">
        <f t="shared" si="324"/>
        <v>12.94</v>
      </c>
      <c r="W945" s="15">
        <f>IF(MarkupType="Store Markup",ROUND(V945+V945*StoreMarkup,2),IF(MarkupType="Supplier Markup",V945+V945*SupplierMarkup,"Error at finding value"))</f>
        <v>20.38</v>
      </c>
      <c r="X945" s="32" t="str">
        <f t="shared" si="326"/>
        <v>0.00</v>
      </c>
      <c r="Y945" s="15">
        <f t="shared" si="327"/>
        <v>25.88</v>
      </c>
      <c r="Z945" s="15">
        <f t="shared" si="328"/>
        <v>40.76</v>
      </c>
      <c r="AA945" s="15">
        <f>IF(FreightType="Lethbridge-Stewart Freight ",ROUND(2.99+IF(N945&gt;0.75,(N945-0.75)*2.25,0)*S945,2),IF(MarkupType="Supplier Markup",V945+V945*SupplierMarkup,"Error at finding value"))</f>
        <v>2.99</v>
      </c>
      <c r="AB945" s="15">
        <f t="shared" si="329"/>
        <v>0</v>
      </c>
    </row>
    <row r="946" spans="1:28" x14ac:dyDescent="0.25">
      <c r="A946" s="16">
        <f>OrdersTable!A946</f>
        <v>586</v>
      </c>
      <c r="B946" s="15" t="str">
        <f t="shared" si="309"/>
        <v>Dr</v>
      </c>
      <c r="C946" s="15" t="str">
        <f t="shared" si="330"/>
        <v>Coetzee</v>
      </c>
      <c r="D946" s="15" t="str">
        <f t="shared" si="310"/>
        <v>Riekert</v>
      </c>
      <c r="E946" s="15" t="str">
        <f t="shared" si="311"/>
        <v>5 Western Road</v>
      </c>
      <c r="F946" s="15" t="str">
        <f t="shared" si="312"/>
        <v>Alfredtown</v>
      </c>
      <c r="G946" s="15" t="str">
        <f t="shared" si="313"/>
        <v>NSW</v>
      </c>
      <c r="H946" s="15">
        <f t="shared" si="314"/>
        <v>2650</v>
      </c>
      <c r="I946" s="15">
        <f t="shared" si="325"/>
        <v>1124</v>
      </c>
      <c r="J946" s="15">
        <f>OrdersTable!B946</f>
        <v>341</v>
      </c>
      <c r="K946" s="15" t="str">
        <f t="shared" si="315"/>
        <v>Clothing and Apparel</v>
      </c>
      <c r="L946" s="15" t="str">
        <f t="shared" si="316"/>
        <v xml:space="preserve">Doctor Who: T-Shirts: 4th Doctor Costume </v>
      </c>
      <c r="M946" s="15" t="str">
        <f t="shared" si="317"/>
        <v>XL</v>
      </c>
      <c r="N946" s="15">
        <f t="shared" si="318"/>
        <v>0.8</v>
      </c>
      <c r="O946" s="15" t="str">
        <f t="shared" si="319"/>
        <v>A20</v>
      </c>
      <c r="P946" s="15" t="str">
        <f t="shared" si="320"/>
        <v>Morbius Inc.</v>
      </c>
      <c r="Q946" s="15" t="str">
        <f t="shared" si="321"/>
        <v>56 Michael Spice Hwy</v>
      </c>
      <c r="R946" s="3">
        <f>OrdersTable!C946</f>
        <v>44628</v>
      </c>
      <c r="S946" s="15">
        <f>OrdersTable!E946</f>
        <v>5</v>
      </c>
      <c r="T946" s="15">
        <f t="shared" si="322"/>
        <v>15.99</v>
      </c>
      <c r="U946" s="15">
        <f t="shared" si="323"/>
        <v>22.05</v>
      </c>
      <c r="V946" s="15">
        <f t="shared" si="324"/>
        <v>25.9</v>
      </c>
      <c r="W946" s="15">
        <f>IF(MarkupType="Store Markup",ROUND(V946+V946*StoreMarkup,2),IF(MarkupType="Supplier Markup",V946+V946*SupplierMarkup,"Error at finding value"))</f>
        <v>40.79</v>
      </c>
      <c r="X946" s="32" t="str">
        <f t="shared" si="326"/>
        <v>0.00</v>
      </c>
      <c r="Y946" s="15">
        <f t="shared" si="327"/>
        <v>129.5</v>
      </c>
      <c r="Z946" s="15">
        <f t="shared" si="328"/>
        <v>203.95</v>
      </c>
      <c r="AA946" s="15">
        <f>IF(FreightType="Lethbridge-Stewart Freight ",ROUND(2.99+IF(N946&gt;0.75,(N946-0.75)*2.25,0)*S946,2),IF(MarkupType="Supplier Markup",V946+V946*SupplierMarkup,"Error at finding value"))</f>
        <v>3.55</v>
      </c>
      <c r="AB946" s="15">
        <f t="shared" si="329"/>
        <v>0</v>
      </c>
    </row>
    <row r="947" spans="1:28" x14ac:dyDescent="0.25">
      <c r="A947" s="16">
        <f>OrdersTable!A947</f>
        <v>594</v>
      </c>
      <c r="B947" s="15" t="str">
        <f t="shared" si="309"/>
        <v>Mrs</v>
      </c>
      <c r="C947" s="15" t="str">
        <f t="shared" si="330"/>
        <v>Entriken</v>
      </c>
      <c r="D947" s="15" t="str">
        <f t="shared" si="310"/>
        <v>Gwenda Dawn</v>
      </c>
      <c r="E947" s="15" t="str">
        <f t="shared" si="311"/>
        <v>8 Miljkovic Drive</v>
      </c>
      <c r="F947" s="15" t="str">
        <f t="shared" si="312"/>
        <v>Nayook</v>
      </c>
      <c r="G947" s="15" t="str">
        <f t="shared" si="313"/>
        <v>VIC</v>
      </c>
      <c r="H947" s="15">
        <f t="shared" si="314"/>
        <v>3832</v>
      </c>
      <c r="I947" s="15">
        <f t="shared" si="325"/>
        <v>1552</v>
      </c>
      <c r="J947" s="15">
        <f>OrdersTable!B947</f>
        <v>759</v>
      </c>
      <c r="K947" s="15" t="str">
        <f t="shared" si="315"/>
        <v>Statues and Busts</v>
      </c>
      <c r="L947" s="15" t="str">
        <f t="shared" si="316"/>
        <v>Doctor Who: Legends Forever Bust: Jon Pertwee</v>
      </c>
      <c r="M947" s="15" t="str">
        <f t="shared" si="317"/>
        <v>-</v>
      </c>
      <c r="N947" s="15">
        <f t="shared" si="318"/>
        <v>1.375</v>
      </c>
      <c r="O947" s="15" t="str">
        <f t="shared" si="319"/>
        <v>A30</v>
      </c>
      <c r="P947" s="15" t="str">
        <f t="shared" si="320"/>
        <v>Chesterton Enterprises</v>
      </c>
      <c r="Q947" s="15" t="str">
        <f t="shared" si="321"/>
        <v>41 William Russell Road</v>
      </c>
      <c r="R947" s="3">
        <f>OrdersTable!C947</f>
        <v>44628</v>
      </c>
      <c r="S947" s="15">
        <f>OrdersTable!E947</f>
        <v>3</v>
      </c>
      <c r="T947" s="15">
        <f t="shared" si="322"/>
        <v>27.5</v>
      </c>
      <c r="U947" s="15">
        <f t="shared" si="323"/>
        <v>37.630000000000003</v>
      </c>
      <c r="V947" s="15">
        <f t="shared" si="324"/>
        <v>44.55</v>
      </c>
      <c r="W947" s="15">
        <f>IF(MarkupType="Store Markup",ROUND(V947+V947*StoreMarkup,2),IF(MarkupType="Supplier Markup",V947+V947*SupplierMarkup,"Error at finding value"))</f>
        <v>70.17</v>
      </c>
      <c r="X947" s="32" t="str">
        <f t="shared" si="326"/>
        <v>0.00</v>
      </c>
      <c r="Y947" s="15">
        <f t="shared" si="327"/>
        <v>133.65</v>
      </c>
      <c r="Z947" s="15">
        <f t="shared" si="328"/>
        <v>210.51</v>
      </c>
      <c r="AA947" s="15">
        <f>IF(FreightType="Lethbridge-Stewart Freight ",ROUND(2.99+IF(N947&gt;0.75,(N947-0.75)*2.25,0)*S947,2),IF(MarkupType="Supplier Markup",V947+V947*SupplierMarkup,"Error at finding value"))</f>
        <v>7.21</v>
      </c>
      <c r="AB947" s="15">
        <f t="shared" si="329"/>
        <v>0</v>
      </c>
    </row>
    <row r="948" spans="1:28" x14ac:dyDescent="0.25">
      <c r="A948" s="16">
        <f>OrdersTable!A948</f>
        <v>600</v>
      </c>
      <c r="B948" s="15" t="str">
        <f t="shared" si="309"/>
        <v>Dr</v>
      </c>
      <c r="C948" s="15" t="str">
        <f t="shared" si="330"/>
        <v>McConnell</v>
      </c>
      <c r="D948" s="15" t="str">
        <f t="shared" si="310"/>
        <v>Hannah Clair</v>
      </c>
      <c r="E948" s="15" t="str">
        <f t="shared" si="311"/>
        <v>27 Mccarthy Circuit</v>
      </c>
      <c r="F948" s="15" t="str">
        <f t="shared" si="312"/>
        <v>Ashford</v>
      </c>
      <c r="G948" s="15" t="str">
        <f t="shared" si="313"/>
        <v>SA</v>
      </c>
      <c r="H948" s="15">
        <f t="shared" si="314"/>
        <v>5035</v>
      </c>
      <c r="I948" s="15">
        <f t="shared" si="325"/>
        <v>1877</v>
      </c>
      <c r="J948" s="15">
        <f>OrdersTable!B948</f>
        <v>464</v>
      </c>
      <c r="K948" s="15" t="str">
        <f t="shared" si="315"/>
        <v>Giftware</v>
      </c>
      <c r="L948" s="15" t="str">
        <f t="shared" si="316"/>
        <v>Doctor Who: Collectable License Plate: My Other Car Is A TARDIS</v>
      </c>
      <c r="M948" s="15" t="str">
        <f t="shared" si="317"/>
        <v>-</v>
      </c>
      <c r="N948" s="15">
        <f t="shared" si="318"/>
        <v>0.6</v>
      </c>
      <c r="O948" s="15" t="str">
        <f t="shared" si="319"/>
        <v>A50</v>
      </c>
      <c r="P948" s="15" t="str">
        <f t="shared" si="320"/>
        <v>Rassilon Ltd.</v>
      </c>
      <c r="Q948" s="15" t="str">
        <f t="shared" si="321"/>
        <v>82 Richard Mathews Road</v>
      </c>
      <c r="R948" s="3">
        <f>OrdersTable!C948</f>
        <v>44628</v>
      </c>
      <c r="S948" s="15">
        <f>OrdersTable!E948</f>
        <v>3</v>
      </c>
      <c r="T948" s="15">
        <f t="shared" si="322"/>
        <v>11.99</v>
      </c>
      <c r="U948" s="15">
        <f t="shared" si="323"/>
        <v>16.579999999999998</v>
      </c>
      <c r="V948" s="15">
        <f t="shared" si="324"/>
        <v>19.420000000000002</v>
      </c>
      <c r="W948" s="15">
        <f>IF(MarkupType="Store Markup",ROUND(V948+V948*StoreMarkup,2),IF(MarkupType="Supplier Markup",V948+V948*SupplierMarkup,"Error at finding value"))</f>
        <v>30.59</v>
      </c>
      <c r="X948" s="32" t="str">
        <f t="shared" si="326"/>
        <v>0.00</v>
      </c>
      <c r="Y948" s="15">
        <f t="shared" si="327"/>
        <v>58.26</v>
      </c>
      <c r="Z948" s="15">
        <f t="shared" si="328"/>
        <v>91.77</v>
      </c>
      <c r="AA948" s="15">
        <f>IF(FreightType="Lethbridge-Stewart Freight ",ROUND(2.99+IF(N948&gt;0.75,(N948-0.75)*2.25,0)*S948,2),IF(MarkupType="Supplier Markup",V948+V948*SupplierMarkup,"Error at finding value"))</f>
        <v>2.99</v>
      </c>
      <c r="AB948" s="15">
        <f t="shared" si="329"/>
        <v>0</v>
      </c>
    </row>
    <row r="949" spans="1:28" x14ac:dyDescent="0.25">
      <c r="A949" s="16">
        <f>OrdersTable!A949</f>
        <v>750</v>
      </c>
      <c r="B949" s="15" t="str">
        <f t="shared" si="309"/>
        <v>Ms</v>
      </c>
      <c r="C949" s="15" t="str">
        <f t="shared" si="330"/>
        <v>Talbot</v>
      </c>
      <c r="D949" s="15" t="str">
        <f t="shared" si="310"/>
        <v>Carlie Wenderly</v>
      </c>
      <c r="E949" s="15" t="str">
        <f t="shared" si="311"/>
        <v>31 Somerville Way</v>
      </c>
      <c r="F949" s="15" t="str">
        <f t="shared" si="312"/>
        <v>Boston</v>
      </c>
      <c r="G949" s="15" t="str">
        <f t="shared" si="313"/>
        <v>SA</v>
      </c>
      <c r="H949" s="15">
        <f t="shared" si="314"/>
        <v>5607</v>
      </c>
      <c r="I949" s="15">
        <f t="shared" si="325"/>
        <v>2076</v>
      </c>
      <c r="J949" s="15">
        <f>OrdersTable!B949</f>
        <v>376</v>
      </c>
      <c r="K949" s="15" t="str">
        <f t="shared" si="315"/>
        <v>Clothing and Apparel</v>
      </c>
      <c r="L949" s="15" t="str">
        <f t="shared" si="316"/>
        <v xml:space="preserve">Doctor Who: T-Shirts: 7th Doctor Costume </v>
      </c>
      <c r="M949" s="15" t="str">
        <f t="shared" si="317"/>
        <v>S</v>
      </c>
      <c r="N949" s="15">
        <f t="shared" si="318"/>
        <v>0.8</v>
      </c>
      <c r="O949" s="15" t="str">
        <f t="shared" si="319"/>
        <v>A10</v>
      </c>
      <c r="P949" s="15" t="str">
        <f t="shared" si="320"/>
        <v>Gallifrey International</v>
      </c>
      <c r="Q949" s="15" t="str">
        <f t="shared" si="321"/>
        <v>181 Arcadia Street</v>
      </c>
      <c r="R949" s="3">
        <f>OrdersTable!C949</f>
        <v>44628</v>
      </c>
      <c r="S949" s="15">
        <f>OrdersTable!E949</f>
        <v>9</v>
      </c>
      <c r="T949" s="15">
        <f t="shared" si="322"/>
        <v>15.99</v>
      </c>
      <c r="U949" s="15">
        <f t="shared" si="323"/>
        <v>21.83</v>
      </c>
      <c r="V949" s="15">
        <f t="shared" si="324"/>
        <v>25.9</v>
      </c>
      <c r="W949" s="15">
        <f>IF(MarkupType="Store Markup",ROUND(V949+V949*StoreMarkup,2),IF(MarkupType="Supplier Markup",V949+V949*SupplierMarkup,"Error at finding value"))</f>
        <v>40.79</v>
      </c>
      <c r="X949" s="32" t="str">
        <f t="shared" si="326"/>
        <v>0.00</v>
      </c>
      <c r="Y949" s="15">
        <f t="shared" si="327"/>
        <v>233.1</v>
      </c>
      <c r="Z949" s="15">
        <f t="shared" si="328"/>
        <v>367.11</v>
      </c>
      <c r="AA949" s="15">
        <f>IF(FreightType="Lethbridge-Stewart Freight ",ROUND(2.99+IF(N949&gt;0.75,(N949-0.75)*2.25,0)*S949,2),IF(MarkupType="Supplier Markup",V949+V949*SupplierMarkup,"Error at finding value"))</f>
        <v>4</v>
      </c>
      <c r="AB949" s="15">
        <f t="shared" si="329"/>
        <v>0</v>
      </c>
    </row>
    <row r="950" spans="1:28" x14ac:dyDescent="0.25">
      <c r="A950" s="16">
        <f>OrdersTable!A950</f>
        <v>884</v>
      </c>
      <c r="B950" s="15" t="str">
        <f t="shared" si="309"/>
        <v>Mr</v>
      </c>
      <c r="C950" s="15" t="str">
        <f t="shared" si="330"/>
        <v>Smy</v>
      </c>
      <c r="D950" s="15" t="str">
        <f t="shared" si="310"/>
        <v>Corey Alexander</v>
      </c>
      <c r="E950" s="15" t="str">
        <f t="shared" si="311"/>
        <v>47 Lindsay Circuit</v>
      </c>
      <c r="F950" s="15" t="str">
        <f t="shared" si="312"/>
        <v>Boston</v>
      </c>
      <c r="G950" s="15" t="str">
        <f t="shared" si="313"/>
        <v>SA</v>
      </c>
      <c r="H950" s="15">
        <f t="shared" si="314"/>
        <v>5607</v>
      </c>
      <c r="I950" s="15">
        <f t="shared" si="325"/>
        <v>2076</v>
      </c>
      <c r="J950" s="15">
        <f>OrdersTable!B950</f>
        <v>726</v>
      </c>
      <c r="K950" s="15" t="str">
        <f t="shared" si="315"/>
        <v>Props and Replicas</v>
      </c>
      <c r="L950" s="15" t="str">
        <f t="shared" si="316"/>
        <v>Doctor Who: Dalek Death Ray</v>
      </c>
      <c r="M950" s="15" t="str">
        <f t="shared" si="317"/>
        <v>-</v>
      </c>
      <c r="N950" s="15">
        <f t="shared" si="318"/>
        <v>18</v>
      </c>
      <c r="O950" s="15" t="str">
        <f t="shared" si="319"/>
        <v>A30</v>
      </c>
      <c r="P950" s="15" t="str">
        <f t="shared" si="320"/>
        <v>Chesterton Enterprises</v>
      </c>
      <c r="Q950" s="15" t="str">
        <f t="shared" si="321"/>
        <v>41 William Russell Road</v>
      </c>
      <c r="R950" s="3">
        <f>OrdersTable!C950</f>
        <v>44628</v>
      </c>
      <c r="S950" s="15">
        <f>OrdersTable!E950</f>
        <v>1</v>
      </c>
      <c r="T950" s="15">
        <f t="shared" si="322"/>
        <v>359.99</v>
      </c>
      <c r="U950" s="15">
        <f t="shared" si="323"/>
        <v>491.12</v>
      </c>
      <c r="V950" s="15">
        <f t="shared" si="324"/>
        <v>583.17999999999995</v>
      </c>
      <c r="W950" s="15">
        <f>IF(MarkupType="Store Markup",ROUND(V950+V950*StoreMarkup,2),IF(MarkupType="Supplier Markup",V950+V950*SupplierMarkup,"Error at finding value"))</f>
        <v>918.51</v>
      </c>
      <c r="X950" s="32" t="str">
        <f t="shared" si="326"/>
        <v>0.00</v>
      </c>
      <c r="Y950" s="15">
        <f t="shared" si="327"/>
        <v>583.17999999999995</v>
      </c>
      <c r="Z950" s="15">
        <f t="shared" si="328"/>
        <v>918.51</v>
      </c>
      <c r="AA950" s="15">
        <f>IF(FreightType="Lethbridge-Stewart Freight ",ROUND(2.99+IF(N950&gt;0.75,(N950-0.75)*2.25,0)*S950,2),IF(MarkupType="Supplier Markup",V950+V950*SupplierMarkup,"Error at finding value"))</f>
        <v>41.8</v>
      </c>
      <c r="AB950" s="15">
        <f t="shared" si="329"/>
        <v>0</v>
      </c>
    </row>
    <row r="951" spans="1:28" x14ac:dyDescent="0.25">
      <c r="A951" s="16">
        <f>OrdersTable!A951</f>
        <v>55</v>
      </c>
      <c r="B951" s="15" t="str">
        <f t="shared" si="309"/>
        <v>Mr</v>
      </c>
      <c r="C951" s="15" t="str">
        <f t="shared" si="330"/>
        <v>Myers</v>
      </c>
      <c r="D951" s="15" t="str">
        <f t="shared" si="310"/>
        <v>Luke Charles</v>
      </c>
      <c r="E951" s="15" t="str">
        <f t="shared" si="311"/>
        <v>25 Penrose Street</v>
      </c>
      <c r="F951" s="15" t="str">
        <f t="shared" si="312"/>
        <v>Black Hills</v>
      </c>
      <c r="G951" s="15" t="str">
        <f t="shared" si="313"/>
        <v>TAS</v>
      </c>
      <c r="H951" s="15">
        <f t="shared" si="314"/>
        <v>7140</v>
      </c>
      <c r="I951" s="15">
        <f t="shared" si="325"/>
        <v>2191</v>
      </c>
      <c r="J951" s="15">
        <f>OrdersTable!B951</f>
        <v>696</v>
      </c>
      <c r="K951" s="15" t="str">
        <f t="shared" si="315"/>
        <v>Posters, Prints and Standees</v>
      </c>
      <c r="L951" s="15" t="str">
        <f t="shared" si="316"/>
        <v xml:space="preserve">Doctor Who: 50th Anniversary: Poster: To Victory </v>
      </c>
      <c r="M951" s="15" t="str">
        <f t="shared" si="317"/>
        <v>-</v>
      </c>
      <c r="N951" s="15">
        <f t="shared" si="318"/>
        <v>0.2</v>
      </c>
      <c r="O951" s="15" t="str">
        <f t="shared" si="319"/>
        <v>A40</v>
      </c>
      <c r="P951" s="15" t="str">
        <f t="shared" si="320"/>
        <v>Romana Imports</v>
      </c>
      <c r="Q951" s="15" t="str">
        <f t="shared" si="321"/>
        <v>17 Lalla Ward Road</v>
      </c>
      <c r="R951" s="3">
        <f>OrdersTable!C951</f>
        <v>44629</v>
      </c>
      <c r="S951" s="15">
        <f>OrdersTable!E951</f>
        <v>8</v>
      </c>
      <c r="T951" s="15">
        <f t="shared" si="322"/>
        <v>3.99</v>
      </c>
      <c r="U951" s="15">
        <f t="shared" si="323"/>
        <v>5.6</v>
      </c>
      <c r="V951" s="15">
        <f t="shared" si="324"/>
        <v>6.46</v>
      </c>
      <c r="W951" s="15">
        <f>IF(MarkupType="Store Markup",ROUND(V951+V951*StoreMarkup,2),IF(MarkupType="Supplier Markup",V951+V951*SupplierMarkup,"Error at finding value"))</f>
        <v>10.17</v>
      </c>
      <c r="X951" s="32" t="str">
        <f t="shared" si="326"/>
        <v>0.00</v>
      </c>
      <c r="Y951" s="15">
        <f t="shared" si="327"/>
        <v>51.68</v>
      </c>
      <c r="Z951" s="15">
        <f t="shared" si="328"/>
        <v>81.36</v>
      </c>
      <c r="AA951" s="15">
        <f>IF(FreightType="Lethbridge-Stewart Freight ",ROUND(2.99+IF(N951&gt;0.75,(N951-0.75)*2.25,0)*S951,2),IF(MarkupType="Supplier Markup",V951+V951*SupplierMarkup,"Error at finding value"))</f>
        <v>2.99</v>
      </c>
      <c r="AB951" s="15">
        <f t="shared" si="329"/>
        <v>0</v>
      </c>
    </row>
    <row r="952" spans="1:28" x14ac:dyDescent="0.25">
      <c r="A952" s="16">
        <f>OrdersTable!A952</f>
        <v>66</v>
      </c>
      <c r="B952" s="15" t="str">
        <f t="shared" si="309"/>
        <v>Mr</v>
      </c>
      <c r="C952" s="15" t="str">
        <f t="shared" si="330"/>
        <v>Bachmann</v>
      </c>
      <c r="D952" s="15" t="str">
        <f t="shared" si="310"/>
        <v>Aaron</v>
      </c>
      <c r="E952" s="15" t="str">
        <f t="shared" si="311"/>
        <v>3 Csabai Avenue</v>
      </c>
      <c r="F952" s="15" t="str">
        <f t="shared" si="312"/>
        <v>Bridgewater</v>
      </c>
      <c r="G952" s="15" t="str">
        <f t="shared" si="313"/>
        <v>VIC</v>
      </c>
      <c r="H952" s="15">
        <f t="shared" si="314"/>
        <v>3516</v>
      </c>
      <c r="I952" s="15">
        <f t="shared" si="325"/>
        <v>1486</v>
      </c>
      <c r="J952" s="15">
        <f>OrdersTable!B952</f>
        <v>453</v>
      </c>
      <c r="K952" s="15" t="str">
        <f t="shared" si="315"/>
        <v>Giftware</v>
      </c>
      <c r="L952" s="15" t="str">
        <f t="shared" si="316"/>
        <v>Doctor Who: Ceramic Cookie Jar: TARDIS</v>
      </c>
      <c r="M952" s="15" t="str">
        <f t="shared" si="317"/>
        <v>-</v>
      </c>
      <c r="N952" s="15">
        <f t="shared" si="318"/>
        <v>1.35</v>
      </c>
      <c r="O952" s="15" t="str">
        <f t="shared" si="319"/>
        <v>A40</v>
      </c>
      <c r="P952" s="15" t="str">
        <f t="shared" si="320"/>
        <v>Romana Imports</v>
      </c>
      <c r="Q952" s="15" t="str">
        <f t="shared" si="321"/>
        <v>17 Lalla Ward Road</v>
      </c>
      <c r="R952" s="3">
        <f>OrdersTable!C952</f>
        <v>44629</v>
      </c>
      <c r="S952" s="15">
        <f>OrdersTable!E952</f>
        <v>10</v>
      </c>
      <c r="T952" s="15">
        <f t="shared" si="322"/>
        <v>26.99</v>
      </c>
      <c r="U952" s="15">
        <f t="shared" si="323"/>
        <v>37.119999999999997</v>
      </c>
      <c r="V952" s="15">
        <f t="shared" si="324"/>
        <v>43.72</v>
      </c>
      <c r="W952" s="15">
        <f>IF(MarkupType="Store Markup",ROUND(V952+V952*StoreMarkup,2),IF(MarkupType="Supplier Markup",V952+V952*SupplierMarkup,"Error at finding value"))</f>
        <v>68.86</v>
      </c>
      <c r="X952" s="32" t="str">
        <f t="shared" si="326"/>
        <v>0.00</v>
      </c>
      <c r="Y952" s="15">
        <f t="shared" si="327"/>
        <v>437.2</v>
      </c>
      <c r="Z952" s="15">
        <f t="shared" si="328"/>
        <v>688.6</v>
      </c>
      <c r="AA952" s="15">
        <f>IF(FreightType="Lethbridge-Stewart Freight ",ROUND(2.99+IF(N952&gt;0.75,(N952-0.75)*2.25,0)*S952,2),IF(MarkupType="Supplier Markup",V952+V952*SupplierMarkup,"Error at finding value"))</f>
        <v>16.489999999999998</v>
      </c>
      <c r="AB952" s="15">
        <f t="shared" si="329"/>
        <v>0</v>
      </c>
    </row>
    <row r="953" spans="1:28" x14ac:dyDescent="0.25">
      <c r="A953" s="16">
        <f>OrdersTable!A953</f>
        <v>139</v>
      </c>
      <c r="B953" s="15" t="str">
        <f t="shared" si="309"/>
        <v>Mrs</v>
      </c>
      <c r="C953" s="15" t="str">
        <f t="shared" si="330"/>
        <v>Atkinson</v>
      </c>
      <c r="D953" s="15" t="str">
        <f t="shared" si="310"/>
        <v>Leanne</v>
      </c>
      <c r="E953" s="15" t="str">
        <f t="shared" si="311"/>
        <v>45 Maloney Boulevard</v>
      </c>
      <c r="F953" s="15" t="str">
        <f t="shared" si="312"/>
        <v>Avon Plains</v>
      </c>
      <c r="G953" s="15" t="str">
        <f t="shared" si="313"/>
        <v>VIC</v>
      </c>
      <c r="H953" s="15">
        <f t="shared" si="314"/>
        <v>3477</v>
      </c>
      <c r="I953" s="15">
        <f t="shared" si="325"/>
        <v>1565</v>
      </c>
      <c r="J953" s="15">
        <f>OrdersTable!B953</f>
        <v>671</v>
      </c>
      <c r="K953" s="15" t="str">
        <f t="shared" si="315"/>
        <v>Mugs</v>
      </c>
      <c r="L953" s="15" t="str">
        <f t="shared" si="316"/>
        <v>Doctor Who: Mug: TARDIS Inside</v>
      </c>
      <c r="M953" s="15" t="str">
        <f t="shared" si="317"/>
        <v>-</v>
      </c>
      <c r="N953" s="15">
        <f t="shared" si="318"/>
        <v>0.6</v>
      </c>
      <c r="O953" s="15" t="str">
        <f t="shared" si="319"/>
        <v>A30</v>
      </c>
      <c r="P953" s="15" t="str">
        <f t="shared" si="320"/>
        <v>Chesterton Enterprises</v>
      </c>
      <c r="Q953" s="15" t="str">
        <f t="shared" si="321"/>
        <v>41 William Russell Road</v>
      </c>
      <c r="R953" s="3">
        <f>OrdersTable!C953</f>
        <v>44629</v>
      </c>
      <c r="S953" s="15">
        <f>OrdersTable!E953</f>
        <v>6</v>
      </c>
      <c r="T953" s="15">
        <f t="shared" si="322"/>
        <v>11.99</v>
      </c>
      <c r="U953" s="15">
        <f t="shared" si="323"/>
        <v>16.690000000000001</v>
      </c>
      <c r="V953" s="15">
        <f t="shared" si="324"/>
        <v>19.420000000000002</v>
      </c>
      <c r="W953" s="15">
        <f>IF(MarkupType="Store Markup",ROUND(V953+V953*StoreMarkup,2),IF(MarkupType="Supplier Markup",V953+V953*SupplierMarkup,"Error at finding value"))</f>
        <v>30.59</v>
      </c>
      <c r="X953" s="32" t="str">
        <f t="shared" si="326"/>
        <v>0.00</v>
      </c>
      <c r="Y953" s="15">
        <f t="shared" si="327"/>
        <v>116.52</v>
      </c>
      <c r="Z953" s="15">
        <f t="shared" si="328"/>
        <v>183.54</v>
      </c>
      <c r="AA953" s="15">
        <f>IF(FreightType="Lethbridge-Stewart Freight ",ROUND(2.99+IF(N953&gt;0.75,(N953-0.75)*2.25,0)*S953,2),IF(MarkupType="Supplier Markup",V953+V953*SupplierMarkup,"Error at finding value"))</f>
        <v>2.99</v>
      </c>
      <c r="AB953" s="15">
        <f t="shared" si="329"/>
        <v>0</v>
      </c>
    </row>
    <row r="954" spans="1:28" x14ac:dyDescent="0.25">
      <c r="A954" s="16">
        <f>OrdersTable!A954</f>
        <v>200</v>
      </c>
      <c r="B954" s="15" t="str">
        <f t="shared" si="309"/>
        <v>Ms</v>
      </c>
      <c r="C954" s="15" t="str">
        <f t="shared" si="330"/>
        <v>Barton</v>
      </c>
      <c r="D954" s="15" t="str">
        <f t="shared" si="310"/>
        <v>Kimberley</v>
      </c>
      <c r="E954" s="15" t="str">
        <f t="shared" si="311"/>
        <v>9 Decuyper Road</v>
      </c>
      <c r="F954" s="15" t="str">
        <f t="shared" si="312"/>
        <v>Ashford</v>
      </c>
      <c r="G954" s="15" t="str">
        <f t="shared" si="313"/>
        <v>SA</v>
      </c>
      <c r="H954" s="15">
        <f t="shared" si="314"/>
        <v>5035</v>
      </c>
      <c r="I954" s="15">
        <f t="shared" si="325"/>
        <v>1877</v>
      </c>
      <c r="J954" s="15">
        <f>OrdersTable!B954</f>
        <v>732</v>
      </c>
      <c r="K954" s="15" t="str">
        <f t="shared" si="315"/>
        <v>Props and Replicas</v>
      </c>
      <c r="L954" s="15" t="str">
        <f t="shared" si="316"/>
        <v>Doctor Who: Eleventh Doctor's Sonic Screwdriver</v>
      </c>
      <c r="M954" s="15" t="str">
        <f t="shared" si="317"/>
        <v>-</v>
      </c>
      <c r="N954" s="15">
        <f t="shared" si="318"/>
        <v>3</v>
      </c>
      <c r="O954" s="15" t="str">
        <f t="shared" si="319"/>
        <v>A40</v>
      </c>
      <c r="P954" s="15" t="str">
        <f t="shared" si="320"/>
        <v>Romana Imports</v>
      </c>
      <c r="Q954" s="15" t="str">
        <f t="shared" si="321"/>
        <v>17 Lalla Ward Road</v>
      </c>
      <c r="R954" s="3">
        <f>OrdersTable!C954</f>
        <v>44629</v>
      </c>
      <c r="S954" s="15">
        <f>OrdersTable!E954</f>
        <v>6</v>
      </c>
      <c r="T954" s="15">
        <f t="shared" si="322"/>
        <v>59.99</v>
      </c>
      <c r="U954" s="15">
        <f t="shared" si="323"/>
        <v>81.83</v>
      </c>
      <c r="V954" s="15">
        <f t="shared" si="324"/>
        <v>97.18</v>
      </c>
      <c r="W954" s="15">
        <f>IF(MarkupType="Store Markup",ROUND(V954+V954*StoreMarkup,2),IF(MarkupType="Supplier Markup",V954+V954*SupplierMarkup,"Error at finding value"))</f>
        <v>153.06</v>
      </c>
      <c r="X954" s="32">
        <f t="shared" si="326"/>
        <v>10.91</v>
      </c>
      <c r="Y954" s="15">
        <f t="shared" si="327"/>
        <v>583.08000000000004</v>
      </c>
      <c r="Z954" s="15">
        <f t="shared" si="328"/>
        <v>852.9</v>
      </c>
      <c r="AA954" s="15">
        <f>IF(FreightType="Lethbridge-Stewart Freight ",ROUND(2.99+IF(N954&gt;0.75,(N954-0.75)*2.25,0)*S954,2),IF(MarkupType="Supplier Markup",V954+V954*SupplierMarkup,"Error at finding value"))</f>
        <v>33.369999999999997</v>
      </c>
      <c r="AB954" s="15">
        <f t="shared" si="329"/>
        <v>65.459999999999994</v>
      </c>
    </row>
    <row r="955" spans="1:28" x14ac:dyDescent="0.25">
      <c r="A955" s="16">
        <f>OrdersTable!A955</f>
        <v>331</v>
      </c>
      <c r="B955" s="15" t="str">
        <f t="shared" si="309"/>
        <v>Mrs</v>
      </c>
      <c r="C955" s="15" t="str">
        <f t="shared" si="330"/>
        <v>McKenzie</v>
      </c>
      <c r="D955" s="15" t="str">
        <f t="shared" si="310"/>
        <v>Melinda Kate</v>
      </c>
      <c r="E955" s="15" t="str">
        <f t="shared" si="311"/>
        <v>49 McKay Way</v>
      </c>
      <c r="F955" s="15" t="str">
        <f t="shared" si="312"/>
        <v>Black Hills</v>
      </c>
      <c r="G955" s="15" t="str">
        <f t="shared" si="313"/>
        <v>TAS</v>
      </c>
      <c r="H955" s="15">
        <f t="shared" si="314"/>
        <v>7140</v>
      </c>
      <c r="I955" s="15">
        <f t="shared" si="325"/>
        <v>2191</v>
      </c>
      <c r="J955" s="15">
        <f>OrdersTable!B955</f>
        <v>316</v>
      </c>
      <c r="K955" s="15" t="str">
        <f t="shared" si="315"/>
        <v>Clothing and Apparel</v>
      </c>
      <c r="L955" s="15" t="str">
        <f t="shared" si="316"/>
        <v xml:space="preserve">Doctor Who: T-Shirts: 4th Doctor Costume </v>
      </c>
      <c r="M955" s="15" t="str">
        <f t="shared" si="317"/>
        <v>S</v>
      </c>
      <c r="N955" s="15">
        <f t="shared" si="318"/>
        <v>0.8</v>
      </c>
      <c r="O955" s="15" t="str">
        <f t="shared" si="319"/>
        <v>A30</v>
      </c>
      <c r="P955" s="15" t="str">
        <f t="shared" si="320"/>
        <v>Chesterton Enterprises</v>
      </c>
      <c r="Q955" s="15" t="str">
        <f t="shared" si="321"/>
        <v>41 William Russell Road</v>
      </c>
      <c r="R955" s="3">
        <f>OrdersTable!C955</f>
        <v>44629</v>
      </c>
      <c r="S955" s="15">
        <f>OrdersTable!E955</f>
        <v>9</v>
      </c>
      <c r="T955" s="15">
        <f t="shared" si="322"/>
        <v>15.99</v>
      </c>
      <c r="U955" s="15">
        <f t="shared" si="323"/>
        <v>21.94</v>
      </c>
      <c r="V955" s="15">
        <f t="shared" si="324"/>
        <v>25.9</v>
      </c>
      <c r="W955" s="15">
        <f>IF(MarkupType="Store Markup",ROUND(V955+V955*StoreMarkup,2),IF(MarkupType="Supplier Markup",V955+V955*SupplierMarkup,"Error at finding value"))</f>
        <v>40.79</v>
      </c>
      <c r="X955" s="32" t="str">
        <f t="shared" si="326"/>
        <v>0.00</v>
      </c>
      <c r="Y955" s="15">
        <f t="shared" si="327"/>
        <v>233.1</v>
      </c>
      <c r="Z955" s="15">
        <f t="shared" si="328"/>
        <v>367.11</v>
      </c>
      <c r="AA955" s="15">
        <f>IF(FreightType="Lethbridge-Stewart Freight ",ROUND(2.99+IF(N955&gt;0.75,(N955-0.75)*2.25,0)*S955,2),IF(MarkupType="Supplier Markup",V955+V955*SupplierMarkup,"Error at finding value"))</f>
        <v>4</v>
      </c>
      <c r="AB955" s="15">
        <f t="shared" si="329"/>
        <v>0</v>
      </c>
    </row>
    <row r="956" spans="1:28" x14ac:dyDescent="0.25">
      <c r="A956" s="16">
        <f>OrdersTable!A956</f>
        <v>333</v>
      </c>
      <c r="B956" s="15" t="str">
        <f t="shared" si="309"/>
        <v>Mr</v>
      </c>
      <c r="C956" s="15" t="str">
        <f t="shared" si="330"/>
        <v>Martin</v>
      </c>
      <c r="D956" s="15" t="str">
        <f t="shared" si="310"/>
        <v>Damien Roger</v>
      </c>
      <c r="E956" s="15" t="str">
        <f t="shared" si="311"/>
        <v>23 Quennell Way</v>
      </c>
      <c r="F956" s="15" t="str">
        <f t="shared" si="312"/>
        <v>Aberfoyle</v>
      </c>
      <c r="G956" s="15" t="str">
        <f t="shared" si="313"/>
        <v>NSW</v>
      </c>
      <c r="H956" s="15">
        <f t="shared" si="314"/>
        <v>2350</v>
      </c>
      <c r="I956" s="15">
        <f t="shared" si="325"/>
        <v>363</v>
      </c>
      <c r="J956" s="15">
        <f>OrdersTable!B956</f>
        <v>689</v>
      </c>
      <c r="K956" s="15" t="str">
        <f t="shared" si="315"/>
        <v>Posters, Prints and Standees</v>
      </c>
      <c r="L956" s="15" t="str">
        <f t="shared" si="316"/>
        <v>Doctor Who: 16'x12' Framed Print: Cold War</v>
      </c>
      <c r="M956" s="15" t="str">
        <f t="shared" si="317"/>
        <v>-</v>
      </c>
      <c r="N956" s="15">
        <f t="shared" si="318"/>
        <v>0.75</v>
      </c>
      <c r="O956" s="15" t="str">
        <f t="shared" si="319"/>
        <v>A50</v>
      </c>
      <c r="P956" s="15" t="str">
        <f t="shared" si="320"/>
        <v>Rassilon Ltd.</v>
      </c>
      <c r="Q956" s="15" t="str">
        <f t="shared" si="321"/>
        <v>82 Richard Mathews Road</v>
      </c>
      <c r="R956" s="3">
        <f>OrdersTable!C956</f>
        <v>44629</v>
      </c>
      <c r="S956" s="15">
        <f>OrdersTable!E956</f>
        <v>5</v>
      </c>
      <c r="T956" s="15">
        <f t="shared" si="322"/>
        <v>14.99</v>
      </c>
      <c r="U956" s="15">
        <f t="shared" si="323"/>
        <v>20.77</v>
      </c>
      <c r="V956" s="15">
        <f t="shared" si="324"/>
        <v>24.28</v>
      </c>
      <c r="W956" s="15">
        <f>IF(MarkupType="Store Markup",ROUND(V956+V956*StoreMarkup,2),IF(MarkupType="Supplier Markup",V956+V956*SupplierMarkup,"Error at finding value"))</f>
        <v>38.24</v>
      </c>
      <c r="X956" s="32" t="str">
        <f t="shared" si="326"/>
        <v>0.00</v>
      </c>
      <c r="Y956" s="15">
        <f t="shared" si="327"/>
        <v>121.4</v>
      </c>
      <c r="Z956" s="15">
        <f t="shared" si="328"/>
        <v>191.2</v>
      </c>
      <c r="AA956" s="15">
        <f>IF(FreightType="Lethbridge-Stewart Freight ",ROUND(2.99+IF(N956&gt;0.75,(N956-0.75)*2.25,0)*S956,2),IF(MarkupType="Supplier Markup",V956+V956*SupplierMarkup,"Error at finding value"))</f>
        <v>2.99</v>
      </c>
      <c r="AB956" s="15">
        <f t="shared" si="329"/>
        <v>0</v>
      </c>
    </row>
    <row r="957" spans="1:28" x14ac:dyDescent="0.25">
      <c r="A957" s="16">
        <f>OrdersTable!A957</f>
        <v>360</v>
      </c>
      <c r="B957" s="15" t="str">
        <f t="shared" si="309"/>
        <v>Ms</v>
      </c>
      <c r="C957" s="15" t="str">
        <f t="shared" si="330"/>
        <v>Bobonica</v>
      </c>
      <c r="D957" s="15" t="str">
        <f t="shared" si="310"/>
        <v>Claudia</v>
      </c>
      <c r="E957" s="15" t="str">
        <f t="shared" si="311"/>
        <v>47 Klein Way</v>
      </c>
      <c r="F957" s="15" t="str">
        <f t="shared" si="312"/>
        <v>Avon Plains</v>
      </c>
      <c r="G957" s="15" t="str">
        <f t="shared" si="313"/>
        <v>VIC</v>
      </c>
      <c r="H957" s="15">
        <f t="shared" si="314"/>
        <v>3477</v>
      </c>
      <c r="I957" s="15">
        <f t="shared" si="325"/>
        <v>1565</v>
      </c>
      <c r="J957" s="15">
        <f>OrdersTable!B957</f>
        <v>707</v>
      </c>
      <c r="K957" s="15" t="str">
        <f t="shared" si="315"/>
        <v>Posters, Prints and Standees</v>
      </c>
      <c r="L957" s="15" t="str">
        <f t="shared" si="316"/>
        <v>Doctor Who: Poster: Ironside Dalek Blueprint</v>
      </c>
      <c r="M957" s="15" t="str">
        <f t="shared" si="317"/>
        <v>-</v>
      </c>
      <c r="N957" s="15">
        <f t="shared" si="318"/>
        <v>0.2</v>
      </c>
      <c r="O957" s="15" t="str">
        <f t="shared" si="319"/>
        <v>A20</v>
      </c>
      <c r="P957" s="15" t="str">
        <f t="shared" si="320"/>
        <v>Morbius Inc.</v>
      </c>
      <c r="Q957" s="15" t="str">
        <f t="shared" si="321"/>
        <v>56 Michael Spice Hwy</v>
      </c>
      <c r="R957" s="3">
        <f>OrdersTable!C957</f>
        <v>44629</v>
      </c>
      <c r="S957" s="15">
        <f>OrdersTable!E957</f>
        <v>4</v>
      </c>
      <c r="T957" s="15">
        <f t="shared" si="322"/>
        <v>3.99</v>
      </c>
      <c r="U957" s="15">
        <f t="shared" si="323"/>
        <v>5.48</v>
      </c>
      <c r="V957" s="15">
        <f t="shared" si="324"/>
        <v>6.46</v>
      </c>
      <c r="W957" s="15">
        <f>IF(MarkupType="Store Markup",ROUND(V957+V957*StoreMarkup,2),IF(MarkupType="Supplier Markup",V957+V957*SupplierMarkup,"Error at finding value"))</f>
        <v>10.17</v>
      </c>
      <c r="X957" s="32" t="str">
        <f t="shared" si="326"/>
        <v>0.00</v>
      </c>
      <c r="Y957" s="15">
        <f t="shared" si="327"/>
        <v>25.84</v>
      </c>
      <c r="Z957" s="15">
        <f t="shared" si="328"/>
        <v>40.68</v>
      </c>
      <c r="AA957" s="15">
        <f>IF(FreightType="Lethbridge-Stewart Freight ",ROUND(2.99+IF(N957&gt;0.75,(N957-0.75)*2.25,0)*S957,2),IF(MarkupType="Supplier Markup",V957+V957*SupplierMarkup,"Error at finding value"))</f>
        <v>2.99</v>
      </c>
      <c r="AB957" s="15">
        <f t="shared" si="329"/>
        <v>0</v>
      </c>
    </row>
    <row r="958" spans="1:28" x14ac:dyDescent="0.25">
      <c r="A958" s="16">
        <f>OrdersTable!A958</f>
        <v>573</v>
      </c>
      <c r="B958" s="15" t="str">
        <f t="shared" si="309"/>
        <v>Mrs</v>
      </c>
      <c r="C958" s="15" t="str">
        <f t="shared" si="330"/>
        <v>Hollonds</v>
      </c>
      <c r="D958" s="15" t="str">
        <f t="shared" si="310"/>
        <v>Suzan</v>
      </c>
      <c r="E958" s="15" t="str">
        <f t="shared" si="311"/>
        <v>49 Patel Way</v>
      </c>
      <c r="F958" s="15" t="str">
        <f t="shared" si="312"/>
        <v>Belconnen</v>
      </c>
      <c r="G958" s="15" t="str">
        <f t="shared" si="313"/>
        <v>ACT</v>
      </c>
      <c r="H958" s="15">
        <f t="shared" si="314"/>
        <v>2617</v>
      </c>
      <c r="I958" s="15">
        <f t="shared" si="325"/>
        <v>1194</v>
      </c>
      <c r="J958" s="15">
        <f>OrdersTable!B958</f>
        <v>376</v>
      </c>
      <c r="K958" s="15" t="str">
        <f t="shared" si="315"/>
        <v>Clothing and Apparel</v>
      </c>
      <c r="L958" s="15" t="str">
        <f t="shared" si="316"/>
        <v xml:space="preserve">Doctor Who: T-Shirts: 7th Doctor Costume </v>
      </c>
      <c r="M958" s="15" t="str">
        <f t="shared" si="317"/>
        <v>S</v>
      </c>
      <c r="N958" s="15">
        <f t="shared" si="318"/>
        <v>0.8</v>
      </c>
      <c r="O958" s="15" t="str">
        <f t="shared" si="319"/>
        <v>A10</v>
      </c>
      <c r="P958" s="15" t="str">
        <f t="shared" si="320"/>
        <v>Gallifrey International</v>
      </c>
      <c r="Q958" s="15" t="str">
        <f t="shared" si="321"/>
        <v>181 Arcadia Street</v>
      </c>
      <c r="R958" s="3">
        <f>OrdersTable!C958</f>
        <v>44629</v>
      </c>
      <c r="S958" s="15">
        <f>OrdersTable!E958</f>
        <v>9</v>
      </c>
      <c r="T958" s="15">
        <f t="shared" si="322"/>
        <v>15.99</v>
      </c>
      <c r="U958" s="15">
        <f t="shared" si="323"/>
        <v>21.83</v>
      </c>
      <c r="V958" s="15">
        <f t="shared" si="324"/>
        <v>25.9</v>
      </c>
      <c r="W958" s="15">
        <f>IF(MarkupType="Store Markup",ROUND(V958+V958*StoreMarkup,2),IF(MarkupType="Supplier Markup",V958+V958*SupplierMarkup,"Error at finding value"))</f>
        <v>40.79</v>
      </c>
      <c r="X958" s="32" t="str">
        <f t="shared" si="326"/>
        <v>0.00</v>
      </c>
      <c r="Y958" s="15">
        <f t="shared" si="327"/>
        <v>233.1</v>
      </c>
      <c r="Z958" s="15">
        <f t="shared" si="328"/>
        <v>367.11</v>
      </c>
      <c r="AA958" s="15">
        <f>IF(FreightType="Lethbridge-Stewart Freight ",ROUND(2.99+IF(N958&gt;0.75,(N958-0.75)*2.25,0)*S958,2),IF(MarkupType="Supplier Markup",V958+V958*SupplierMarkup,"Error at finding value"))</f>
        <v>4</v>
      </c>
      <c r="AB958" s="15">
        <f t="shared" si="329"/>
        <v>0</v>
      </c>
    </row>
    <row r="959" spans="1:28" x14ac:dyDescent="0.25">
      <c r="A959" s="16">
        <f>OrdersTable!A959</f>
        <v>610</v>
      </c>
      <c r="B959" s="15" t="str">
        <f t="shared" si="309"/>
        <v>Ms</v>
      </c>
      <c r="C959" s="15" t="str">
        <f t="shared" si="330"/>
        <v>Bichel</v>
      </c>
      <c r="D959" s="15" t="str">
        <f t="shared" si="310"/>
        <v>Abbey Kate</v>
      </c>
      <c r="E959" s="15" t="str">
        <f t="shared" si="311"/>
        <v>32 Rambau Avenue</v>
      </c>
      <c r="F959" s="15" t="str">
        <f t="shared" si="312"/>
        <v>Bamboo</v>
      </c>
      <c r="G959" s="15" t="str">
        <f t="shared" si="313"/>
        <v>QLD</v>
      </c>
      <c r="H959" s="15">
        <f t="shared" si="314"/>
        <v>4873</v>
      </c>
      <c r="I959" s="15">
        <f t="shared" si="325"/>
        <v>1741</v>
      </c>
      <c r="J959" s="15">
        <f>OrdersTable!B959</f>
        <v>418</v>
      </c>
      <c r="K959" s="15" t="str">
        <f t="shared" si="315"/>
        <v>Clothing and Apparel</v>
      </c>
      <c r="L959" s="15" t="str">
        <f t="shared" si="316"/>
        <v>Doctor Who: Women's Winter Pyjamas</v>
      </c>
      <c r="M959" s="15" t="str">
        <f t="shared" si="317"/>
        <v>M</v>
      </c>
      <c r="N959" s="15">
        <f t="shared" si="318"/>
        <v>1.5</v>
      </c>
      <c r="O959" s="15" t="str">
        <f t="shared" si="319"/>
        <v>A30</v>
      </c>
      <c r="P959" s="15" t="str">
        <f t="shared" si="320"/>
        <v>Chesterton Enterprises</v>
      </c>
      <c r="Q959" s="15" t="str">
        <f t="shared" si="321"/>
        <v>41 William Russell Road</v>
      </c>
      <c r="R959" s="3">
        <f>OrdersTable!C959</f>
        <v>44629</v>
      </c>
      <c r="S959" s="15">
        <f>OrdersTable!E959</f>
        <v>2</v>
      </c>
      <c r="T959" s="15">
        <f t="shared" si="322"/>
        <v>29.99</v>
      </c>
      <c r="U959" s="15">
        <f t="shared" si="323"/>
        <v>40.96</v>
      </c>
      <c r="V959" s="15">
        <f t="shared" si="324"/>
        <v>48.58</v>
      </c>
      <c r="W959" s="15">
        <f>IF(MarkupType="Store Markup",ROUND(V959+V959*StoreMarkup,2),IF(MarkupType="Supplier Markup",V959+V959*SupplierMarkup,"Error at finding value"))</f>
        <v>76.510000000000005</v>
      </c>
      <c r="X959" s="32" t="str">
        <f t="shared" si="326"/>
        <v>0.00</v>
      </c>
      <c r="Y959" s="15">
        <f t="shared" si="327"/>
        <v>97.16</v>
      </c>
      <c r="Z959" s="15">
        <f t="shared" si="328"/>
        <v>153.02000000000001</v>
      </c>
      <c r="AA959" s="15">
        <f>IF(FreightType="Lethbridge-Stewart Freight ",ROUND(2.99+IF(N959&gt;0.75,(N959-0.75)*2.25,0)*S959,2),IF(MarkupType="Supplier Markup",V959+V959*SupplierMarkup,"Error at finding value"))</f>
        <v>6.37</v>
      </c>
      <c r="AB959" s="15">
        <f t="shared" si="329"/>
        <v>0</v>
      </c>
    </row>
    <row r="960" spans="1:28" x14ac:dyDescent="0.25">
      <c r="A960" s="16">
        <f>OrdersTable!A960</f>
        <v>611</v>
      </c>
      <c r="B960" s="15" t="str">
        <f t="shared" si="309"/>
        <v>Mr</v>
      </c>
      <c r="C960" s="15" t="str">
        <f t="shared" si="330"/>
        <v>Wittman</v>
      </c>
      <c r="D960" s="15" t="str">
        <f t="shared" si="310"/>
        <v>Nicholas Jackson</v>
      </c>
      <c r="E960" s="15" t="str">
        <f t="shared" si="311"/>
        <v>48 Sheppard-Kadel Way</v>
      </c>
      <c r="F960" s="15" t="str">
        <f t="shared" si="312"/>
        <v>Nayook</v>
      </c>
      <c r="G960" s="15" t="str">
        <f t="shared" si="313"/>
        <v>VIC</v>
      </c>
      <c r="H960" s="15">
        <f t="shared" si="314"/>
        <v>3832</v>
      </c>
      <c r="I960" s="15">
        <f t="shared" si="325"/>
        <v>1552</v>
      </c>
      <c r="J960" s="15">
        <f>OrdersTable!B960</f>
        <v>580</v>
      </c>
      <c r="K960" s="15" t="str">
        <f t="shared" si="315"/>
        <v>Giftware</v>
      </c>
      <c r="L960" s="15" t="str">
        <f t="shared" si="316"/>
        <v>Doctor Who: Wallpaper: Classic TARDIS Columns</v>
      </c>
      <c r="M960" s="15" t="str">
        <f t="shared" si="317"/>
        <v>-</v>
      </c>
      <c r="N960" s="15">
        <f t="shared" si="318"/>
        <v>0.65500000000000003</v>
      </c>
      <c r="O960" s="15" t="str">
        <f t="shared" si="319"/>
        <v>A50</v>
      </c>
      <c r="P960" s="15" t="str">
        <f t="shared" si="320"/>
        <v>Rassilon Ltd.</v>
      </c>
      <c r="Q960" s="15" t="str">
        <f t="shared" si="321"/>
        <v>82 Richard Mathews Road</v>
      </c>
      <c r="R960" s="3">
        <f>OrdersTable!C960</f>
        <v>44629</v>
      </c>
      <c r="S960" s="15">
        <f>OrdersTable!E960</f>
        <v>8</v>
      </c>
      <c r="T960" s="15">
        <f t="shared" si="322"/>
        <v>13.11</v>
      </c>
      <c r="U960" s="15">
        <f t="shared" si="323"/>
        <v>18.18</v>
      </c>
      <c r="V960" s="15">
        <f t="shared" si="324"/>
        <v>21.24</v>
      </c>
      <c r="W960" s="15">
        <f>IF(MarkupType="Store Markup",ROUND(V960+V960*StoreMarkup,2),IF(MarkupType="Supplier Markup",V960+V960*SupplierMarkup,"Error at finding value"))</f>
        <v>33.450000000000003</v>
      </c>
      <c r="X960" s="32" t="str">
        <f t="shared" si="326"/>
        <v>0.00</v>
      </c>
      <c r="Y960" s="15">
        <f t="shared" si="327"/>
        <v>169.92</v>
      </c>
      <c r="Z960" s="15">
        <f t="shared" si="328"/>
        <v>267.60000000000002</v>
      </c>
      <c r="AA960" s="15">
        <f>IF(FreightType="Lethbridge-Stewart Freight ",ROUND(2.99+IF(N960&gt;0.75,(N960-0.75)*2.25,0)*S960,2),IF(MarkupType="Supplier Markup",V960+V960*SupplierMarkup,"Error at finding value"))</f>
        <v>2.99</v>
      </c>
      <c r="AB960" s="15">
        <f t="shared" si="329"/>
        <v>0</v>
      </c>
    </row>
    <row r="961" spans="1:28" x14ac:dyDescent="0.25">
      <c r="A961" s="16">
        <f>OrdersTable!A961</f>
        <v>643</v>
      </c>
      <c r="B961" s="15" t="str">
        <f t="shared" si="309"/>
        <v>Ms</v>
      </c>
      <c r="C961" s="15" t="str">
        <f t="shared" si="330"/>
        <v>Crispin-Purcell</v>
      </c>
      <c r="D961" s="15" t="str">
        <f t="shared" si="310"/>
        <v>Gabriellen Elizabeth</v>
      </c>
      <c r="E961" s="15" t="str">
        <f t="shared" si="311"/>
        <v>12 Williams Road</v>
      </c>
      <c r="F961" s="15" t="str">
        <f t="shared" si="312"/>
        <v>Appletree Flat</v>
      </c>
      <c r="G961" s="15" t="str">
        <f t="shared" si="313"/>
        <v>NSW</v>
      </c>
      <c r="H961" s="15">
        <f t="shared" si="314"/>
        <v>2330</v>
      </c>
      <c r="I961" s="15">
        <f t="shared" si="325"/>
        <v>691</v>
      </c>
      <c r="J961" s="15">
        <f>OrdersTable!B961</f>
        <v>694</v>
      </c>
      <c r="K961" s="15" t="str">
        <f t="shared" si="315"/>
        <v>Posters, Prints and Standees</v>
      </c>
      <c r="L961" s="15" t="str">
        <f t="shared" si="316"/>
        <v>Doctor Who: 16'x12' Framed Print: Hide</v>
      </c>
      <c r="M961" s="15" t="str">
        <f t="shared" si="317"/>
        <v>-</v>
      </c>
      <c r="N961" s="15">
        <f t="shared" si="318"/>
        <v>0.75</v>
      </c>
      <c r="O961" s="15" t="str">
        <f t="shared" si="319"/>
        <v>A40</v>
      </c>
      <c r="P961" s="15" t="str">
        <f t="shared" si="320"/>
        <v>Romana Imports</v>
      </c>
      <c r="Q961" s="15" t="str">
        <f t="shared" si="321"/>
        <v>17 Lalla Ward Road</v>
      </c>
      <c r="R961" s="3">
        <f>OrdersTable!C961</f>
        <v>44629</v>
      </c>
      <c r="S961" s="15">
        <f>OrdersTable!E961</f>
        <v>10</v>
      </c>
      <c r="T961" s="15">
        <f t="shared" si="322"/>
        <v>14.99</v>
      </c>
      <c r="U961" s="15">
        <f t="shared" si="323"/>
        <v>20.49</v>
      </c>
      <c r="V961" s="15">
        <f t="shared" si="324"/>
        <v>24.28</v>
      </c>
      <c r="W961" s="15">
        <f>IF(MarkupType="Store Markup",ROUND(V961+V961*StoreMarkup,2),IF(MarkupType="Supplier Markup",V961+V961*SupplierMarkup,"Error at finding value"))</f>
        <v>38.24</v>
      </c>
      <c r="X961" s="32" t="str">
        <f t="shared" si="326"/>
        <v>0.00</v>
      </c>
      <c r="Y961" s="15">
        <f t="shared" si="327"/>
        <v>242.8</v>
      </c>
      <c r="Z961" s="15">
        <f t="shared" si="328"/>
        <v>382.4</v>
      </c>
      <c r="AA961" s="15">
        <f>IF(FreightType="Lethbridge-Stewart Freight ",ROUND(2.99+IF(N961&gt;0.75,(N961-0.75)*2.25,0)*S961,2),IF(MarkupType="Supplier Markup",V961+V961*SupplierMarkup,"Error at finding value"))</f>
        <v>2.99</v>
      </c>
      <c r="AB961" s="15">
        <f t="shared" si="329"/>
        <v>0</v>
      </c>
    </row>
    <row r="962" spans="1:28" x14ac:dyDescent="0.25">
      <c r="A962" s="16">
        <f>OrdersTable!A962</f>
        <v>750</v>
      </c>
      <c r="B962" s="15" t="str">
        <f t="shared" si="309"/>
        <v>Ms</v>
      </c>
      <c r="C962" s="15" t="str">
        <f t="shared" si="330"/>
        <v>Talbot</v>
      </c>
      <c r="D962" s="15" t="str">
        <f t="shared" si="310"/>
        <v>Carlie Wenderly</v>
      </c>
      <c r="E962" s="15" t="str">
        <f t="shared" si="311"/>
        <v>31 Somerville Way</v>
      </c>
      <c r="F962" s="15" t="str">
        <f t="shared" si="312"/>
        <v>Boston</v>
      </c>
      <c r="G962" s="15" t="str">
        <f t="shared" si="313"/>
        <v>SA</v>
      </c>
      <c r="H962" s="15">
        <f t="shared" si="314"/>
        <v>5607</v>
      </c>
      <c r="I962" s="15">
        <f t="shared" si="325"/>
        <v>2076</v>
      </c>
      <c r="J962" s="15">
        <f>OrdersTable!B962</f>
        <v>752</v>
      </c>
      <c r="K962" s="15" t="str">
        <f t="shared" si="315"/>
        <v>Statues and Busts</v>
      </c>
      <c r="L962" s="15" t="str">
        <f t="shared" si="316"/>
        <v>Doctor Who: Helmet: Cyberman Leader</v>
      </c>
      <c r="M962" s="15" t="str">
        <f t="shared" si="317"/>
        <v>-</v>
      </c>
      <c r="N962" s="15">
        <f t="shared" si="318"/>
        <v>2</v>
      </c>
      <c r="O962" s="15" t="str">
        <f t="shared" si="319"/>
        <v>A30</v>
      </c>
      <c r="P962" s="15" t="str">
        <f t="shared" si="320"/>
        <v>Chesterton Enterprises</v>
      </c>
      <c r="Q962" s="15" t="str">
        <f t="shared" si="321"/>
        <v>41 William Russell Road</v>
      </c>
      <c r="R962" s="3">
        <f>OrdersTable!C962</f>
        <v>44629</v>
      </c>
      <c r="S962" s="15">
        <f>OrdersTable!E962</f>
        <v>9</v>
      </c>
      <c r="T962" s="15">
        <f t="shared" si="322"/>
        <v>39.99</v>
      </c>
      <c r="U962" s="15">
        <f t="shared" si="323"/>
        <v>54.85</v>
      </c>
      <c r="V962" s="15">
        <f t="shared" si="324"/>
        <v>64.78</v>
      </c>
      <c r="W962" s="15">
        <f>IF(MarkupType="Store Markup",ROUND(V962+V962*StoreMarkup,2),IF(MarkupType="Supplier Markup",V962+V962*SupplierMarkup,"Error at finding value"))</f>
        <v>102.03</v>
      </c>
      <c r="X962" s="32">
        <f t="shared" si="326"/>
        <v>7.27</v>
      </c>
      <c r="Y962" s="15">
        <f t="shared" si="327"/>
        <v>583.02</v>
      </c>
      <c r="Z962" s="15">
        <f t="shared" si="328"/>
        <v>852.84</v>
      </c>
      <c r="AA962" s="15">
        <f>IF(FreightType="Lethbridge-Stewart Freight ",ROUND(2.99+IF(N962&gt;0.75,(N962-0.75)*2.25,0)*S962,2),IF(MarkupType="Supplier Markup",V962+V962*SupplierMarkup,"Error at finding value"))</f>
        <v>28.3</v>
      </c>
      <c r="AB962" s="15">
        <f t="shared" si="329"/>
        <v>65.430000000000007</v>
      </c>
    </row>
    <row r="963" spans="1:28" x14ac:dyDescent="0.25">
      <c r="A963" s="16">
        <f>OrdersTable!A963</f>
        <v>830</v>
      </c>
      <c r="B963" s="15" t="str">
        <f t="shared" si="309"/>
        <v>Miss</v>
      </c>
      <c r="C963" s="15" t="str">
        <f t="shared" si="330"/>
        <v>Blakeney</v>
      </c>
      <c r="D963" s="15" t="str">
        <f t="shared" si="310"/>
        <v>Hannah</v>
      </c>
      <c r="E963" s="15" t="str">
        <f t="shared" si="311"/>
        <v>31 Sproule Street</v>
      </c>
      <c r="F963" s="15" t="str">
        <f t="shared" si="312"/>
        <v>Belford</v>
      </c>
      <c r="G963" s="15" t="str">
        <f t="shared" si="313"/>
        <v>NSW</v>
      </c>
      <c r="H963" s="15">
        <f t="shared" si="314"/>
        <v>2335</v>
      </c>
      <c r="I963" s="15">
        <f t="shared" si="325"/>
        <v>716</v>
      </c>
      <c r="J963" s="15">
        <f>OrdersTable!B963</f>
        <v>331</v>
      </c>
      <c r="K963" s="15" t="str">
        <f t="shared" si="315"/>
        <v>Clothing and Apparel</v>
      </c>
      <c r="L963" s="15" t="str">
        <f t="shared" si="316"/>
        <v xml:space="preserve">Doctor Who: T-Shirts: 4th Doctor Costume </v>
      </c>
      <c r="M963" s="15" t="str">
        <f t="shared" si="317"/>
        <v>L</v>
      </c>
      <c r="N963" s="15">
        <f t="shared" si="318"/>
        <v>0.8</v>
      </c>
      <c r="O963" s="15" t="str">
        <f t="shared" si="319"/>
        <v>A20</v>
      </c>
      <c r="P963" s="15" t="str">
        <f t="shared" si="320"/>
        <v>Morbius Inc.</v>
      </c>
      <c r="Q963" s="15" t="str">
        <f t="shared" si="321"/>
        <v>56 Michael Spice Hwy</v>
      </c>
      <c r="R963" s="3">
        <f>OrdersTable!C963</f>
        <v>44629</v>
      </c>
      <c r="S963" s="15">
        <f>OrdersTable!E963</f>
        <v>5</v>
      </c>
      <c r="T963" s="15">
        <f t="shared" si="322"/>
        <v>15.99</v>
      </c>
      <c r="U963" s="15">
        <f t="shared" si="323"/>
        <v>22.08</v>
      </c>
      <c r="V963" s="15">
        <f t="shared" si="324"/>
        <v>25.9</v>
      </c>
      <c r="W963" s="15">
        <f>IF(MarkupType="Store Markup",ROUND(V963+V963*StoreMarkup,2),IF(MarkupType="Supplier Markup",V963+V963*SupplierMarkup,"Error at finding value"))</f>
        <v>40.79</v>
      </c>
      <c r="X963" s="32" t="str">
        <f t="shared" si="326"/>
        <v>0.00</v>
      </c>
      <c r="Y963" s="15">
        <f t="shared" si="327"/>
        <v>129.5</v>
      </c>
      <c r="Z963" s="15">
        <f t="shared" si="328"/>
        <v>203.95</v>
      </c>
      <c r="AA963" s="15">
        <f>IF(FreightType="Lethbridge-Stewart Freight ",ROUND(2.99+IF(N963&gt;0.75,(N963-0.75)*2.25,0)*S963,2),IF(MarkupType="Supplier Markup",V963+V963*SupplierMarkup,"Error at finding value"))</f>
        <v>3.55</v>
      </c>
      <c r="AB963" s="15">
        <f t="shared" si="329"/>
        <v>0</v>
      </c>
    </row>
    <row r="964" spans="1:28" x14ac:dyDescent="0.25">
      <c r="A964" s="16">
        <f>OrdersTable!A964</f>
        <v>906</v>
      </c>
      <c r="B964" s="15" t="str">
        <f t="shared" ref="B964:B1027" si="331">VLOOKUP($A964,Cust,2,0)</f>
        <v>Mrs</v>
      </c>
      <c r="C964" s="15" t="str">
        <f t="shared" si="330"/>
        <v>Turner</v>
      </c>
      <c r="D964" s="15" t="str">
        <f t="shared" ref="D964:D1027" si="332">VLOOKUP($A964,Cust,4,0)</f>
        <v>Courtney</v>
      </c>
      <c r="E964" s="15" t="str">
        <f t="shared" ref="E964:E1027" si="333">VLOOKUP($A964,Cust,6,0)</f>
        <v>42 Fearon Avenue</v>
      </c>
      <c r="F964" s="15" t="str">
        <f t="shared" ref="F964:F1027" si="334">VLOOKUP($A964,Cust,7,0)</f>
        <v>Breakwater</v>
      </c>
      <c r="G964" s="15" t="str">
        <f t="shared" ref="G964:G1027" si="335">VLOOKUP($A964,Cust,8,0)</f>
        <v>VIC</v>
      </c>
      <c r="H964" s="15">
        <f t="shared" ref="H964:H1027" si="336">VLOOKUP($A964,Cust,9,0)</f>
        <v>3219</v>
      </c>
      <c r="I964" s="15">
        <f t="shared" si="325"/>
        <v>1596</v>
      </c>
      <c r="J964" s="15">
        <f>OrdersTable!B964</f>
        <v>701</v>
      </c>
      <c r="K964" s="15" t="str">
        <f t="shared" ref="K964:K1027" si="337">VLOOKUP($J964,Itms,2,0)</f>
        <v>Posters, Prints and Standees</v>
      </c>
      <c r="L964" s="15" t="str">
        <f t="shared" ref="L964:L1027" si="338">VLOOKUP($J964,Itms,3,0)</f>
        <v>Doctor Who: Half Sized Standee: The TARDIS</v>
      </c>
      <c r="M964" s="15" t="str">
        <f t="shared" ref="M964:M1027" si="339">VLOOKUP($J964,Itms,4,0)</f>
        <v>-</v>
      </c>
      <c r="N964" s="15">
        <f t="shared" ref="N964:N1027" si="340">VLOOKUP($J964,Itms,5,0)</f>
        <v>0.5</v>
      </c>
      <c r="O964" s="15" t="str">
        <f t="shared" ref="O964:O1027" si="341">VLOOKUP($J964,Itms,6,0)</f>
        <v>A40</v>
      </c>
      <c r="P964" s="15" t="str">
        <f t="shared" ref="P964:P1027" si="342">VLOOKUP($O964,Supp,2,0)</f>
        <v>Romana Imports</v>
      </c>
      <c r="Q964" s="15" t="str">
        <f t="shared" ref="Q964:Q1027" si="343">VLOOKUP($O964,Supp,3,0)</f>
        <v>17 Lalla Ward Road</v>
      </c>
      <c r="R964" s="3">
        <f>OrdersTable!C964</f>
        <v>44629</v>
      </c>
      <c r="S964" s="15">
        <f>OrdersTable!E964</f>
        <v>3</v>
      </c>
      <c r="T964" s="15">
        <f t="shared" ref="T964:T1027" si="344">VLOOKUP($J964,Itms,9,0)</f>
        <v>9.99</v>
      </c>
      <c r="U964" s="15">
        <f t="shared" ref="U964:U1027" si="345">VLOOKUP($J964,Itms,10,0)</f>
        <v>13.83</v>
      </c>
      <c r="V964" s="15">
        <f t="shared" ref="V964:V1027" si="346">IF(ExchRateType="IR",ROUND(T964*ExchRateIR,2),IF(ExchRateType="CA",ROUND(U964*ExchRateCA,2),"Error at finding value"))</f>
        <v>16.18</v>
      </c>
      <c r="W964" s="15">
        <f>IF(MarkupType="Store Markup",ROUND(V964+V964*StoreMarkup,2),IF(MarkupType="Supplier Markup",V964+V964*SupplierMarkup,"Error at finding value"))</f>
        <v>25.48</v>
      </c>
      <c r="X964" s="32" t="str">
        <f t="shared" si="326"/>
        <v>0.00</v>
      </c>
      <c r="Y964" s="15">
        <f t="shared" si="327"/>
        <v>48.54</v>
      </c>
      <c r="Z964" s="15">
        <f t="shared" si="328"/>
        <v>76.44</v>
      </c>
      <c r="AA964" s="15">
        <f>IF(FreightType="Lethbridge-Stewart Freight ",ROUND(2.99+IF(N964&gt;0.75,(N964-0.75)*2.25,0)*S964,2),IF(MarkupType="Supplier Markup",V964+V964*SupplierMarkup,"Error at finding value"))</f>
        <v>2.99</v>
      </c>
      <c r="AB964" s="15">
        <f t="shared" si="329"/>
        <v>0</v>
      </c>
    </row>
    <row r="965" spans="1:28" x14ac:dyDescent="0.25">
      <c r="A965" s="16">
        <f>OrdersTable!A965</f>
        <v>923</v>
      </c>
      <c r="B965" s="15" t="str">
        <f t="shared" si="331"/>
        <v>Ms</v>
      </c>
      <c r="C965" s="15" t="str">
        <f t="shared" si="330"/>
        <v>Savage</v>
      </c>
      <c r="D965" s="15" t="str">
        <f t="shared" si="332"/>
        <v>Eliza Margaret</v>
      </c>
      <c r="E965" s="15" t="str">
        <f t="shared" si="333"/>
        <v>28 Whisson Crescent</v>
      </c>
      <c r="F965" s="15" t="str">
        <f t="shared" si="334"/>
        <v>Belconnen</v>
      </c>
      <c r="G965" s="15" t="str">
        <f t="shared" si="335"/>
        <v>ACT</v>
      </c>
      <c r="H965" s="15">
        <f t="shared" si="336"/>
        <v>2617</v>
      </c>
      <c r="I965" s="15">
        <f t="shared" ref="I965:I1028" si="347">VLOOKUP($A965,Cust,10,0)</f>
        <v>1194</v>
      </c>
      <c r="J965" s="15">
        <f>OrdersTable!B965</f>
        <v>826</v>
      </c>
      <c r="K965" s="15" t="str">
        <f t="shared" si="337"/>
        <v>Statues and Busts</v>
      </c>
      <c r="L965" s="15" t="str">
        <f t="shared" si="338"/>
        <v>Doctor Who: Mini Bust: Cyberman</v>
      </c>
      <c r="M965" s="15" t="str">
        <f t="shared" si="339"/>
        <v>-</v>
      </c>
      <c r="N965" s="15">
        <f t="shared" si="340"/>
        <v>1.8</v>
      </c>
      <c r="O965" s="15" t="str">
        <f t="shared" si="341"/>
        <v>A40</v>
      </c>
      <c r="P965" s="15" t="str">
        <f t="shared" si="342"/>
        <v>Romana Imports</v>
      </c>
      <c r="Q965" s="15" t="str">
        <f t="shared" si="343"/>
        <v>17 Lalla Ward Road</v>
      </c>
      <c r="R965" s="3">
        <f>OrdersTable!C965</f>
        <v>44629</v>
      </c>
      <c r="S965" s="15">
        <f>OrdersTable!E965</f>
        <v>6</v>
      </c>
      <c r="T965" s="15">
        <f t="shared" si="344"/>
        <v>35.99</v>
      </c>
      <c r="U965" s="15">
        <f t="shared" si="345"/>
        <v>49.13</v>
      </c>
      <c r="V965" s="15">
        <f t="shared" si="346"/>
        <v>58.3</v>
      </c>
      <c r="W965" s="15">
        <f>IF(MarkupType="Store Markup",ROUND(V965+V965*StoreMarkup,2),IF(MarkupType="Supplier Markup",V965+V965*SupplierMarkup,"Error at finding value"))</f>
        <v>91.82</v>
      </c>
      <c r="X965" s="32" t="str">
        <f t="shared" ref="X965:X1028" si="348">IF(AND(W965&gt;100,S965&gt;=3),ROUND(0.07125*W965,2),"0.00")</f>
        <v>0.00</v>
      </c>
      <c r="Y965" s="15">
        <f t="shared" ref="Y965:Y1028" si="349">ROUND(V965*S965,2)</f>
        <v>349.8</v>
      </c>
      <c r="Z965" s="15">
        <f t="shared" ref="Z965:Z1028" si="350">ROUND((W965-X965)*S965,2)</f>
        <v>550.91999999999996</v>
      </c>
      <c r="AA965" s="15">
        <f>IF(FreightType="Lethbridge-Stewart Freight ",ROUND(2.99+IF(N965&gt;0.75,(N965-0.75)*2.25,0)*S965,2),IF(MarkupType="Supplier Markup",V965+V965*SupplierMarkup,"Error at finding value"))</f>
        <v>17.170000000000002</v>
      </c>
      <c r="AB965" s="15">
        <f t="shared" ref="AB965:AB1028" si="351">ROUND(X965*S965,2)</f>
        <v>0</v>
      </c>
    </row>
    <row r="966" spans="1:28" x14ac:dyDescent="0.25">
      <c r="A966" s="16">
        <f>OrdersTable!A966</f>
        <v>42</v>
      </c>
      <c r="B966" s="15" t="str">
        <f t="shared" si="331"/>
        <v>Mr</v>
      </c>
      <c r="C966" s="15" t="str">
        <f t="shared" si="330"/>
        <v>Ballantyne</v>
      </c>
      <c r="D966" s="15" t="str">
        <f t="shared" si="332"/>
        <v>Barry John</v>
      </c>
      <c r="E966" s="15" t="str">
        <f t="shared" si="333"/>
        <v>14 Bachmann Drive</v>
      </c>
      <c r="F966" s="15" t="str">
        <f t="shared" si="334"/>
        <v>Alleena</v>
      </c>
      <c r="G966" s="15" t="str">
        <f t="shared" si="335"/>
        <v>NSW</v>
      </c>
      <c r="H966" s="15">
        <f t="shared" si="336"/>
        <v>2671</v>
      </c>
      <c r="I966" s="15">
        <f t="shared" si="347"/>
        <v>988</v>
      </c>
      <c r="J966" s="15">
        <f>OrdersTable!B966</f>
        <v>676</v>
      </c>
      <c r="K966" s="15" t="str">
        <f t="shared" si="337"/>
        <v>Mugs</v>
      </c>
      <c r="L966" s="15" t="str">
        <f t="shared" si="338"/>
        <v>Doctor Who: Mug: The Eleventh Doctor</v>
      </c>
      <c r="M966" s="15" t="str">
        <f t="shared" si="339"/>
        <v>-</v>
      </c>
      <c r="N966" s="15">
        <f t="shared" si="340"/>
        <v>0.45</v>
      </c>
      <c r="O966" s="15" t="str">
        <f t="shared" si="341"/>
        <v>A20</v>
      </c>
      <c r="P966" s="15" t="str">
        <f t="shared" si="342"/>
        <v>Morbius Inc.</v>
      </c>
      <c r="Q966" s="15" t="str">
        <f t="shared" si="343"/>
        <v>56 Michael Spice Hwy</v>
      </c>
      <c r="R966" s="3">
        <f>OrdersTable!C966</f>
        <v>44630</v>
      </c>
      <c r="S966" s="15">
        <f>OrdersTable!E966</f>
        <v>10</v>
      </c>
      <c r="T966" s="15">
        <f t="shared" si="344"/>
        <v>8.99</v>
      </c>
      <c r="U966" s="15">
        <f t="shared" si="345"/>
        <v>12.55</v>
      </c>
      <c r="V966" s="15">
        <f t="shared" si="346"/>
        <v>14.56</v>
      </c>
      <c r="W966" s="15">
        <f>IF(MarkupType="Store Markup",ROUND(V966+V966*StoreMarkup,2),IF(MarkupType="Supplier Markup",V966+V966*SupplierMarkup,"Error at finding value"))</f>
        <v>22.93</v>
      </c>
      <c r="X966" s="32" t="str">
        <f t="shared" si="348"/>
        <v>0.00</v>
      </c>
      <c r="Y966" s="15">
        <f t="shared" si="349"/>
        <v>145.6</v>
      </c>
      <c r="Z966" s="15">
        <f t="shared" si="350"/>
        <v>229.3</v>
      </c>
      <c r="AA966" s="15">
        <f>IF(FreightType="Lethbridge-Stewart Freight ",ROUND(2.99+IF(N966&gt;0.75,(N966-0.75)*2.25,0)*S966,2),IF(MarkupType="Supplier Markup",V966+V966*SupplierMarkup,"Error at finding value"))</f>
        <v>2.99</v>
      </c>
      <c r="AB966" s="15">
        <f t="shared" si="351"/>
        <v>0</v>
      </c>
    </row>
    <row r="967" spans="1:28" x14ac:dyDescent="0.25">
      <c r="A967" s="16">
        <f>OrdersTable!A967</f>
        <v>47</v>
      </c>
      <c r="B967" s="15" t="str">
        <f t="shared" si="331"/>
        <v>Dr</v>
      </c>
      <c r="C967" s="15" t="str">
        <f t="shared" si="330"/>
        <v>Kaur</v>
      </c>
      <c r="D967" s="15" t="str">
        <f t="shared" si="332"/>
        <v>Jasleen</v>
      </c>
      <c r="E967" s="15" t="str">
        <f t="shared" si="333"/>
        <v>7 Hong Road</v>
      </c>
      <c r="F967" s="15" t="str">
        <f t="shared" si="334"/>
        <v>Belconnen</v>
      </c>
      <c r="G967" s="15" t="str">
        <f t="shared" si="335"/>
        <v>ACT</v>
      </c>
      <c r="H967" s="15">
        <f t="shared" si="336"/>
        <v>2617</v>
      </c>
      <c r="I967" s="15">
        <f t="shared" si="347"/>
        <v>1194</v>
      </c>
      <c r="J967" s="15">
        <f>OrdersTable!B967</f>
        <v>239</v>
      </c>
      <c r="K967" s="15" t="str">
        <f t="shared" si="337"/>
        <v>Clothing and Apparel</v>
      </c>
      <c r="L967" s="15" t="str">
        <f t="shared" si="338"/>
        <v>Doctor Who: Men's Winter Pyjamas</v>
      </c>
      <c r="M967" s="15" t="str">
        <f t="shared" si="339"/>
        <v>L</v>
      </c>
      <c r="N967" s="15">
        <f t="shared" si="340"/>
        <v>1.5</v>
      </c>
      <c r="O967" s="15" t="str">
        <f t="shared" si="341"/>
        <v>A10</v>
      </c>
      <c r="P967" s="15" t="str">
        <f t="shared" si="342"/>
        <v>Gallifrey International</v>
      </c>
      <c r="Q967" s="15" t="str">
        <f t="shared" si="343"/>
        <v>181 Arcadia Street</v>
      </c>
      <c r="R967" s="3">
        <f>OrdersTable!C967</f>
        <v>44630</v>
      </c>
      <c r="S967" s="15">
        <f>OrdersTable!E967</f>
        <v>1</v>
      </c>
      <c r="T967" s="15">
        <f t="shared" si="344"/>
        <v>29.99</v>
      </c>
      <c r="U967" s="15">
        <f t="shared" si="345"/>
        <v>41.23</v>
      </c>
      <c r="V967" s="15">
        <f t="shared" si="346"/>
        <v>48.58</v>
      </c>
      <c r="W967" s="15">
        <f>IF(MarkupType="Store Markup",ROUND(V967+V967*StoreMarkup,2),IF(MarkupType="Supplier Markup",V967+V967*SupplierMarkup,"Error at finding value"))</f>
        <v>76.510000000000005</v>
      </c>
      <c r="X967" s="32" t="str">
        <f t="shared" si="348"/>
        <v>0.00</v>
      </c>
      <c r="Y967" s="15">
        <f t="shared" si="349"/>
        <v>48.58</v>
      </c>
      <c r="Z967" s="15">
        <f t="shared" si="350"/>
        <v>76.510000000000005</v>
      </c>
      <c r="AA967" s="15">
        <f>IF(FreightType="Lethbridge-Stewart Freight ",ROUND(2.99+IF(N967&gt;0.75,(N967-0.75)*2.25,0)*S967,2),IF(MarkupType="Supplier Markup",V967+V967*SupplierMarkup,"Error at finding value"))</f>
        <v>4.68</v>
      </c>
      <c r="AB967" s="15">
        <f t="shared" si="351"/>
        <v>0</v>
      </c>
    </row>
    <row r="968" spans="1:28" x14ac:dyDescent="0.25">
      <c r="A968" s="16">
        <f>OrdersTable!A968</f>
        <v>224</v>
      </c>
      <c r="B968" s="15" t="str">
        <f t="shared" si="331"/>
        <v>Miss</v>
      </c>
      <c r="C968" s="15" t="str">
        <f t="shared" si="330"/>
        <v>Baruwal</v>
      </c>
      <c r="D968" s="15" t="str">
        <f t="shared" si="332"/>
        <v>Pratikshya</v>
      </c>
      <c r="E968" s="15" t="str">
        <f t="shared" si="333"/>
        <v>43 Gilloway Street</v>
      </c>
      <c r="F968" s="15" t="str">
        <f t="shared" si="334"/>
        <v>Iluka</v>
      </c>
      <c r="G968" s="15" t="str">
        <f t="shared" si="335"/>
        <v>NSW</v>
      </c>
      <c r="H968" s="15">
        <f t="shared" si="336"/>
        <v>2466</v>
      </c>
      <c r="I968" s="15">
        <f t="shared" si="347"/>
        <v>347</v>
      </c>
      <c r="J968" s="15">
        <f>OrdersTable!B968</f>
        <v>464</v>
      </c>
      <c r="K968" s="15" t="str">
        <f t="shared" si="337"/>
        <v>Giftware</v>
      </c>
      <c r="L968" s="15" t="str">
        <f t="shared" si="338"/>
        <v>Doctor Who: Collectable License Plate: My Other Car Is A TARDIS</v>
      </c>
      <c r="M968" s="15" t="str">
        <f t="shared" si="339"/>
        <v>-</v>
      </c>
      <c r="N968" s="15">
        <f t="shared" si="340"/>
        <v>0.6</v>
      </c>
      <c r="O968" s="15" t="str">
        <f t="shared" si="341"/>
        <v>A50</v>
      </c>
      <c r="P968" s="15" t="str">
        <f t="shared" si="342"/>
        <v>Rassilon Ltd.</v>
      </c>
      <c r="Q968" s="15" t="str">
        <f t="shared" si="343"/>
        <v>82 Richard Mathews Road</v>
      </c>
      <c r="R968" s="3">
        <f>OrdersTable!C968</f>
        <v>44630</v>
      </c>
      <c r="S968" s="15">
        <f>OrdersTable!E968</f>
        <v>1</v>
      </c>
      <c r="T968" s="15">
        <f t="shared" si="344"/>
        <v>11.99</v>
      </c>
      <c r="U968" s="15">
        <f t="shared" si="345"/>
        <v>16.579999999999998</v>
      </c>
      <c r="V968" s="15">
        <f t="shared" si="346"/>
        <v>19.420000000000002</v>
      </c>
      <c r="W968" s="15">
        <f>IF(MarkupType="Store Markup",ROUND(V968+V968*StoreMarkup,2),IF(MarkupType="Supplier Markup",V968+V968*SupplierMarkup,"Error at finding value"))</f>
        <v>30.59</v>
      </c>
      <c r="X968" s="32" t="str">
        <f t="shared" si="348"/>
        <v>0.00</v>
      </c>
      <c r="Y968" s="15">
        <f t="shared" si="349"/>
        <v>19.420000000000002</v>
      </c>
      <c r="Z968" s="15">
        <f t="shared" si="350"/>
        <v>30.59</v>
      </c>
      <c r="AA968" s="15">
        <f>IF(FreightType="Lethbridge-Stewart Freight ",ROUND(2.99+IF(N968&gt;0.75,(N968-0.75)*2.25,0)*S968,2),IF(MarkupType="Supplier Markup",V968+V968*SupplierMarkup,"Error at finding value"))</f>
        <v>2.99</v>
      </c>
      <c r="AB968" s="15">
        <f t="shared" si="351"/>
        <v>0</v>
      </c>
    </row>
    <row r="969" spans="1:28" x14ac:dyDescent="0.25">
      <c r="A969" s="16">
        <f>OrdersTable!A969</f>
        <v>284</v>
      </c>
      <c r="B969" s="15" t="str">
        <f t="shared" si="331"/>
        <v>Mr</v>
      </c>
      <c r="C969" s="15" t="str">
        <f t="shared" si="330"/>
        <v>Aitcheson</v>
      </c>
      <c r="D969" s="15" t="str">
        <f t="shared" si="332"/>
        <v>Ben James</v>
      </c>
      <c r="E969" s="15" t="str">
        <f t="shared" si="333"/>
        <v>32 Evans Avenue</v>
      </c>
      <c r="F969" s="15" t="str">
        <f t="shared" si="334"/>
        <v>Batlow</v>
      </c>
      <c r="G969" s="15" t="str">
        <f t="shared" si="335"/>
        <v>NSW</v>
      </c>
      <c r="H969" s="15">
        <f t="shared" si="336"/>
        <v>2730</v>
      </c>
      <c r="I969" s="15">
        <f t="shared" si="347"/>
        <v>1138</v>
      </c>
      <c r="J969" s="15">
        <f>OrdersTable!B969</f>
        <v>594</v>
      </c>
      <c r="K969" s="15" t="str">
        <f t="shared" si="337"/>
        <v>iPhone Skins</v>
      </c>
      <c r="L969" s="15" t="str">
        <f t="shared" si="338"/>
        <v>Doctor Who: iPhone Skin: Keep Calm And Don't Blink</v>
      </c>
      <c r="M969" s="15" t="str">
        <f t="shared" si="339"/>
        <v>-</v>
      </c>
      <c r="N969" s="15">
        <f t="shared" si="340"/>
        <v>0.5</v>
      </c>
      <c r="O969" s="15" t="str">
        <f t="shared" si="341"/>
        <v>A20</v>
      </c>
      <c r="P969" s="15" t="str">
        <f t="shared" si="342"/>
        <v>Morbius Inc.</v>
      </c>
      <c r="Q969" s="15" t="str">
        <f t="shared" si="343"/>
        <v>56 Michael Spice Hwy</v>
      </c>
      <c r="R969" s="3">
        <f>OrdersTable!C969</f>
        <v>44630</v>
      </c>
      <c r="S969" s="15">
        <f>OrdersTable!E969</f>
        <v>10</v>
      </c>
      <c r="T969" s="15">
        <f t="shared" si="344"/>
        <v>9.99</v>
      </c>
      <c r="U969" s="15">
        <f t="shared" si="345"/>
        <v>13.88</v>
      </c>
      <c r="V969" s="15">
        <f t="shared" si="346"/>
        <v>16.18</v>
      </c>
      <c r="W969" s="15">
        <f>IF(MarkupType="Store Markup",ROUND(V969+V969*StoreMarkup,2),IF(MarkupType="Supplier Markup",V969+V969*SupplierMarkup,"Error at finding value"))</f>
        <v>25.48</v>
      </c>
      <c r="X969" s="32" t="str">
        <f t="shared" si="348"/>
        <v>0.00</v>
      </c>
      <c r="Y969" s="15">
        <f t="shared" si="349"/>
        <v>161.80000000000001</v>
      </c>
      <c r="Z969" s="15">
        <f t="shared" si="350"/>
        <v>254.8</v>
      </c>
      <c r="AA969" s="15">
        <f>IF(FreightType="Lethbridge-Stewart Freight ",ROUND(2.99+IF(N969&gt;0.75,(N969-0.75)*2.25,0)*S969,2),IF(MarkupType="Supplier Markup",V969+V969*SupplierMarkup,"Error at finding value"))</f>
        <v>2.99</v>
      </c>
      <c r="AB969" s="15">
        <f t="shared" si="351"/>
        <v>0</v>
      </c>
    </row>
    <row r="970" spans="1:28" x14ac:dyDescent="0.25">
      <c r="A970" s="16">
        <f>OrdersTable!A970</f>
        <v>285</v>
      </c>
      <c r="B970" s="15" t="str">
        <f t="shared" si="331"/>
        <v>Mr</v>
      </c>
      <c r="C970" s="15" t="str">
        <f t="shared" si="330"/>
        <v>Temple Morgan</v>
      </c>
      <c r="D970" s="15" t="str">
        <f t="shared" si="332"/>
        <v>Mathew Peter</v>
      </c>
      <c r="E970" s="15" t="str">
        <f t="shared" si="333"/>
        <v>19 Tansky Court</v>
      </c>
      <c r="F970" s="15" t="str">
        <f t="shared" si="334"/>
        <v>Belford</v>
      </c>
      <c r="G970" s="15" t="str">
        <f t="shared" si="335"/>
        <v>NSW</v>
      </c>
      <c r="H970" s="15">
        <f t="shared" si="336"/>
        <v>2335</v>
      </c>
      <c r="I970" s="15">
        <f t="shared" si="347"/>
        <v>716</v>
      </c>
      <c r="J970" s="15">
        <f>OrdersTable!B970</f>
        <v>747</v>
      </c>
      <c r="K970" s="15" t="str">
        <f t="shared" si="337"/>
        <v>Props and Replicas</v>
      </c>
      <c r="L970" s="15" t="str">
        <f t="shared" si="338"/>
        <v>Doctor Who: The Master's Fob Watch</v>
      </c>
      <c r="M970" s="15" t="str">
        <f t="shared" si="339"/>
        <v>-</v>
      </c>
      <c r="N970" s="15">
        <f t="shared" si="340"/>
        <v>2.25</v>
      </c>
      <c r="O970" s="15" t="str">
        <f t="shared" si="341"/>
        <v>A10</v>
      </c>
      <c r="P970" s="15" t="str">
        <f t="shared" si="342"/>
        <v>Gallifrey International</v>
      </c>
      <c r="Q970" s="15" t="str">
        <f t="shared" si="343"/>
        <v>181 Arcadia Street</v>
      </c>
      <c r="R970" s="3">
        <f>OrdersTable!C970</f>
        <v>44630</v>
      </c>
      <c r="S970" s="15">
        <f>OrdersTable!E970</f>
        <v>2</v>
      </c>
      <c r="T970" s="15">
        <f t="shared" si="344"/>
        <v>44.99</v>
      </c>
      <c r="U970" s="15">
        <f t="shared" si="345"/>
        <v>61.7</v>
      </c>
      <c r="V970" s="15">
        <f t="shared" si="346"/>
        <v>72.88</v>
      </c>
      <c r="W970" s="15">
        <f>IF(MarkupType="Store Markup",ROUND(V970+V970*StoreMarkup,2),IF(MarkupType="Supplier Markup",V970+V970*SupplierMarkup,"Error at finding value"))</f>
        <v>114.79</v>
      </c>
      <c r="X970" s="32" t="str">
        <f t="shared" si="348"/>
        <v>0.00</v>
      </c>
      <c r="Y970" s="15">
        <f t="shared" si="349"/>
        <v>145.76</v>
      </c>
      <c r="Z970" s="15">
        <f t="shared" si="350"/>
        <v>229.58</v>
      </c>
      <c r="AA970" s="15">
        <f>IF(FreightType="Lethbridge-Stewart Freight ",ROUND(2.99+IF(N970&gt;0.75,(N970-0.75)*2.25,0)*S970,2),IF(MarkupType="Supplier Markup",V970+V970*SupplierMarkup,"Error at finding value"))</f>
        <v>9.74</v>
      </c>
      <c r="AB970" s="15">
        <f t="shared" si="351"/>
        <v>0</v>
      </c>
    </row>
    <row r="971" spans="1:28" x14ac:dyDescent="0.25">
      <c r="A971" s="16">
        <f>OrdersTable!A971</f>
        <v>308</v>
      </c>
      <c r="B971" s="15" t="str">
        <f t="shared" si="331"/>
        <v>Dr</v>
      </c>
      <c r="C971" s="15" t="str">
        <f t="shared" ref="C971:C1034" si="352">VLOOKUP($A971,Cust,3,0)</f>
        <v>Azar</v>
      </c>
      <c r="D971" s="15" t="str">
        <f t="shared" si="332"/>
        <v>Mariam</v>
      </c>
      <c r="E971" s="15" t="str">
        <f t="shared" si="333"/>
        <v>26 Osmond Road</v>
      </c>
      <c r="F971" s="15" t="str">
        <f t="shared" si="334"/>
        <v>Boston</v>
      </c>
      <c r="G971" s="15" t="str">
        <f t="shared" si="335"/>
        <v>SA</v>
      </c>
      <c r="H971" s="15">
        <f t="shared" si="336"/>
        <v>5607</v>
      </c>
      <c r="I971" s="15">
        <f t="shared" si="347"/>
        <v>2076</v>
      </c>
      <c r="J971" s="15">
        <f>OrdersTable!B971</f>
        <v>177</v>
      </c>
      <c r="K971" s="15" t="str">
        <f t="shared" si="337"/>
        <v>Bobbleheads</v>
      </c>
      <c r="L971" s="15" t="str">
        <f t="shared" si="338"/>
        <v>Doctor Who: Bobblehead: TARDIS (With Sound)</v>
      </c>
      <c r="M971" s="15" t="str">
        <f t="shared" si="339"/>
        <v>-</v>
      </c>
      <c r="N971" s="15">
        <f t="shared" si="340"/>
        <v>1</v>
      </c>
      <c r="O971" s="15" t="str">
        <f t="shared" si="341"/>
        <v>A30</v>
      </c>
      <c r="P971" s="15" t="str">
        <f t="shared" si="342"/>
        <v>Chesterton Enterprises</v>
      </c>
      <c r="Q971" s="15" t="str">
        <f t="shared" si="343"/>
        <v>41 William Russell Road</v>
      </c>
      <c r="R971" s="3">
        <f>OrdersTable!C971</f>
        <v>44630</v>
      </c>
      <c r="S971" s="15">
        <f>OrdersTable!E971</f>
        <v>3</v>
      </c>
      <c r="T971" s="15">
        <f t="shared" si="344"/>
        <v>19.989999999999998</v>
      </c>
      <c r="U971" s="15">
        <f t="shared" si="345"/>
        <v>27.6</v>
      </c>
      <c r="V971" s="15">
        <f t="shared" si="346"/>
        <v>32.380000000000003</v>
      </c>
      <c r="W971" s="15">
        <f>IF(MarkupType="Store Markup",ROUND(V971+V971*StoreMarkup,2),IF(MarkupType="Supplier Markup",V971+V971*SupplierMarkup,"Error at finding value"))</f>
        <v>51</v>
      </c>
      <c r="X971" s="32" t="str">
        <f t="shared" si="348"/>
        <v>0.00</v>
      </c>
      <c r="Y971" s="15">
        <f t="shared" si="349"/>
        <v>97.14</v>
      </c>
      <c r="Z971" s="15">
        <f t="shared" si="350"/>
        <v>153</v>
      </c>
      <c r="AA971" s="15">
        <f>IF(FreightType="Lethbridge-Stewart Freight ",ROUND(2.99+IF(N971&gt;0.75,(N971-0.75)*2.25,0)*S971,2),IF(MarkupType="Supplier Markup",V971+V971*SupplierMarkup,"Error at finding value"))</f>
        <v>4.68</v>
      </c>
      <c r="AB971" s="15">
        <f t="shared" si="351"/>
        <v>0</v>
      </c>
    </row>
    <row r="972" spans="1:28" x14ac:dyDescent="0.25">
      <c r="A972" s="16">
        <f>OrdersTable!A972</f>
        <v>328</v>
      </c>
      <c r="B972" s="15" t="str">
        <f t="shared" si="331"/>
        <v>Dr</v>
      </c>
      <c r="C972" s="15" t="str">
        <f t="shared" si="352"/>
        <v>Ward</v>
      </c>
      <c r="D972" s="15" t="str">
        <f t="shared" si="332"/>
        <v>Keiren Nicholas</v>
      </c>
      <c r="E972" s="15" t="str">
        <f t="shared" si="333"/>
        <v>13 Green Crescent</v>
      </c>
      <c r="F972" s="15" t="str">
        <f t="shared" si="334"/>
        <v>Breakwater</v>
      </c>
      <c r="G972" s="15" t="str">
        <f t="shared" si="335"/>
        <v>VIC</v>
      </c>
      <c r="H972" s="15">
        <f t="shared" si="336"/>
        <v>3219</v>
      </c>
      <c r="I972" s="15">
        <f t="shared" si="347"/>
        <v>1596</v>
      </c>
      <c r="J972" s="15">
        <f>OrdersTable!B972</f>
        <v>689</v>
      </c>
      <c r="K972" s="15" t="str">
        <f t="shared" si="337"/>
        <v>Posters, Prints and Standees</v>
      </c>
      <c r="L972" s="15" t="str">
        <f t="shared" si="338"/>
        <v>Doctor Who: 16'x12' Framed Print: Cold War</v>
      </c>
      <c r="M972" s="15" t="str">
        <f t="shared" si="339"/>
        <v>-</v>
      </c>
      <c r="N972" s="15">
        <f t="shared" si="340"/>
        <v>0.75</v>
      </c>
      <c r="O972" s="15" t="str">
        <f t="shared" si="341"/>
        <v>A50</v>
      </c>
      <c r="P972" s="15" t="str">
        <f t="shared" si="342"/>
        <v>Rassilon Ltd.</v>
      </c>
      <c r="Q972" s="15" t="str">
        <f t="shared" si="343"/>
        <v>82 Richard Mathews Road</v>
      </c>
      <c r="R972" s="3">
        <f>OrdersTable!C972</f>
        <v>44630</v>
      </c>
      <c r="S972" s="15">
        <f>OrdersTable!E972</f>
        <v>2</v>
      </c>
      <c r="T972" s="15">
        <f t="shared" si="344"/>
        <v>14.99</v>
      </c>
      <c r="U972" s="15">
        <f t="shared" si="345"/>
        <v>20.77</v>
      </c>
      <c r="V972" s="15">
        <f t="shared" si="346"/>
        <v>24.28</v>
      </c>
      <c r="W972" s="15">
        <f>IF(MarkupType="Store Markup",ROUND(V972+V972*StoreMarkup,2),IF(MarkupType="Supplier Markup",V972+V972*SupplierMarkup,"Error at finding value"))</f>
        <v>38.24</v>
      </c>
      <c r="X972" s="32" t="str">
        <f t="shared" si="348"/>
        <v>0.00</v>
      </c>
      <c r="Y972" s="15">
        <f t="shared" si="349"/>
        <v>48.56</v>
      </c>
      <c r="Z972" s="15">
        <f t="shared" si="350"/>
        <v>76.48</v>
      </c>
      <c r="AA972" s="15">
        <f>IF(FreightType="Lethbridge-Stewart Freight ",ROUND(2.99+IF(N972&gt;0.75,(N972-0.75)*2.25,0)*S972,2),IF(MarkupType="Supplier Markup",V972+V972*SupplierMarkup,"Error at finding value"))</f>
        <v>2.99</v>
      </c>
      <c r="AB972" s="15">
        <f t="shared" si="351"/>
        <v>0</v>
      </c>
    </row>
    <row r="973" spans="1:28" x14ac:dyDescent="0.25">
      <c r="A973" s="16">
        <f>OrdersTable!A973</f>
        <v>338</v>
      </c>
      <c r="B973" s="15" t="str">
        <f t="shared" si="331"/>
        <v>Miss</v>
      </c>
      <c r="C973" s="15" t="str">
        <f t="shared" si="352"/>
        <v>Pellegrino</v>
      </c>
      <c r="D973" s="15" t="str">
        <f t="shared" si="332"/>
        <v>Samantha</v>
      </c>
      <c r="E973" s="15" t="str">
        <f t="shared" si="333"/>
        <v>38 McKeown Street</v>
      </c>
      <c r="F973" s="15" t="str">
        <f t="shared" si="334"/>
        <v>Avon Plains</v>
      </c>
      <c r="G973" s="15" t="str">
        <f t="shared" si="335"/>
        <v>VIC</v>
      </c>
      <c r="H973" s="15">
        <f t="shared" si="336"/>
        <v>3477</v>
      </c>
      <c r="I973" s="15">
        <f t="shared" si="347"/>
        <v>1565</v>
      </c>
      <c r="J973" s="15">
        <f>OrdersTable!B973</f>
        <v>395</v>
      </c>
      <c r="K973" s="15" t="str">
        <f t="shared" si="337"/>
        <v>Clothing and Apparel</v>
      </c>
      <c r="L973" s="15" t="str">
        <f t="shared" si="338"/>
        <v xml:space="preserve">Doctor Who: T-Shirts: 7th Doctor Costume </v>
      </c>
      <c r="M973" s="15" t="str">
        <f t="shared" si="339"/>
        <v>L</v>
      </c>
      <c r="N973" s="15">
        <f t="shared" si="340"/>
        <v>0.8</v>
      </c>
      <c r="O973" s="15" t="str">
        <f t="shared" si="341"/>
        <v>A10</v>
      </c>
      <c r="P973" s="15" t="str">
        <f t="shared" si="342"/>
        <v>Gallifrey International</v>
      </c>
      <c r="Q973" s="15" t="str">
        <f t="shared" si="343"/>
        <v>181 Arcadia Street</v>
      </c>
      <c r="R973" s="3">
        <f>OrdersTable!C973</f>
        <v>44630</v>
      </c>
      <c r="S973" s="15">
        <f>OrdersTable!E973</f>
        <v>4</v>
      </c>
      <c r="T973" s="15">
        <f t="shared" si="344"/>
        <v>15.99</v>
      </c>
      <c r="U973" s="15">
        <f t="shared" si="345"/>
        <v>22.07</v>
      </c>
      <c r="V973" s="15">
        <f t="shared" si="346"/>
        <v>25.9</v>
      </c>
      <c r="W973" s="15">
        <f>IF(MarkupType="Store Markup",ROUND(V973+V973*StoreMarkup,2),IF(MarkupType="Supplier Markup",V973+V973*SupplierMarkup,"Error at finding value"))</f>
        <v>40.79</v>
      </c>
      <c r="X973" s="32" t="str">
        <f t="shared" si="348"/>
        <v>0.00</v>
      </c>
      <c r="Y973" s="15">
        <f t="shared" si="349"/>
        <v>103.6</v>
      </c>
      <c r="Z973" s="15">
        <f t="shared" si="350"/>
        <v>163.16</v>
      </c>
      <c r="AA973" s="15">
        <f>IF(FreightType="Lethbridge-Stewart Freight ",ROUND(2.99+IF(N973&gt;0.75,(N973-0.75)*2.25,0)*S973,2),IF(MarkupType="Supplier Markup",V973+V973*SupplierMarkup,"Error at finding value"))</f>
        <v>3.44</v>
      </c>
      <c r="AB973" s="15">
        <f t="shared" si="351"/>
        <v>0</v>
      </c>
    </row>
    <row r="974" spans="1:28" x14ac:dyDescent="0.25">
      <c r="A974" s="16">
        <f>OrdersTable!A974</f>
        <v>500</v>
      </c>
      <c r="B974" s="15" t="str">
        <f t="shared" si="331"/>
        <v>Ms</v>
      </c>
      <c r="C974" s="15" t="str">
        <f t="shared" si="352"/>
        <v>Helmers</v>
      </c>
      <c r="D974" s="15" t="str">
        <f t="shared" si="332"/>
        <v>Kristy-Lee</v>
      </c>
      <c r="E974" s="15" t="str">
        <f t="shared" si="333"/>
        <v>43 Welthagen Court</v>
      </c>
      <c r="F974" s="15" t="str">
        <f t="shared" si="334"/>
        <v>Areegra</v>
      </c>
      <c r="G974" s="15" t="str">
        <f t="shared" si="335"/>
        <v>VIC</v>
      </c>
      <c r="H974" s="15">
        <f t="shared" si="336"/>
        <v>3480</v>
      </c>
      <c r="I974" s="15">
        <f t="shared" si="347"/>
        <v>1559</v>
      </c>
      <c r="J974" s="15">
        <f>OrdersTable!B974</f>
        <v>711</v>
      </c>
      <c r="K974" s="15" t="str">
        <f t="shared" si="337"/>
        <v>Posters, Prints and Standees</v>
      </c>
      <c r="L974" s="15" t="str">
        <f t="shared" si="338"/>
        <v>Doctor Who: Poster: TARDIS Door Poster</v>
      </c>
      <c r="M974" s="15" t="str">
        <f t="shared" si="339"/>
        <v>-</v>
      </c>
      <c r="N974" s="15">
        <f t="shared" si="340"/>
        <v>0.3</v>
      </c>
      <c r="O974" s="15" t="str">
        <f t="shared" si="341"/>
        <v>A20</v>
      </c>
      <c r="P974" s="15" t="str">
        <f t="shared" si="342"/>
        <v>Morbius Inc.</v>
      </c>
      <c r="Q974" s="15" t="str">
        <f t="shared" si="343"/>
        <v>56 Michael Spice Hwy</v>
      </c>
      <c r="R974" s="3">
        <f>OrdersTable!C974</f>
        <v>44630</v>
      </c>
      <c r="S974" s="15">
        <f>OrdersTable!E974</f>
        <v>1</v>
      </c>
      <c r="T974" s="15">
        <f t="shared" si="344"/>
        <v>5.99</v>
      </c>
      <c r="U974" s="15">
        <f t="shared" si="345"/>
        <v>8.41</v>
      </c>
      <c r="V974" s="15">
        <f t="shared" si="346"/>
        <v>9.6999999999999993</v>
      </c>
      <c r="W974" s="15">
        <f>IF(MarkupType="Store Markup",ROUND(V974+V974*StoreMarkup,2),IF(MarkupType="Supplier Markup",V974+V974*SupplierMarkup,"Error at finding value"))</f>
        <v>15.28</v>
      </c>
      <c r="X974" s="32" t="str">
        <f t="shared" si="348"/>
        <v>0.00</v>
      </c>
      <c r="Y974" s="15">
        <f t="shared" si="349"/>
        <v>9.6999999999999993</v>
      </c>
      <c r="Z974" s="15">
        <f t="shared" si="350"/>
        <v>15.28</v>
      </c>
      <c r="AA974" s="15">
        <f>IF(FreightType="Lethbridge-Stewart Freight ",ROUND(2.99+IF(N974&gt;0.75,(N974-0.75)*2.25,0)*S974,2),IF(MarkupType="Supplier Markup",V974+V974*SupplierMarkup,"Error at finding value"))</f>
        <v>2.99</v>
      </c>
      <c r="AB974" s="15">
        <f t="shared" si="351"/>
        <v>0</v>
      </c>
    </row>
    <row r="975" spans="1:28" x14ac:dyDescent="0.25">
      <c r="A975" s="16">
        <f>OrdersTable!A975</f>
        <v>501</v>
      </c>
      <c r="B975" s="15" t="str">
        <f t="shared" si="331"/>
        <v>Miss</v>
      </c>
      <c r="C975" s="15" t="str">
        <f t="shared" si="352"/>
        <v>Tharenou</v>
      </c>
      <c r="D975" s="15" t="str">
        <f t="shared" si="332"/>
        <v>Kimberley Jacinta</v>
      </c>
      <c r="E975" s="15" t="str">
        <f t="shared" si="333"/>
        <v>49 Moncada Circuit</v>
      </c>
      <c r="F975" s="15" t="str">
        <f t="shared" si="334"/>
        <v>Belford</v>
      </c>
      <c r="G975" s="15" t="str">
        <f t="shared" si="335"/>
        <v>NSW</v>
      </c>
      <c r="H975" s="15">
        <f t="shared" si="336"/>
        <v>2335</v>
      </c>
      <c r="I975" s="15">
        <f t="shared" si="347"/>
        <v>716</v>
      </c>
      <c r="J975" s="15">
        <f>OrdersTable!B975</f>
        <v>792</v>
      </c>
      <c r="K975" s="15" t="str">
        <f t="shared" si="337"/>
        <v>Statues and Busts</v>
      </c>
      <c r="L975" s="15" t="str">
        <f t="shared" si="338"/>
        <v>Doctor Who: Masterpiece Collection Maxi Bust: 3rd Doctor</v>
      </c>
      <c r="M975" s="15" t="str">
        <f t="shared" si="339"/>
        <v>-</v>
      </c>
      <c r="N975" s="15">
        <f t="shared" si="340"/>
        <v>2.5</v>
      </c>
      <c r="O975" s="15" t="str">
        <f t="shared" si="341"/>
        <v>A20</v>
      </c>
      <c r="P975" s="15" t="str">
        <f t="shared" si="342"/>
        <v>Morbius Inc.</v>
      </c>
      <c r="Q975" s="15" t="str">
        <f t="shared" si="343"/>
        <v>56 Michael Spice Hwy</v>
      </c>
      <c r="R975" s="3">
        <f>OrdersTable!C975</f>
        <v>44630</v>
      </c>
      <c r="S975" s="15">
        <f>OrdersTable!E975</f>
        <v>8</v>
      </c>
      <c r="T975" s="15">
        <f t="shared" si="344"/>
        <v>49.99</v>
      </c>
      <c r="U975" s="15">
        <f t="shared" si="345"/>
        <v>68.39</v>
      </c>
      <c r="V975" s="15">
        <f t="shared" si="346"/>
        <v>80.98</v>
      </c>
      <c r="W975" s="15">
        <f>IF(MarkupType="Store Markup",ROUND(V975+V975*StoreMarkup,2),IF(MarkupType="Supplier Markup",V975+V975*SupplierMarkup,"Error at finding value"))</f>
        <v>127.54</v>
      </c>
      <c r="X975" s="32">
        <f t="shared" si="348"/>
        <v>9.09</v>
      </c>
      <c r="Y975" s="15">
        <f t="shared" si="349"/>
        <v>647.84</v>
      </c>
      <c r="Z975" s="15">
        <f t="shared" si="350"/>
        <v>947.6</v>
      </c>
      <c r="AA975" s="15">
        <f>IF(FreightType="Lethbridge-Stewart Freight ",ROUND(2.99+IF(N975&gt;0.75,(N975-0.75)*2.25,0)*S975,2),IF(MarkupType="Supplier Markup",V975+V975*SupplierMarkup,"Error at finding value"))</f>
        <v>34.49</v>
      </c>
      <c r="AB975" s="15">
        <f t="shared" si="351"/>
        <v>72.72</v>
      </c>
    </row>
    <row r="976" spans="1:28" x14ac:dyDescent="0.25">
      <c r="A976" s="16">
        <f>OrdersTable!A976</f>
        <v>651</v>
      </c>
      <c r="B976" s="15" t="str">
        <f t="shared" si="331"/>
        <v>Mr</v>
      </c>
      <c r="C976" s="15" t="str">
        <f t="shared" si="352"/>
        <v>Wilkes</v>
      </c>
      <c r="D976" s="15" t="str">
        <f t="shared" si="332"/>
        <v>Harley</v>
      </c>
      <c r="E976" s="15" t="str">
        <f t="shared" si="333"/>
        <v>12 Locke Circuit</v>
      </c>
      <c r="F976" s="15" t="str">
        <f t="shared" si="334"/>
        <v>Bray Park</v>
      </c>
      <c r="G976" s="15" t="str">
        <f t="shared" si="335"/>
        <v>QLD</v>
      </c>
      <c r="H976" s="15">
        <f t="shared" si="336"/>
        <v>4500</v>
      </c>
      <c r="I976" s="15">
        <f t="shared" si="347"/>
        <v>139</v>
      </c>
      <c r="J976" s="15">
        <f>OrdersTable!B976</f>
        <v>377</v>
      </c>
      <c r="K976" s="15" t="str">
        <f t="shared" si="337"/>
        <v>Clothing and Apparel</v>
      </c>
      <c r="L976" s="15" t="str">
        <f t="shared" si="338"/>
        <v xml:space="preserve">Doctor Who: T-Shirts: 7th Doctor Costume </v>
      </c>
      <c r="M976" s="15" t="str">
        <f t="shared" si="339"/>
        <v>M</v>
      </c>
      <c r="N976" s="15">
        <f t="shared" si="340"/>
        <v>0.8</v>
      </c>
      <c r="O976" s="15" t="str">
        <f t="shared" si="341"/>
        <v>A40</v>
      </c>
      <c r="P976" s="15" t="str">
        <f t="shared" si="342"/>
        <v>Romana Imports</v>
      </c>
      <c r="Q976" s="15" t="str">
        <f t="shared" si="343"/>
        <v>17 Lalla Ward Road</v>
      </c>
      <c r="R976" s="3">
        <f>OrdersTable!C976</f>
        <v>44630</v>
      </c>
      <c r="S976" s="15">
        <f>OrdersTable!E976</f>
        <v>7</v>
      </c>
      <c r="T976" s="15">
        <f t="shared" si="344"/>
        <v>15.99</v>
      </c>
      <c r="U976" s="15">
        <f t="shared" si="345"/>
        <v>21.95</v>
      </c>
      <c r="V976" s="15">
        <f t="shared" si="346"/>
        <v>25.9</v>
      </c>
      <c r="W976" s="15">
        <f>IF(MarkupType="Store Markup",ROUND(V976+V976*StoreMarkup,2),IF(MarkupType="Supplier Markup",V976+V976*SupplierMarkup,"Error at finding value"))</f>
        <v>40.79</v>
      </c>
      <c r="X976" s="32" t="str">
        <f t="shared" si="348"/>
        <v>0.00</v>
      </c>
      <c r="Y976" s="15">
        <f t="shared" si="349"/>
        <v>181.3</v>
      </c>
      <c r="Z976" s="15">
        <f t="shared" si="350"/>
        <v>285.52999999999997</v>
      </c>
      <c r="AA976" s="15">
        <f>IF(FreightType="Lethbridge-Stewart Freight ",ROUND(2.99+IF(N976&gt;0.75,(N976-0.75)*2.25,0)*S976,2),IF(MarkupType="Supplier Markup",V976+V976*SupplierMarkup,"Error at finding value"))</f>
        <v>3.78</v>
      </c>
      <c r="AB976" s="15">
        <f t="shared" si="351"/>
        <v>0</v>
      </c>
    </row>
    <row r="977" spans="1:28" x14ac:dyDescent="0.25">
      <c r="A977" s="16">
        <f>OrdersTable!A977</f>
        <v>657</v>
      </c>
      <c r="B977" s="15" t="str">
        <f t="shared" si="331"/>
        <v>Mr</v>
      </c>
      <c r="C977" s="15" t="str">
        <f t="shared" si="352"/>
        <v>Poljak</v>
      </c>
      <c r="D977" s="15" t="str">
        <f t="shared" si="332"/>
        <v>Anthony</v>
      </c>
      <c r="E977" s="15" t="str">
        <f t="shared" si="333"/>
        <v>45 Robertson Boulevard</v>
      </c>
      <c r="F977" s="15" t="str">
        <f t="shared" si="334"/>
        <v>Iluka</v>
      </c>
      <c r="G977" s="15" t="str">
        <f t="shared" si="335"/>
        <v>NSW</v>
      </c>
      <c r="H977" s="15">
        <f t="shared" si="336"/>
        <v>2466</v>
      </c>
      <c r="I977" s="15">
        <f t="shared" si="347"/>
        <v>347</v>
      </c>
      <c r="J977" s="15">
        <f>OrdersTable!B977</f>
        <v>594</v>
      </c>
      <c r="K977" s="15" t="str">
        <f t="shared" si="337"/>
        <v>iPhone Skins</v>
      </c>
      <c r="L977" s="15" t="str">
        <f t="shared" si="338"/>
        <v>Doctor Who: iPhone Skin: Keep Calm And Don't Blink</v>
      </c>
      <c r="M977" s="15" t="str">
        <f t="shared" si="339"/>
        <v>-</v>
      </c>
      <c r="N977" s="15">
        <f t="shared" si="340"/>
        <v>0.5</v>
      </c>
      <c r="O977" s="15" t="str">
        <f t="shared" si="341"/>
        <v>A20</v>
      </c>
      <c r="P977" s="15" t="str">
        <f t="shared" si="342"/>
        <v>Morbius Inc.</v>
      </c>
      <c r="Q977" s="15" t="str">
        <f t="shared" si="343"/>
        <v>56 Michael Spice Hwy</v>
      </c>
      <c r="R977" s="3">
        <f>OrdersTable!C977</f>
        <v>44630</v>
      </c>
      <c r="S977" s="15">
        <f>OrdersTable!E977</f>
        <v>5</v>
      </c>
      <c r="T977" s="15">
        <f t="shared" si="344"/>
        <v>9.99</v>
      </c>
      <c r="U977" s="15">
        <f t="shared" si="345"/>
        <v>13.88</v>
      </c>
      <c r="V977" s="15">
        <f t="shared" si="346"/>
        <v>16.18</v>
      </c>
      <c r="W977" s="15">
        <f>IF(MarkupType="Store Markup",ROUND(V977+V977*StoreMarkup,2),IF(MarkupType="Supplier Markup",V977+V977*SupplierMarkup,"Error at finding value"))</f>
        <v>25.48</v>
      </c>
      <c r="X977" s="32" t="str">
        <f t="shared" si="348"/>
        <v>0.00</v>
      </c>
      <c r="Y977" s="15">
        <f t="shared" si="349"/>
        <v>80.900000000000006</v>
      </c>
      <c r="Z977" s="15">
        <f t="shared" si="350"/>
        <v>127.4</v>
      </c>
      <c r="AA977" s="15">
        <f>IF(FreightType="Lethbridge-Stewart Freight ",ROUND(2.99+IF(N977&gt;0.75,(N977-0.75)*2.25,0)*S977,2),IF(MarkupType="Supplier Markup",V977+V977*SupplierMarkup,"Error at finding value"))</f>
        <v>2.99</v>
      </c>
      <c r="AB977" s="15">
        <f t="shared" si="351"/>
        <v>0</v>
      </c>
    </row>
    <row r="978" spans="1:28" x14ac:dyDescent="0.25">
      <c r="A978" s="16">
        <f>OrdersTable!A978</f>
        <v>771</v>
      </c>
      <c r="B978" s="15" t="str">
        <f t="shared" si="331"/>
        <v>Dr</v>
      </c>
      <c r="C978" s="15" t="str">
        <f t="shared" si="352"/>
        <v>Virk</v>
      </c>
      <c r="D978" s="15" t="str">
        <f t="shared" si="332"/>
        <v>Balraj Singh</v>
      </c>
      <c r="E978" s="15" t="str">
        <f t="shared" si="333"/>
        <v>39 Napanje Drive</v>
      </c>
      <c r="F978" s="15" t="str">
        <f t="shared" si="334"/>
        <v>Abington</v>
      </c>
      <c r="G978" s="15" t="str">
        <f t="shared" si="335"/>
        <v>QLD</v>
      </c>
      <c r="H978" s="15">
        <f t="shared" si="336"/>
        <v>4660</v>
      </c>
      <c r="I978" s="15">
        <f t="shared" si="347"/>
        <v>336</v>
      </c>
      <c r="J978" s="15">
        <f>OrdersTable!B978</f>
        <v>817</v>
      </c>
      <c r="K978" s="15" t="str">
        <f t="shared" si="337"/>
        <v>Statues and Busts</v>
      </c>
      <c r="L978" s="15" t="str">
        <f t="shared" si="338"/>
        <v>Doctor Who: Masterpiece Collection Maxi Bust: Torchwood Captain Jack Harkness</v>
      </c>
      <c r="M978" s="15" t="str">
        <f t="shared" si="339"/>
        <v>-</v>
      </c>
      <c r="N978" s="15">
        <f t="shared" si="340"/>
        <v>2.5</v>
      </c>
      <c r="O978" s="15" t="str">
        <f t="shared" si="341"/>
        <v>A10</v>
      </c>
      <c r="P978" s="15" t="str">
        <f t="shared" si="342"/>
        <v>Gallifrey International</v>
      </c>
      <c r="Q978" s="15" t="str">
        <f t="shared" si="343"/>
        <v>181 Arcadia Street</v>
      </c>
      <c r="R978" s="3">
        <f>OrdersTable!C978</f>
        <v>44630</v>
      </c>
      <c r="S978" s="15">
        <f>OrdersTable!E978</f>
        <v>6</v>
      </c>
      <c r="T978" s="15">
        <f t="shared" si="344"/>
        <v>49.99</v>
      </c>
      <c r="U978" s="15">
        <f t="shared" si="345"/>
        <v>68.44</v>
      </c>
      <c r="V978" s="15">
        <f t="shared" si="346"/>
        <v>80.98</v>
      </c>
      <c r="W978" s="15">
        <f>IF(MarkupType="Store Markup",ROUND(V978+V978*StoreMarkup,2),IF(MarkupType="Supplier Markup",V978+V978*SupplierMarkup,"Error at finding value"))</f>
        <v>127.54</v>
      </c>
      <c r="X978" s="32">
        <f t="shared" si="348"/>
        <v>9.09</v>
      </c>
      <c r="Y978" s="15">
        <f t="shared" si="349"/>
        <v>485.88</v>
      </c>
      <c r="Z978" s="15">
        <f t="shared" si="350"/>
        <v>710.7</v>
      </c>
      <c r="AA978" s="15">
        <f>IF(FreightType="Lethbridge-Stewart Freight ",ROUND(2.99+IF(N978&gt;0.75,(N978-0.75)*2.25,0)*S978,2),IF(MarkupType="Supplier Markup",V978+V978*SupplierMarkup,"Error at finding value"))</f>
        <v>26.62</v>
      </c>
      <c r="AB978" s="15">
        <f t="shared" si="351"/>
        <v>54.54</v>
      </c>
    </row>
    <row r="979" spans="1:28" x14ac:dyDescent="0.25">
      <c r="A979" s="16">
        <f>OrdersTable!A979</f>
        <v>22</v>
      </c>
      <c r="B979" s="15" t="str">
        <f t="shared" si="331"/>
        <v>Mr</v>
      </c>
      <c r="C979" s="15" t="str">
        <f t="shared" si="352"/>
        <v>Tyrrell</v>
      </c>
      <c r="D979" s="15" t="str">
        <f t="shared" si="332"/>
        <v>Timothy James</v>
      </c>
      <c r="E979" s="15" t="str">
        <f t="shared" si="333"/>
        <v>48 Lambourne Crescent</v>
      </c>
      <c r="F979" s="15" t="str">
        <f t="shared" si="334"/>
        <v>Belford</v>
      </c>
      <c r="G979" s="15" t="str">
        <f t="shared" si="335"/>
        <v>NSW</v>
      </c>
      <c r="H979" s="15">
        <f t="shared" si="336"/>
        <v>2335</v>
      </c>
      <c r="I979" s="15">
        <f t="shared" si="347"/>
        <v>716</v>
      </c>
      <c r="J979" s="15">
        <f>OrdersTable!B979</f>
        <v>719</v>
      </c>
      <c r="K979" s="15" t="str">
        <f t="shared" si="337"/>
        <v>Posters, Prints and Standees</v>
      </c>
      <c r="L979" s="15" t="str">
        <f t="shared" si="338"/>
        <v>Doctor Who: Standee: Supreme Dalek</v>
      </c>
      <c r="M979" s="15" t="str">
        <f t="shared" si="339"/>
        <v>-</v>
      </c>
      <c r="N979" s="15">
        <f t="shared" si="340"/>
        <v>1.125</v>
      </c>
      <c r="O979" s="15" t="str">
        <f t="shared" si="341"/>
        <v>A50</v>
      </c>
      <c r="P979" s="15" t="str">
        <f t="shared" si="342"/>
        <v>Rassilon Ltd.</v>
      </c>
      <c r="Q979" s="15" t="str">
        <f t="shared" si="343"/>
        <v>82 Richard Mathews Road</v>
      </c>
      <c r="R979" s="3">
        <f>OrdersTable!C979</f>
        <v>44631</v>
      </c>
      <c r="S979" s="15">
        <f>OrdersTable!E979</f>
        <v>2</v>
      </c>
      <c r="T979" s="15">
        <f t="shared" si="344"/>
        <v>22.49</v>
      </c>
      <c r="U979" s="15">
        <f t="shared" si="345"/>
        <v>30.76</v>
      </c>
      <c r="V979" s="15">
        <f t="shared" si="346"/>
        <v>36.43</v>
      </c>
      <c r="W979" s="15">
        <f>IF(MarkupType="Store Markup",ROUND(V979+V979*StoreMarkup,2),IF(MarkupType="Supplier Markup",V979+V979*SupplierMarkup,"Error at finding value"))</f>
        <v>57.38</v>
      </c>
      <c r="X979" s="32" t="str">
        <f t="shared" si="348"/>
        <v>0.00</v>
      </c>
      <c r="Y979" s="15">
        <f t="shared" si="349"/>
        <v>72.86</v>
      </c>
      <c r="Z979" s="15">
        <f t="shared" si="350"/>
        <v>114.76</v>
      </c>
      <c r="AA979" s="15">
        <f>IF(FreightType="Lethbridge-Stewart Freight ",ROUND(2.99+IF(N979&gt;0.75,(N979-0.75)*2.25,0)*S979,2),IF(MarkupType="Supplier Markup",V979+V979*SupplierMarkup,"Error at finding value"))</f>
        <v>4.68</v>
      </c>
      <c r="AB979" s="15">
        <f t="shared" si="351"/>
        <v>0</v>
      </c>
    </row>
    <row r="980" spans="1:28" x14ac:dyDescent="0.25">
      <c r="A980" s="16">
        <f>OrdersTable!A980</f>
        <v>329</v>
      </c>
      <c r="B980" s="15" t="str">
        <f t="shared" si="331"/>
        <v>Ms</v>
      </c>
      <c r="C980" s="15" t="str">
        <f t="shared" si="352"/>
        <v>Hubbard</v>
      </c>
      <c r="D980" s="15" t="str">
        <f t="shared" si="332"/>
        <v>Sonya Marie</v>
      </c>
      <c r="E980" s="15" t="str">
        <f t="shared" si="333"/>
        <v>42 Keable Crescent</v>
      </c>
      <c r="F980" s="15" t="str">
        <f t="shared" si="334"/>
        <v>Boston</v>
      </c>
      <c r="G980" s="15" t="str">
        <f t="shared" si="335"/>
        <v>SA</v>
      </c>
      <c r="H980" s="15">
        <f t="shared" si="336"/>
        <v>5607</v>
      </c>
      <c r="I980" s="15">
        <f t="shared" si="347"/>
        <v>2076</v>
      </c>
      <c r="J980" s="15">
        <f>OrdersTable!B980</f>
        <v>724</v>
      </c>
      <c r="K980" s="15" t="str">
        <f t="shared" si="337"/>
        <v>Posters, Prints and Standees</v>
      </c>
      <c r="L980" s="15" t="str">
        <f t="shared" si="338"/>
        <v>Doctor Who: Standee: The 10th Doctor</v>
      </c>
      <c r="M980" s="15" t="str">
        <f t="shared" si="339"/>
        <v>-</v>
      </c>
      <c r="N980" s="15">
        <f t="shared" si="340"/>
        <v>1.125</v>
      </c>
      <c r="O980" s="15" t="str">
        <f t="shared" si="341"/>
        <v>A50</v>
      </c>
      <c r="P980" s="15" t="str">
        <f t="shared" si="342"/>
        <v>Rassilon Ltd.</v>
      </c>
      <c r="Q980" s="15" t="str">
        <f t="shared" si="343"/>
        <v>82 Richard Mathews Road</v>
      </c>
      <c r="R980" s="3">
        <f>OrdersTable!C980</f>
        <v>44631</v>
      </c>
      <c r="S980" s="15">
        <f>OrdersTable!E980</f>
        <v>9</v>
      </c>
      <c r="T980" s="15">
        <f t="shared" si="344"/>
        <v>22.49</v>
      </c>
      <c r="U980" s="15">
        <f t="shared" si="345"/>
        <v>30.77</v>
      </c>
      <c r="V980" s="15">
        <f t="shared" si="346"/>
        <v>36.43</v>
      </c>
      <c r="W980" s="15">
        <f>IF(MarkupType="Store Markup",ROUND(V980+V980*StoreMarkup,2),IF(MarkupType="Supplier Markup",V980+V980*SupplierMarkup,"Error at finding value"))</f>
        <v>57.38</v>
      </c>
      <c r="X980" s="32" t="str">
        <f t="shared" si="348"/>
        <v>0.00</v>
      </c>
      <c r="Y980" s="15">
        <f t="shared" si="349"/>
        <v>327.87</v>
      </c>
      <c r="Z980" s="15">
        <f t="shared" si="350"/>
        <v>516.41999999999996</v>
      </c>
      <c r="AA980" s="15">
        <f>IF(FreightType="Lethbridge-Stewart Freight ",ROUND(2.99+IF(N980&gt;0.75,(N980-0.75)*2.25,0)*S980,2),IF(MarkupType="Supplier Markup",V980+V980*SupplierMarkup,"Error at finding value"))</f>
        <v>10.58</v>
      </c>
      <c r="AB980" s="15">
        <f t="shared" si="351"/>
        <v>0</v>
      </c>
    </row>
    <row r="981" spans="1:28" x14ac:dyDescent="0.25">
      <c r="A981" s="16">
        <f>OrdersTable!A981</f>
        <v>360</v>
      </c>
      <c r="B981" s="15" t="str">
        <f t="shared" si="331"/>
        <v>Ms</v>
      </c>
      <c r="C981" s="15" t="str">
        <f t="shared" si="352"/>
        <v>Bobonica</v>
      </c>
      <c r="D981" s="15" t="str">
        <f t="shared" si="332"/>
        <v>Claudia</v>
      </c>
      <c r="E981" s="15" t="str">
        <f t="shared" si="333"/>
        <v>47 Klein Way</v>
      </c>
      <c r="F981" s="15" t="str">
        <f t="shared" si="334"/>
        <v>Avon Plains</v>
      </c>
      <c r="G981" s="15" t="str">
        <f t="shared" si="335"/>
        <v>VIC</v>
      </c>
      <c r="H981" s="15">
        <f t="shared" si="336"/>
        <v>3477</v>
      </c>
      <c r="I981" s="15">
        <f t="shared" si="347"/>
        <v>1565</v>
      </c>
      <c r="J981" s="15">
        <f>OrdersTable!B981</f>
        <v>530</v>
      </c>
      <c r="K981" s="15" t="str">
        <f t="shared" si="337"/>
        <v>Giftware</v>
      </c>
      <c r="L981" s="15" t="str">
        <f t="shared" si="338"/>
        <v>Doctor Who: Keyring TARDIS</v>
      </c>
      <c r="M981" s="15" t="str">
        <f t="shared" si="339"/>
        <v>-</v>
      </c>
      <c r="N981" s="15">
        <f t="shared" si="340"/>
        <v>0.25</v>
      </c>
      <c r="O981" s="15" t="str">
        <f t="shared" si="341"/>
        <v>A20</v>
      </c>
      <c r="P981" s="15" t="str">
        <f t="shared" si="342"/>
        <v>Morbius Inc.</v>
      </c>
      <c r="Q981" s="15" t="str">
        <f t="shared" si="343"/>
        <v>56 Michael Spice Hwy</v>
      </c>
      <c r="R981" s="3">
        <f>OrdersTable!C981</f>
        <v>44631</v>
      </c>
      <c r="S981" s="15">
        <f>OrdersTable!E981</f>
        <v>9</v>
      </c>
      <c r="T981" s="15">
        <f t="shared" si="344"/>
        <v>4.99</v>
      </c>
      <c r="U981" s="15">
        <f t="shared" si="345"/>
        <v>7.1</v>
      </c>
      <c r="V981" s="15">
        <f t="shared" si="346"/>
        <v>8.08</v>
      </c>
      <c r="W981" s="15">
        <f>IF(MarkupType="Store Markup",ROUND(V981+V981*StoreMarkup,2),IF(MarkupType="Supplier Markup",V981+V981*SupplierMarkup,"Error at finding value"))</f>
        <v>12.73</v>
      </c>
      <c r="X981" s="32" t="str">
        <f t="shared" si="348"/>
        <v>0.00</v>
      </c>
      <c r="Y981" s="15">
        <f t="shared" si="349"/>
        <v>72.72</v>
      </c>
      <c r="Z981" s="15">
        <f t="shared" si="350"/>
        <v>114.57</v>
      </c>
      <c r="AA981" s="15">
        <f>IF(FreightType="Lethbridge-Stewart Freight ",ROUND(2.99+IF(N981&gt;0.75,(N981-0.75)*2.25,0)*S981,2),IF(MarkupType="Supplier Markup",V981+V981*SupplierMarkup,"Error at finding value"))</f>
        <v>2.99</v>
      </c>
      <c r="AB981" s="15">
        <f t="shared" si="351"/>
        <v>0</v>
      </c>
    </row>
    <row r="982" spans="1:28" x14ac:dyDescent="0.25">
      <c r="A982" s="16">
        <f>OrdersTable!A982</f>
        <v>362</v>
      </c>
      <c r="B982" s="15" t="str">
        <f t="shared" si="331"/>
        <v>Mr</v>
      </c>
      <c r="C982" s="15" t="str">
        <f t="shared" si="352"/>
        <v>Hurst</v>
      </c>
      <c r="D982" s="15" t="str">
        <f t="shared" si="332"/>
        <v>Ralph Gregory</v>
      </c>
      <c r="E982" s="15" t="str">
        <f t="shared" si="333"/>
        <v>45 Blakeney Road</v>
      </c>
      <c r="F982" s="15" t="str">
        <f t="shared" si="334"/>
        <v>Iluka</v>
      </c>
      <c r="G982" s="15" t="str">
        <f t="shared" si="335"/>
        <v>NSW</v>
      </c>
      <c r="H982" s="15">
        <f t="shared" si="336"/>
        <v>2466</v>
      </c>
      <c r="I982" s="15">
        <f t="shared" si="347"/>
        <v>347</v>
      </c>
      <c r="J982" s="15">
        <f>OrdersTable!B982</f>
        <v>709</v>
      </c>
      <c r="K982" s="15" t="str">
        <f t="shared" si="337"/>
        <v>Posters, Prints and Standees</v>
      </c>
      <c r="L982" s="15" t="str">
        <f t="shared" si="338"/>
        <v>Doctor Who: Poster: Metallic TARDIS</v>
      </c>
      <c r="M982" s="15" t="str">
        <f t="shared" si="339"/>
        <v>-</v>
      </c>
      <c r="N982" s="15">
        <f t="shared" si="340"/>
        <v>0.2</v>
      </c>
      <c r="O982" s="15" t="str">
        <f t="shared" si="341"/>
        <v>A10</v>
      </c>
      <c r="P982" s="15" t="str">
        <f t="shared" si="342"/>
        <v>Gallifrey International</v>
      </c>
      <c r="Q982" s="15" t="str">
        <f t="shared" si="343"/>
        <v>181 Arcadia Street</v>
      </c>
      <c r="R982" s="3">
        <f>OrdersTable!C982</f>
        <v>44631</v>
      </c>
      <c r="S982" s="15">
        <f>OrdersTable!E982</f>
        <v>1</v>
      </c>
      <c r="T982" s="15">
        <f t="shared" si="344"/>
        <v>3.99</v>
      </c>
      <c r="U982" s="15">
        <f t="shared" si="345"/>
        <v>5.71</v>
      </c>
      <c r="V982" s="15">
        <f t="shared" si="346"/>
        <v>6.46</v>
      </c>
      <c r="W982" s="15">
        <f>IF(MarkupType="Store Markup",ROUND(V982+V982*StoreMarkup,2),IF(MarkupType="Supplier Markup",V982+V982*SupplierMarkup,"Error at finding value"))</f>
        <v>10.17</v>
      </c>
      <c r="X982" s="32" t="str">
        <f t="shared" si="348"/>
        <v>0.00</v>
      </c>
      <c r="Y982" s="15">
        <f t="shared" si="349"/>
        <v>6.46</v>
      </c>
      <c r="Z982" s="15">
        <f t="shared" si="350"/>
        <v>10.17</v>
      </c>
      <c r="AA982" s="15">
        <f>IF(FreightType="Lethbridge-Stewart Freight ",ROUND(2.99+IF(N982&gt;0.75,(N982-0.75)*2.25,0)*S982,2),IF(MarkupType="Supplier Markup",V982+V982*SupplierMarkup,"Error at finding value"))</f>
        <v>2.99</v>
      </c>
      <c r="AB982" s="15">
        <f t="shared" si="351"/>
        <v>0</v>
      </c>
    </row>
    <row r="983" spans="1:28" x14ac:dyDescent="0.25">
      <c r="A983" s="16">
        <f>OrdersTable!A983</f>
        <v>416</v>
      </c>
      <c r="B983" s="15" t="str">
        <f t="shared" si="331"/>
        <v>Mr</v>
      </c>
      <c r="C983" s="15" t="str">
        <f t="shared" si="352"/>
        <v>Mohammed</v>
      </c>
      <c r="D983" s="15" t="str">
        <f t="shared" si="332"/>
        <v>Ahmed</v>
      </c>
      <c r="E983" s="15" t="str">
        <f t="shared" si="333"/>
        <v>35 Ridley Avenue</v>
      </c>
      <c r="F983" s="15" t="str">
        <f t="shared" si="334"/>
        <v>Iluka</v>
      </c>
      <c r="G983" s="15" t="str">
        <f t="shared" si="335"/>
        <v>NSW</v>
      </c>
      <c r="H983" s="15">
        <f t="shared" si="336"/>
        <v>2466</v>
      </c>
      <c r="I983" s="15">
        <f t="shared" si="347"/>
        <v>347</v>
      </c>
      <c r="J983" s="15">
        <f>OrdersTable!B983</f>
        <v>607</v>
      </c>
      <c r="K983" s="15" t="str">
        <f t="shared" si="337"/>
        <v>iPhone Skins</v>
      </c>
      <c r="L983" s="15" t="str">
        <f t="shared" si="338"/>
        <v>Doctor Who: iPhone Skin: Keep Calm I'm The Doctor</v>
      </c>
      <c r="M983" s="15" t="str">
        <f t="shared" si="339"/>
        <v>-</v>
      </c>
      <c r="N983" s="15">
        <f t="shared" si="340"/>
        <v>0.5</v>
      </c>
      <c r="O983" s="15" t="str">
        <f t="shared" si="341"/>
        <v>A40</v>
      </c>
      <c r="P983" s="15" t="str">
        <f t="shared" si="342"/>
        <v>Romana Imports</v>
      </c>
      <c r="Q983" s="15" t="str">
        <f t="shared" si="343"/>
        <v>17 Lalla Ward Road</v>
      </c>
      <c r="R983" s="3">
        <f>OrdersTable!C983</f>
        <v>44631</v>
      </c>
      <c r="S983" s="15">
        <f>OrdersTable!E983</f>
        <v>4</v>
      </c>
      <c r="T983" s="15">
        <f t="shared" si="344"/>
        <v>9.99</v>
      </c>
      <c r="U983" s="15">
        <f t="shared" si="345"/>
        <v>13.81</v>
      </c>
      <c r="V983" s="15">
        <f t="shared" si="346"/>
        <v>16.18</v>
      </c>
      <c r="W983" s="15">
        <f>IF(MarkupType="Store Markup",ROUND(V983+V983*StoreMarkup,2),IF(MarkupType="Supplier Markup",V983+V983*SupplierMarkup,"Error at finding value"))</f>
        <v>25.48</v>
      </c>
      <c r="X983" s="32" t="str">
        <f t="shared" si="348"/>
        <v>0.00</v>
      </c>
      <c r="Y983" s="15">
        <f t="shared" si="349"/>
        <v>64.72</v>
      </c>
      <c r="Z983" s="15">
        <f t="shared" si="350"/>
        <v>101.92</v>
      </c>
      <c r="AA983" s="15">
        <f>IF(FreightType="Lethbridge-Stewart Freight ",ROUND(2.99+IF(N983&gt;0.75,(N983-0.75)*2.25,0)*S983,2),IF(MarkupType="Supplier Markup",V983+V983*SupplierMarkup,"Error at finding value"))</f>
        <v>2.99</v>
      </c>
      <c r="AB983" s="15">
        <f t="shared" si="351"/>
        <v>0</v>
      </c>
    </row>
    <row r="984" spans="1:28" x14ac:dyDescent="0.25">
      <c r="A984" s="16">
        <f>OrdersTable!A984</f>
        <v>448</v>
      </c>
      <c r="B984" s="15" t="str">
        <f t="shared" si="331"/>
        <v>Mr</v>
      </c>
      <c r="C984" s="15" t="str">
        <f t="shared" si="352"/>
        <v>Earl</v>
      </c>
      <c r="D984" s="15" t="str">
        <f t="shared" si="332"/>
        <v>Benn Robert</v>
      </c>
      <c r="E984" s="15" t="str">
        <f t="shared" si="333"/>
        <v>31 Kae Drive</v>
      </c>
      <c r="F984" s="15" t="str">
        <f t="shared" si="334"/>
        <v>Belford</v>
      </c>
      <c r="G984" s="15" t="str">
        <f t="shared" si="335"/>
        <v>NSW</v>
      </c>
      <c r="H984" s="15">
        <f t="shared" si="336"/>
        <v>2335</v>
      </c>
      <c r="I984" s="15">
        <f t="shared" si="347"/>
        <v>716</v>
      </c>
      <c r="J984" s="15">
        <f>OrdersTable!B984</f>
        <v>710</v>
      </c>
      <c r="K984" s="15" t="str">
        <f t="shared" si="337"/>
        <v>Posters, Prints and Standees</v>
      </c>
      <c r="L984" s="15" t="str">
        <f t="shared" si="338"/>
        <v>Doctor Who: Poster: Regenerate</v>
      </c>
      <c r="M984" s="15" t="str">
        <f t="shared" si="339"/>
        <v>-</v>
      </c>
      <c r="N984" s="15">
        <f t="shared" si="340"/>
        <v>0.2</v>
      </c>
      <c r="O984" s="15" t="str">
        <f t="shared" si="341"/>
        <v>A40</v>
      </c>
      <c r="P984" s="15" t="str">
        <f t="shared" si="342"/>
        <v>Romana Imports</v>
      </c>
      <c r="Q984" s="15" t="str">
        <f t="shared" si="343"/>
        <v>17 Lalla Ward Road</v>
      </c>
      <c r="R984" s="3">
        <f>OrdersTable!C984</f>
        <v>44631</v>
      </c>
      <c r="S984" s="15">
        <f>OrdersTable!E984</f>
        <v>3</v>
      </c>
      <c r="T984" s="15">
        <f t="shared" si="344"/>
        <v>3.99</v>
      </c>
      <c r="U984" s="15">
        <f t="shared" si="345"/>
        <v>5.5</v>
      </c>
      <c r="V984" s="15">
        <f t="shared" si="346"/>
        <v>6.46</v>
      </c>
      <c r="W984" s="15">
        <f>IF(MarkupType="Store Markup",ROUND(V984+V984*StoreMarkup,2),IF(MarkupType="Supplier Markup",V984+V984*SupplierMarkup,"Error at finding value"))</f>
        <v>10.17</v>
      </c>
      <c r="X984" s="32" t="str">
        <f t="shared" si="348"/>
        <v>0.00</v>
      </c>
      <c r="Y984" s="15">
        <f t="shared" si="349"/>
        <v>19.38</v>
      </c>
      <c r="Z984" s="15">
        <f t="shared" si="350"/>
        <v>30.51</v>
      </c>
      <c r="AA984" s="15">
        <f>IF(FreightType="Lethbridge-Stewart Freight ",ROUND(2.99+IF(N984&gt;0.75,(N984-0.75)*2.25,0)*S984,2),IF(MarkupType="Supplier Markup",V984+V984*SupplierMarkup,"Error at finding value"))</f>
        <v>2.99</v>
      </c>
      <c r="AB984" s="15">
        <f t="shared" si="351"/>
        <v>0</v>
      </c>
    </row>
    <row r="985" spans="1:28" x14ac:dyDescent="0.25">
      <c r="A985" s="16">
        <f>OrdersTable!A985</f>
        <v>496</v>
      </c>
      <c r="B985" s="15" t="str">
        <f t="shared" si="331"/>
        <v>Dr</v>
      </c>
      <c r="C985" s="15" t="str">
        <f t="shared" si="352"/>
        <v>Johnston</v>
      </c>
      <c r="D985" s="15" t="str">
        <f t="shared" si="332"/>
        <v>Karrina</v>
      </c>
      <c r="E985" s="15" t="str">
        <f t="shared" si="333"/>
        <v>11 Bishop Drive</v>
      </c>
      <c r="F985" s="15" t="str">
        <f t="shared" si="334"/>
        <v>Belford</v>
      </c>
      <c r="G985" s="15" t="str">
        <f t="shared" si="335"/>
        <v>NSW</v>
      </c>
      <c r="H985" s="15">
        <f t="shared" si="336"/>
        <v>2335</v>
      </c>
      <c r="I985" s="15">
        <f t="shared" si="347"/>
        <v>716</v>
      </c>
      <c r="J985" s="15">
        <f>OrdersTable!B985</f>
        <v>590</v>
      </c>
      <c r="K985" s="15" t="str">
        <f t="shared" si="337"/>
        <v>iPhone Skins</v>
      </c>
      <c r="L985" s="15" t="str">
        <f t="shared" si="338"/>
        <v>Doctor Who: iPhone Skin: Exploding TARDIS</v>
      </c>
      <c r="M985" s="15" t="str">
        <f t="shared" si="339"/>
        <v>-</v>
      </c>
      <c r="N985" s="15">
        <f t="shared" si="340"/>
        <v>0.5</v>
      </c>
      <c r="O985" s="15" t="str">
        <f t="shared" si="341"/>
        <v>A20</v>
      </c>
      <c r="P985" s="15" t="str">
        <f t="shared" si="342"/>
        <v>Morbius Inc.</v>
      </c>
      <c r="Q985" s="15" t="str">
        <f t="shared" si="343"/>
        <v>56 Michael Spice Hwy</v>
      </c>
      <c r="R985" s="3">
        <f>OrdersTable!C985</f>
        <v>44631</v>
      </c>
      <c r="S985" s="15">
        <f>OrdersTable!E985</f>
        <v>5</v>
      </c>
      <c r="T985" s="15">
        <f t="shared" si="344"/>
        <v>9.99</v>
      </c>
      <c r="U985" s="15">
        <f t="shared" si="345"/>
        <v>13.86</v>
      </c>
      <c r="V985" s="15">
        <f t="shared" si="346"/>
        <v>16.18</v>
      </c>
      <c r="W985" s="15">
        <f>IF(MarkupType="Store Markup",ROUND(V985+V985*StoreMarkup,2),IF(MarkupType="Supplier Markup",V985+V985*SupplierMarkup,"Error at finding value"))</f>
        <v>25.48</v>
      </c>
      <c r="X985" s="32" t="str">
        <f t="shared" si="348"/>
        <v>0.00</v>
      </c>
      <c r="Y985" s="15">
        <f t="shared" si="349"/>
        <v>80.900000000000006</v>
      </c>
      <c r="Z985" s="15">
        <f t="shared" si="350"/>
        <v>127.4</v>
      </c>
      <c r="AA985" s="15">
        <f>IF(FreightType="Lethbridge-Stewart Freight ",ROUND(2.99+IF(N985&gt;0.75,(N985-0.75)*2.25,0)*S985,2),IF(MarkupType="Supplier Markup",V985+V985*SupplierMarkup,"Error at finding value"))</f>
        <v>2.99</v>
      </c>
      <c r="AB985" s="15">
        <f t="shared" si="351"/>
        <v>0</v>
      </c>
    </row>
    <row r="986" spans="1:28" x14ac:dyDescent="0.25">
      <c r="A986" s="16">
        <f>OrdersTable!A986</f>
        <v>501</v>
      </c>
      <c r="B986" s="15" t="str">
        <f t="shared" si="331"/>
        <v>Miss</v>
      </c>
      <c r="C986" s="15" t="str">
        <f t="shared" si="352"/>
        <v>Tharenou</v>
      </c>
      <c r="D986" s="15" t="str">
        <f t="shared" si="332"/>
        <v>Kimberley Jacinta</v>
      </c>
      <c r="E986" s="15" t="str">
        <f t="shared" si="333"/>
        <v>49 Moncada Circuit</v>
      </c>
      <c r="F986" s="15" t="str">
        <f t="shared" si="334"/>
        <v>Belford</v>
      </c>
      <c r="G986" s="15" t="str">
        <f t="shared" si="335"/>
        <v>NSW</v>
      </c>
      <c r="H986" s="15">
        <f t="shared" si="336"/>
        <v>2335</v>
      </c>
      <c r="I986" s="15">
        <f t="shared" si="347"/>
        <v>716</v>
      </c>
      <c r="J986" s="15">
        <f>OrdersTable!B986</f>
        <v>330</v>
      </c>
      <c r="K986" s="15" t="str">
        <f t="shared" si="337"/>
        <v>Clothing and Apparel</v>
      </c>
      <c r="L986" s="15" t="str">
        <f t="shared" si="338"/>
        <v xml:space="preserve">Doctor Who: T-Shirts: 4th Doctor Costume </v>
      </c>
      <c r="M986" s="15" t="str">
        <f t="shared" si="339"/>
        <v>M</v>
      </c>
      <c r="N986" s="15">
        <f t="shared" si="340"/>
        <v>0.8</v>
      </c>
      <c r="O986" s="15" t="str">
        <f t="shared" si="341"/>
        <v>A20</v>
      </c>
      <c r="P986" s="15" t="str">
        <f t="shared" si="342"/>
        <v>Morbius Inc.</v>
      </c>
      <c r="Q986" s="15" t="str">
        <f t="shared" si="343"/>
        <v>56 Michael Spice Hwy</v>
      </c>
      <c r="R986" s="3">
        <f>OrdersTable!C986</f>
        <v>44631</v>
      </c>
      <c r="S986" s="15">
        <f>OrdersTable!E986</f>
        <v>8</v>
      </c>
      <c r="T986" s="15">
        <f t="shared" si="344"/>
        <v>15.99</v>
      </c>
      <c r="U986" s="15">
        <f t="shared" si="345"/>
        <v>22.03</v>
      </c>
      <c r="V986" s="15">
        <f t="shared" si="346"/>
        <v>25.9</v>
      </c>
      <c r="W986" s="15">
        <f>IF(MarkupType="Store Markup",ROUND(V986+V986*StoreMarkup,2),IF(MarkupType="Supplier Markup",V986+V986*SupplierMarkup,"Error at finding value"))</f>
        <v>40.79</v>
      </c>
      <c r="X986" s="32" t="str">
        <f t="shared" si="348"/>
        <v>0.00</v>
      </c>
      <c r="Y986" s="15">
        <f t="shared" si="349"/>
        <v>207.2</v>
      </c>
      <c r="Z986" s="15">
        <f t="shared" si="350"/>
        <v>326.32</v>
      </c>
      <c r="AA986" s="15">
        <f>IF(FreightType="Lethbridge-Stewart Freight ",ROUND(2.99+IF(N986&gt;0.75,(N986-0.75)*2.25,0)*S986,2),IF(MarkupType="Supplier Markup",V986+V986*SupplierMarkup,"Error at finding value"))</f>
        <v>3.89</v>
      </c>
      <c r="AB986" s="15">
        <f t="shared" si="351"/>
        <v>0</v>
      </c>
    </row>
    <row r="987" spans="1:28" x14ac:dyDescent="0.25">
      <c r="A987" s="16">
        <f>OrdersTable!A987</f>
        <v>526</v>
      </c>
      <c r="B987" s="15" t="str">
        <f t="shared" si="331"/>
        <v>Mrs</v>
      </c>
      <c r="C987" s="15" t="str">
        <f t="shared" si="352"/>
        <v>Bradford</v>
      </c>
      <c r="D987" s="15" t="str">
        <f t="shared" si="332"/>
        <v>Haleigh Renae Ann</v>
      </c>
      <c r="E987" s="15" t="str">
        <f t="shared" si="333"/>
        <v>31 Johnston Road</v>
      </c>
      <c r="F987" s="15" t="str">
        <f t="shared" si="334"/>
        <v>Ashford</v>
      </c>
      <c r="G987" s="15" t="str">
        <f t="shared" si="335"/>
        <v>SA</v>
      </c>
      <c r="H987" s="15">
        <f t="shared" si="336"/>
        <v>5035</v>
      </c>
      <c r="I987" s="15">
        <f t="shared" si="347"/>
        <v>1877</v>
      </c>
      <c r="J987" s="15">
        <f>OrdersTable!B987</f>
        <v>752</v>
      </c>
      <c r="K987" s="15" t="str">
        <f t="shared" si="337"/>
        <v>Statues and Busts</v>
      </c>
      <c r="L987" s="15" t="str">
        <f t="shared" si="338"/>
        <v>Doctor Who: Helmet: Cyberman Leader</v>
      </c>
      <c r="M987" s="15" t="str">
        <f t="shared" si="339"/>
        <v>-</v>
      </c>
      <c r="N987" s="15">
        <f t="shared" si="340"/>
        <v>2</v>
      </c>
      <c r="O987" s="15" t="str">
        <f t="shared" si="341"/>
        <v>A30</v>
      </c>
      <c r="P987" s="15" t="str">
        <f t="shared" si="342"/>
        <v>Chesterton Enterprises</v>
      </c>
      <c r="Q987" s="15" t="str">
        <f t="shared" si="343"/>
        <v>41 William Russell Road</v>
      </c>
      <c r="R987" s="3">
        <f>OrdersTable!C987</f>
        <v>44631</v>
      </c>
      <c r="S987" s="15">
        <f>OrdersTable!E987</f>
        <v>3</v>
      </c>
      <c r="T987" s="15">
        <f t="shared" si="344"/>
        <v>39.99</v>
      </c>
      <c r="U987" s="15">
        <f t="shared" si="345"/>
        <v>54.85</v>
      </c>
      <c r="V987" s="15">
        <f t="shared" si="346"/>
        <v>64.78</v>
      </c>
      <c r="W987" s="15">
        <f>IF(MarkupType="Store Markup",ROUND(V987+V987*StoreMarkup,2),IF(MarkupType="Supplier Markup",V987+V987*SupplierMarkup,"Error at finding value"))</f>
        <v>102.03</v>
      </c>
      <c r="X987" s="32">
        <f t="shared" si="348"/>
        <v>7.27</v>
      </c>
      <c r="Y987" s="15">
        <f t="shared" si="349"/>
        <v>194.34</v>
      </c>
      <c r="Z987" s="15">
        <f t="shared" si="350"/>
        <v>284.27999999999997</v>
      </c>
      <c r="AA987" s="15">
        <f>IF(FreightType="Lethbridge-Stewart Freight ",ROUND(2.99+IF(N987&gt;0.75,(N987-0.75)*2.25,0)*S987,2),IF(MarkupType="Supplier Markup",V987+V987*SupplierMarkup,"Error at finding value"))</f>
        <v>11.43</v>
      </c>
      <c r="AB987" s="15">
        <f t="shared" si="351"/>
        <v>21.81</v>
      </c>
    </row>
    <row r="988" spans="1:28" x14ac:dyDescent="0.25">
      <c r="A988" s="16">
        <f>OrdersTable!A988</f>
        <v>527</v>
      </c>
      <c r="B988" s="15" t="str">
        <f t="shared" si="331"/>
        <v>Mr</v>
      </c>
      <c r="C988" s="15" t="str">
        <f t="shared" si="352"/>
        <v>McTaggart</v>
      </c>
      <c r="D988" s="15" t="str">
        <f t="shared" si="332"/>
        <v>Daniel</v>
      </c>
      <c r="E988" s="15" t="str">
        <f t="shared" si="333"/>
        <v>24 Mulholland Avenue</v>
      </c>
      <c r="F988" s="15" t="str">
        <f t="shared" si="334"/>
        <v>Belconnen</v>
      </c>
      <c r="G988" s="15" t="str">
        <f t="shared" si="335"/>
        <v>ACT</v>
      </c>
      <c r="H988" s="15">
        <f t="shared" si="336"/>
        <v>2617</v>
      </c>
      <c r="I988" s="15">
        <f t="shared" si="347"/>
        <v>1194</v>
      </c>
      <c r="J988" s="15">
        <f>OrdersTable!B988</f>
        <v>543</v>
      </c>
      <c r="K988" s="15" t="str">
        <f t="shared" si="337"/>
        <v>Giftware</v>
      </c>
      <c r="L988" s="15" t="str">
        <f t="shared" si="338"/>
        <v>Doctor Who: Sonic Screwdriver Pen</v>
      </c>
      <c r="M988" s="15" t="str">
        <f t="shared" si="339"/>
        <v>-</v>
      </c>
      <c r="N988" s="15">
        <f t="shared" si="340"/>
        <v>0.65</v>
      </c>
      <c r="O988" s="15" t="str">
        <f t="shared" si="341"/>
        <v>A20</v>
      </c>
      <c r="P988" s="15" t="str">
        <f t="shared" si="342"/>
        <v>Morbius Inc.</v>
      </c>
      <c r="Q988" s="15" t="str">
        <f t="shared" si="343"/>
        <v>56 Michael Spice Hwy</v>
      </c>
      <c r="R988" s="3">
        <f>OrdersTable!C988</f>
        <v>44631</v>
      </c>
      <c r="S988" s="15">
        <f>OrdersTable!E988</f>
        <v>1</v>
      </c>
      <c r="T988" s="15">
        <f t="shared" si="344"/>
        <v>12.99</v>
      </c>
      <c r="U988" s="15">
        <f t="shared" si="345"/>
        <v>18.02</v>
      </c>
      <c r="V988" s="15">
        <f t="shared" si="346"/>
        <v>21.04</v>
      </c>
      <c r="W988" s="15">
        <f>IF(MarkupType="Store Markup",ROUND(V988+V988*StoreMarkup,2),IF(MarkupType="Supplier Markup",V988+V988*SupplierMarkup,"Error at finding value"))</f>
        <v>33.14</v>
      </c>
      <c r="X988" s="32" t="str">
        <f t="shared" si="348"/>
        <v>0.00</v>
      </c>
      <c r="Y988" s="15">
        <f t="shared" si="349"/>
        <v>21.04</v>
      </c>
      <c r="Z988" s="15">
        <f t="shared" si="350"/>
        <v>33.14</v>
      </c>
      <c r="AA988" s="15">
        <f>IF(FreightType="Lethbridge-Stewart Freight ",ROUND(2.99+IF(N988&gt;0.75,(N988-0.75)*2.25,0)*S988,2),IF(MarkupType="Supplier Markup",V988+V988*SupplierMarkup,"Error at finding value"))</f>
        <v>2.99</v>
      </c>
      <c r="AB988" s="15">
        <f t="shared" si="351"/>
        <v>0</v>
      </c>
    </row>
    <row r="989" spans="1:28" x14ac:dyDescent="0.25">
      <c r="A989" s="16">
        <f>OrdersTable!A989</f>
        <v>527</v>
      </c>
      <c r="B989" s="15" t="str">
        <f t="shared" si="331"/>
        <v>Mr</v>
      </c>
      <c r="C989" s="15" t="str">
        <f t="shared" si="352"/>
        <v>McTaggart</v>
      </c>
      <c r="D989" s="15" t="str">
        <f t="shared" si="332"/>
        <v>Daniel</v>
      </c>
      <c r="E989" s="15" t="str">
        <f t="shared" si="333"/>
        <v>24 Mulholland Avenue</v>
      </c>
      <c r="F989" s="15" t="str">
        <f t="shared" si="334"/>
        <v>Belconnen</v>
      </c>
      <c r="G989" s="15" t="str">
        <f t="shared" si="335"/>
        <v>ACT</v>
      </c>
      <c r="H989" s="15">
        <f t="shared" si="336"/>
        <v>2617</v>
      </c>
      <c r="I989" s="15">
        <f t="shared" si="347"/>
        <v>1194</v>
      </c>
      <c r="J989" s="15">
        <f>OrdersTable!B989</f>
        <v>812</v>
      </c>
      <c r="K989" s="15" t="str">
        <f t="shared" si="337"/>
        <v>Statues and Busts</v>
      </c>
      <c r="L989" s="15" t="str">
        <f t="shared" si="338"/>
        <v>Doctor Who: Masterpiece Collection Maxi Bust: Dalek: Day Of The Daleks</v>
      </c>
      <c r="M989" s="15" t="str">
        <f t="shared" si="339"/>
        <v>-</v>
      </c>
      <c r="N989" s="15">
        <f t="shared" si="340"/>
        <v>2.5</v>
      </c>
      <c r="O989" s="15" t="str">
        <f t="shared" si="341"/>
        <v>A20</v>
      </c>
      <c r="P989" s="15" t="str">
        <f t="shared" si="342"/>
        <v>Morbius Inc.</v>
      </c>
      <c r="Q989" s="15" t="str">
        <f t="shared" si="343"/>
        <v>56 Michael Spice Hwy</v>
      </c>
      <c r="R989" s="3">
        <f>OrdersTable!C989</f>
        <v>44631</v>
      </c>
      <c r="S989" s="15">
        <f>OrdersTable!E989</f>
        <v>7</v>
      </c>
      <c r="T989" s="15">
        <f t="shared" si="344"/>
        <v>49.99</v>
      </c>
      <c r="U989" s="15">
        <f t="shared" si="345"/>
        <v>68.47</v>
      </c>
      <c r="V989" s="15">
        <f t="shared" si="346"/>
        <v>80.98</v>
      </c>
      <c r="W989" s="15">
        <f>IF(MarkupType="Store Markup",ROUND(V989+V989*StoreMarkup,2),IF(MarkupType="Supplier Markup",V989+V989*SupplierMarkup,"Error at finding value"))</f>
        <v>127.54</v>
      </c>
      <c r="X989" s="32">
        <f t="shared" si="348"/>
        <v>9.09</v>
      </c>
      <c r="Y989" s="15">
        <f t="shared" si="349"/>
        <v>566.86</v>
      </c>
      <c r="Z989" s="15">
        <f t="shared" si="350"/>
        <v>829.15</v>
      </c>
      <c r="AA989" s="15">
        <f>IF(FreightType="Lethbridge-Stewart Freight ",ROUND(2.99+IF(N989&gt;0.75,(N989-0.75)*2.25,0)*S989,2),IF(MarkupType="Supplier Markup",V989+V989*SupplierMarkup,"Error at finding value"))</f>
        <v>30.55</v>
      </c>
      <c r="AB989" s="15">
        <f t="shared" si="351"/>
        <v>63.63</v>
      </c>
    </row>
    <row r="990" spans="1:28" x14ac:dyDescent="0.25">
      <c r="A990" s="16">
        <f>OrdersTable!A990</f>
        <v>568</v>
      </c>
      <c r="B990" s="15" t="str">
        <f t="shared" si="331"/>
        <v>Mr</v>
      </c>
      <c r="C990" s="15" t="str">
        <f t="shared" si="352"/>
        <v>Byrne</v>
      </c>
      <c r="D990" s="15" t="str">
        <f t="shared" si="332"/>
        <v>Gregory James</v>
      </c>
      <c r="E990" s="15" t="str">
        <f t="shared" si="333"/>
        <v>18 Doroshenko Crescent</v>
      </c>
      <c r="F990" s="15" t="str">
        <f t="shared" si="334"/>
        <v>Abington</v>
      </c>
      <c r="G990" s="15" t="str">
        <f t="shared" si="335"/>
        <v>QLD</v>
      </c>
      <c r="H990" s="15">
        <f t="shared" si="336"/>
        <v>4660</v>
      </c>
      <c r="I990" s="15">
        <f t="shared" si="347"/>
        <v>336</v>
      </c>
      <c r="J990" s="15">
        <f>OrdersTable!B990</f>
        <v>769</v>
      </c>
      <c r="K990" s="15" t="str">
        <f t="shared" si="337"/>
        <v>Statues and Busts</v>
      </c>
      <c r="L990" s="15" t="str">
        <f t="shared" si="338"/>
        <v>Doctor Who: Legends Forever Bust: Tom Baker</v>
      </c>
      <c r="M990" s="15" t="str">
        <f t="shared" si="339"/>
        <v>-</v>
      </c>
      <c r="N990" s="15">
        <f t="shared" si="340"/>
        <v>1.375</v>
      </c>
      <c r="O990" s="15" t="str">
        <f t="shared" si="341"/>
        <v>A30</v>
      </c>
      <c r="P990" s="15" t="str">
        <f t="shared" si="342"/>
        <v>Chesterton Enterprises</v>
      </c>
      <c r="Q990" s="15" t="str">
        <f t="shared" si="343"/>
        <v>41 William Russell Road</v>
      </c>
      <c r="R990" s="3">
        <f>OrdersTable!C990</f>
        <v>44631</v>
      </c>
      <c r="S990" s="15">
        <f>OrdersTable!E990</f>
        <v>9</v>
      </c>
      <c r="T990" s="15">
        <f t="shared" si="344"/>
        <v>27.5</v>
      </c>
      <c r="U990" s="15">
        <f t="shared" si="345"/>
        <v>37.76</v>
      </c>
      <c r="V990" s="15">
        <f t="shared" si="346"/>
        <v>44.55</v>
      </c>
      <c r="W990" s="15">
        <f>IF(MarkupType="Store Markup",ROUND(V990+V990*StoreMarkup,2),IF(MarkupType="Supplier Markup",V990+V990*SupplierMarkup,"Error at finding value"))</f>
        <v>70.17</v>
      </c>
      <c r="X990" s="32" t="str">
        <f t="shared" si="348"/>
        <v>0.00</v>
      </c>
      <c r="Y990" s="15">
        <f t="shared" si="349"/>
        <v>400.95</v>
      </c>
      <c r="Z990" s="15">
        <f t="shared" si="350"/>
        <v>631.53</v>
      </c>
      <c r="AA990" s="15">
        <f>IF(FreightType="Lethbridge-Stewart Freight ",ROUND(2.99+IF(N990&gt;0.75,(N990-0.75)*2.25,0)*S990,2),IF(MarkupType="Supplier Markup",V990+V990*SupplierMarkup,"Error at finding value"))</f>
        <v>15.65</v>
      </c>
      <c r="AB990" s="15">
        <f t="shared" si="351"/>
        <v>0</v>
      </c>
    </row>
    <row r="991" spans="1:28" x14ac:dyDescent="0.25">
      <c r="A991" s="16">
        <f>OrdersTable!A991</f>
        <v>573</v>
      </c>
      <c r="B991" s="15" t="str">
        <f t="shared" si="331"/>
        <v>Mrs</v>
      </c>
      <c r="C991" s="15" t="str">
        <f t="shared" si="352"/>
        <v>Hollonds</v>
      </c>
      <c r="D991" s="15" t="str">
        <f t="shared" si="332"/>
        <v>Suzan</v>
      </c>
      <c r="E991" s="15" t="str">
        <f t="shared" si="333"/>
        <v>49 Patel Way</v>
      </c>
      <c r="F991" s="15" t="str">
        <f t="shared" si="334"/>
        <v>Belconnen</v>
      </c>
      <c r="G991" s="15" t="str">
        <f t="shared" si="335"/>
        <v>ACT</v>
      </c>
      <c r="H991" s="15">
        <f t="shared" si="336"/>
        <v>2617</v>
      </c>
      <c r="I991" s="15">
        <f t="shared" si="347"/>
        <v>1194</v>
      </c>
      <c r="J991" s="15">
        <f>OrdersTable!B991</f>
        <v>213</v>
      </c>
      <c r="K991" s="15" t="str">
        <f t="shared" si="337"/>
        <v>Clothing and Apparel</v>
      </c>
      <c r="L991" s="15" t="str">
        <f t="shared" si="338"/>
        <v>Doctor Who: Fez and Bow Tie</v>
      </c>
      <c r="M991" s="15" t="str">
        <f t="shared" si="339"/>
        <v>-</v>
      </c>
      <c r="N991" s="15">
        <f t="shared" si="340"/>
        <v>0.97499999999999998</v>
      </c>
      <c r="O991" s="15" t="str">
        <f t="shared" si="341"/>
        <v>A50</v>
      </c>
      <c r="P991" s="15" t="str">
        <f t="shared" si="342"/>
        <v>Rassilon Ltd.</v>
      </c>
      <c r="Q991" s="15" t="str">
        <f t="shared" si="343"/>
        <v>82 Richard Mathews Road</v>
      </c>
      <c r="R991" s="3">
        <f>OrdersTable!C991</f>
        <v>44631</v>
      </c>
      <c r="S991" s="15">
        <f>OrdersTable!E991</f>
        <v>8</v>
      </c>
      <c r="T991" s="15">
        <f t="shared" si="344"/>
        <v>19.5</v>
      </c>
      <c r="U991" s="15">
        <f t="shared" si="345"/>
        <v>26.88</v>
      </c>
      <c r="V991" s="15">
        <f t="shared" si="346"/>
        <v>31.59</v>
      </c>
      <c r="W991" s="15">
        <f>IF(MarkupType="Store Markup",ROUND(V991+V991*StoreMarkup,2),IF(MarkupType="Supplier Markup",V991+V991*SupplierMarkup,"Error at finding value"))</f>
        <v>49.75</v>
      </c>
      <c r="X991" s="32" t="str">
        <f t="shared" si="348"/>
        <v>0.00</v>
      </c>
      <c r="Y991" s="15">
        <f t="shared" si="349"/>
        <v>252.72</v>
      </c>
      <c r="Z991" s="15">
        <f t="shared" si="350"/>
        <v>398</v>
      </c>
      <c r="AA991" s="15">
        <f>IF(FreightType="Lethbridge-Stewart Freight ",ROUND(2.99+IF(N991&gt;0.75,(N991-0.75)*2.25,0)*S991,2),IF(MarkupType="Supplier Markup",V991+V991*SupplierMarkup,"Error at finding value"))</f>
        <v>7.04</v>
      </c>
      <c r="AB991" s="15">
        <f t="shared" si="351"/>
        <v>0</v>
      </c>
    </row>
    <row r="992" spans="1:28" x14ac:dyDescent="0.25">
      <c r="A992" s="16">
        <f>OrdersTable!A992</f>
        <v>580</v>
      </c>
      <c r="B992" s="15" t="str">
        <f t="shared" si="331"/>
        <v>Mr</v>
      </c>
      <c r="C992" s="15" t="str">
        <f t="shared" si="352"/>
        <v>Faatoafe</v>
      </c>
      <c r="D992" s="15" t="str">
        <f t="shared" si="332"/>
        <v>Jasson Iosefa</v>
      </c>
      <c r="E992" s="15" t="str">
        <f t="shared" si="333"/>
        <v>29 Schaffer Boulevard</v>
      </c>
      <c r="F992" s="15" t="str">
        <f t="shared" si="334"/>
        <v>Binduli</v>
      </c>
      <c r="G992" s="15" t="str">
        <f t="shared" si="335"/>
        <v>WA</v>
      </c>
      <c r="H992" s="15">
        <f t="shared" si="336"/>
        <v>6430</v>
      </c>
      <c r="I992" s="15">
        <f t="shared" si="347"/>
        <v>3543</v>
      </c>
      <c r="J992" s="15">
        <f>OrdersTable!B992</f>
        <v>676</v>
      </c>
      <c r="K992" s="15" t="str">
        <f t="shared" si="337"/>
        <v>Mugs</v>
      </c>
      <c r="L992" s="15" t="str">
        <f t="shared" si="338"/>
        <v>Doctor Who: Mug: The Eleventh Doctor</v>
      </c>
      <c r="M992" s="15" t="str">
        <f t="shared" si="339"/>
        <v>-</v>
      </c>
      <c r="N992" s="15">
        <f t="shared" si="340"/>
        <v>0.45</v>
      </c>
      <c r="O992" s="15" t="str">
        <f t="shared" si="341"/>
        <v>A20</v>
      </c>
      <c r="P992" s="15" t="str">
        <f t="shared" si="342"/>
        <v>Morbius Inc.</v>
      </c>
      <c r="Q992" s="15" t="str">
        <f t="shared" si="343"/>
        <v>56 Michael Spice Hwy</v>
      </c>
      <c r="R992" s="3">
        <f>OrdersTable!C992</f>
        <v>44631</v>
      </c>
      <c r="S992" s="15">
        <f>OrdersTable!E992</f>
        <v>2</v>
      </c>
      <c r="T992" s="15">
        <f t="shared" si="344"/>
        <v>8.99</v>
      </c>
      <c r="U992" s="15">
        <f t="shared" si="345"/>
        <v>12.55</v>
      </c>
      <c r="V992" s="15">
        <f t="shared" si="346"/>
        <v>14.56</v>
      </c>
      <c r="W992" s="15">
        <f>IF(MarkupType="Store Markup",ROUND(V992+V992*StoreMarkup,2),IF(MarkupType="Supplier Markup",V992+V992*SupplierMarkup,"Error at finding value"))</f>
        <v>22.93</v>
      </c>
      <c r="X992" s="32" t="str">
        <f t="shared" si="348"/>
        <v>0.00</v>
      </c>
      <c r="Y992" s="15">
        <f t="shared" si="349"/>
        <v>29.12</v>
      </c>
      <c r="Z992" s="15">
        <f t="shared" si="350"/>
        <v>45.86</v>
      </c>
      <c r="AA992" s="15">
        <f>IF(FreightType="Lethbridge-Stewart Freight ",ROUND(2.99+IF(N992&gt;0.75,(N992-0.75)*2.25,0)*S992,2),IF(MarkupType="Supplier Markup",V992+V992*SupplierMarkup,"Error at finding value"))</f>
        <v>2.99</v>
      </c>
      <c r="AB992" s="15">
        <f t="shared" si="351"/>
        <v>0</v>
      </c>
    </row>
    <row r="993" spans="1:28" x14ac:dyDescent="0.25">
      <c r="A993" s="16">
        <f>OrdersTable!A993</f>
        <v>112</v>
      </c>
      <c r="B993" s="15" t="str">
        <f t="shared" si="331"/>
        <v>Mr</v>
      </c>
      <c r="C993" s="15" t="str">
        <f t="shared" si="352"/>
        <v>Dahal</v>
      </c>
      <c r="D993" s="15" t="str">
        <f t="shared" si="332"/>
        <v>Subash</v>
      </c>
      <c r="E993" s="15" t="str">
        <f t="shared" si="333"/>
        <v>121-127 Railway Pde, Granville, NSW 2142</v>
      </c>
      <c r="F993" s="15" t="str">
        <f t="shared" si="334"/>
        <v>Granville</v>
      </c>
      <c r="G993" s="15" t="str">
        <f t="shared" si="335"/>
        <v>NSW</v>
      </c>
      <c r="H993" s="15">
        <f t="shared" si="336"/>
        <v>2142</v>
      </c>
      <c r="I993" s="15">
        <f t="shared" si="347"/>
        <v>907</v>
      </c>
      <c r="J993" s="15">
        <f>OrdersTable!B993</f>
        <v>580</v>
      </c>
      <c r="K993" s="15" t="str">
        <f t="shared" si="337"/>
        <v>Giftware</v>
      </c>
      <c r="L993" s="15" t="str">
        <f t="shared" si="338"/>
        <v>Doctor Who: Wallpaper: Classic TARDIS Columns</v>
      </c>
      <c r="M993" s="15" t="str">
        <f t="shared" si="339"/>
        <v>-</v>
      </c>
      <c r="N993" s="15">
        <f t="shared" si="340"/>
        <v>0.65500000000000003</v>
      </c>
      <c r="O993" s="15" t="str">
        <f t="shared" si="341"/>
        <v>A50</v>
      </c>
      <c r="P993" s="15" t="str">
        <f t="shared" si="342"/>
        <v>Rassilon Ltd.</v>
      </c>
      <c r="Q993" s="15" t="str">
        <f t="shared" si="343"/>
        <v>82 Richard Mathews Road</v>
      </c>
      <c r="R993" s="3">
        <f>OrdersTable!C993</f>
        <v>44632</v>
      </c>
      <c r="S993" s="15">
        <f>OrdersTable!E993</f>
        <v>4</v>
      </c>
      <c r="T993" s="15">
        <f t="shared" si="344"/>
        <v>13.11</v>
      </c>
      <c r="U993" s="15">
        <f t="shared" si="345"/>
        <v>18.18</v>
      </c>
      <c r="V993" s="15">
        <f t="shared" si="346"/>
        <v>21.24</v>
      </c>
      <c r="W993" s="15">
        <f>IF(MarkupType="Store Markup",ROUND(V993+V993*StoreMarkup,2),IF(MarkupType="Supplier Markup",V993+V993*SupplierMarkup,"Error at finding value"))</f>
        <v>33.450000000000003</v>
      </c>
      <c r="X993" s="32" t="str">
        <f t="shared" si="348"/>
        <v>0.00</v>
      </c>
      <c r="Y993" s="15">
        <f t="shared" si="349"/>
        <v>84.96</v>
      </c>
      <c r="Z993" s="15">
        <f t="shared" si="350"/>
        <v>133.80000000000001</v>
      </c>
      <c r="AA993" s="15">
        <f>IF(FreightType="Lethbridge-Stewart Freight ",ROUND(2.99+IF(N993&gt;0.75,(N993-0.75)*2.25,0)*S993,2),IF(MarkupType="Supplier Markup",V993+V993*SupplierMarkup,"Error at finding value"))</f>
        <v>2.99</v>
      </c>
      <c r="AB993" s="15">
        <f t="shared" si="351"/>
        <v>0</v>
      </c>
    </row>
    <row r="994" spans="1:28" x14ac:dyDescent="0.25">
      <c r="A994" s="16">
        <f>OrdersTable!A994</f>
        <v>141</v>
      </c>
      <c r="B994" s="15" t="str">
        <f t="shared" si="331"/>
        <v>Mr</v>
      </c>
      <c r="C994" s="15" t="str">
        <f t="shared" si="352"/>
        <v>Bergmann</v>
      </c>
      <c r="D994" s="15" t="str">
        <f t="shared" si="332"/>
        <v>Beau Jay</v>
      </c>
      <c r="E994" s="15" t="str">
        <f t="shared" si="333"/>
        <v>47 McCullough Circuit</v>
      </c>
      <c r="F994" s="15" t="str">
        <f t="shared" si="334"/>
        <v>Breakwater</v>
      </c>
      <c r="G994" s="15" t="str">
        <f t="shared" si="335"/>
        <v>VIC</v>
      </c>
      <c r="H994" s="15">
        <f t="shared" si="336"/>
        <v>3219</v>
      </c>
      <c r="I994" s="15">
        <f t="shared" si="347"/>
        <v>1596</v>
      </c>
      <c r="J994" s="15">
        <f>OrdersTable!B994</f>
        <v>703</v>
      </c>
      <c r="K994" s="15" t="str">
        <f t="shared" si="337"/>
        <v>Posters, Prints and Standees</v>
      </c>
      <c r="L994" s="15" t="str">
        <f t="shared" si="338"/>
        <v>Doctor Who: Poster: Doctor With Sonic Screwdriver</v>
      </c>
      <c r="M994" s="15" t="str">
        <f t="shared" si="339"/>
        <v>-</v>
      </c>
      <c r="N994" s="15">
        <f t="shared" si="340"/>
        <v>0.2</v>
      </c>
      <c r="O994" s="15" t="str">
        <f t="shared" si="341"/>
        <v>A50</v>
      </c>
      <c r="P994" s="15" t="str">
        <f t="shared" si="342"/>
        <v>Rassilon Ltd.</v>
      </c>
      <c r="Q994" s="15" t="str">
        <f t="shared" si="343"/>
        <v>82 Richard Mathews Road</v>
      </c>
      <c r="R994" s="3">
        <f>OrdersTable!C994</f>
        <v>44632</v>
      </c>
      <c r="S994" s="15">
        <f>OrdersTable!E994</f>
        <v>9</v>
      </c>
      <c r="T994" s="15">
        <f t="shared" si="344"/>
        <v>3.99</v>
      </c>
      <c r="U994" s="15">
        <f t="shared" si="345"/>
        <v>5.51</v>
      </c>
      <c r="V994" s="15">
        <f t="shared" si="346"/>
        <v>6.46</v>
      </c>
      <c r="W994" s="15">
        <f>IF(MarkupType="Store Markup",ROUND(V994+V994*StoreMarkup,2),IF(MarkupType="Supplier Markup",V994+V994*SupplierMarkup,"Error at finding value"))</f>
        <v>10.17</v>
      </c>
      <c r="X994" s="32" t="str">
        <f t="shared" si="348"/>
        <v>0.00</v>
      </c>
      <c r="Y994" s="15">
        <f t="shared" si="349"/>
        <v>58.14</v>
      </c>
      <c r="Z994" s="15">
        <f t="shared" si="350"/>
        <v>91.53</v>
      </c>
      <c r="AA994" s="15">
        <f>IF(FreightType="Lethbridge-Stewart Freight ",ROUND(2.99+IF(N994&gt;0.75,(N994-0.75)*2.25,0)*S994,2),IF(MarkupType="Supplier Markup",V994+V994*SupplierMarkup,"Error at finding value"))</f>
        <v>2.99</v>
      </c>
      <c r="AB994" s="15">
        <f t="shared" si="351"/>
        <v>0</v>
      </c>
    </row>
    <row r="995" spans="1:28" x14ac:dyDescent="0.25">
      <c r="A995" s="16">
        <f>OrdersTable!A995</f>
        <v>180</v>
      </c>
      <c r="B995" s="15" t="str">
        <f t="shared" si="331"/>
        <v>Mrs</v>
      </c>
      <c r="C995" s="15" t="str">
        <f t="shared" si="352"/>
        <v>Feeney</v>
      </c>
      <c r="D995" s="15" t="str">
        <f t="shared" si="332"/>
        <v>Jennifer Ruth</v>
      </c>
      <c r="E995" s="15" t="str">
        <f t="shared" si="333"/>
        <v>18 Cook Avenue</v>
      </c>
      <c r="F995" s="15" t="str">
        <f t="shared" si="334"/>
        <v>Nayook</v>
      </c>
      <c r="G995" s="15" t="str">
        <f t="shared" si="335"/>
        <v>VIC</v>
      </c>
      <c r="H995" s="15">
        <f t="shared" si="336"/>
        <v>3832</v>
      </c>
      <c r="I995" s="15">
        <f t="shared" si="347"/>
        <v>1552</v>
      </c>
      <c r="J995" s="15">
        <f>OrdersTable!B995</f>
        <v>643</v>
      </c>
      <c r="K995" s="15" t="str">
        <f t="shared" si="337"/>
        <v>Mugs</v>
      </c>
      <c r="L995" s="15" t="str">
        <f t="shared" si="338"/>
        <v>Doctor Who: Giant Mug: Logo</v>
      </c>
      <c r="M995" s="15" t="str">
        <f t="shared" si="339"/>
        <v>-</v>
      </c>
      <c r="N995" s="15">
        <f t="shared" si="340"/>
        <v>0.44500000000000001</v>
      </c>
      <c r="O995" s="15" t="str">
        <f t="shared" si="341"/>
        <v>A10</v>
      </c>
      <c r="P995" s="15" t="str">
        <f t="shared" si="342"/>
        <v>Gallifrey International</v>
      </c>
      <c r="Q995" s="15" t="str">
        <f t="shared" si="343"/>
        <v>181 Arcadia Street</v>
      </c>
      <c r="R995" s="3">
        <f>OrdersTable!C995</f>
        <v>44632</v>
      </c>
      <c r="S995" s="15">
        <f>OrdersTable!E995</f>
        <v>8</v>
      </c>
      <c r="T995" s="15">
        <f t="shared" si="344"/>
        <v>8.89</v>
      </c>
      <c r="U995" s="15">
        <f t="shared" si="345"/>
        <v>12.19</v>
      </c>
      <c r="V995" s="15">
        <f t="shared" si="346"/>
        <v>14.4</v>
      </c>
      <c r="W995" s="15">
        <f>IF(MarkupType="Store Markup",ROUND(V995+V995*StoreMarkup,2),IF(MarkupType="Supplier Markup",V995+V995*SupplierMarkup,"Error at finding value"))</f>
        <v>22.68</v>
      </c>
      <c r="X995" s="32" t="str">
        <f t="shared" si="348"/>
        <v>0.00</v>
      </c>
      <c r="Y995" s="15">
        <f t="shared" si="349"/>
        <v>115.2</v>
      </c>
      <c r="Z995" s="15">
        <f t="shared" si="350"/>
        <v>181.44</v>
      </c>
      <c r="AA995" s="15">
        <f>IF(FreightType="Lethbridge-Stewart Freight ",ROUND(2.99+IF(N995&gt;0.75,(N995-0.75)*2.25,0)*S995,2),IF(MarkupType="Supplier Markup",V995+V995*SupplierMarkup,"Error at finding value"))</f>
        <v>2.99</v>
      </c>
      <c r="AB995" s="15">
        <f t="shared" si="351"/>
        <v>0</v>
      </c>
    </row>
    <row r="996" spans="1:28" x14ac:dyDescent="0.25">
      <c r="A996" s="16">
        <f>OrdersTable!A996</f>
        <v>249</v>
      </c>
      <c r="B996" s="15" t="str">
        <f t="shared" si="331"/>
        <v>Mr</v>
      </c>
      <c r="C996" s="15" t="str">
        <f t="shared" si="352"/>
        <v>Sinclair</v>
      </c>
      <c r="D996" s="15" t="str">
        <f t="shared" si="332"/>
        <v>Travis James Foord</v>
      </c>
      <c r="E996" s="15" t="str">
        <f t="shared" si="333"/>
        <v>25 Leunen Avenue</v>
      </c>
      <c r="F996" s="15" t="str">
        <f t="shared" si="334"/>
        <v>Batlow</v>
      </c>
      <c r="G996" s="15" t="str">
        <f t="shared" si="335"/>
        <v>NSW</v>
      </c>
      <c r="H996" s="15">
        <f t="shared" si="336"/>
        <v>2730</v>
      </c>
      <c r="I996" s="15">
        <f t="shared" si="347"/>
        <v>1138</v>
      </c>
      <c r="J996" s="15">
        <f>OrdersTable!B996</f>
        <v>374</v>
      </c>
      <c r="K996" s="15" t="str">
        <f t="shared" si="337"/>
        <v>Clothing and Apparel</v>
      </c>
      <c r="L996" s="15" t="str">
        <f t="shared" si="338"/>
        <v xml:space="preserve">Doctor Who: T-Shirts: 5th Doctor Costume </v>
      </c>
      <c r="M996" s="15" t="str">
        <f t="shared" si="339"/>
        <v>XL</v>
      </c>
      <c r="N996" s="15">
        <f t="shared" si="340"/>
        <v>0.8</v>
      </c>
      <c r="O996" s="15" t="str">
        <f t="shared" si="341"/>
        <v>A50</v>
      </c>
      <c r="P996" s="15" t="str">
        <f t="shared" si="342"/>
        <v>Rassilon Ltd.</v>
      </c>
      <c r="Q996" s="15" t="str">
        <f t="shared" si="343"/>
        <v>82 Richard Mathews Road</v>
      </c>
      <c r="R996" s="3">
        <f>OrdersTable!C996</f>
        <v>44632</v>
      </c>
      <c r="S996" s="15">
        <f>OrdersTable!E996</f>
        <v>1</v>
      </c>
      <c r="T996" s="15">
        <f t="shared" si="344"/>
        <v>15.99</v>
      </c>
      <c r="U996" s="15">
        <f t="shared" si="345"/>
        <v>21.97</v>
      </c>
      <c r="V996" s="15">
        <f t="shared" si="346"/>
        <v>25.9</v>
      </c>
      <c r="W996" s="15">
        <f>IF(MarkupType="Store Markup",ROUND(V996+V996*StoreMarkup,2),IF(MarkupType="Supplier Markup",V996+V996*SupplierMarkup,"Error at finding value"))</f>
        <v>40.79</v>
      </c>
      <c r="X996" s="32" t="str">
        <f t="shared" si="348"/>
        <v>0.00</v>
      </c>
      <c r="Y996" s="15">
        <f t="shared" si="349"/>
        <v>25.9</v>
      </c>
      <c r="Z996" s="15">
        <f t="shared" si="350"/>
        <v>40.79</v>
      </c>
      <c r="AA996" s="15">
        <f>IF(FreightType="Lethbridge-Stewart Freight ",ROUND(2.99+IF(N996&gt;0.75,(N996-0.75)*2.25,0)*S996,2),IF(MarkupType="Supplier Markup",V996+V996*SupplierMarkup,"Error at finding value"))</f>
        <v>3.1</v>
      </c>
      <c r="AB996" s="15">
        <f t="shared" si="351"/>
        <v>0</v>
      </c>
    </row>
    <row r="997" spans="1:28" x14ac:dyDescent="0.25">
      <c r="A997" s="16">
        <f>OrdersTable!A997</f>
        <v>331</v>
      </c>
      <c r="B997" s="15" t="str">
        <f t="shared" si="331"/>
        <v>Mrs</v>
      </c>
      <c r="C997" s="15" t="str">
        <f t="shared" si="352"/>
        <v>McKenzie</v>
      </c>
      <c r="D997" s="15" t="str">
        <f t="shared" si="332"/>
        <v>Melinda Kate</v>
      </c>
      <c r="E997" s="15" t="str">
        <f t="shared" si="333"/>
        <v>49 McKay Way</v>
      </c>
      <c r="F997" s="15" t="str">
        <f t="shared" si="334"/>
        <v>Black Hills</v>
      </c>
      <c r="G997" s="15" t="str">
        <f t="shared" si="335"/>
        <v>TAS</v>
      </c>
      <c r="H997" s="15">
        <f t="shared" si="336"/>
        <v>7140</v>
      </c>
      <c r="I997" s="15">
        <f t="shared" si="347"/>
        <v>2191</v>
      </c>
      <c r="J997" s="15">
        <f>OrdersTable!B997</f>
        <v>826</v>
      </c>
      <c r="K997" s="15" t="str">
        <f t="shared" si="337"/>
        <v>Statues and Busts</v>
      </c>
      <c r="L997" s="15" t="str">
        <f t="shared" si="338"/>
        <v>Doctor Who: Mini Bust: Cyberman</v>
      </c>
      <c r="M997" s="15" t="str">
        <f t="shared" si="339"/>
        <v>-</v>
      </c>
      <c r="N997" s="15">
        <f t="shared" si="340"/>
        <v>1.8</v>
      </c>
      <c r="O997" s="15" t="str">
        <f t="shared" si="341"/>
        <v>A40</v>
      </c>
      <c r="P997" s="15" t="str">
        <f t="shared" si="342"/>
        <v>Romana Imports</v>
      </c>
      <c r="Q997" s="15" t="str">
        <f t="shared" si="343"/>
        <v>17 Lalla Ward Road</v>
      </c>
      <c r="R997" s="3">
        <f>OrdersTable!C997</f>
        <v>44632</v>
      </c>
      <c r="S997" s="15">
        <f>OrdersTable!E997</f>
        <v>6</v>
      </c>
      <c r="T997" s="15">
        <f t="shared" si="344"/>
        <v>35.99</v>
      </c>
      <c r="U997" s="15">
        <f t="shared" si="345"/>
        <v>49.13</v>
      </c>
      <c r="V997" s="15">
        <f t="shared" si="346"/>
        <v>58.3</v>
      </c>
      <c r="W997" s="15">
        <f>IF(MarkupType="Store Markup",ROUND(V997+V997*StoreMarkup,2),IF(MarkupType="Supplier Markup",V997+V997*SupplierMarkup,"Error at finding value"))</f>
        <v>91.82</v>
      </c>
      <c r="X997" s="32" t="str">
        <f t="shared" si="348"/>
        <v>0.00</v>
      </c>
      <c r="Y997" s="15">
        <f t="shared" si="349"/>
        <v>349.8</v>
      </c>
      <c r="Z997" s="15">
        <f t="shared" si="350"/>
        <v>550.91999999999996</v>
      </c>
      <c r="AA997" s="15">
        <f>IF(FreightType="Lethbridge-Stewart Freight ",ROUND(2.99+IF(N997&gt;0.75,(N997-0.75)*2.25,0)*S997,2),IF(MarkupType="Supplier Markup",V997+V997*SupplierMarkup,"Error at finding value"))</f>
        <v>17.170000000000002</v>
      </c>
      <c r="AB997" s="15">
        <f t="shared" si="351"/>
        <v>0</v>
      </c>
    </row>
    <row r="998" spans="1:28" x14ac:dyDescent="0.25">
      <c r="A998" s="16">
        <f>OrdersTable!A998</f>
        <v>338</v>
      </c>
      <c r="B998" s="15" t="str">
        <f t="shared" si="331"/>
        <v>Miss</v>
      </c>
      <c r="C998" s="15" t="str">
        <f t="shared" si="352"/>
        <v>Pellegrino</v>
      </c>
      <c r="D998" s="15" t="str">
        <f t="shared" si="332"/>
        <v>Samantha</v>
      </c>
      <c r="E998" s="15" t="str">
        <f t="shared" si="333"/>
        <v>38 McKeown Street</v>
      </c>
      <c r="F998" s="15" t="str">
        <f t="shared" si="334"/>
        <v>Avon Plains</v>
      </c>
      <c r="G998" s="15" t="str">
        <f t="shared" si="335"/>
        <v>VIC</v>
      </c>
      <c r="H998" s="15">
        <f t="shared" si="336"/>
        <v>3477</v>
      </c>
      <c r="I998" s="15">
        <f t="shared" si="347"/>
        <v>1565</v>
      </c>
      <c r="J998" s="15">
        <f>OrdersTable!B998</f>
        <v>849</v>
      </c>
      <c r="K998" s="15" t="str">
        <f t="shared" si="337"/>
        <v>Statues and Busts</v>
      </c>
      <c r="L998" s="15" t="str">
        <f t="shared" si="338"/>
        <v>Doctor Who: Statue: Cyber Controller</v>
      </c>
      <c r="M998" s="15" t="str">
        <f t="shared" si="339"/>
        <v>-</v>
      </c>
      <c r="N998" s="15">
        <f t="shared" si="340"/>
        <v>5</v>
      </c>
      <c r="O998" s="15" t="str">
        <f t="shared" si="341"/>
        <v>A10</v>
      </c>
      <c r="P998" s="15" t="str">
        <f t="shared" si="342"/>
        <v>Gallifrey International</v>
      </c>
      <c r="Q998" s="15" t="str">
        <f t="shared" si="343"/>
        <v>181 Arcadia Street</v>
      </c>
      <c r="R998" s="3">
        <f>OrdersTable!C998</f>
        <v>44632</v>
      </c>
      <c r="S998" s="15">
        <f>OrdersTable!E998</f>
        <v>3</v>
      </c>
      <c r="T998" s="15">
        <f t="shared" si="344"/>
        <v>99.99</v>
      </c>
      <c r="U998" s="15">
        <f t="shared" si="345"/>
        <v>136.41</v>
      </c>
      <c r="V998" s="15">
        <f t="shared" si="346"/>
        <v>161.97999999999999</v>
      </c>
      <c r="W998" s="15">
        <f>IF(MarkupType="Store Markup",ROUND(V998+V998*StoreMarkup,2),IF(MarkupType="Supplier Markup",V998+V998*SupplierMarkup,"Error at finding value"))</f>
        <v>255.12</v>
      </c>
      <c r="X998" s="32">
        <f t="shared" si="348"/>
        <v>18.18</v>
      </c>
      <c r="Y998" s="15">
        <f t="shared" si="349"/>
        <v>485.94</v>
      </c>
      <c r="Z998" s="15">
        <f t="shared" si="350"/>
        <v>710.82</v>
      </c>
      <c r="AA998" s="15">
        <f>IF(FreightType="Lethbridge-Stewart Freight ",ROUND(2.99+IF(N998&gt;0.75,(N998-0.75)*2.25,0)*S998,2),IF(MarkupType="Supplier Markup",V998+V998*SupplierMarkup,"Error at finding value"))</f>
        <v>31.68</v>
      </c>
      <c r="AB998" s="15">
        <f t="shared" si="351"/>
        <v>54.54</v>
      </c>
    </row>
    <row r="999" spans="1:28" x14ac:dyDescent="0.25">
      <c r="A999" s="16">
        <f>OrdersTable!A999</f>
        <v>362</v>
      </c>
      <c r="B999" s="15" t="str">
        <f t="shared" si="331"/>
        <v>Mr</v>
      </c>
      <c r="C999" s="15" t="str">
        <f t="shared" si="352"/>
        <v>Hurst</v>
      </c>
      <c r="D999" s="15" t="str">
        <f t="shared" si="332"/>
        <v>Ralph Gregory</v>
      </c>
      <c r="E999" s="15" t="str">
        <f t="shared" si="333"/>
        <v>45 Blakeney Road</v>
      </c>
      <c r="F999" s="15" t="str">
        <f t="shared" si="334"/>
        <v>Iluka</v>
      </c>
      <c r="G999" s="15" t="str">
        <f t="shared" si="335"/>
        <v>NSW</v>
      </c>
      <c r="H999" s="15">
        <f t="shared" si="336"/>
        <v>2466</v>
      </c>
      <c r="I999" s="15">
        <f t="shared" si="347"/>
        <v>347</v>
      </c>
      <c r="J999" s="15">
        <f>OrdersTable!B999</f>
        <v>709</v>
      </c>
      <c r="K999" s="15" t="str">
        <f t="shared" si="337"/>
        <v>Posters, Prints and Standees</v>
      </c>
      <c r="L999" s="15" t="str">
        <f t="shared" si="338"/>
        <v>Doctor Who: Poster: Metallic TARDIS</v>
      </c>
      <c r="M999" s="15" t="str">
        <f t="shared" si="339"/>
        <v>-</v>
      </c>
      <c r="N999" s="15">
        <f t="shared" si="340"/>
        <v>0.2</v>
      </c>
      <c r="O999" s="15" t="str">
        <f t="shared" si="341"/>
        <v>A10</v>
      </c>
      <c r="P999" s="15" t="str">
        <f t="shared" si="342"/>
        <v>Gallifrey International</v>
      </c>
      <c r="Q999" s="15" t="str">
        <f t="shared" si="343"/>
        <v>181 Arcadia Street</v>
      </c>
      <c r="R999" s="3">
        <f>OrdersTable!C999</f>
        <v>44632</v>
      </c>
      <c r="S999" s="15">
        <f>OrdersTable!E999</f>
        <v>10</v>
      </c>
      <c r="T999" s="15">
        <f t="shared" si="344"/>
        <v>3.99</v>
      </c>
      <c r="U999" s="15">
        <f t="shared" si="345"/>
        <v>5.71</v>
      </c>
      <c r="V999" s="15">
        <f t="shared" si="346"/>
        <v>6.46</v>
      </c>
      <c r="W999" s="15">
        <f>IF(MarkupType="Store Markup",ROUND(V999+V999*StoreMarkup,2),IF(MarkupType="Supplier Markup",V999+V999*SupplierMarkup,"Error at finding value"))</f>
        <v>10.17</v>
      </c>
      <c r="X999" s="32" t="str">
        <f t="shared" si="348"/>
        <v>0.00</v>
      </c>
      <c r="Y999" s="15">
        <f t="shared" si="349"/>
        <v>64.599999999999994</v>
      </c>
      <c r="Z999" s="15">
        <f t="shared" si="350"/>
        <v>101.7</v>
      </c>
      <c r="AA999" s="15">
        <f>IF(FreightType="Lethbridge-Stewart Freight ",ROUND(2.99+IF(N999&gt;0.75,(N999-0.75)*2.25,0)*S999,2),IF(MarkupType="Supplier Markup",V999+V999*SupplierMarkup,"Error at finding value"))</f>
        <v>2.99</v>
      </c>
      <c r="AB999" s="15">
        <f t="shared" si="351"/>
        <v>0</v>
      </c>
    </row>
    <row r="1000" spans="1:28" x14ac:dyDescent="0.25">
      <c r="A1000" s="16">
        <f>OrdersTable!A1000</f>
        <v>370</v>
      </c>
      <c r="B1000" s="15" t="str">
        <f t="shared" si="331"/>
        <v>Mr</v>
      </c>
      <c r="C1000" s="15" t="str">
        <f t="shared" si="352"/>
        <v>Kennedy</v>
      </c>
      <c r="D1000" s="15" t="str">
        <f t="shared" si="332"/>
        <v>Joseph Dominic</v>
      </c>
      <c r="E1000" s="15" t="str">
        <f t="shared" si="333"/>
        <v>43 Barton Road</v>
      </c>
      <c r="F1000" s="15" t="str">
        <f t="shared" si="334"/>
        <v>Boston</v>
      </c>
      <c r="G1000" s="15" t="str">
        <f t="shared" si="335"/>
        <v>SA</v>
      </c>
      <c r="H1000" s="15">
        <f t="shared" si="336"/>
        <v>5607</v>
      </c>
      <c r="I1000" s="15">
        <f t="shared" si="347"/>
        <v>2076</v>
      </c>
      <c r="J1000" s="15">
        <f>OrdersTable!B1000</f>
        <v>316</v>
      </c>
      <c r="K1000" s="15" t="str">
        <f t="shared" si="337"/>
        <v>Clothing and Apparel</v>
      </c>
      <c r="L1000" s="15" t="str">
        <f t="shared" si="338"/>
        <v xml:space="preserve">Doctor Who: T-Shirts: 4th Doctor Costume </v>
      </c>
      <c r="M1000" s="15" t="str">
        <f t="shared" si="339"/>
        <v>S</v>
      </c>
      <c r="N1000" s="15">
        <f t="shared" si="340"/>
        <v>0.8</v>
      </c>
      <c r="O1000" s="15" t="str">
        <f t="shared" si="341"/>
        <v>A30</v>
      </c>
      <c r="P1000" s="15" t="str">
        <f t="shared" si="342"/>
        <v>Chesterton Enterprises</v>
      </c>
      <c r="Q1000" s="15" t="str">
        <f t="shared" si="343"/>
        <v>41 William Russell Road</v>
      </c>
      <c r="R1000" s="3">
        <f>OrdersTable!C1000</f>
        <v>44632</v>
      </c>
      <c r="S1000" s="15">
        <f>OrdersTable!E1000</f>
        <v>2</v>
      </c>
      <c r="T1000" s="15">
        <f t="shared" si="344"/>
        <v>15.99</v>
      </c>
      <c r="U1000" s="15">
        <f t="shared" si="345"/>
        <v>21.94</v>
      </c>
      <c r="V1000" s="15">
        <f t="shared" si="346"/>
        <v>25.9</v>
      </c>
      <c r="W1000" s="15">
        <f>IF(MarkupType="Store Markup",ROUND(V1000+V1000*StoreMarkup,2),IF(MarkupType="Supplier Markup",V1000+V1000*SupplierMarkup,"Error at finding value"))</f>
        <v>40.79</v>
      </c>
      <c r="X1000" s="32" t="str">
        <f t="shared" si="348"/>
        <v>0.00</v>
      </c>
      <c r="Y1000" s="15">
        <f t="shared" si="349"/>
        <v>51.8</v>
      </c>
      <c r="Z1000" s="15">
        <f t="shared" si="350"/>
        <v>81.58</v>
      </c>
      <c r="AA1000" s="15">
        <f>IF(FreightType="Lethbridge-Stewart Freight ",ROUND(2.99+IF(N1000&gt;0.75,(N1000-0.75)*2.25,0)*S1000,2),IF(MarkupType="Supplier Markup",V1000+V1000*SupplierMarkup,"Error at finding value"))</f>
        <v>3.22</v>
      </c>
      <c r="AB1000" s="15">
        <f t="shared" si="351"/>
        <v>0</v>
      </c>
    </row>
    <row r="1001" spans="1:28" x14ac:dyDescent="0.25">
      <c r="A1001" s="16">
        <f>OrdersTable!A1001</f>
        <v>412</v>
      </c>
      <c r="B1001" s="15" t="str">
        <f t="shared" si="331"/>
        <v>Miss</v>
      </c>
      <c r="C1001" s="15" t="str">
        <f t="shared" si="352"/>
        <v>Moraitis</v>
      </c>
      <c r="D1001" s="15" t="str">
        <f t="shared" si="332"/>
        <v>Vikki Sue</v>
      </c>
      <c r="E1001" s="15" t="str">
        <f t="shared" si="333"/>
        <v>11 Stuckings Boulevard</v>
      </c>
      <c r="F1001" s="15" t="str">
        <f t="shared" si="334"/>
        <v>Airly</v>
      </c>
      <c r="G1001" s="15" t="str">
        <f t="shared" si="335"/>
        <v>VIC</v>
      </c>
      <c r="H1001" s="15">
        <f t="shared" si="336"/>
        <v>3851</v>
      </c>
      <c r="I1001" s="15">
        <f t="shared" si="347"/>
        <v>1583</v>
      </c>
      <c r="J1001" s="15">
        <f>OrdersTable!B1001</f>
        <v>681</v>
      </c>
      <c r="K1001" s="15" t="str">
        <f t="shared" si="337"/>
        <v>Mugs</v>
      </c>
      <c r="L1001" s="15" t="str">
        <f t="shared" si="338"/>
        <v>Doctor Who: Mug: The First Doctor</v>
      </c>
      <c r="M1001" s="15" t="str">
        <f t="shared" si="339"/>
        <v>-</v>
      </c>
      <c r="N1001" s="15">
        <f t="shared" si="340"/>
        <v>0.45</v>
      </c>
      <c r="O1001" s="15" t="str">
        <f t="shared" si="341"/>
        <v>A20</v>
      </c>
      <c r="P1001" s="15" t="str">
        <f t="shared" si="342"/>
        <v>Morbius Inc.</v>
      </c>
      <c r="Q1001" s="15" t="str">
        <f t="shared" si="343"/>
        <v>56 Michael Spice Hwy</v>
      </c>
      <c r="R1001" s="3">
        <f>OrdersTable!C1001</f>
        <v>44632</v>
      </c>
      <c r="S1001" s="15">
        <f>OrdersTable!E1001</f>
        <v>3</v>
      </c>
      <c r="T1001" s="15">
        <f t="shared" si="344"/>
        <v>8.99</v>
      </c>
      <c r="U1001" s="15">
        <f t="shared" si="345"/>
        <v>12.51</v>
      </c>
      <c r="V1001" s="15">
        <f t="shared" si="346"/>
        <v>14.56</v>
      </c>
      <c r="W1001" s="15">
        <f>IF(MarkupType="Store Markup",ROUND(V1001+V1001*StoreMarkup,2),IF(MarkupType="Supplier Markup",V1001+V1001*SupplierMarkup,"Error at finding value"))</f>
        <v>22.93</v>
      </c>
      <c r="X1001" s="32" t="str">
        <f t="shared" si="348"/>
        <v>0.00</v>
      </c>
      <c r="Y1001" s="15">
        <f t="shared" si="349"/>
        <v>43.68</v>
      </c>
      <c r="Z1001" s="15">
        <f t="shared" si="350"/>
        <v>68.790000000000006</v>
      </c>
      <c r="AA1001" s="15">
        <f>IF(FreightType="Lethbridge-Stewart Freight ",ROUND(2.99+IF(N1001&gt;0.75,(N1001-0.75)*2.25,0)*S1001,2),IF(MarkupType="Supplier Markup",V1001+V1001*SupplierMarkup,"Error at finding value"))</f>
        <v>2.99</v>
      </c>
      <c r="AB1001" s="15">
        <f t="shared" si="351"/>
        <v>0</v>
      </c>
    </row>
    <row r="1002" spans="1:28" x14ac:dyDescent="0.25">
      <c r="A1002" s="16">
        <f>OrdersTable!A1002</f>
        <v>526</v>
      </c>
      <c r="B1002" s="15" t="str">
        <f t="shared" si="331"/>
        <v>Mrs</v>
      </c>
      <c r="C1002" s="15" t="str">
        <f t="shared" si="352"/>
        <v>Bradford</v>
      </c>
      <c r="D1002" s="15" t="str">
        <f t="shared" si="332"/>
        <v>Haleigh Renae Ann</v>
      </c>
      <c r="E1002" s="15" t="str">
        <f t="shared" si="333"/>
        <v>31 Johnston Road</v>
      </c>
      <c r="F1002" s="15" t="str">
        <f t="shared" si="334"/>
        <v>Ashford</v>
      </c>
      <c r="G1002" s="15" t="str">
        <f t="shared" si="335"/>
        <v>SA</v>
      </c>
      <c r="H1002" s="15">
        <f t="shared" si="336"/>
        <v>5035</v>
      </c>
      <c r="I1002" s="15">
        <f t="shared" si="347"/>
        <v>1877</v>
      </c>
      <c r="J1002" s="15">
        <f>OrdersTable!B1002</f>
        <v>583</v>
      </c>
      <c r="K1002" s="15" t="str">
        <f t="shared" si="337"/>
        <v>iPhone Skins</v>
      </c>
      <c r="L1002" s="15" t="str">
        <f t="shared" si="338"/>
        <v>Doctor Who: iPhone Skin: Cyberman Delete</v>
      </c>
      <c r="M1002" s="15" t="str">
        <f t="shared" si="339"/>
        <v>-</v>
      </c>
      <c r="N1002" s="15">
        <f t="shared" si="340"/>
        <v>0.3</v>
      </c>
      <c r="O1002" s="15" t="str">
        <f t="shared" si="341"/>
        <v>A50</v>
      </c>
      <c r="P1002" s="15" t="str">
        <f t="shared" si="342"/>
        <v>Rassilon Ltd.</v>
      </c>
      <c r="Q1002" s="15" t="str">
        <f t="shared" si="343"/>
        <v>82 Richard Mathews Road</v>
      </c>
      <c r="R1002" s="3">
        <f>OrdersTable!C1002</f>
        <v>44632</v>
      </c>
      <c r="S1002" s="15">
        <f>OrdersTable!E1002</f>
        <v>1</v>
      </c>
      <c r="T1002" s="15">
        <f t="shared" si="344"/>
        <v>5.99</v>
      </c>
      <c r="U1002" s="15">
        <f t="shared" si="345"/>
        <v>8.23</v>
      </c>
      <c r="V1002" s="15">
        <f t="shared" si="346"/>
        <v>9.6999999999999993</v>
      </c>
      <c r="W1002" s="15">
        <f>IF(MarkupType="Store Markup",ROUND(V1002+V1002*StoreMarkup,2),IF(MarkupType="Supplier Markup",V1002+V1002*SupplierMarkup,"Error at finding value"))</f>
        <v>15.28</v>
      </c>
      <c r="X1002" s="32" t="str">
        <f t="shared" si="348"/>
        <v>0.00</v>
      </c>
      <c r="Y1002" s="15">
        <f t="shared" si="349"/>
        <v>9.6999999999999993</v>
      </c>
      <c r="Z1002" s="15">
        <f t="shared" si="350"/>
        <v>15.28</v>
      </c>
      <c r="AA1002" s="15">
        <f>IF(FreightType="Lethbridge-Stewart Freight ",ROUND(2.99+IF(N1002&gt;0.75,(N1002-0.75)*2.25,0)*S1002,2),IF(MarkupType="Supplier Markup",V1002+V1002*SupplierMarkup,"Error at finding value"))</f>
        <v>2.99</v>
      </c>
      <c r="AB1002" s="15">
        <f t="shared" si="351"/>
        <v>0</v>
      </c>
    </row>
    <row r="1003" spans="1:28" x14ac:dyDescent="0.25">
      <c r="A1003" s="16">
        <f>OrdersTable!A1003</f>
        <v>544</v>
      </c>
      <c r="B1003" s="15" t="str">
        <f t="shared" si="331"/>
        <v>Mr</v>
      </c>
      <c r="C1003" s="15" t="str">
        <f t="shared" si="352"/>
        <v>Sullivan</v>
      </c>
      <c r="D1003" s="15" t="str">
        <f t="shared" si="332"/>
        <v>Lawrence Bernard</v>
      </c>
      <c r="E1003" s="15" t="str">
        <f t="shared" si="333"/>
        <v>11 Haydon Boulevard</v>
      </c>
      <c r="F1003" s="15" t="str">
        <f t="shared" si="334"/>
        <v>Breakwater</v>
      </c>
      <c r="G1003" s="15" t="str">
        <f t="shared" si="335"/>
        <v>VIC</v>
      </c>
      <c r="H1003" s="15">
        <f t="shared" si="336"/>
        <v>3219</v>
      </c>
      <c r="I1003" s="15">
        <f t="shared" si="347"/>
        <v>1596</v>
      </c>
      <c r="J1003" s="15">
        <f>OrdersTable!B1003</f>
        <v>607</v>
      </c>
      <c r="K1003" s="15" t="str">
        <f t="shared" si="337"/>
        <v>iPhone Skins</v>
      </c>
      <c r="L1003" s="15" t="str">
        <f t="shared" si="338"/>
        <v>Doctor Who: iPhone Skin: Keep Calm I'm The Doctor</v>
      </c>
      <c r="M1003" s="15" t="str">
        <f t="shared" si="339"/>
        <v>-</v>
      </c>
      <c r="N1003" s="15">
        <f t="shared" si="340"/>
        <v>0.5</v>
      </c>
      <c r="O1003" s="15" t="str">
        <f t="shared" si="341"/>
        <v>A40</v>
      </c>
      <c r="P1003" s="15" t="str">
        <f t="shared" si="342"/>
        <v>Romana Imports</v>
      </c>
      <c r="Q1003" s="15" t="str">
        <f t="shared" si="343"/>
        <v>17 Lalla Ward Road</v>
      </c>
      <c r="R1003" s="3">
        <f>OrdersTable!C1003</f>
        <v>44632</v>
      </c>
      <c r="S1003" s="15">
        <f>OrdersTable!E1003</f>
        <v>2</v>
      </c>
      <c r="T1003" s="15">
        <f t="shared" si="344"/>
        <v>9.99</v>
      </c>
      <c r="U1003" s="15">
        <f t="shared" si="345"/>
        <v>13.81</v>
      </c>
      <c r="V1003" s="15">
        <f t="shared" si="346"/>
        <v>16.18</v>
      </c>
      <c r="W1003" s="15">
        <f>IF(MarkupType="Store Markup",ROUND(V1003+V1003*StoreMarkup,2),IF(MarkupType="Supplier Markup",V1003+V1003*SupplierMarkup,"Error at finding value"))</f>
        <v>25.48</v>
      </c>
      <c r="X1003" s="32" t="str">
        <f t="shared" si="348"/>
        <v>0.00</v>
      </c>
      <c r="Y1003" s="15">
        <f t="shared" si="349"/>
        <v>32.36</v>
      </c>
      <c r="Z1003" s="15">
        <f t="shared" si="350"/>
        <v>50.96</v>
      </c>
      <c r="AA1003" s="15">
        <f>IF(FreightType="Lethbridge-Stewart Freight ",ROUND(2.99+IF(N1003&gt;0.75,(N1003-0.75)*2.25,0)*S1003,2),IF(MarkupType="Supplier Markup",V1003+V1003*SupplierMarkup,"Error at finding value"))</f>
        <v>2.99</v>
      </c>
      <c r="AB1003" s="15">
        <f t="shared" si="351"/>
        <v>0</v>
      </c>
    </row>
    <row r="1004" spans="1:28" x14ac:dyDescent="0.25">
      <c r="A1004" s="16">
        <f>OrdersTable!A1004</f>
        <v>557</v>
      </c>
      <c r="B1004" s="15" t="str">
        <f t="shared" si="331"/>
        <v>Mrs</v>
      </c>
      <c r="C1004" s="15" t="str">
        <f t="shared" si="352"/>
        <v>Allen</v>
      </c>
      <c r="D1004" s="15" t="str">
        <f t="shared" si="332"/>
        <v>Morgan</v>
      </c>
      <c r="E1004" s="15" t="str">
        <f t="shared" si="333"/>
        <v>15 Winsor Street</v>
      </c>
      <c r="F1004" s="15" t="str">
        <f t="shared" si="334"/>
        <v>Appletree Flat</v>
      </c>
      <c r="G1004" s="15" t="str">
        <f t="shared" si="335"/>
        <v>NSW</v>
      </c>
      <c r="H1004" s="15">
        <f t="shared" si="336"/>
        <v>2330</v>
      </c>
      <c r="I1004" s="15">
        <f t="shared" si="347"/>
        <v>691</v>
      </c>
      <c r="J1004" s="15">
        <f>OrdersTable!B1004</f>
        <v>707</v>
      </c>
      <c r="K1004" s="15" t="str">
        <f t="shared" si="337"/>
        <v>Posters, Prints and Standees</v>
      </c>
      <c r="L1004" s="15" t="str">
        <f t="shared" si="338"/>
        <v>Doctor Who: Poster: Ironside Dalek Blueprint</v>
      </c>
      <c r="M1004" s="15" t="str">
        <f t="shared" si="339"/>
        <v>-</v>
      </c>
      <c r="N1004" s="15">
        <f t="shared" si="340"/>
        <v>0.2</v>
      </c>
      <c r="O1004" s="15" t="str">
        <f t="shared" si="341"/>
        <v>A20</v>
      </c>
      <c r="P1004" s="15" t="str">
        <f t="shared" si="342"/>
        <v>Morbius Inc.</v>
      </c>
      <c r="Q1004" s="15" t="str">
        <f t="shared" si="343"/>
        <v>56 Michael Spice Hwy</v>
      </c>
      <c r="R1004" s="3">
        <f>OrdersTable!C1004</f>
        <v>44632</v>
      </c>
      <c r="S1004" s="15">
        <f>OrdersTable!E1004</f>
        <v>9</v>
      </c>
      <c r="T1004" s="15">
        <f t="shared" si="344"/>
        <v>3.99</v>
      </c>
      <c r="U1004" s="15">
        <f t="shared" si="345"/>
        <v>5.48</v>
      </c>
      <c r="V1004" s="15">
        <f t="shared" si="346"/>
        <v>6.46</v>
      </c>
      <c r="W1004" s="15">
        <f>IF(MarkupType="Store Markup",ROUND(V1004+V1004*StoreMarkup,2),IF(MarkupType="Supplier Markup",V1004+V1004*SupplierMarkup,"Error at finding value"))</f>
        <v>10.17</v>
      </c>
      <c r="X1004" s="32" t="str">
        <f t="shared" si="348"/>
        <v>0.00</v>
      </c>
      <c r="Y1004" s="15">
        <f t="shared" si="349"/>
        <v>58.14</v>
      </c>
      <c r="Z1004" s="15">
        <f t="shared" si="350"/>
        <v>91.53</v>
      </c>
      <c r="AA1004" s="15">
        <f>IF(FreightType="Lethbridge-Stewart Freight ",ROUND(2.99+IF(N1004&gt;0.75,(N1004-0.75)*2.25,0)*S1004,2),IF(MarkupType="Supplier Markup",V1004+V1004*SupplierMarkup,"Error at finding value"))</f>
        <v>2.99</v>
      </c>
      <c r="AB1004" s="15">
        <f t="shared" si="351"/>
        <v>0</v>
      </c>
    </row>
    <row r="1005" spans="1:28" x14ac:dyDescent="0.25">
      <c r="A1005" s="16">
        <f>OrdersTable!A1005</f>
        <v>585</v>
      </c>
      <c r="B1005" s="15" t="str">
        <f t="shared" si="331"/>
        <v>Miss</v>
      </c>
      <c r="C1005" s="15" t="str">
        <f t="shared" si="352"/>
        <v>Long</v>
      </c>
      <c r="D1005" s="15" t="str">
        <f t="shared" si="332"/>
        <v>Bellinda May</v>
      </c>
      <c r="E1005" s="15" t="str">
        <f t="shared" si="333"/>
        <v>5 Hutcheson Avenue</v>
      </c>
      <c r="F1005" s="15" t="str">
        <f t="shared" si="334"/>
        <v>Glenfern</v>
      </c>
      <c r="G1005" s="15" t="str">
        <f t="shared" si="335"/>
        <v>QLD</v>
      </c>
      <c r="H1005" s="15">
        <f t="shared" si="336"/>
        <v>4515</v>
      </c>
      <c r="I1005" s="15">
        <f t="shared" si="347"/>
        <v>128</v>
      </c>
      <c r="J1005" s="15">
        <f>OrdersTable!B1005</f>
        <v>752</v>
      </c>
      <c r="K1005" s="15" t="str">
        <f t="shared" si="337"/>
        <v>Statues and Busts</v>
      </c>
      <c r="L1005" s="15" t="str">
        <f t="shared" si="338"/>
        <v>Doctor Who: Helmet: Cyberman Leader</v>
      </c>
      <c r="M1005" s="15" t="str">
        <f t="shared" si="339"/>
        <v>-</v>
      </c>
      <c r="N1005" s="15">
        <f t="shared" si="340"/>
        <v>2</v>
      </c>
      <c r="O1005" s="15" t="str">
        <f t="shared" si="341"/>
        <v>A30</v>
      </c>
      <c r="P1005" s="15" t="str">
        <f t="shared" si="342"/>
        <v>Chesterton Enterprises</v>
      </c>
      <c r="Q1005" s="15" t="str">
        <f t="shared" si="343"/>
        <v>41 William Russell Road</v>
      </c>
      <c r="R1005" s="3">
        <f>OrdersTable!C1005</f>
        <v>44632</v>
      </c>
      <c r="S1005" s="15">
        <f>OrdersTable!E1005</f>
        <v>4</v>
      </c>
      <c r="T1005" s="15">
        <f t="shared" si="344"/>
        <v>39.99</v>
      </c>
      <c r="U1005" s="15">
        <f t="shared" si="345"/>
        <v>54.85</v>
      </c>
      <c r="V1005" s="15">
        <f t="shared" si="346"/>
        <v>64.78</v>
      </c>
      <c r="W1005" s="15">
        <f>IF(MarkupType="Store Markup",ROUND(V1005+V1005*StoreMarkup,2),IF(MarkupType="Supplier Markup",V1005+V1005*SupplierMarkup,"Error at finding value"))</f>
        <v>102.03</v>
      </c>
      <c r="X1005" s="32">
        <f t="shared" si="348"/>
        <v>7.27</v>
      </c>
      <c r="Y1005" s="15">
        <f t="shared" si="349"/>
        <v>259.12</v>
      </c>
      <c r="Z1005" s="15">
        <f t="shared" si="350"/>
        <v>379.04</v>
      </c>
      <c r="AA1005" s="15">
        <f>IF(FreightType="Lethbridge-Stewart Freight ",ROUND(2.99+IF(N1005&gt;0.75,(N1005-0.75)*2.25,0)*S1005,2),IF(MarkupType="Supplier Markup",V1005+V1005*SupplierMarkup,"Error at finding value"))</f>
        <v>14.24</v>
      </c>
      <c r="AB1005" s="15">
        <f t="shared" si="351"/>
        <v>29.08</v>
      </c>
    </row>
    <row r="1006" spans="1:28" x14ac:dyDescent="0.25">
      <c r="A1006" s="16">
        <f>OrdersTable!A1006</f>
        <v>585</v>
      </c>
      <c r="B1006" s="15" t="str">
        <f t="shared" si="331"/>
        <v>Miss</v>
      </c>
      <c r="C1006" s="15" t="str">
        <f t="shared" si="352"/>
        <v>Long</v>
      </c>
      <c r="D1006" s="15" t="str">
        <f t="shared" si="332"/>
        <v>Bellinda May</v>
      </c>
      <c r="E1006" s="15" t="str">
        <f t="shared" si="333"/>
        <v>5 Hutcheson Avenue</v>
      </c>
      <c r="F1006" s="15" t="str">
        <f t="shared" si="334"/>
        <v>Glenfern</v>
      </c>
      <c r="G1006" s="15" t="str">
        <f t="shared" si="335"/>
        <v>QLD</v>
      </c>
      <c r="H1006" s="15">
        <f t="shared" si="336"/>
        <v>4515</v>
      </c>
      <c r="I1006" s="15">
        <f t="shared" si="347"/>
        <v>128</v>
      </c>
      <c r="J1006" s="15">
        <f>OrdersTable!B1006</f>
        <v>792</v>
      </c>
      <c r="K1006" s="15" t="str">
        <f t="shared" si="337"/>
        <v>Statues and Busts</v>
      </c>
      <c r="L1006" s="15" t="str">
        <f t="shared" si="338"/>
        <v>Doctor Who: Masterpiece Collection Maxi Bust: 3rd Doctor</v>
      </c>
      <c r="M1006" s="15" t="str">
        <f t="shared" si="339"/>
        <v>-</v>
      </c>
      <c r="N1006" s="15">
        <f t="shared" si="340"/>
        <v>2.5</v>
      </c>
      <c r="O1006" s="15" t="str">
        <f t="shared" si="341"/>
        <v>A20</v>
      </c>
      <c r="P1006" s="15" t="str">
        <f t="shared" si="342"/>
        <v>Morbius Inc.</v>
      </c>
      <c r="Q1006" s="15" t="str">
        <f t="shared" si="343"/>
        <v>56 Michael Spice Hwy</v>
      </c>
      <c r="R1006" s="3">
        <f>OrdersTable!C1006</f>
        <v>44632</v>
      </c>
      <c r="S1006" s="15">
        <f>OrdersTable!E1006</f>
        <v>7</v>
      </c>
      <c r="T1006" s="15">
        <f t="shared" si="344"/>
        <v>49.99</v>
      </c>
      <c r="U1006" s="15">
        <f t="shared" si="345"/>
        <v>68.39</v>
      </c>
      <c r="V1006" s="15">
        <f t="shared" si="346"/>
        <v>80.98</v>
      </c>
      <c r="W1006" s="15">
        <f>IF(MarkupType="Store Markup",ROUND(V1006+V1006*StoreMarkup,2),IF(MarkupType="Supplier Markup",V1006+V1006*SupplierMarkup,"Error at finding value"))</f>
        <v>127.54</v>
      </c>
      <c r="X1006" s="32">
        <f t="shared" si="348"/>
        <v>9.09</v>
      </c>
      <c r="Y1006" s="15">
        <f t="shared" si="349"/>
        <v>566.86</v>
      </c>
      <c r="Z1006" s="15">
        <f t="shared" si="350"/>
        <v>829.15</v>
      </c>
      <c r="AA1006" s="15">
        <f>IF(FreightType="Lethbridge-Stewart Freight ",ROUND(2.99+IF(N1006&gt;0.75,(N1006-0.75)*2.25,0)*S1006,2),IF(MarkupType="Supplier Markup",V1006+V1006*SupplierMarkup,"Error at finding value"))</f>
        <v>30.55</v>
      </c>
      <c r="AB1006" s="15">
        <f t="shared" si="351"/>
        <v>63.63</v>
      </c>
    </row>
    <row r="1007" spans="1:28" x14ac:dyDescent="0.25">
      <c r="A1007" s="16">
        <f>OrdersTable!A1007</f>
        <v>651</v>
      </c>
      <c r="B1007" s="15" t="str">
        <f t="shared" si="331"/>
        <v>Mr</v>
      </c>
      <c r="C1007" s="15" t="str">
        <f t="shared" si="352"/>
        <v>Wilkes</v>
      </c>
      <c r="D1007" s="15" t="str">
        <f t="shared" si="332"/>
        <v>Harley</v>
      </c>
      <c r="E1007" s="15" t="str">
        <f t="shared" si="333"/>
        <v>12 Locke Circuit</v>
      </c>
      <c r="F1007" s="15" t="str">
        <f t="shared" si="334"/>
        <v>Bray Park</v>
      </c>
      <c r="G1007" s="15" t="str">
        <f t="shared" si="335"/>
        <v>QLD</v>
      </c>
      <c r="H1007" s="15">
        <f t="shared" si="336"/>
        <v>4500</v>
      </c>
      <c r="I1007" s="15">
        <f t="shared" si="347"/>
        <v>139</v>
      </c>
      <c r="J1007" s="15">
        <f>OrdersTable!B1007</f>
        <v>849</v>
      </c>
      <c r="K1007" s="15" t="str">
        <f t="shared" si="337"/>
        <v>Statues and Busts</v>
      </c>
      <c r="L1007" s="15" t="str">
        <f t="shared" si="338"/>
        <v>Doctor Who: Statue: Cyber Controller</v>
      </c>
      <c r="M1007" s="15" t="str">
        <f t="shared" si="339"/>
        <v>-</v>
      </c>
      <c r="N1007" s="15">
        <f t="shared" si="340"/>
        <v>5</v>
      </c>
      <c r="O1007" s="15" t="str">
        <f t="shared" si="341"/>
        <v>A10</v>
      </c>
      <c r="P1007" s="15" t="str">
        <f t="shared" si="342"/>
        <v>Gallifrey International</v>
      </c>
      <c r="Q1007" s="15" t="str">
        <f t="shared" si="343"/>
        <v>181 Arcadia Street</v>
      </c>
      <c r="R1007" s="3">
        <f>OrdersTable!C1007</f>
        <v>44632</v>
      </c>
      <c r="S1007" s="15">
        <f>OrdersTable!E1007</f>
        <v>3</v>
      </c>
      <c r="T1007" s="15">
        <f t="shared" si="344"/>
        <v>99.99</v>
      </c>
      <c r="U1007" s="15">
        <f t="shared" si="345"/>
        <v>136.41</v>
      </c>
      <c r="V1007" s="15">
        <f t="shared" si="346"/>
        <v>161.97999999999999</v>
      </c>
      <c r="W1007" s="15">
        <f>IF(MarkupType="Store Markup",ROUND(V1007+V1007*StoreMarkup,2),IF(MarkupType="Supplier Markup",V1007+V1007*SupplierMarkup,"Error at finding value"))</f>
        <v>255.12</v>
      </c>
      <c r="X1007" s="32">
        <f t="shared" si="348"/>
        <v>18.18</v>
      </c>
      <c r="Y1007" s="15">
        <f t="shared" si="349"/>
        <v>485.94</v>
      </c>
      <c r="Z1007" s="15">
        <f t="shared" si="350"/>
        <v>710.82</v>
      </c>
      <c r="AA1007" s="15">
        <f>IF(FreightType="Lethbridge-Stewart Freight ",ROUND(2.99+IF(N1007&gt;0.75,(N1007-0.75)*2.25,0)*S1007,2),IF(MarkupType="Supplier Markup",V1007+V1007*SupplierMarkup,"Error at finding value"))</f>
        <v>31.68</v>
      </c>
      <c r="AB1007" s="15">
        <f t="shared" si="351"/>
        <v>54.54</v>
      </c>
    </row>
    <row r="1008" spans="1:28" x14ac:dyDescent="0.25">
      <c r="A1008" s="16">
        <f>OrdersTable!A1008</f>
        <v>906</v>
      </c>
      <c r="B1008" s="15" t="str">
        <f t="shared" si="331"/>
        <v>Mrs</v>
      </c>
      <c r="C1008" s="15" t="str">
        <f t="shared" si="352"/>
        <v>Turner</v>
      </c>
      <c r="D1008" s="15" t="str">
        <f t="shared" si="332"/>
        <v>Courtney</v>
      </c>
      <c r="E1008" s="15" t="str">
        <f t="shared" si="333"/>
        <v>42 Fearon Avenue</v>
      </c>
      <c r="F1008" s="15" t="str">
        <f t="shared" si="334"/>
        <v>Breakwater</v>
      </c>
      <c r="G1008" s="15" t="str">
        <f t="shared" si="335"/>
        <v>VIC</v>
      </c>
      <c r="H1008" s="15">
        <f t="shared" si="336"/>
        <v>3219</v>
      </c>
      <c r="I1008" s="15">
        <f t="shared" si="347"/>
        <v>1596</v>
      </c>
      <c r="J1008" s="15">
        <f>OrdersTable!B1008</f>
        <v>282</v>
      </c>
      <c r="K1008" s="15" t="str">
        <f t="shared" si="337"/>
        <v>Clothing and Apparel</v>
      </c>
      <c r="L1008" s="15" t="str">
        <f t="shared" si="338"/>
        <v>Doctor Who: Tardis Laplander Hat</v>
      </c>
      <c r="M1008" s="15" t="str">
        <f t="shared" si="339"/>
        <v>-</v>
      </c>
      <c r="N1008" s="15">
        <f t="shared" si="340"/>
        <v>0.97499999999999998</v>
      </c>
      <c r="O1008" s="15" t="str">
        <f t="shared" si="341"/>
        <v>A10</v>
      </c>
      <c r="P1008" s="15" t="str">
        <f t="shared" si="342"/>
        <v>Gallifrey International</v>
      </c>
      <c r="Q1008" s="15" t="str">
        <f t="shared" si="343"/>
        <v>181 Arcadia Street</v>
      </c>
      <c r="R1008" s="3">
        <f>OrdersTable!C1008</f>
        <v>44632</v>
      </c>
      <c r="S1008" s="15">
        <f>OrdersTable!E1008</f>
        <v>5</v>
      </c>
      <c r="T1008" s="15">
        <f t="shared" si="344"/>
        <v>19.5</v>
      </c>
      <c r="U1008" s="15">
        <f t="shared" si="345"/>
        <v>26.93</v>
      </c>
      <c r="V1008" s="15">
        <f t="shared" si="346"/>
        <v>31.59</v>
      </c>
      <c r="W1008" s="15">
        <f>IF(MarkupType="Store Markup",ROUND(V1008+V1008*StoreMarkup,2),IF(MarkupType="Supplier Markup",V1008+V1008*SupplierMarkup,"Error at finding value"))</f>
        <v>49.75</v>
      </c>
      <c r="X1008" s="32" t="str">
        <f t="shared" si="348"/>
        <v>0.00</v>
      </c>
      <c r="Y1008" s="15">
        <f t="shared" si="349"/>
        <v>157.94999999999999</v>
      </c>
      <c r="Z1008" s="15">
        <f t="shared" si="350"/>
        <v>248.75</v>
      </c>
      <c r="AA1008" s="15">
        <f>IF(FreightType="Lethbridge-Stewart Freight ",ROUND(2.99+IF(N1008&gt;0.75,(N1008-0.75)*2.25,0)*S1008,2),IF(MarkupType="Supplier Markup",V1008+V1008*SupplierMarkup,"Error at finding value"))</f>
        <v>5.52</v>
      </c>
      <c r="AB1008" s="15">
        <f t="shared" si="351"/>
        <v>0</v>
      </c>
    </row>
    <row r="1009" spans="1:28" x14ac:dyDescent="0.25">
      <c r="A1009" s="16">
        <f>OrdersTable!A1009</f>
        <v>906</v>
      </c>
      <c r="B1009" s="15" t="str">
        <f t="shared" si="331"/>
        <v>Mrs</v>
      </c>
      <c r="C1009" s="15" t="str">
        <f t="shared" si="352"/>
        <v>Turner</v>
      </c>
      <c r="D1009" s="15" t="str">
        <f t="shared" si="332"/>
        <v>Courtney</v>
      </c>
      <c r="E1009" s="15" t="str">
        <f t="shared" si="333"/>
        <v>42 Fearon Avenue</v>
      </c>
      <c r="F1009" s="15" t="str">
        <f t="shared" si="334"/>
        <v>Breakwater</v>
      </c>
      <c r="G1009" s="15" t="str">
        <f t="shared" si="335"/>
        <v>VIC</v>
      </c>
      <c r="H1009" s="15">
        <f t="shared" si="336"/>
        <v>3219</v>
      </c>
      <c r="I1009" s="15">
        <f t="shared" si="347"/>
        <v>1596</v>
      </c>
      <c r="J1009" s="15">
        <f>OrdersTable!B1009</f>
        <v>826</v>
      </c>
      <c r="K1009" s="15" t="str">
        <f t="shared" si="337"/>
        <v>Statues and Busts</v>
      </c>
      <c r="L1009" s="15" t="str">
        <f t="shared" si="338"/>
        <v>Doctor Who: Mini Bust: Cyberman</v>
      </c>
      <c r="M1009" s="15" t="str">
        <f t="shared" si="339"/>
        <v>-</v>
      </c>
      <c r="N1009" s="15">
        <f t="shared" si="340"/>
        <v>1.8</v>
      </c>
      <c r="O1009" s="15" t="str">
        <f t="shared" si="341"/>
        <v>A40</v>
      </c>
      <c r="P1009" s="15" t="str">
        <f t="shared" si="342"/>
        <v>Romana Imports</v>
      </c>
      <c r="Q1009" s="15" t="str">
        <f t="shared" si="343"/>
        <v>17 Lalla Ward Road</v>
      </c>
      <c r="R1009" s="3">
        <f>OrdersTable!C1009</f>
        <v>44632</v>
      </c>
      <c r="S1009" s="15">
        <f>OrdersTable!E1009</f>
        <v>10</v>
      </c>
      <c r="T1009" s="15">
        <f t="shared" si="344"/>
        <v>35.99</v>
      </c>
      <c r="U1009" s="15">
        <f t="shared" si="345"/>
        <v>49.13</v>
      </c>
      <c r="V1009" s="15">
        <f t="shared" si="346"/>
        <v>58.3</v>
      </c>
      <c r="W1009" s="15">
        <f>IF(MarkupType="Store Markup",ROUND(V1009+V1009*StoreMarkup,2),IF(MarkupType="Supplier Markup",V1009+V1009*SupplierMarkup,"Error at finding value"))</f>
        <v>91.82</v>
      </c>
      <c r="X1009" s="32" t="str">
        <f t="shared" si="348"/>
        <v>0.00</v>
      </c>
      <c r="Y1009" s="15">
        <f t="shared" si="349"/>
        <v>583</v>
      </c>
      <c r="Z1009" s="15">
        <f t="shared" si="350"/>
        <v>918.2</v>
      </c>
      <c r="AA1009" s="15">
        <f>IF(FreightType="Lethbridge-Stewart Freight ",ROUND(2.99+IF(N1009&gt;0.75,(N1009-0.75)*2.25,0)*S1009,2),IF(MarkupType="Supplier Markup",V1009+V1009*SupplierMarkup,"Error at finding value"))</f>
        <v>26.62</v>
      </c>
      <c r="AB1009" s="15">
        <f t="shared" si="351"/>
        <v>0</v>
      </c>
    </row>
    <row r="1010" spans="1:28" x14ac:dyDescent="0.25">
      <c r="A1010" s="16">
        <f>OrdersTable!A1010</f>
        <v>989</v>
      </c>
      <c r="B1010" s="15" t="str">
        <f t="shared" si="331"/>
        <v>Miss</v>
      </c>
      <c r="C1010" s="15" t="str">
        <f t="shared" si="352"/>
        <v>McInnes</v>
      </c>
      <c r="D1010" s="15" t="str">
        <f t="shared" si="332"/>
        <v>Nina Marie</v>
      </c>
      <c r="E1010" s="15" t="str">
        <f t="shared" si="333"/>
        <v>28 Caruss Road</v>
      </c>
      <c r="F1010" s="15" t="str">
        <f t="shared" si="334"/>
        <v>Belford</v>
      </c>
      <c r="G1010" s="15" t="str">
        <f t="shared" si="335"/>
        <v>NSW</v>
      </c>
      <c r="H1010" s="15">
        <f t="shared" si="336"/>
        <v>2335</v>
      </c>
      <c r="I1010" s="15">
        <f t="shared" si="347"/>
        <v>716</v>
      </c>
      <c r="J1010" s="15">
        <f>OrdersTable!B1010</f>
        <v>709</v>
      </c>
      <c r="K1010" s="15" t="str">
        <f t="shared" si="337"/>
        <v>Posters, Prints and Standees</v>
      </c>
      <c r="L1010" s="15" t="str">
        <f t="shared" si="338"/>
        <v>Doctor Who: Poster: Metallic TARDIS</v>
      </c>
      <c r="M1010" s="15" t="str">
        <f t="shared" si="339"/>
        <v>-</v>
      </c>
      <c r="N1010" s="15">
        <f t="shared" si="340"/>
        <v>0.2</v>
      </c>
      <c r="O1010" s="15" t="str">
        <f t="shared" si="341"/>
        <v>A10</v>
      </c>
      <c r="P1010" s="15" t="str">
        <f t="shared" si="342"/>
        <v>Gallifrey International</v>
      </c>
      <c r="Q1010" s="15" t="str">
        <f t="shared" si="343"/>
        <v>181 Arcadia Street</v>
      </c>
      <c r="R1010" s="3">
        <f>OrdersTable!C1010</f>
        <v>44632</v>
      </c>
      <c r="S1010" s="15">
        <f>OrdersTable!E1010</f>
        <v>9</v>
      </c>
      <c r="T1010" s="15">
        <f t="shared" si="344"/>
        <v>3.99</v>
      </c>
      <c r="U1010" s="15">
        <f t="shared" si="345"/>
        <v>5.71</v>
      </c>
      <c r="V1010" s="15">
        <f t="shared" si="346"/>
        <v>6.46</v>
      </c>
      <c r="W1010" s="15">
        <f>IF(MarkupType="Store Markup",ROUND(V1010+V1010*StoreMarkup,2),IF(MarkupType="Supplier Markup",V1010+V1010*SupplierMarkup,"Error at finding value"))</f>
        <v>10.17</v>
      </c>
      <c r="X1010" s="32" t="str">
        <f t="shared" si="348"/>
        <v>0.00</v>
      </c>
      <c r="Y1010" s="15">
        <f t="shared" si="349"/>
        <v>58.14</v>
      </c>
      <c r="Z1010" s="15">
        <f t="shared" si="350"/>
        <v>91.53</v>
      </c>
      <c r="AA1010" s="15">
        <f>IF(FreightType="Lethbridge-Stewart Freight ",ROUND(2.99+IF(N1010&gt;0.75,(N1010-0.75)*2.25,0)*S1010,2),IF(MarkupType="Supplier Markup",V1010+V1010*SupplierMarkup,"Error at finding value"))</f>
        <v>2.99</v>
      </c>
      <c r="AB1010" s="15">
        <f t="shared" si="351"/>
        <v>0</v>
      </c>
    </row>
    <row r="1011" spans="1:28" x14ac:dyDescent="0.25">
      <c r="A1011" s="16">
        <f>OrdersTable!A1011</f>
        <v>232</v>
      </c>
      <c r="B1011" s="15" t="str">
        <f t="shared" si="331"/>
        <v>Mrs</v>
      </c>
      <c r="C1011" s="15" t="str">
        <f t="shared" si="352"/>
        <v>Bishop</v>
      </c>
      <c r="D1011" s="15" t="str">
        <f t="shared" si="332"/>
        <v>Katherine Marie</v>
      </c>
      <c r="E1011" s="15" t="str">
        <f t="shared" si="333"/>
        <v>19 Whitehorn Circuit</v>
      </c>
      <c r="F1011" s="15" t="str">
        <f t="shared" si="334"/>
        <v>Black Hills</v>
      </c>
      <c r="G1011" s="15" t="str">
        <f t="shared" si="335"/>
        <v>TAS</v>
      </c>
      <c r="H1011" s="15">
        <f t="shared" si="336"/>
        <v>7140</v>
      </c>
      <c r="I1011" s="15">
        <f t="shared" si="347"/>
        <v>2191</v>
      </c>
      <c r="J1011" s="15">
        <f>OrdersTable!B1011</f>
        <v>759</v>
      </c>
      <c r="K1011" s="15" t="str">
        <f t="shared" si="337"/>
        <v>Statues and Busts</v>
      </c>
      <c r="L1011" s="15" t="str">
        <f t="shared" si="338"/>
        <v>Doctor Who: Legends Forever Bust: Jon Pertwee</v>
      </c>
      <c r="M1011" s="15" t="str">
        <f t="shared" si="339"/>
        <v>-</v>
      </c>
      <c r="N1011" s="15">
        <f t="shared" si="340"/>
        <v>1.375</v>
      </c>
      <c r="O1011" s="15" t="str">
        <f t="shared" si="341"/>
        <v>A30</v>
      </c>
      <c r="P1011" s="15" t="str">
        <f t="shared" si="342"/>
        <v>Chesterton Enterprises</v>
      </c>
      <c r="Q1011" s="15" t="str">
        <f t="shared" si="343"/>
        <v>41 William Russell Road</v>
      </c>
      <c r="R1011" s="3">
        <f>OrdersTable!C1011</f>
        <v>44633</v>
      </c>
      <c r="S1011" s="15">
        <f>OrdersTable!E1011</f>
        <v>4</v>
      </c>
      <c r="T1011" s="15">
        <f t="shared" si="344"/>
        <v>27.5</v>
      </c>
      <c r="U1011" s="15">
        <f t="shared" si="345"/>
        <v>37.630000000000003</v>
      </c>
      <c r="V1011" s="15">
        <f t="shared" si="346"/>
        <v>44.55</v>
      </c>
      <c r="W1011" s="15">
        <f>IF(MarkupType="Store Markup",ROUND(V1011+V1011*StoreMarkup,2),IF(MarkupType="Supplier Markup",V1011+V1011*SupplierMarkup,"Error at finding value"))</f>
        <v>70.17</v>
      </c>
      <c r="X1011" s="32" t="str">
        <f t="shared" si="348"/>
        <v>0.00</v>
      </c>
      <c r="Y1011" s="15">
        <f t="shared" si="349"/>
        <v>178.2</v>
      </c>
      <c r="Z1011" s="15">
        <f t="shared" si="350"/>
        <v>280.68</v>
      </c>
      <c r="AA1011" s="15">
        <f>IF(FreightType="Lethbridge-Stewart Freight ",ROUND(2.99+IF(N1011&gt;0.75,(N1011-0.75)*2.25,0)*S1011,2),IF(MarkupType="Supplier Markup",V1011+V1011*SupplierMarkup,"Error at finding value"))</f>
        <v>8.6199999999999992</v>
      </c>
      <c r="AB1011" s="15">
        <f t="shared" si="351"/>
        <v>0</v>
      </c>
    </row>
    <row r="1012" spans="1:28" x14ac:dyDescent="0.25">
      <c r="A1012" s="16">
        <f>OrdersTable!A1012</f>
        <v>249</v>
      </c>
      <c r="B1012" s="15" t="str">
        <f t="shared" si="331"/>
        <v>Mr</v>
      </c>
      <c r="C1012" s="15" t="str">
        <f t="shared" si="352"/>
        <v>Sinclair</v>
      </c>
      <c r="D1012" s="15" t="str">
        <f t="shared" si="332"/>
        <v>Travis James Foord</v>
      </c>
      <c r="E1012" s="15" t="str">
        <f t="shared" si="333"/>
        <v>25 Leunen Avenue</v>
      </c>
      <c r="F1012" s="15" t="str">
        <f t="shared" si="334"/>
        <v>Batlow</v>
      </c>
      <c r="G1012" s="15" t="str">
        <f t="shared" si="335"/>
        <v>NSW</v>
      </c>
      <c r="H1012" s="15">
        <f t="shared" si="336"/>
        <v>2730</v>
      </c>
      <c r="I1012" s="15">
        <f t="shared" si="347"/>
        <v>1138</v>
      </c>
      <c r="J1012" s="15">
        <f>OrdersTable!B1012</f>
        <v>679</v>
      </c>
      <c r="K1012" s="15" t="str">
        <f t="shared" si="337"/>
        <v>Mugs</v>
      </c>
      <c r="L1012" s="15" t="str">
        <f t="shared" si="338"/>
        <v>Doctor Who: Mug: The Fifth Doctor</v>
      </c>
      <c r="M1012" s="15" t="str">
        <f t="shared" si="339"/>
        <v>-</v>
      </c>
      <c r="N1012" s="15">
        <f t="shared" si="340"/>
        <v>0.45</v>
      </c>
      <c r="O1012" s="15" t="str">
        <f t="shared" si="341"/>
        <v>A40</v>
      </c>
      <c r="P1012" s="15" t="str">
        <f t="shared" si="342"/>
        <v>Romana Imports</v>
      </c>
      <c r="Q1012" s="15" t="str">
        <f t="shared" si="343"/>
        <v>17 Lalla Ward Road</v>
      </c>
      <c r="R1012" s="3">
        <f>OrdersTable!C1012</f>
        <v>44633</v>
      </c>
      <c r="S1012" s="15">
        <f>OrdersTable!E1012</f>
        <v>5</v>
      </c>
      <c r="T1012" s="15">
        <f t="shared" si="344"/>
        <v>8.99</v>
      </c>
      <c r="U1012" s="15">
        <f t="shared" si="345"/>
        <v>12.28</v>
      </c>
      <c r="V1012" s="15">
        <f t="shared" si="346"/>
        <v>14.56</v>
      </c>
      <c r="W1012" s="15">
        <f>IF(MarkupType="Store Markup",ROUND(V1012+V1012*StoreMarkup,2),IF(MarkupType="Supplier Markup",V1012+V1012*SupplierMarkup,"Error at finding value"))</f>
        <v>22.93</v>
      </c>
      <c r="X1012" s="32" t="str">
        <f t="shared" si="348"/>
        <v>0.00</v>
      </c>
      <c r="Y1012" s="15">
        <f t="shared" si="349"/>
        <v>72.8</v>
      </c>
      <c r="Z1012" s="15">
        <f t="shared" si="350"/>
        <v>114.65</v>
      </c>
      <c r="AA1012" s="15">
        <f>IF(FreightType="Lethbridge-Stewart Freight ",ROUND(2.99+IF(N1012&gt;0.75,(N1012-0.75)*2.25,0)*S1012,2),IF(MarkupType="Supplier Markup",V1012+V1012*SupplierMarkup,"Error at finding value"))</f>
        <v>2.99</v>
      </c>
      <c r="AB1012" s="15">
        <f t="shared" si="351"/>
        <v>0</v>
      </c>
    </row>
    <row r="1013" spans="1:28" x14ac:dyDescent="0.25">
      <c r="A1013" s="16">
        <f>OrdersTable!A1013</f>
        <v>328</v>
      </c>
      <c r="B1013" s="15" t="str">
        <f t="shared" si="331"/>
        <v>Dr</v>
      </c>
      <c r="C1013" s="15" t="str">
        <f t="shared" si="352"/>
        <v>Ward</v>
      </c>
      <c r="D1013" s="15" t="str">
        <f t="shared" si="332"/>
        <v>Keiren Nicholas</v>
      </c>
      <c r="E1013" s="15" t="str">
        <f t="shared" si="333"/>
        <v>13 Green Crescent</v>
      </c>
      <c r="F1013" s="15" t="str">
        <f t="shared" si="334"/>
        <v>Breakwater</v>
      </c>
      <c r="G1013" s="15" t="str">
        <f t="shared" si="335"/>
        <v>VIC</v>
      </c>
      <c r="H1013" s="15">
        <f t="shared" si="336"/>
        <v>3219</v>
      </c>
      <c r="I1013" s="15">
        <f t="shared" si="347"/>
        <v>1596</v>
      </c>
      <c r="J1013" s="15">
        <f>OrdersTable!B1013</f>
        <v>186</v>
      </c>
      <c r="K1013" s="15" t="str">
        <f t="shared" si="337"/>
        <v>Bobbleheads</v>
      </c>
      <c r="L1013" s="15" t="str">
        <f t="shared" si="338"/>
        <v>Doctor Who: Monitor Mate: 50th Anniversary Original TARDIS</v>
      </c>
      <c r="M1013" s="15" t="str">
        <f t="shared" si="339"/>
        <v>-</v>
      </c>
      <c r="N1013" s="15">
        <f t="shared" si="340"/>
        <v>0.45</v>
      </c>
      <c r="O1013" s="15" t="str">
        <f t="shared" si="341"/>
        <v>A20</v>
      </c>
      <c r="P1013" s="15" t="str">
        <f t="shared" si="342"/>
        <v>Morbius Inc.</v>
      </c>
      <c r="Q1013" s="15" t="str">
        <f t="shared" si="343"/>
        <v>56 Michael Spice Hwy</v>
      </c>
      <c r="R1013" s="3">
        <f>OrdersTable!C1013</f>
        <v>44633</v>
      </c>
      <c r="S1013" s="15">
        <f>OrdersTable!E1013</f>
        <v>3</v>
      </c>
      <c r="T1013" s="15">
        <f t="shared" si="344"/>
        <v>8.99</v>
      </c>
      <c r="U1013" s="15">
        <f t="shared" si="345"/>
        <v>12.46</v>
      </c>
      <c r="V1013" s="15">
        <f t="shared" si="346"/>
        <v>14.56</v>
      </c>
      <c r="W1013" s="15">
        <f>IF(MarkupType="Store Markup",ROUND(V1013+V1013*StoreMarkup,2),IF(MarkupType="Supplier Markup",V1013+V1013*SupplierMarkup,"Error at finding value"))</f>
        <v>22.93</v>
      </c>
      <c r="X1013" s="32" t="str">
        <f t="shared" si="348"/>
        <v>0.00</v>
      </c>
      <c r="Y1013" s="15">
        <f t="shared" si="349"/>
        <v>43.68</v>
      </c>
      <c r="Z1013" s="15">
        <f t="shared" si="350"/>
        <v>68.790000000000006</v>
      </c>
      <c r="AA1013" s="15">
        <f>IF(FreightType="Lethbridge-Stewart Freight ",ROUND(2.99+IF(N1013&gt;0.75,(N1013-0.75)*2.25,0)*S1013,2),IF(MarkupType="Supplier Markup",V1013+V1013*SupplierMarkup,"Error at finding value"))</f>
        <v>2.99</v>
      </c>
      <c r="AB1013" s="15">
        <f t="shared" si="351"/>
        <v>0</v>
      </c>
    </row>
    <row r="1014" spans="1:28" x14ac:dyDescent="0.25">
      <c r="A1014" s="16">
        <f>OrdersTable!A1014</f>
        <v>362</v>
      </c>
      <c r="B1014" s="15" t="str">
        <f t="shared" si="331"/>
        <v>Mr</v>
      </c>
      <c r="C1014" s="15" t="str">
        <f t="shared" si="352"/>
        <v>Hurst</v>
      </c>
      <c r="D1014" s="15" t="str">
        <f t="shared" si="332"/>
        <v>Ralph Gregory</v>
      </c>
      <c r="E1014" s="15" t="str">
        <f t="shared" si="333"/>
        <v>45 Blakeney Road</v>
      </c>
      <c r="F1014" s="15" t="str">
        <f t="shared" si="334"/>
        <v>Iluka</v>
      </c>
      <c r="G1014" s="15" t="str">
        <f t="shared" si="335"/>
        <v>NSW</v>
      </c>
      <c r="H1014" s="15">
        <f t="shared" si="336"/>
        <v>2466</v>
      </c>
      <c r="I1014" s="15">
        <f t="shared" si="347"/>
        <v>347</v>
      </c>
      <c r="J1014" s="15">
        <f>OrdersTable!B1014</f>
        <v>702</v>
      </c>
      <c r="K1014" s="15" t="str">
        <f t="shared" si="337"/>
        <v>Posters, Prints and Standees</v>
      </c>
      <c r="L1014" s="15" t="str">
        <f t="shared" si="338"/>
        <v>Doctor Who: Poster: Daleks</v>
      </c>
      <c r="M1014" s="15" t="str">
        <f t="shared" si="339"/>
        <v>-</v>
      </c>
      <c r="N1014" s="15">
        <f t="shared" si="340"/>
        <v>0.2</v>
      </c>
      <c r="O1014" s="15" t="str">
        <f t="shared" si="341"/>
        <v>A50</v>
      </c>
      <c r="P1014" s="15" t="str">
        <f t="shared" si="342"/>
        <v>Rassilon Ltd.</v>
      </c>
      <c r="Q1014" s="15" t="str">
        <f t="shared" si="343"/>
        <v>82 Richard Mathews Road</v>
      </c>
      <c r="R1014" s="3">
        <f>OrdersTable!C1014</f>
        <v>44633</v>
      </c>
      <c r="S1014" s="15">
        <f>OrdersTable!E1014</f>
        <v>9</v>
      </c>
      <c r="T1014" s="15">
        <f t="shared" si="344"/>
        <v>3.99</v>
      </c>
      <c r="U1014" s="15">
        <f t="shared" si="345"/>
        <v>5.46</v>
      </c>
      <c r="V1014" s="15">
        <f t="shared" si="346"/>
        <v>6.46</v>
      </c>
      <c r="W1014" s="15">
        <f>IF(MarkupType="Store Markup",ROUND(V1014+V1014*StoreMarkup,2),IF(MarkupType="Supplier Markup",V1014+V1014*SupplierMarkup,"Error at finding value"))</f>
        <v>10.17</v>
      </c>
      <c r="X1014" s="32" t="str">
        <f t="shared" si="348"/>
        <v>0.00</v>
      </c>
      <c r="Y1014" s="15">
        <f t="shared" si="349"/>
        <v>58.14</v>
      </c>
      <c r="Z1014" s="15">
        <f t="shared" si="350"/>
        <v>91.53</v>
      </c>
      <c r="AA1014" s="15">
        <f>IF(FreightType="Lethbridge-Stewart Freight ",ROUND(2.99+IF(N1014&gt;0.75,(N1014-0.75)*2.25,0)*S1014,2),IF(MarkupType="Supplier Markup",V1014+V1014*SupplierMarkup,"Error at finding value"))</f>
        <v>2.99</v>
      </c>
      <c r="AB1014" s="15">
        <f t="shared" si="351"/>
        <v>0</v>
      </c>
    </row>
    <row r="1015" spans="1:28" x14ac:dyDescent="0.25">
      <c r="A1015" s="16">
        <f>OrdersTable!A1015</f>
        <v>390</v>
      </c>
      <c r="B1015" s="15" t="str">
        <f t="shared" si="331"/>
        <v>Ms</v>
      </c>
      <c r="C1015" s="15" t="str">
        <f t="shared" si="352"/>
        <v>Queen</v>
      </c>
      <c r="D1015" s="15" t="str">
        <f t="shared" si="332"/>
        <v>Joanne</v>
      </c>
      <c r="E1015" s="15" t="str">
        <f t="shared" si="333"/>
        <v>30 Hall Drive</v>
      </c>
      <c r="F1015" s="15" t="str">
        <f t="shared" si="334"/>
        <v>Belconnen</v>
      </c>
      <c r="G1015" s="15" t="str">
        <f t="shared" si="335"/>
        <v>ACT</v>
      </c>
      <c r="H1015" s="15">
        <f t="shared" si="336"/>
        <v>2617</v>
      </c>
      <c r="I1015" s="15">
        <f t="shared" si="347"/>
        <v>1194</v>
      </c>
      <c r="J1015" s="15">
        <f>OrdersTable!B1015</f>
        <v>541</v>
      </c>
      <c r="K1015" s="15" t="str">
        <f t="shared" si="337"/>
        <v>Giftware</v>
      </c>
      <c r="L1015" s="15" t="str">
        <f t="shared" si="338"/>
        <v>Doctor Who: Salt and Pepper Shakers: TARDIS</v>
      </c>
      <c r="M1015" s="15" t="str">
        <f t="shared" si="339"/>
        <v>-</v>
      </c>
      <c r="N1015" s="15">
        <f t="shared" si="340"/>
        <v>0.6</v>
      </c>
      <c r="O1015" s="15" t="str">
        <f t="shared" si="341"/>
        <v>A10</v>
      </c>
      <c r="P1015" s="15" t="str">
        <f t="shared" si="342"/>
        <v>Gallifrey International</v>
      </c>
      <c r="Q1015" s="15" t="str">
        <f t="shared" si="343"/>
        <v>181 Arcadia Street</v>
      </c>
      <c r="R1015" s="3">
        <f>OrdersTable!C1015</f>
        <v>44633</v>
      </c>
      <c r="S1015" s="15">
        <f>OrdersTable!E1015</f>
        <v>3</v>
      </c>
      <c r="T1015" s="15">
        <f t="shared" si="344"/>
        <v>11.99</v>
      </c>
      <c r="U1015" s="15">
        <f t="shared" si="345"/>
        <v>16.62</v>
      </c>
      <c r="V1015" s="15">
        <f t="shared" si="346"/>
        <v>19.420000000000002</v>
      </c>
      <c r="W1015" s="15">
        <f>IF(MarkupType="Store Markup",ROUND(V1015+V1015*StoreMarkup,2),IF(MarkupType="Supplier Markup",V1015+V1015*SupplierMarkup,"Error at finding value"))</f>
        <v>30.59</v>
      </c>
      <c r="X1015" s="32" t="str">
        <f t="shared" si="348"/>
        <v>0.00</v>
      </c>
      <c r="Y1015" s="15">
        <f t="shared" si="349"/>
        <v>58.26</v>
      </c>
      <c r="Z1015" s="15">
        <f t="shared" si="350"/>
        <v>91.77</v>
      </c>
      <c r="AA1015" s="15">
        <f>IF(FreightType="Lethbridge-Stewart Freight ",ROUND(2.99+IF(N1015&gt;0.75,(N1015-0.75)*2.25,0)*S1015,2),IF(MarkupType="Supplier Markup",V1015+V1015*SupplierMarkup,"Error at finding value"))</f>
        <v>2.99</v>
      </c>
      <c r="AB1015" s="15">
        <f t="shared" si="351"/>
        <v>0</v>
      </c>
    </row>
    <row r="1016" spans="1:28" x14ac:dyDescent="0.25">
      <c r="A1016" s="16">
        <f>OrdersTable!A1016</f>
        <v>496</v>
      </c>
      <c r="B1016" s="15" t="str">
        <f t="shared" si="331"/>
        <v>Dr</v>
      </c>
      <c r="C1016" s="15" t="str">
        <f t="shared" si="352"/>
        <v>Johnston</v>
      </c>
      <c r="D1016" s="15" t="str">
        <f t="shared" si="332"/>
        <v>Karrina</v>
      </c>
      <c r="E1016" s="15" t="str">
        <f t="shared" si="333"/>
        <v>11 Bishop Drive</v>
      </c>
      <c r="F1016" s="15" t="str">
        <f t="shared" si="334"/>
        <v>Belford</v>
      </c>
      <c r="G1016" s="15" t="str">
        <f t="shared" si="335"/>
        <v>NSW</v>
      </c>
      <c r="H1016" s="15">
        <f t="shared" si="336"/>
        <v>2335</v>
      </c>
      <c r="I1016" s="15">
        <f t="shared" si="347"/>
        <v>716</v>
      </c>
      <c r="J1016" s="15">
        <f>OrdersTable!B1016</f>
        <v>541</v>
      </c>
      <c r="K1016" s="15" t="str">
        <f t="shared" si="337"/>
        <v>Giftware</v>
      </c>
      <c r="L1016" s="15" t="str">
        <f t="shared" si="338"/>
        <v>Doctor Who: Salt and Pepper Shakers: TARDIS</v>
      </c>
      <c r="M1016" s="15" t="str">
        <f t="shared" si="339"/>
        <v>-</v>
      </c>
      <c r="N1016" s="15">
        <f t="shared" si="340"/>
        <v>0.6</v>
      </c>
      <c r="O1016" s="15" t="str">
        <f t="shared" si="341"/>
        <v>A10</v>
      </c>
      <c r="P1016" s="15" t="str">
        <f t="shared" si="342"/>
        <v>Gallifrey International</v>
      </c>
      <c r="Q1016" s="15" t="str">
        <f t="shared" si="343"/>
        <v>181 Arcadia Street</v>
      </c>
      <c r="R1016" s="3">
        <f>OrdersTable!C1016</f>
        <v>44633</v>
      </c>
      <c r="S1016" s="15">
        <f>OrdersTable!E1016</f>
        <v>1</v>
      </c>
      <c r="T1016" s="15">
        <f t="shared" si="344"/>
        <v>11.99</v>
      </c>
      <c r="U1016" s="15">
        <f t="shared" si="345"/>
        <v>16.62</v>
      </c>
      <c r="V1016" s="15">
        <f t="shared" si="346"/>
        <v>19.420000000000002</v>
      </c>
      <c r="W1016" s="15">
        <f>IF(MarkupType="Store Markup",ROUND(V1016+V1016*StoreMarkup,2),IF(MarkupType="Supplier Markup",V1016+V1016*SupplierMarkup,"Error at finding value"))</f>
        <v>30.59</v>
      </c>
      <c r="X1016" s="32" t="str">
        <f t="shared" si="348"/>
        <v>0.00</v>
      </c>
      <c r="Y1016" s="15">
        <f t="shared" si="349"/>
        <v>19.420000000000002</v>
      </c>
      <c r="Z1016" s="15">
        <f t="shared" si="350"/>
        <v>30.59</v>
      </c>
      <c r="AA1016" s="15">
        <f>IF(FreightType="Lethbridge-Stewart Freight ",ROUND(2.99+IF(N1016&gt;0.75,(N1016-0.75)*2.25,0)*S1016,2),IF(MarkupType="Supplier Markup",V1016+V1016*SupplierMarkup,"Error at finding value"))</f>
        <v>2.99</v>
      </c>
      <c r="AB1016" s="15">
        <f t="shared" si="351"/>
        <v>0</v>
      </c>
    </row>
    <row r="1017" spans="1:28" x14ac:dyDescent="0.25">
      <c r="A1017" s="16">
        <f>OrdersTable!A1017</f>
        <v>526</v>
      </c>
      <c r="B1017" s="15" t="str">
        <f t="shared" si="331"/>
        <v>Mrs</v>
      </c>
      <c r="C1017" s="15" t="str">
        <f t="shared" si="352"/>
        <v>Bradford</v>
      </c>
      <c r="D1017" s="15" t="str">
        <f t="shared" si="332"/>
        <v>Haleigh Renae Ann</v>
      </c>
      <c r="E1017" s="15" t="str">
        <f t="shared" si="333"/>
        <v>31 Johnston Road</v>
      </c>
      <c r="F1017" s="15" t="str">
        <f t="shared" si="334"/>
        <v>Ashford</v>
      </c>
      <c r="G1017" s="15" t="str">
        <f t="shared" si="335"/>
        <v>SA</v>
      </c>
      <c r="H1017" s="15">
        <f t="shared" si="336"/>
        <v>5035</v>
      </c>
      <c r="I1017" s="15">
        <f t="shared" si="347"/>
        <v>1877</v>
      </c>
      <c r="J1017" s="15">
        <f>OrdersTable!B1017</f>
        <v>145</v>
      </c>
      <c r="K1017" s="15" t="str">
        <f t="shared" si="337"/>
        <v>Bobbleheads</v>
      </c>
      <c r="L1017" s="15" t="str">
        <f t="shared" si="338"/>
        <v>Doctor Who: Bobblehead: Eleventh Doctor</v>
      </c>
      <c r="M1017" s="15" t="str">
        <f t="shared" si="339"/>
        <v>-</v>
      </c>
      <c r="N1017" s="15">
        <f t="shared" si="340"/>
        <v>1</v>
      </c>
      <c r="O1017" s="15" t="str">
        <f t="shared" si="341"/>
        <v>A30</v>
      </c>
      <c r="P1017" s="15" t="str">
        <f t="shared" si="342"/>
        <v>Chesterton Enterprises</v>
      </c>
      <c r="Q1017" s="15" t="str">
        <f t="shared" si="343"/>
        <v>41 William Russell Road</v>
      </c>
      <c r="R1017" s="3">
        <f>OrdersTable!C1017</f>
        <v>44633</v>
      </c>
      <c r="S1017" s="15">
        <f>OrdersTable!E1017</f>
        <v>8</v>
      </c>
      <c r="T1017" s="15">
        <f t="shared" si="344"/>
        <v>19.989999999999998</v>
      </c>
      <c r="U1017" s="15">
        <f t="shared" si="345"/>
        <v>27.54</v>
      </c>
      <c r="V1017" s="15">
        <f t="shared" si="346"/>
        <v>32.380000000000003</v>
      </c>
      <c r="W1017" s="15">
        <f>IF(MarkupType="Store Markup",ROUND(V1017+V1017*StoreMarkup,2),IF(MarkupType="Supplier Markup",V1017+V1017*SupplierMarkup,"Error at finding value"))</f>
        <v>51</v>
      </c>
      <c r="X1017" s="32" t="str">
        <f t="shared" si="348"/>
        <v>0.00</v>
      </c>
      <c r="Y1017" s="15">
        <f t="shared" si="349"/>
        <v>259.04000000000002</v>
      </c>
      <c r="Z1017" s="15">
        <f t="shared" si="350"/>
        <v>408</v>
      </c>
      <c r="AA1017" s="15">
        <f>IF(FreightType="Lethbridge-Stewart Freight ",ROUND(2.99+IF(N1017&gt;0.75,(N1017-0.75)*2.25,0)*S1017,2),IF(MarkupType="Supplier Markup",V1017+V1017*SupplierMarkup,"Error at finding value"))</f>
        <v>7.49</v>
      </c>
      <c r="AB1017" s="15">
        <f t="shared" si="351"/>
        <v>0</v>
      </c>
    </row>
    <row r="1018" spans="1:28" x14ac:dyDescent="0.25">
      <c r="A1018" s="16">
        <f>OrdersTable!A1018</f>
        <v>527</v>
      </c>
      <c r="B1018" s="15" t="str">
        <f t="shared" si="331"/>
        <v>Mr</v>
      </c>
      <c r="C1018" s="15" t="str">
        <f t="shared" si="352"/>
        <v>McTaggart</v>
      </c>
      <c r="D1018" s="15" t="str">
        <f t="shared" si="332"/>
        <v>Daniel</v>
      </c>
      <c r="E1018" s="15" t="str">
        <f t="shared" si="333"/>
        <v>24 Mulholland Avenue</v>
      </c>
      <c r="F1018" s="15" t="str">
        <f t="shared" si="334"/>
        <v>Belconnen</v>
      </c>
      <c r="G1018" s="15" t="str">
        <f t="shared" si="335"/>
        <v>ACT</v>
      </c>
      <c r="H1018" s="15">
        <f t="shared" si="336"/>
        <v>2617</v>
      </c>
      <c r="I1018" s="15">
        <f t="shared" si="347"/>
        <v>1194</v>
      </c>
      <c r="J1018" s="15">
        <f>OrdersTable!B1018</f>
        <v>418</v>
      </c>
      <c r="K1018" s="15" t="str">
        <f t="shared" si="337"/>
        <v>Clothing and Apparel</v>
      </c>
      <c r="L1018" s="15" t="str">
        <f t="shared" si="338"/>
        <v>Doctor Who: Women's Winter Pyjamas</v>
      </c>
      <c r="M1018" s="15" t="str">
        <f t="shared" si="339"/>
        <v>M</v>
      </c>
      <c r="N1018" s="15">
        <f t="shared" si="340"/>
        <v>1.5</v>
      </c>
      <c r="O1018" s="15" t="str">
        <f t="shared" si="341"/>
        <v>A30</v>
      </c>
      <c r="P1018" s="15" t="str">
        <f t="shared" si="342"/>
        <v>Chesterton Enterprises</v>
      </c>
      <c r="Q1018" s="15" t="str">
        <f t="shared" si="343"/>
        <v>41 William Russell Road</v>
      </c>
      <c r="R1018" s="3">
        <f>OrdersTable!C1018</f>
        <v>44633</v>
      </c>
      <c r="S1018" s="15">
        <f>OrdersTable!E1018</f>
        <v>1</v>
      </c>
      <c r="T1018" s="15">
        <f t="shared" si="344"/>
        <v>29.99</v>
      </c>
      <c r="U1018" s="15">
        <f t="shared" si="345"/>
        <v>40.96</v>
      </c>
      <c r="V1018" s="15">
        <f t="shared" si="346"/>
        <v>48.58</v>
      </c>
      <c r="W1018" s="15">
        <f>IF(MarkupType="Store Markup",ROUND(V1018+V1018*StoreMarkup,2),IF(MarkupType="Supplier Markup",V1018+V1018*SupplierMarkup,"Error at finding value"))</f>
        <v>76.510000000000005</v>
      </c>
      <c r="X1018" s="32" t="str">
        <f t="shared" si="348"/>
        <v>0.00</v>
      </c>
      <c r="Y1018" s="15">
        <f t="shared" si="349"/>
        <v>48.58</v>
      </c>
      <c r="Z1018" s="15">
        <f t="shared" si="350"/>
        <v>76.510000000000005</v>
      </c>
      <c r="AA1018" s="15">
        <f>IF(FreightType="Lethbridge-Stewart Freight ",ROUND(2.99+IF(N1018&gt;0.75,(N1018-0.75)*2.25,0)*S1018,2),IF(MarkupType="Supplier Markup",V1018+V1018*SupplierMarkup,"Error at finding value"))</f>
        <v>4.68</v>
      </c>
      <c r="AB1018" s="15">
        <f t="shared" si="351"/>
        <v>0</v>
      </c>
    </row>
    <row r="1019" spans="1:28" x14ac:dyDescent="0.25">
      <c r="A1019" s="16">
        <f>OrdersTable!A1019</f>
        <v>531</v>
      </c>
      <c r="B1019" s="15" t="str">
        <f t="shared" si="331"/>
        <v>Ms</v>
      </c>
      <c r="C1019" s="15" t="str">
        <f t="shared" si="352"/>
        <v>Stanton</v>
      </c>
      <c r="D1019" s="15" t="str">
        <f t="shared" si="332"/>
        <v>Sharaze</v>
      </c>
      <c r="E1019" s="15" t="str">
        <f t="shared" si="333"/>
        <v>1 Siddons Crescent</v>
      </c>
      <c r="F1019" s="15" t="str">
        <f t="shared" si="334"/>
        <v>Alfredtown</v>
      </c>
      <c r="G1019" s="15" t="str">
        <f t="shared" si="335"/>
        <v>NSW</v>
      </c>
      <c r="H1019" s="15">
        <f t="shared" si="336"/>
        <v>2650</v>
      </c>
      <c r="I1019" s="15">
        <f t="shared" si="347"/>
        <v>1124</v>
      </c>
      <c r="J1019" s="15">
        <f>OrdersTable!B1019</f>
        <v>515</v>
      </c>
      <c r="K1019" s="15" t="str">
        <f t="shared" si="337"/>
        <v>Giftware</v>
      </c>
      <c r="L1019" s="15" t="str">
        <f t="shared" si="338"/>
        <v>Doctor Who: Keyring K9</v>
      </c>
      <c r="M1019" s="15" t="str">
        <f t="shared" si="339"/>
        <v>-</v>
      </c>
      <c r="N1019" s="15">
        <f t="shared" si="340"/>
        <v>0.25</v>
      </c>
      <c r="O1019" s="15" t="str">
        <f t="shared" si="341"/>
        <v>A50</v>
      </c>
      <c r="P1019" s="15" t="str">
        <f t="shared" si="342"/>
        <v>Rassilon Ltd.</v>
      </c>
      <c r="Q1019" s="15" t="str">
        <f t="shared" si="343"/>
        <v>82 Richard Mathews Road</v>
      </c>
      <c r="R1019" s="3">
        <f>OrdersTable!C1019</f>
        <v>44633</v>
      </c>
      <c r="S1019" s="15">
        <f>OrdersTable!E1019</f>
        <v>10</v>
      </c>
      <c r="T1019" s="15">
        <f t="shared" si="344"/>
        <v>4.99</v>
      </c>
      <c r="U1019" s="15">
        <f t="shared" si="345"/>
        <v>6.91</v>
      </c>
      <c r="V1019" s="15">
        <f t="shared" si="346"/>
        <v>8.08</v>
      </c>
      <c r="W1019" s="15">
        <f>IF(MarkupType="Store Markup",ROUND(V1019+V1019*StoreMarkup,2),IF(MarkupType="Supplier Markup",V1019+V1019*SupplierMarkup,"Error at finding value"))</f>
        <v>12.73</v>
      </c>
      <c r="X1019" s="32" t="str">
        <f t="shared" si="348"/>
        <v>0.00</v>
      </c>
      <c r="Y1019" s="15">
        <f t="shared" si="349"/>
        <v>80.8</v>
      </c>
      <c r="Z1019" s="15">
        <f t="shared" si="350"/>
        <v>127.3</v>
      </c>
      <c r="AA1019" s="15">
        <f>IF(FreightType="Lethbridge-Stewart Freight ",ROUND(2.99+IF(N1019&gt;0.75,(N1019-0.75)*2.25,0)*S1019,2),IF(MarkupType="Supplier Markup",V1019+V1019*SupplierMarkup,"Error at finding value"))</f>
        <v>2.99</v>
      </c>
      <c r="AB1019" s="15">
        <f t="shared" si="351"/>
        <v>0</v>
      </c>
    </row>
    <row r="1020" spans="1:28" x14ac:dyDescent="0.25">
      <c r="A1020" s="16">
        <f>OrdersTable!A1020</f>
        <v>586</v>
      </c>
      <c r="B1020" s="15" t="str">
        <f t="shared" si="331"/>
        <v>Dr</v>
      </c>
      <c r="C1020" s="15" t="str">
        <f t="shared" si="352"/>
        <v>Coetzee</v>
      </c>
      <c r="D1020" s="15" t="str">
        <f t="shared" si="332"/>
        <v>Riekert</v>
      </c>
      <c r="E1020" s="15" t="str">
        <f t="shared" si="333"/>
        <v>5 Western Road</v>
      </c>
      <c r="F1020" s="15" t="str">
        <f t="shared" si="334"/>
        <v>Alfredtown</v>
      </c>
      <c r="G1020" s="15" t="str">
        <f t="shared" si="335"/>
        <v>NSW</v>
      </c>
      <c r="H1020" s="15">
        <f t="shared" si="336"/>
        <v>2650</v>
      </c>
      <c r="I1020" s="15">
        <f t="shared" si="347"/>
        <v>1124</v>
      </c>
      <c r="J1020" s="15">
        <f>OrdersTable!B1020</f>
        <v>282</v>
      </c>
      <c r="K1020" s="15" t="str">
        <f t="shared" si="337"/>
        <v>Clothing and Apparel</v>
      </c>
      <c r="L1020" s="15" t="str">
        <f t="shared" si="338"/>
        <v>Doctor Who: Tardis Laplander Hat</v>
      </c>
      <c r="M1020" s="15" t="str">
        <f t="shared" si="339"/>
        <v>-</v>
      </c>
      <c r="N1020" s="15">
        <f t="shared" si="340"/>
        <v>0.97499999999999998</v>
      </c>
      <c r="O1020" s="15" t="str">
        <f t="shared" si="341"/>
        <v>A10</v>
      </c>
      <c r="P1020" s="15" t="str">
        <f t="shared" si="342"/>
        <v>Gallifrey International</v>
      </c>
      <c r="Q1020" s="15" t="str">
        <f t="shared" si="343"/>
        <v>181 Arcadia Street</v>
      </c>
      <c r="R1020" s="3">
        <f>OrdersTable!C1020</f>
        <v>44633</v>
      </c>
      <c r="S1020" s="15">
        <f>OrdersTable!E1020</f>
        <v>10</v>
      </c>
      <c r="T1020" s="15">
        <f t="shared" si="344"/>
        <v>19.5</v>
      </c>
      <c r="U1020" s="15">
        <f t="shared" si="345"/>
        <v>26.93</v>
      </c>
      <c r="V1020" s="15">
        <f t="shared" si="346"/>
        <v>31.59</v>
      </c>
      <c r="W1020" s="15">
        <f>IF(MarkupType="Store Markup",ROUND(V1020+V1020*StoreMarkup,2),IF(MarkupType="Supplier Markup",V1020+V1020*SupplierMarkup,"Error at finding value"))</f>
        <v>49.75</v>
      </c>
      <c r="X1020" s="32" t="str">
        <f t="shared" si="348"/>
        <v>0.00</v>
      </c>
      <c r="Y1020" s="15">
        <f t="shared" si="349"/>
        <v>315.89999999999998</v>
      </c>
      <c r="Z1020" s="15">
        <f t="shared" si="350"/>
        <v>497.5</v>
      </c>
      <c r="AA1020" s="15">
        <f>IF(FreightType="Lethbridge-Stewart Freight ",ROUND(2.99+IF(N1020&gt;0.75,(N1020-0.75)*2.25,0)*S1020,2),IF(MarkupType="Supplier Markup",V1020+V1020*SupplierMarkup,"Error at finding value"))</f>
        <v>8.0500000000000007</v>
      </c>
      <c r="AB1020" s="15">
        <f t="shared" si="351"/>
        <v>0</v>
      </c>
    </row>
    <row r="1021" spans="1:28" x14ac:dyDescent="0.25">
      <c r="A1021" s="16">
        <f>OrdersTable!A1021</f>
        <v>761</v>
      </c>
      <c r="B1021" s="15" t="str">
        <f t="shared" si="331"/>
        <v>Miss</v>
      </c>
      <c r="C1021" s="15" t="str">
        <f t="shared" si="352"/>
        <v>Randall</v>
      </c>
      <c r="D1021" s="15" t="str">
        <f t="shared" si="332"/>
        <v>Kylee</v>
      </c>
      <c r="E1021" s="15" t="str">
        <f t="shared" si="333"/>
        <v>45 Cremasco Avenue</v>
      </c>
      <c r="F1021" s="15" t="str">
        <f t="shared" si="334"/>
        <v>Breakwater</v>
      </c>
      <c r="G1021" s="15" t="str">
        <f t="shared" si="335"/>
        <v>VIC</v>
      </c>
      <c r="H1021" s="15">
        <f t="shared" si="336"/>
        <v>3219</v>
      </c>
      <c r="I1021" s="15">
        <f t="shared" si="347"/>
        <v>1596</v>
      </c>
      <c r="J1021" s="15">
        <f>OrdersTable!B1021</f>
        <v>643</v>
      </c>
      <c r="K1021" s="15" t="str">
        <f t="shared" si="337"/>
        <v>Mugs</v>
      </c>
      <c r="L1021" s="15" t="str">
        <f t="shared" si="338"/>
        <v>Doctor Who: Giant Mug: Logo</v>
      </c>
      <c r="M1021" s="15" t="str">
        <f t="shared" si="339"/>
        <v>-</v>
      </c>
      <c r="N1021" s="15">
        <f t="shared" si="340"/>
        <v>0.44500000000000001</v>
      </c>
      <c r="O1021" s="15" t="str">
        <f t="shared" si="341"/>
        <v>A10</v>
      </c>
      <c r="P1021" s="15" t="str">
        <f t="shared" si="342"/>
        <v>Gallifrey International</v>
      </c>
      <c r="Q1021" s="15" t="str">
        <f t="shared" si="343"/>
        <v>181 Arcadia Street</v>
      </c>
      <c r="R1021" s="3">
        <f>OrdersTable!C1021</f>
        <v>44633</v>
      </c>
      <c r="S1021" s="15">
        <f>OrdersTable!E1021</f>
        <v>8</v>
      </c>
      <c r="T1021" s="15">
        <f t="shared" si="344"/>
        <v>8.89</v>
      </c>
      <c r="U1021" s="15">
        <f t="shared" si="345"/>
        <v>12.19</v>
      </c>
      <c r="V1021" s="15">
        <f t="shared" si="346"/>
        <v>14.4</v>
      </c>
      <c r="W1021" s="15">
        <f>IF(MarkupType="Store Markup",ROUND(V1021+V1021*StoreMarkup,2),IF(MarkupType="Supplier Markup",V1021+V1021*SupplierMarkup,"Error at finding value"))</f>
        <v>22.68</v>
      </c>
      <c r="X1021" s="32" t="str">
        <f t="shared" si="348"/>
        <v>0.00</v>
      </c>
      <c r="Y1021" s="15">
        <f t="shared" si="349"/>
        <v>115.2</v>
      </c>
      <c r="Z1021" s="15">
        <f t="shared" si="350"/>
        <v>181.44</v>
      </c>
      <c r="AA1021" s="15">
        <f>IF(FreightType="Lethbridge-Stewart Freight ",ROUND(2.99+IF(N1021&gt;0.75,(N1021-0.75)*2.25,0)*S1021,2),IF(MarkupType="Supplier Markup",V1021+V1021*SupplierMarkup,"Error at finding value"))</f>
        <v>2.99</v>
      </c>
      <c r="AB1021" s="15">
        <f t="shared" si="351"/>
        <v>0</v>
      </c>
    </row>
    <row r="1022" spans="1:28" x14ac:dyDescent="0.25">
      <c r="A1022" s="16">
        <f>OrdersTable!A1022</f>
        <v>802</v>
      </c>
      <c r="B1022" s="15" t="str">
        <f t="shared" si="331"/>
        <v>Mr</v>
      </c>
      <c r="C1022" s="15" t="str">
        <f t="shared" si="352"/>
        <v>Carlton</v>
      </c>
      <c r="D1022" s="15" t="str">
        <f t="shared" si="332"/>
        <v>Lawrence</v>
      </c>
      <c r="E1022" s="15" t="str">
        <f t="shared" si="333"/>
        <v>39 Walsh Way</v>
      </c>
      <c r="F1022" s="15" t="str">
        <f t="shared" si="334"/>
        <v>Breakwater</v>
      </c>
      <c r="G1022" s="15" t="str">
        <f t="shared" si="335"/>
        <v>VIC</v>
      </c>
      <c r="H1022" s="15">
        <f t="shared" si="336"/>
        <v>3219</v>
      </c>
      <c r="I1022" s="15">
        <f t="shared" si="347"/>
        <v>1596</v>
      </c>
      <c r="J1022" s="15">
        <f>OrdersTable!B1022</f>
        <v>676</v>
      </c>
      <c r="K1022" s="15" t="str">
        <f t="shared" si="337"/>
        <v>Mugs</v>
      </c>
      <c r="L1022" s="15" t="str">
        <f t="shared" si="338"/>
        <v>Doctor Who: Mug: The Eleventh Doctor</v>
      </c>
      <c r="M1022" s="15" t="str">
        <f t="shared" si="339"/>
        <v>-</v>
      </c>
      <c r="N1022" s="15">
        <f t="shared" si="340"/>
        <v>0.45</v>
      </c>
      <c r="O1022" s="15" t="str">
        <f t="shared" si="341"/>
        <v>A20</v>
      </c>
      <c r="P1022" s="15" t="str">
        <f t="shared" si="342"/>
        <v>Morbius Inc.</v>
      </c>
      <c r="Q1022" s="15" t="str">
        <f t="shared" si="343"/>
        <v>56 Michael Spice Hwy</v>
      </c>
      <c r="R1022" s="3">
        <f>OrdersTable!C1022</f>
        <v>44633</v>
      </c>
      <c r="S1022" s="15">
        <f>OrdersTable!E1022</f>
        <v>3</v>
      </c>
      <c r="T1022" s="15">
        <f t="shared" si="344"/>
        <v>8.99</v>
      </c>
      <c r="U1022" s="15">
        <f t="shared" si="345"/>
        <v>12.55</v>
      </c>
      <c r="V1022" s="15">
        <f t="shared" si="346"/>
        <v>14.56</v>
      </c>
      <c r="W1022" s="15">
        <f>IF(MarkupType="Store Markup",ROUND(V1022+V1022*StoreMarkup,2),IF(MarkupType="Supplier Markup",V1022+V1022*SupplierMarkup,"Error at finding value"))</f>
        <v>22.93</v>
      </c>
      <c r="X1022" s="32" t="str">
        <f t="shared" si="348"/>
        <v>0.00</v>
      </c>
      <c r="Y1022" s="15">
        <f t="shared" si="349"/>
        <v>43.68</v>
      </c>
      <c r="Z1022" s="15">
        <f t="shared" si="350"/>
        <v>68.790000000000006</v>
      </c>
      <c r="AA1022" s="15">
        <f>IF(FreightType="Lethbridge-Stewart Freight ",ROUND(2.99+IF(N1022&gt;0.75,(N1022-0.75)*2.25,0)*S1022,2),IF(MarkupType="Supplier Markup",V1022+V1022*SupplierMarkup,"Error at finding value"))</f>
        <v>2.99</v>
      </c>
      <c r="AB1022" s="15">
        <f t="shared" si="351"/>
        <v>0</v>
      </c>
    </row>
    <row r="1023" spans="1:28" x14ac:dyDescent="0.25">
      <c r="A1023" s="16">
        <f>OrdersTable!A1023</f>
        <v>972</v>
      </c>
      <c r="B1023" s="15" t="str">
        <f t="shared" si="331"/>
        <v>Miss</v>
      </c>
      <c r="C1023" s="15" t="str">
        <f t="shared" si="352"/>
        <v>Walsh</v>
      </c>
      <c r="D1023" s="15" t="str">
        <f t="shared" si="332"/>
        <v>Alana Jane</v>
      </c>
      <c r="E1023" s="15" t="str">
        <f t="shared" si="333"/>
        <v>40 Betts Crescent</v>
      </c>
      <c r="F1023" s="15" t="str">
        <f t="shared" si="334"/>
        <v>Alleena</v>
      </c>
      <c r="G1023" s="15" t="str">
        <f t="shared" si="335"/>
        <v>NSW</v>
      </c>
      <c r="H1023" s="15">
        <f t="shared" si="336"/>
        <v>2671</v>
      </c>
      <c r="I1023" s="15">
        <f t="shared" si="347"/>
        <v>988</v>
      </c>
      <c r="J1023" s="15">
        <f>OrdersTable!B1023</f>
        <v>282</v>
      </c>
      <c r="K1023" s="15" t="str">
        <f t="shared" si="337"/>
        <v>Clothing and Apparel</v>
      </c>
      <c r="L1023" s="15" t="str">
        <f t="shared" si="338"/>
        <v>Doctor Who: Tardis Laplander Hat</v>
      </c>
      <c r="M1023" s="15" t="str">
        <f t="shared" si="339"/>
        <v>-</v>
      </c>
      <c r="N1023" s="15">
        <f t="shared" si="340"/>
        <v>0.97499999999999998</v>
      </c>
      <c r="O1023" s="15" t="str">
        <f t="shared" si="341"/>
        <v>A10</v>
      </c>
      <c r="P1023" s="15" t="str">
        <f t="shared" si="342"/>
        <v>Gallifrey International</v>
      </c>
      <c r="Q1023" s="15" t="str">
        <f t="shared" si="343"/>
        <v>181 Arcadia Street</v>
      </c>
      <c r="R1023" s="3">
        <f>OrdersTable!C1023</f>
        <v>44633</v>
      </c>
      <c r="S1023" s="15">
        <f>OrdersTable!E1023</f>
        <v>3</v>
      </c>
      <c r="T1023" s="15">
        <f t="shared" si="344"/>
        <v>19.5</v>
      </c>
      <c r="U1023" s="15">
        <f t="shared" si="345"/>
        <v>26.93</v>
      </c>
      <c r="V1023" s="15">
        <f t="shared" si="346"/>
        <v>31.59</v>
      </c>
      <c r="W1023" s="15">
        <f>IF(MarkupType="Store Markup",ROUND(V1023+V1023*StoreMarkup,2),IF(MarkupType="Supplier Markup",V1023+V1023*SupplierMarkup,"Error at finding value"))</f>
        <v>49.75</v>
      </c>
      <c r="X1023" s="32" t="str">
        <f t="shared" si="348"/>
        <v>0.00</v>
      </c>
      <c r="Y1023" s="15">
        <f t="shared" si="349"/>
        <v>94.77</v>
      </c>
      <c r="Z1023" s="15">
        <f t="shared" si="350"/>
        <v>149.25</v>
      </c>
      <c r="AA1023" s="15">
        <f>IF(FreightType="Lethbridge-Stewart Freight ",ROUND(2.99+IF(N1023&gt;0.75,(N1023-0.75)*2.25,0)*S1023,2),IF(MarkupType="Supplier Markup",V1023+V1023*SupplierMarkup,"Error at finding value"))</f>
        <v>4.51</v>
      </c>
      <c r="AB1023" s="15">
        <f t="shared" si="351"/>
        <v>0</v>
      </c>
    </row>
    <row r="1024" spans="1:28" x14ac:dyDescent="0.25">
      <c r="A1024" s="16">
        <f>OrdersTable!A1024</f>
        <v>42</v>
      </c>
      <c r="B1024" s="15" t="str">
        <f t="shared" si="331"/>
        <v>Mr</v>
      </c>
      <c r="C1024" s="15" t="str">
        <f t="shared" si="352"/>
        <v>Ballantyne</v>
      </c>
      <c r="D1024" s="15" t="str">
        <f t="shared" si="332"/>
        <v>Barry John</v>
      </c>
      <c r="E1024" s="15" t="str">
        <f t="shared" si="333"/>
        <v>14 Bachmann Drive</v>
      </c>
      <c r="F1024" s="15" t="str">
        <f t="shared" si="334"/>
        <v>Alleena</v>
      </c>
      <c r="G1024" s="15" t="str">
        <f t="shared" si="335"/>
        <v>NSW</v>
      </c>
      <c r="H1024" s="15">
        <f t="shared" si="336"/>
        <v>2671</v>
      </c>
      <c r="I1024" s="15">
        <f t="shared" si="347"/>
        <v>988</v>
      </c>
      <c r="J1024" s="15">
        <f>OrdersTable!B1024</f>
        <v>745</v>
      </c>
      <c r="K1024" s="15" t="str">
        <f t="shared" si="337"/>
        <v>Props and Replicas</v>
      </c>
      <c r="L1024" s="15" t="str">
        <f t="shared" si="338"/>
        <v>Doctor Who: TARDIS Type 40 Plaque</v>
      </c>
      <c r="M1024" s="15" t="str">
        <f t="shared" si="339"/>
        <v>-</v>
      </c>
      <c r="N1024" s="15">
        <f t="shared" si="340"/>
        <v>1.75</v>
      </c>
      <c r="O1024" s="15" t="str">
        <f t="shared" si="341"/>
        <v>A30</v>
      </c>
      <c r="P1024" s="15" t="str">
        <f t="shared" si="342"/>
        <v>Chesterton Enterprises</v>
      </c>
      <c r="Q1024" s="15" t="str">
        <f t="shared" si="343"/>
        <v>41 William Russell Road</v>
      </c>
      <c r="R1024" s="3">
        <f>OrdersTable!C1024</f>
        <v>44634</v>
      </c>
      <c r="S1024" s="15">
        <f>OrdersTable!E1024</f>
        <v>3</v>
      </c>
      <c r="T1024" s="15">
        <f t="shared" si="344"/>
        <v>34.99</v>
      </c>
      <c r="U1024" s="15">
        <f t="shared" si="345"/>
        <v>47.86</v>
      </c>
      <c r="V1024" s="15">
        <f t="shared" si="346"/>
        <v>56.68</v>
      </c>
      <c r="W1024" s="15">
        <f>IF(MarkupType="Store Markup",ROUND(V1024+V1024*StoreMarkup,2),IF(MarkupType="Supplier Markup",V1024+V1024*SupplierMarkup,"Error at finding value"))</f>
        <v>89.27</v>
      </c>
      <c r="X1024" s="32" t="str">
        <f t="shared" si="348"/>
        <v>0.00</v>
      </c>
      <c r="Y1024" s="15">
        <f t="shared" si="349"/>
        <v>170.04</v>
      </c>
      <c r="Z1024" s="15">
        <f t="shared" si="350"/>
        <v>267.81</v>
      </c>
      <c r="AA1024" s="15">
        <f>IF(FreightType="Lethbridge-Stewart Freight ",ROUND(2.99+IF(N1024&gt;0.75,(N1024-0.75)*2.25,0)*S1024,2),IF(MarkupType="Supplier Markup",V1024+V1024*SupplierMarkup,"Error at finding value"))</f>
        <v>9.74</v>
      </c>
      <c r="AB1024" s="15">
        <f t="shared" si="351"/>
        <v>0</v>
      </c>
    </row>
    <row r="1025" spans="1:28" x14ac:dyDescent="0.25">
      <c r="A1025" s="16">
        <f>OrdersTable!A1025</f>
        <v>112</v>
      </c>
      <c r="B1025" s="15" t="str">
        <f t="shared" si="331"/>
        <v>Mr</v>
      </c>
      <c r="C1025" s="15" t="str">
        <f t="shared" si="352"/>
        <v>Dahal</v>
      </c>
      <c r="D1025" s="15" t="str">
        <f t="shared" si="332"/>
        <v>Subash</v>
      </c>
      <c r="E1025" s="15" t="str">
        <f t="shared" si="333"/>
        <v>121-127 Railway Pde, Granville, NSW 2142</v>
      </c>
      <c r="F1025" s="15" t="str">
        <f t="shared" si="334"/>
        <v>Granville</v>
      </c>
      <c r="G1025" s="15" t="str">
        <f t="shared" si="335"/>
        <v>NSW</v>
      </c>
      <c r="H1025" s="15">
        <f t="shared" si="336"/>
        <v>2142</v>
      </c>
      <c r="I1025" s="15">
        <f t="shared" si="347"/>
        <v>907</v>
      </c>
      <c r="J1025" s="15">
        <f>OrdersTable!B1025</f>
        <v>834</v>
      </c>
      <c r="K1025" s="15" t="str">
        <f t="shared" si="337"/>
        <v>Statues and Busts</v>
      </c>
      <c r="L1025" s="15" t="str">
        <f t="shared" si="338"/>
        <v>Doctor Who: Signature Edition Statue: Gallifrey Edition: Matt Smith</v>
      </c>
      <c r="M1025" s="15" t="str">
        <f t="shared" si="339"/>
        <v>-</v>
      </c>
      <c r="N1025" s="15">
        <f t="shared" si="340"/>
        <v>2.5</v>
      </c>
      <c r="O1025" s="15" t="str">
        <f t="shared" si="341"/>
        <v>A30</v>
      </c>
      <c r="P1025" s="15" t="str">
        <f t="shared" si="342"/>
        <v>Chesterton Enterprises</v>
      </c>
      <c r="Q1025" s="15" t="str">
        <f t="shared" si="343"/>
        <v>41 William Russell Road</v>
      </c>
      <c r="R1025" s="3">
        <f>OrdersTable!C1025</f>
        <v>44634</v>
      </c>
      <c r="S1025" s="15">
        <f>OrdersTable!E1025</f>
        <v>9</v>
      </c>
      <c r="T1025" s="15">
        <f t="shared" si="344"/>
        <v>49.99</v>
      </c>
      <c r="U1025" s="15">
        <f t="shared" si="345"/>
        <v>68.52</v>
      </c>
      <c r="V1025" s="15">
        <f t="shared" si="346"/>
        <v>80.98</v>
      </c>
      <c r="W1025" s="15">
        <f>IF(MarkupType="Store Markup",ROUND(V1025+V1025*StoreMarkup,2),IF(MarkupType="Supplier Markup",V1025+V1025*SupplierMarkup,"Error at finding value"))</f>
        <v>127.54</v>
      </c>
      <c r="X1025" s="32">
        <f t="shared" si="348"/>
        <v>9.09</v>
      </c>
      <c r="Y1025" s="15">
        <f t="shared" si="349"/>
        <v>728.82</v>
      </c>
      <c r="Z1025" s="15">
        <f t="shared" si="350"/>
        <v>1066.05</v>
      </c>
      <c r="AA1025" s="15">
        <f>IF(FreightType="Lethbridge-Stewart Freight ",ROUND(2.99+IF(N1025&gt;0.75,(N1025-0.75)*2.25,0)*S1025,2),IF(MarkupType="Supplier Markup",V1025+V1025*SupplierMarkup,"Error at finding value"))</f>
        <v>38.43</v>
      </c>
      <c r="AB1025" s="15">
        <f t="shared" si="351"/>
        <v>81.81</v>
      </c>
    </row>
    <row r="1026" spans="1:28" x14ac:dyDescent="0.25">
      <c r="A1026" s="16">
        <f>OrdersTable!A1026</f>
        <v>200</v>
      </c>
      <c r="B1026" s="15" t="str">
        <f t="shared" si="331"/>
        <v>Ms</v>
      </c>
      <c r="C1026" s="15" t="str">
        <f t="shared" si="352"/>
        <v>Barton</v>
      </c>
      <c r="D1026" s="15" t="str">
        <f t="shared" si="332"/>
        <v>Kimberley</v>
      </c>
      <c r="E1026" s="15" t="str">
        <f t="shared" si="333"/>
        <v>9 Decuyper Road</v>
      </c>
      <c r="F1026" s="15" t="str">
        <f t="shared" si="334"/>
        <v>Ashford</v>
      </c>
      <c r="G1026" s="15" t="str">
        <f t="shared" si="335"/>
        <v>SA</v>
      </c>
      <c r="H1026" s="15">
        <f t="shared" si="336"/>
        <v>5035</v>
      </c>
      <c r="I1026" s="15">
        <f t="shared" si="347"/>
        <v>1877</v>
      </c>
      <c r="J1026" s="15">
        <f>OrdersTable!B1026</f>
        <v>376</v>
      </c>
      <c r="K1026" s="15" t="str">
        <f t="shared" si="337"/>
        <v>Clothing and Apparel</v>
      </c>
      <c r="L1026" s="15" t="str">
        <f t="shared" si="338"/>
        <v xml:space="preserve">Doctor Who: T-Shirts: 7th Doctor Costume </v>
      </c>
      <c r="M1026" s="15" t="str">
        <f t="shared" si="339"/>
        <v>S</v>
      </c>
      <c r="N1026" s="15">
        <f t="shared" si="340"/>
        <v>0.8</v>
      </c>
      <c r="O1026" s="15" t="str">
        <f t="shared" si="341"/>
        <v>A10</v>
      </c>
      <c r="P1026" s="15" t="str">
        <f t="shared" si="342"/>
        <v>Gallifrey International</v>
      </c>
      <c r="Q1026" s="15" t="str">
        <f t="shared" si="343"/>
        <v>181 Arcadia Street</v>
      </c>
      <c r="R1026" s="3">
        <f>OrdersTable!C1026</f>
        <v>44634</v>
      </c>
      <c r="S1026" s="15">
        <f>OrdersTable!E1026</f>
        <v>8</v>
      </c>
      <c r="T1026" s="15">
        <f t="shared" si="344"/>
        <v>15.99</v>
      </c>
      <c r="U1026" s="15">
        <f t="shared" si="345"/>
        <v>21.83</v>
      </c>
      <c r="V1026" s="15">
        <f t="shared" si="346"/>
        <v>25.9</v>
      </c>
      <c r="W1026" s="15">
        <f>IF(MarkupType="Store Markup",ROUND(V1026+V1026*StoreMarkup,2),IF(MarkupType="Supplier Markup",V1026+V1026*SupplierMarkup,"Error at finding value"))</f>
        <v>40.79</v>
      </c>
      <c r="X1026" s="32" t="str">
        <f t="shared" si="348"/>
        <v>0.00</v>
      </c>
      <c r="Y1026" s="15">
        <f t="shared" si="349"/>
        <v>207.2</v>
      </c>
      <c r="Z1026" s="15">
        <f t="shared" si="350"/>
        <v>326.32</v>
      </c>
      <c r="AA1026" s="15">
        <f>IF(FreightType="Lethbridge-Stewart Freight ",ROUND(2.99+IF(N1026&gt;0.75,(N1026-0.75)*2.25,0)*S1026,2),IF(MarkupType="Supplier Markup",V1026+V1026*SupplierMarkup,"Error at finding value"))</f>
        <v>3.89</v>
      </c>
      <c r="AB1026" s="15">
        <f t="shared" si="351"/>
        <v>0</v>
      </c>
    </row>
    <row r="1027" spans="1:28" x14ac:dyDescent="0.25">
      <c r="A1027" s="16">
        <f>OrdersTable!A1027</f>
        <v>200</v>
      </c>
      <c r="B1027" s="15" t="str">
        <f t="shared" si="331"/>
        <v>Ms</v>
      </c>
      <c r="C1027" s="15" t="str">
        <f t="shared" si="352"/>
        <v>Barton</v>
      </c>
      <c r="D1027" s="15" t="str">
        <f t="shared" si="332"/>
        <v>Kimberley</v>
      </c>
      <c r="E1027" s="15" t="str">
        <f t="shared" si="333"/>
        <v>9 Decuyper Road</v>
      </c>
      <c r="F1027" s="15" t="str">
        <f t="shared" si="334"/>
        <v>Ashford</v>
      </c>
      <c r="G1027" s="15" t="str">
        <f t="shared" si="335"/>
        <v>SA</v>
      </c>
      <c r="H1027" s="15">
        <f t="shared" si="336"/>
        <v>5035</v>
      </c>
      <c r="I1027" s="15">
        <f t="shared" si="347"/>
        <v>1877</v>
      </c>
      <c r="J1027" s="15">
        <f>OrdersTable!B1027</f>
        <v>745</v>
      </c>
      <c r="K1027" s="15" t="str">
        <f t="shared" si="337"/>
        <v>Props and Replicas</v>
      </c>
      <c r="L1027" s="15" t="str">
        <f t="shared" si="338"/>
        <v>Doctor Who: TARDIS Type 40 Plaque</v>
      </c>
      <c r="M1027" s="15" t="str">
        <f t="shared" si="339"/>
        <v>-</v>
      </c>
      <c r="N1027" s="15">
        <f t="shared" si="340"/>
        <v>1.75</v>
      </c>
      <c r="O1027" s="15" t="str">
        <f t="shared" si="341"/>
        <v>A30</v>
      </c>
      <c r="P1027" s="15" t="str">
        <f t="shared" si="342"/>
        <v>Chesterton Enterprises</v>
      </c>
      <c r="Q1027" s="15" t="str">
        <f t="shared" si="343"/>
        <v>41 William Russell Road</v>
      </c>
      <c r="R1027" s="3">
        <f>OrdersTable!C1027</f>
        <v>44634</v>
      </c>
      <c r="S1027" s="15">
        <f>OrdersTable!E1027</f>
        <v>9</v>
      </c>
      <c r="T1027" s="15">
        <f t="shared" si="344"/>
        <v>34.99</v>
      </c>
      <c r="U1027" s="15">
        <f t="shared" si="345"/>
        <v>47.86</v>
      </c>
      <c r="V1027" s="15">
        <f t="shared" si="346"/>
        <v>56.68</v>
      </c>
      <c r="W1027" s="15">
        <f>IF(MarkupType="Store Markup",ROUND(V1027+V1027*StoreMarkup,2),IF(MarkupType="Supplier Markup",V1027+V1027*SupplierMarkup,"Error at finding value"))</f>
        <v>89.27</v>
      </c>
      <c r="X1027" s="32" t="str">
        <f t="shared" si="348"/>
        <v>0.00</v>
      </c>
      <c r="Y1027" s="15">
        <f t="shared" si="349"/>
        <v>510.12</v>
      </c>
      <c r="Z1027" s="15">
        <f t="shared" si="350"/>
        <v>803.43</v>
      </c>
      <c r="AA1027" s="15">
        <f>IF(FreightType="Lethbridge-Stewart Freight ",ROUND(2.99+IF(N1027&gt;0.75,(N1027-0.75)*2.25,0)*S1027,2),IF(MarkupType="Supplier Markup",V1027+V1027*SupplierMarkup,"Error at finding value"))</f>
        <v>23.24</v>
      </c>
      <c r="AB1027" s="15">
        <f t="shared" si="351"/>
        <v>0</v>
      </c>
    </row>
    <row r="1028" spans="1:28" x14ac:dyDescent="0.25">
      <c r="A1028" s="16">
        <f>OrdersTable!A1028</f>
        <v>285</v>
      </c>
      <c r="B1028" s="15" t="str">
        <f t="shared" ref="B1028:B1091" si="353">VLOOKUP($A1028,Cust,2,0)</f>
        <v>Mr</v>
      </c>
      <c r="C1028" s="15" t="str">
        <f t="shared" si="352"/>
        <v>Temple Morgan</v>
      </c>
      <c r="D1028" s="15" t="str">
        <f t="shared" ref="D1028:D1091" si="354">VLOOKUP($A1028,Cust,4,0)</f>
        <v>Mathew Peter</v>
      </c>
      <c r="E1028" s="15" t="str">
        <f t="shared" ref="E1028:E1091" si="355">VLOOKUP($A1028,Cust,6,0)</f>
        <v>19 Tansky Court</v>
      </c>
      <c r="F1028" s="15" t="str">
        <f t="shared" ref="F1028:F1091" si="356">VLOOKUP($A1028,Cust,7,0)</f>
        <v>Belford</v>
      </c>
      <c r="G1028" s="15" t="str">
        <f t="shared" ref="G1028:G1091" si="357">VLOOKUP($A1028,Cust,8,0)</f>
        <v>NSW</v>
      </c>
      <c r="H1028" s="15">
        <f t="shared" ref="H1028:H1091" si="358">VLOOKUP($A1028,Cust,9,0)</f>
        <v>2335</v>
      </c>
      <c r="I1028" s="15">
        <f t="shared" si="347"/>
        <v>716</v>
      </c>
      <c r="J1028" s="15">
        <f>OrdersTable!B1028</f>
        <v>704</v>
      </c>
      <c r="K1028" s="15" t="str">
        <f t="shared" ref="K1028:K1091" si="359">VLOOKUP($J1028,Itms,2,0)</f>
        <v>Posters, Prints and Standees</v>
      </c>
      <c r="L1028" s="15" t="str">
        <f t="shared" ref="L1028:L1091" si="360">VLOOKUP($J1028,Itms,3,0)</f>
        <v>Doctor Who: Poster: Doctor's Enemies</v>
      </c>
      <c r="M1028" s="15" t="str">
        <f t="shared" ref="M1028:M1091" si="361">VLOOKUP($J1028,Itms,4,0)</f>
        <v>-</v>
      </c>
      <c r="N1028" s="15">
        <f t="shared" ref="N1028:N1091" si="362">VLOOKUP($J1028,Itms,5,0)</f>
        <v>0.2</v>
      </c>
      <c r="O1028" s="15" t="str">
        <f t="shared" ref="O1028:O1091" si="363">VLOOKUP($J1028,Itms,6,0)</f>
        <v>A30</v>
      </c>
      <c r="P1028" s="15" t="str">
        <f t="shared" ref="P1028:P1091" si="364">VLOOKUP($O1028,Supp,2,0)</f>
        <v>Chesterton Enterprises</v>
      </c>
      <c r="Q1028" s="15" t="str">
        <f t="shared" ref="Q1028:Q1091" si="365">VLOOKUP($O1028,Supp,3,0)</f>
        <v>41 William Russell Road</v>
      </c>
      <c r="R1028" s="3">
        <f>OrdersTable!C1028</f>
        <v>44634</v>
      </c>
      <c r="S1028" s="15">
        <f>OrdersTable!E1028</f>
        <v>3</v>
      </c>
      <c r="T1028" s="15">
        <f t="shared" ref="T1028:T1091" si="366">VLOOKUP($J1028,Itms,9,0)</f>
        <v>3.99</v>
      </c>
      <c r="U1028" s="15">
        <f t="shared" ref="U1028:U1091" si="367">VLOOKUP($J1028,Itms,10,0)</f>
        <v>5.52</v>
      </c>
      <c r="V1028" s="15">
        <f t="shared" ref="V1028:V1091" si="368">IF(ExchRateType="IR",ROUND(T1028*ExchRateIR,2),IF(ExchRateType="CA",ROUND(U1028*ExchRateCA,2),"Error at finding value"))</f>
        <v>6.46</v>
      </c>
      <c r="W1028" s="15">
        <f>IF(MarkupType="Store Markup",ROUND(V1028+V1028*StoreMarkup,2),IF(MarkupType="Supplier Markup",V1028+V1028*SupplierMarkup,"Error at finding value"))</f>
        <v>10.17</v>
      </c>
      <c r="X1028" s="32" t="str">
        <f t="shared" si="348"/>
        <v>0.00</v>
      </c>
      <c r="Y1028" s="15">
        <f t="shared" si="349"/>
        <v>19.38</v>
      </c>
      <c r="Z1028" s="15">
        <f t="shared" si="350"/>
        <v>30.51</v>
      </c>
      <c r="AA1028" s="15">
        <f>IF(FreightType="Lethbridge-Stewart Freight ",ROUND(2.99+IF(N1028&gt;0.75,(N1028-0.75)*2.25,0)*S1028,2),IF(MarkupType="Supplier Markup",V1028+V1028*SupplierMarkup,"Error at finding value"))</f>
        <v>2.99</v>
      </c>
      <c r="AB1028" s="15">
        <f t="shared" si="351"/>
        <v>0</v>
      </c>
    </row>
    <row r="1029" spans="1:28" x14ac:dyDescent="0.25">
      <c r="A1029" s="16">
        <f>OrdersTable!A1029</f>
        <v>329</v>
      </c>
      <c r="B1029" s="15" t="str">
        <f t="shared" si="353"/>
        <v>Ms</v>
      </c>
      <c r="C1029" s="15" t="str">
        <f t="shared" si="352"/>
        <v>Hubbard</v>
      </c>
      <c r="D1029" s="15" t="str">
        <f t="shared" si="354"/>
        <v>Sonya Marie</v>
      </c>
      <c r="E1029" s="15" t="str">
        <f t="shared" si="355"/>
        <v>42 Keable Crescent</v>
      </c>
      <c r="F1029" s="15" t="str">
        <f t="shared" si="356"/>
        <v>Boston</v>
      </c>
      <c r="G1029" s="15" t="str">
        <f t="shared" si="357"/>
        <v>SA</v>
      </c>
      <c r="H1029" s="15">
        <f t="shared" si="358"/>
        <v>5607</v>
      </c>
      <c r="I1029" s="15">
        <f t="shared" ref="I1029:I1092" si="369">VLOOKUP($A1029,Cust,10,0)</f>
        <v>2076</v>
      </c>
      <c r="J1029" s="15">
        <f>OrdersTable!B1029</f>
        <v>643</v>
      </c>
      <c r="K1029" s="15" t="str">
        <f t="shared" si="359"/>
        <v>Mugs</v>
      </c>
      <c r="L1029" s="15" t="str">
        <f t="shared" si="360"/>
        <v>Doctor Who: Giant Mug: Logo</v>
      </c>
      <c r="M1029" s="15" t="str">
        <f t="shared" si="361"/>
        <v>-</v>
      </c>
      <c r="N1029" s="15">
        <f t="shared" si="362"/>
        <v>0.44500000000000001</v>
      </c>
      <c r="O1029" s="15" t="str">
        <f t="shared" si="363"/>
        <v>A10</v>
      </c>
      <c r="P1029" s="15" t="str">
        <f t="shared" si="364"/>
        <v>Gallifrey International</v>
      </c>
      <c r="Q1029" s="15" t="str">
        <f t="shared" si="365"/>
        <v>181 Arcadia Street</v>
      </c>
      <c r="R1029" s="3">
        <f>OrdersTable!C1029</f>
        <v>44634</v>
      </c>
      <c r="S1029" s="15">
        <f>OrdersTable!E1029</f>
        <v>4</v>
      </c>
      <c r="T1029" s="15">
        <f t="shared" si="366"/>
        <v>8.89</v>
      </c>
      <c r="U1029" s="15">
        <f t="shared" si="367"/>
        <v>12.19</v>
      </c>
      <c r="V1029" s="15">
        <f t="shared" si="368"/>
        <v>14.4</v>
      </c>
      <c r="W1029" s="15">
        <f>IF(MarkupType="Store Markup",ROUND(V1029+V1029*StoreMarkup,2),IF(MarkupType="Supplier Markup",V1029+V1029*SupplierMarkup,"Error at finding value"))</f>
        <v>22.68</v>
      </c>
      <c r="X1029" s="32" t="str">
        <f t="shared" ref="X1029:X1092" si="370">IF(AND(W1029&gt;100,S1029&gt;=3),ROUND(0.07125*W1029,2),"0.00")</f>
        <v>0.00</v>
      </c>
      <c r="Y1029" s="15">
        <f t="shared" ref="Y1029:Y1092" si="371">ROUND(V1029*S1029,2)</f>
        <v>57.6</v>
      </c>
      <c r="Z1029" s="15">
        <f t="shared" ref="Z1029:Z1092" si="372">ROUND((W1029-X1029)*S1029,2)</f>
        <v>90.72</v>
      </c>
      <c r="AA1029" s="15">
        <f>IF(FreightType="Lethbridge-Stewart Freight ",ROUND(2.99+IF(N1029&gt;0.75,(N1029-0.75)*2.25,0)*S1029,2),IF(MarkupType="Supplier Markup",V1029+V1029*SupplierMarkup,"Error at finding value"))</f>
        <v>2.99</v>
      </c>
      <c r="AB1029" s="15">
        <f t="shared" ref="AB1029:AB1092" si="373">ROUND(X1029*S1029,2)</f>
        <v>0</v>
      </c>
    </row>
    <row r="1030" spans="1:28" x14ac:dyDescent="0.25">
      <c r="A1030" s="16">
        <f>OrdersTable!A1030</f>
        <v>360</v>
      </c>
      <c r="B1030" s="15" t="str">
        <f t="shared" si="353"/>
        <v>Ms</v>
      </c>
      <c r="C1030" s="15" t="str">
        <f t="shared" si="352"/>
        <v>Bobonica</v>
      </c>
      <c r="D1030" s="15" t="str">
        <f t="shared" si="354"/>
        <v>Claudia</v>
      </c>
      <c r="E1030" s="15" t="str">
        <f t="shared" si="355"/>
        <v>47 Klein Way</v>
      </c>
      <c r="F1030" s="15" t="str">
        <f t="shared" si="356"/>
        <v>Avon Plains</v>
      </c>
      <c r="G1030" s="15" t="str">
        <f t="shared" si="357"/>
        <v>VIC</v>
      </c>
      <c r="H1030" s="15">
        <f t="shared" si="358"/>
        <v>3477</v>
      </c>
      <c r="I1030" s="15">
        <f t="shared" si="369"/>
        <v>1565</v>
      </c>
      <c r="J1030" s="15">
        <f>OrdersTable!B1030</f>
        <v>196</v>
      </c>
      <c r="K1030" s="15" t="str">
        <f t="shared" si="359"/>
        <v>Clothing and Apparel</v>
      </c>
      <c r="L1030" s="15" t="str">
        <f t="shared" si="360"/>
        <v>Doctor Who: 12 Foot Tom Baker Scarf</v>
      </c>
      <c r="M1030" s="15" t="str">
        <f t="shared" si="361"/>
        <v>-</v>
      </c>
      <c r="N1030" s="15">
        <f t="shared" si="362"/>
        <v>2.5</v>
      </c>
      <c r="O1030" s="15" t="str">
        <f t="shared" si="363"/>
        <v>A40</v>
      </c>
      <c r="P1030" s="15" t="str">
        <f t="shared" si="364"/>
        <v>Romana Imports</v>
      </c>
      <c r="Q1030" s="15" t="str">
        <f t="shared" si="365"/>
        <v>17 Lalla Ward Road</v>
      </c>
      <c r="R1030" s="3">
        <f>OrdersTable!C1030</f>
        <v>44634</v>
      </c>
      <c r="S1030" s="15">
        <f>OrdersTable!E1030</f>
        <v>2</v>
      </c>
      <c r="T1030" s="15">
        <f t="shared" si="366"/>
        <v>49.99</v>
      </c>
      <c r="U1030" s="15">
        <f t="shared" si="367"/>
        <v>68.28</v>
      </c>
      <c r="V1030" s="15">
        <f t="shared" si="368"/>
        <v>80.98</v>
      </c>
      <c r="W1030" s="15">
        <f>IF(MarkupType="Store Markup",ROUND(V1030+V1030*StoreMarkup,2),IF(MarkupType="Supplier Markup",V1030+V1030*SupplierMarkup,"Error at finding value"))</f>
        <v>127.54</v>
      </c>
      <c r="X1030" s="32" t="str">
        <f t="shared" si="370"/>
        <v>0.00</v>
      </c>
      <c r="Y1030" s="15">
        <f t="shared" si="371"/>
        <v>161.96</v>
      </c>
      <c r="Z1030" s="15">
        <f t="shared" si="372"/>
        <v>255.08</v>
      </c>
      <c r="AA1030" s="15">
        <f>IF(FreightType="Lethbridge-Stewart Freight ",ROUND(2.99+IF(N1030&gt;0.75,(N1030-0.75)*2.25,0)*S1030,2),IF(MarkupType="Supplier Markup",V1030+V1030*SupplierMarkup,"Error at finding value"))</f>
        <v>10.87</v>
      </c>
      <c r="AB1030" s="15">
        <f t="shared" si="373"/>
        <v>0</v>
      </c>
    </row>
    <row r="1031" spans="1:28" x14ac:dyDescent="0.25">
      <c r="A1031" s="16">
        <f>OrdersTable!A1031</f>
        <v>416</v>
      </c>
      <c r="B1031" s="15" t="str">
        <f t="shared" si="353"/>
        <v>Mr</v>
      </c>
      <c r="C1031" s="15" t="str">
        <f t="shared" si="352"/>
        <v>Mohammed</v>
      </c>
      <c r="D1031" s="15" t="str">
        <f t="shared" si="354"/>
        <v>Ahmed</v>
      </c>
      <c r="E1031" s="15" t="str">
        <f t="shared" si="355"/>
        <v>35 Ridley Avenue</v>
      </c>
      <c r="F1031" s="15" t="str">
        <f t="shared" si="356"/>
        <v>Iluka</v>
      </c>
      <c r="G1031" s="15" t="str">
        <f t="shared" si="357"/>
        <v>NSW</v>
      </c>
      <c r="H1031" s="15">
        <f t="shared" si="358"/>
        <v>2466</v>
      </c>
      <c r="I1031" s="15">
        <f t="shared" si="369"/>
        <v>347</v>
      </c>
      <c r="J1031" s="15">
        <f>OrdersTable!B1031</f>
        <v>590</v>
      </c>
      <c r="K1031" s="15" t="str">
        <f t="shared" si="359"/>
        <v>iPhone Skins</v>
      </c>
      <c r="L1031" s="15" t="str">
        <f t="shared" si="360"/>
        <v>Doctor Who: iPhone Skin: Exploding TARDIS</v>
      </c>
      <c r="M1031" s="15" t="str">
        <f t="shared" si="361"/>
        <v>-</v>
      </c>
      <c r="N1031" s="15">
        <f t="shared" si="362"/>
        <v>0.5</v>
      </c>
      <c r="O1031" s="15" t="str">
        <f t="shared" si="363"/>
        <v>A20</v>
      </c>
      <c r="P1031" s="15" t="str">
        <f t="shared" si="364"/>
        <v>Morbius Inc.</v>
      </c>
      <c r="Q1031" s="15" t="str">
        <f t="shared" si="365"/>
        <v>56 Michael Spice Hwy</v>
      </c>
      <c r="R1031" s="3">
        <f>OrdersTable!C1031</f>
        <v>44634</v>
      </c>
      <c r="S1031" s="15">
        <f>OrdersTable!E1031</f>
        <v>3</v>
      </c>
      <c r="T1031" s="15">
        <f t="shared" si="366"/>
        <v>9.99</v>
      </c>
      <c r="U1031" s="15">
        <f t="shared" si="367"/>
        <v>13.86</v>
      </c>
      <c r="V1031" s="15">
        <f t="shared" si="368"/>
        <v>16.18</v>
      </c>
      <c r="W1031" s="15">
        <f>IF(MarkupType="Store Markup",ROUND(V1031+V1031*StoreMarkup,2),IF(MarkupType="Supplier Markup",V1031+V1031*SupplierMarkup,"Error at finding value"))</f>
        <v>25.48</v>
      </c>
      <c r="X1031" s="32" t="str">
        <f t="shared" si="370"/>
        <v>0.00</v>
      </c>
      <c r="Y1031" s="15">
        <f t="shared" si="371"/>
        <v>48.54</v>
      </c>
      <c r="Z1031" s="15">
        <f t="shared" si="372"/>
        <v>76.44</v>
      </c>
      <c r="AA1031" s="15">
        <f>IF(FreightType="Lethbridge-Stewart Freight ",ROUND(2.99+IF(N1031&gt;0.75,(N1031-0.75)*2.25,0)*S1031,2),IF(MarkupType="Supplier Markup",V1031+V1031*SupplierMarkup,"Error at finding value"))</f>
        <v>2.99</v>
      </c>
      <c r="AB1031" s="15">
        <f t="shared" si="373"/>
        <v>0</v>
      </c>
    </row>
    <row r="1032" spans="1:28" x14ac:dyDescent="0.25">
      <c r="A1032" s="16">
        <f>OrdersTable!A1032</f>
        <v>467</v>
      </c>
      <c r="B1032" s="15" t="str">
        <f t="shared" si="353"/>
        <v>Mrs</v>
      </c>
      <c r="C1032" s="15" t="str">
        <f t="shared" si="352"/>
        <v>Daniell</v>
      </c>
      <c r="D1032" s="15" t="str">
        <f t="shared" si="354"/>
        <v>Bronte Eliza</v>
      </c>
      <c r="E1032" s="15" t="str">
        <f t="shared" si="355"/>
        <v>41 Wilson Boulevard</v>
      </c>
      <c r="F1032" s="15" t="str">
        <f t="shared" si="356"/>
        <v>Aberfoyle</v>
      </c>
      <c r="G1032" s="15" t="str">
        <f t="shared" si="357"/>
        <v>NSW</v>
      </c>
      <c r="H1032" s="15">
        <f t="shared" si="358"/>
        <v>2350</v>
      </c>
      <c r="I1032" s="15">
        <f t="shared" si="369"/>
        <v>363</v>
      </c>
      <c r="J1032" s="15">
        <f>OrdersTable!B1032</f>
        <v>580</v>
      </c>
      <c r="K1032" s="15" t="str">
        <f t="shared" si="359"/>
        <v>Giftware</v>
      </c>
      <c r="L1032" s="15" t="str">
        <f t="shared" si="360"/>
        <v>Doctor Who: Wallpaper: Classic TARDIS Columns</v>
      </c>
      <c r="M1032" s="15" t="str">
        <f t="shared" si="361"/>
        <v>-</v>
      </c>
      <c r="N1032" s="15">
        <f t="shared" si="362"/>
        <v>0.65500000000000003</v>
      </c>
      <c r="O1032" s="15" t="str">
        <f t="shared" si="363"/>
        <v>A50</v>
      </c>
      <c r="P1032" s="15" t="str">
        <f t="shared" si="364"/>
        <v>Rassilon Ltd.</v>
      </c>
      <c r="Q1032" s="15" t="str">
        <f t="shared" si="365"/>
        <v>82 Richard Mathews Road</v>
      </c>
      <c r="R1032" s="3">
        <f>OrdersTable!C1032</f>
        <v>44634</v>
      </c>
      <c r="S1032" s="15">
        <f>OrdersTable!E1032</f>
        <v>9</v>
      </c>
      <c r="T1032" s="15">
        <f t="shared" si="366"/>
        <v>13.11</v>
      </c>
      <c r="U1032" s="15">
        <f t="shared" si="367"/>
        <v>18.18</v>
      </c>
      <c r="V1032" s="15">
        <f t="shared" si="368"/>
        <v>21.24</v>
      </c>
      <c r="W1032" s="15">
        <f>IF(MarkupType="Store Markup",ROUND(V1032+V1032*StoreMarkup,2),IF(MarkupType="Supplier Markup",V1032+V1032*SupplierMarkup,"Error at finding value"))</f>
        <v>33.450000000000003</v>
      </c>
      <c r="X1032" s="32" t="str">
        <f t="shared" si="370"/>
        <v>0.00</v>
      </c>
      <c r="Y1032" s="15">
        <f t="shared" si="371"/>
        <v>191.16</v>
      </c>
      <c r="Z1032" s="15">
        <f t="shared" si="372"/>
        <v>301.05</v>
      </c>
      <c r="AA1032" s="15">
        <f>IF(FreightType="Lethbridge-Stewart Freight ",ROUND(2.99+IF(N1032&gt;0.75,(N1032-0.75)*2.25,0)*S1032,2),IF(MarkupType="Supplier Markup",V1032+V1032*SupplierMarkup,"Error at finding value"))</f>
        <v>2.99</v>
      </c>
      <c r="AB1032" s="15">
        <f t="shared" si="373"/>
        <v>0</v>
      </c>
    </row>
    <row r="1033" spans="1:28" x14ac:dyDescent="0.25">
      <c r="A1033" s="16">
        <f>OrdersTable!A1033</f>
        <v>557</v>
      </c>
      <c r="B1033" s="15" t="str">
        <f t="shared" si="353"/>
        <v>Mrs</v>
      </c>
      <c r="C1033" s="15" t="str">
        <f t="shared" si="352"/>
        <v>Allen</v>
      </c>
      <c r="D1033" s="15" t="str">
        <f t="shared" si="354"/>
        <v>Morgan</v>
      </c>
      <c r="E1033" s="15" t="str">
        <f t="shared" si="355"/>
        <v>15 Winsor Street</v>
      </c>
      <c r="F1033" s="15" t="str">
        <f t="shared" si="356"/>
        <v>Appletree Flat</v>
      </c>
      <c r="G1033" s="15" t="str">
        <f t="shared" si="357"/>
        <v>NSW</v>
      </c>
      <c r="H1033" s="15">
        <f t="shared" si="358"/>
        <v>2330</v>
      </c>
      <c r="I1033" s="15">
        <f t="shared" si="369"/>
        <v>691</v>
      </c>
      <c r="J1033" s="15">
        <f>OrdersTable!B1033</f>
        <v>725</v>
      </c>
      <c r="K1033" s="15" t="str">
        <f t="shared" si="359"/>
        <v>Props and Replicas</v>
      </c>
      <c r="L1033" s="15" t="str">
        <f t="shared" si="360"/>
        <v>Doctor Who: Captain Jack Sonic Blaster</v>
      </c>
      <c r="M1033" s="15" t="str">
        <f t="shared" si="361"/>
        <v>-</v>
      </c>
      <c r="N1033" s="15">
        <f t="shared" si="362"/>
        <v>14.8</v>
      </c>
      <c r="O1033" s="15" t="str">
        <f t="shared" si="363"/>
        <v>A30</v>
      </c>
      <c r="P1033" s="15" t="str">
        <f t="shared" si="364"/>
        <v>Chesterton Enterprises</v>
      </c>
      <c r="Q1033" s="15" t="str">
        <f t="shared" si="365"/>
        <v>41 William Russell Road</v>
      </c>
      <c r="R1033" s="3">
        <f>OrdersTable!C1033</f>
        <v>44634</v>
      </c>
      <c r="S1033" s="15">
        <f>OrdersTable!E1033</f>
        <v>2</v>
      </c>
      <c r="T1033" s="15">
        <f t="shared" si="366"/>
        <v>295.99</v>
      </c>
      <c r="U1033" s="15">
        <f t="shared" si="367"/>
        <v>403.88</v>
      </c>
      <c r="V1033" s="15">
        <f t="shared" si="368"/>
        <v>479.5</v>
      </c>
      <c r="W1033" s="15">
        <f>IF(MarkupType="Store Markup",ROUND(V1033+V1033*StoreMarkup,2),IF(MarkupType="Supplier Markup",V1033+V1033*SupplierMarkup,"Error at finding value"))</f>
        <v>755.21</v>
      </c>
      <c r="X1033" s="32" t="str">
        <f t="shared" si="370"/>
        <v>0.00</v>
      </c>
      <c r="Y1033" s="15">
        <f t="shared" si="371"/>
        <v>959</v>
      </c>
      <c r="Z1033" s="15">
        <f t="shared" si="372"/>
        <v>1510.42</v>
      </c>
      <c r="AA1033" s="15">
        <f>IF(FreightType="Lethbridge-Stewart Freight ",ROUND(2.99+IF(N1033&gt;0.75,(N1033-0.75)*2.25,0)*S1033,2),IF(MarkupType="Supplier Markup",V1033+V1033*SupplierMarkup,"Error at finding value"))</f>
        <v>66.22</v>
      </c>
      <c r="AB1033" s="15">
        <f t="shared" si="373"/>
        <v>0</v>
      </c>
    </row>
    <row r="1034" spans="1:28" x14ac:dyDescent="0.25">
      <c r="A1034" s="16">
        <f>OrdersTable!A1034</f>
        <v>585</v>
      </c>
      <c r="B1034" s="15" t="str">
        <f t="shared" si="353"/>
        <v>Miss</v>
      </c>
      <c r="C1034" s="15" t="str">
        <f t="shared" si="352"/>
        <v>Long</v>
      </c>
      <c r="D1034" s="15" t="str">
        <f t="shared" si="354"/>
        <v>Bellinda May</v>
      </c>
      <c r="E1034" s="15" t="str">
        <f t="shared" si="355"/>
        <v>5 Hutcheson Avenue</v>
      </c>
      <c r="F1034" s="15" t="str">
        <f t="shared" si="356"/>
        <v>Glenfern</v>
      </c>
      <c r="G1034" s="15" t="str">
        <f t="shared" si="357"/>
        <v>QLD</v>
      </c>
      <c r="H1034" s="15">
        <f t="shared" si="358"/>
        <v>4515</v>
      </c>
      <c r="I1034" s="15">
        <f t="shared" si="369"/>
        <v>128</v>
      </c>
      <c r="J1034" s="15">
        <f>OrdersTable!B1034</f>
        <v>590</v>
      </c>
      <c r="K1034" s="15" t="str">
        <f t="shared" si="359"/>
        <v>iPhone Skins</v>
      </c>
      <c r="L1034" s="15" t="str">
        <f t="shared" si="360"/>
        <v>Doctor Who: iPhone Skin: Exploding TARDIS</v>
      </c>
      <c r="M1034" s="15" t="str">
        <f t="shared" si="361"/>
        <v>-</v>
      </c>
      <c r="N1034" s="15">
        <f t="shared" si="362"/>
        <v>0.5</v>
      </c>
      <c r="O1034" s="15" t="str">
        <f t="shared" si="363"/>
        <v>A20</v>
      </c>
      <c r="P1034" s="15" t="str">
        <f t="shared" si="364"/>
        <v>Morbius Inc.</v>
      </c>
      <c r="Q1034" s="15" t="str">
        <f t="shared" si="365"/>
        <v>56 Michael Spice Hwy</v>
      </c>
      <c r="R1034" s="3">
        <f>OrdersTable!C1034</f>
        <v>44634</v>
      </c>
      <c r="S1034" s="15">
        <f>OrdersTable!E1034</f>
        <v>3</v>
      </c>
      <c r="T1034" s="15">
        <f t="shared" si="366"/>
        <v>9.99</v>
      </c>
      <c r="U1034" s="15">
        <f t="shared" si="367"/>
        <v>13.86</v>
      </c>
      <c r="V1034" s="15">
        <f t="shared" si="368"/>
        <v>16.18</v>
      </c>
      <c r="W1034" s="15">
        <f>IF(MarkupType="Store Markup",ROUND(V1034+V1034*StoreMarkup,2),IF(MarkupType="Supplier Markup",V1034+V1034*SupplierMarkup,"Error at finding value"))</f>
        <v>25.48</v>
      </c>
      <c r="X1034" s="32" t="str">
        <f t="shared" si="370"/>
        <v>0.00</v>
      </c>
      <c r="Y1034" s="15">
        <f t="shared" si="371"/>
        <v>48.54</v>
      </c>
      <c r="Z1034" s="15">
        <f t="shared" si="372"/>
        <v>76.44</v>
      </c>
      <c r="AA1034" s="15">
        <f>IF(FreightType="Lethbridge-Stewart Freight ",ROUND(2.99+IF(N1034&gt;0.75,(N1034-0.75)*2.25,0)*S1034,2),IF(MarkupType="Supplier Markup",V1034+V1034*SupplierMarkup,"Error at finding value"))</f>
        <v>2.99</v>
      </c>
      <c r="AB1034" s="15">
        <f t="shared" si="373"/>
        <v>0</v>
      </c>
    </row>
    <row r="1035" spans="1:28" x14ac:dyDescent="0.25">
      <c r="A1035" s="16">
        <f>OrdersTable!A1035</f>
        <v>659</v>
      </c>
      <c r="B1035" s="15" t="str">
        <f t="shared" si="353"/>
        <v>Mr</v>
      </c>
      <c r="C1035" s="15" t="str">
        <f t="shared" ref="C1035:C1098" si="374">VLOOKUP($A1035,Cust,3,0)</f>
        <v>Douglas</v>
      </c>
      <c r="D1035" s="15" t="str">
        <f t="shared" si="354"/>
        <v>Jason Richard</v>
      </c>
      <c r="E1035" s="15" t="str">
        <f t="shared" si="355"/>
        <v>14 Young Crescent</v>
      </c>
      <c r="F1035" s="15" t="str">
        <f t="shared" si="356"/>
        <v>Caliph</v>
      </c>
      <c r="G1035" s="15" t="str">
        <f t="shared" si="357"/>
        <v>SA</v>
      </c>
      <c r="H1035" s="15">
        <f t="shared" si="358"/>
        <v>5310</v>
      </c>
      <c r="I1035" s="15">
        <f t="shared" si="369"/>
        <v>1720</v>
      </c>
      <c r="J1035" s="15">
        <f>OrdersTable!B1035</f>
        <v>668</v>
      </c>
      <c r="K1035" s="15" t="str">
        <f t="shared" si="359"/>
        <v>Mugs</v>
      </c>
      <c r="L1035" s="15" t="str">
        <f t="shared" si="360"/>
        <v>Doctor Who: Mug: Silver TARDIS</v>
      </c>
      <c r="M1035" s="15" t="str">
        <f t="shared" si="361"/>
        <v>-</v>
      </c>
      <c r="N1035" s="15">
        <f t="shared" si="362"/>
        <v>1.1499999999999999</v>
      </c>
      <c r="O1035" s="15" t="str">
        <f t="shared" si="363"/>
        <v>A50</v>
      </c>
      <c r="P1035" s="15" t="str">
        <f t="shared" si="364"/>
        <v>Rassilon Ltd.</v>
      </c>
      <c r="Q1035" s="15" t="str">
        <f t="shared" si="365"/>
        <v>82 Richard Mathews Road</v>
      </c>
      <c r="R1035" s="3">
        <f>OrdersTable!C1035</f>
        <v>44634</v>
      </c>
      <c r="S1035" s="15">
        <f>OrdersTable!E1035</f>
        <v>4</v>
      </c>
      <c r="T1035" s="15">
        <f t="shared" si="366"/>
        <v>22.99</v>
      </c>
      <c r="U1035" s="15">
        <f t="shared" si="367"/>
        <v>31.53</v>
      </c>
      <c r="V1035" s="15">
        <f t="shared" si="368"/>
        <v>37.24</v>
      </c>
      <c r="W1035" s="15">
        <f>IF(MarkupType="Store Markup",ROUND(V1035+V1035*StoreMarkup,2),IF(MarkupType="Supplier Markup",V1035+V1035*SupplierMarkup,"Error at finding value"))</f>
        <v>58.65</v>
      </c>
      <c r="X1035" s="32" t="str">
        <f t="shared" si="370"/>
        <v>0.00</v>
      </c>
      <c r="Y1035" s="15">
        <f t="shared" si="371"/>
        <v>148.96</v>
      </c>
      <c r="Z1035" s="15">
        <f t="shared" si="372"/>
        <v>234.6</v>
      </c>
      <c r="AA1035" s="15">
        <f>IF(FreightType="Lethbridge-Stewart Freight ",ROUND(2.99+IF(N1035&gt;0.75,(N1035-0.75)*2.25,0)*S1035,2),IF(MarkupType="Supplier Markup",V1035+V1035*SupplierMarkup,"Error at finding value"))</f>
        <v>6.59</v>
      </c>
      <c r="AB1035" s="15">
        <f t="shared" si="373"/>
        <v>0</v>
      </c>
    </row>
    <row r="1036" spans="1:28" x14ac:dyDescent="0.25">
      <c r="A1036" s="16">
        <f>OrdersTable!A1036</f>
        <v>42</v>
      </c>
      <c r="B1036" s="15" t="str">
        <f t="shared" si="353"/>
        <v>Mr</v>
      </c>
      <c r="C1036" s="15" t="str">
        <f t="shared" si="374"/>
        <v>Ballantyne</v>
      </c>
      <c r="D1036" s="15" t="str">
        <f t="shared" si="354"/>
        <v>Barry John</v>
      </c>
      <c r="E1036" s="15" t="str">
        <f t="shared" si="355"/>
        <v>14 Bachmann Drive</v>
      </c>
      <c r="F1036" s="15" t="str">
        <f t="shared" si="356"/>
        <v>Alleena</v>
      </c>
      <c r="G1036" s="15" t="str">
        <f t="shared" si="357"/>
        <v>NSW</v>
      </c>
      <c r="H1036" s="15">
        <f t="shared" si="358"/>
        <v>2671</v>
      </c>
      <c r="I1036" s="15">
        <f t="shared" si="369"/>
        <v>988</v>
      </c>
      <c r="J1036" s="15">
        <f>OrdersTable!B1036</f>
        <v>620</v>
      </c>
      <c r="K1036" s="15" t="str">
        <f t="shared" si="359"/>
        <v>iPhone Skins</v>
      </c>
      <c r="L1036" s="15" t="str">
        <f t="shared" si="360"/>
        <v>Doctor Who: iPhone Skin: TARDIS Water Colour</v>
      </c>
      <c r="M1036" s="15" t="str">
        <f t="shared" si="361"/>
        <v>-</v>
      </c>
      <c r="N1036" s="15">
        <f t="shared" si="362"/>
        <v>0.5</v>
      </c>
      <c r="O1036" s="15" t="str">
        <f t="shared" si="363"/>
        <v>A30</v>
      </c>
      <c r="P1036" s="15" t="str">
        <f t="shared" si="364"/>
        <v>Chesterton Enterprises</v>
      </c>
      <c r="Q1036" s="15" t="str">
        <f t="shared" si="365"/>
        <v>41 William Russell Road</v>
      </c>
      <c r="R1036" s="3">
        <f>OrdersTable!C1036</f>
        <v>44635</v>
      </c>
      <c r="S1036" s="15">
        <f>OrdersTable!E1036</f>
        <v>1</v>
      </c>
      <c r="T1036" s="15">
        <f t="shared" si="366"/>
        <v>9.99</v>
      </c>
      <c r="U1036" s="15">
        <f t="shared" si="367"/>
        <v>13.81</v>
      </c>
      <c r="V1036" s="15">
        <f t="shared" si="368"/>
        <v>16.18</v>
      </c>
      <c r="W1036" s="15">
        <f>IF(MarkupType="Store Markup",ROUND(V1036+V1036*StoreMarkup,2),IF(MarkupType="Supplier Markup",V1036+V1036*SupplierMarkup,"Error at finding value"))</f>
        <v>25.48</v>
      </c>
      <c r="X1036" s="32" t="str">
        <f t="shared" si="370"/>
        <v>0.00</v>
      </c>
      <c r="Y1036" s="15">
        <f t="shared" si="371"/>
        <v>16.18</v>
      </c>
      <c r="Z1036" s="15">
        <f t="shared" si="372"/>
        <v>25.48</v>
      </c>
      <c r="AA1036" s="15">
        <f>IF(FreightType="Lethbridge-Stewart Freight ",ROUND(2.99+IF(N1036&gt;0.75,(N1036-0.75)*2.25,0)*S1036,2),IF(MarkupType="Supplier Markup",V1036+V1036*SupplierMarkup,"Error at finding value"))</f>
        <v>2.99</v>
      </c>
      <c r="AB1036" s="15">
        <f t="shared" si="373"/>
        <v>0</v>
      </c>
    </row>
    <row r="1037" spans="1:28" x14ac:dyDescent="0.25">
      <c r="A1037" s="16">
        <f>OrdersTable!A1037</f>
        <v>142</v>
      </c>
      <c r="B1037" s="15" t="str">
        <f t="shared" si="353"/>
        <v>Miss</v>
      </c>
      <c r="C1037" s="15" t="str">
        <f t="shared" si="374"/>
        <v>Western</v>
      </c>
      <c r="D1037" s="15" t="str">
        <f t="shared" si="354"/>
        <v>Lee Reuben</v>
      </c>
      <c r="E1037" s="15" t="str">
        <f t="shared" si="355"/>
        <v>14 Fields Road</v>
      </c>
      <c r="F1037" s="15" t="str">
        <f t="shared" si="356"/>
        <v>Airly</v>
      </c>
      <c r="G1037" s="15" t="str">
        <f t="shared" si="357"/>
        <v>VIC</v>
      </c>
      <c r="H1037" s="15">
        <f t="shared" si="358"/>
        <v>3851</v>
      </c>
      <c r="I1037" s="15">
        <f t="shared" si="369"/>
        <v>1583</v>
      </c>
      <c r="J1037" s="15">
        <f>OrdersTable!B1037</f>
        <v>752</v>
      </c>
      <c r="K1037" s="15" t="str">
        <f t="shared" si="359"/>
        <v>Statues and Busts</v>
      </c>
      <c r="L1037" s="15" t="str">
        <f t="shared" si="360"/>
        <v>Doctor Who: Helmet: Cyberman Leader</v>
      </c>
      <c r="M1037" s="15" t="str">
        <f t="shared" si="361"/>
        <v>-</v>
      </c>
      <c r="N1037" s="15">
        <f t="shared" si="362"/>
        <v>2</v>
      </c>
      <c r="O1037" s="15" t="str">
        <f t="shared" si="363"/>
        <v>A30</v>
      </c>
      <c r="P1037" s="15" t="str">
        <f t="shared" si="364"/>
        <v>Chesterton Enterprises</v>
      </c>
      <c r="Q1037" s="15" t="str">
        <f t="shared" si="365"/>
        <v>41 William Russell Road</v>
      </c>
      <c r="R1037" s="3">
        <f>OrdersTable!C1037</f>
        <v>44635</v>
      </c>
      <c r="S1037" s="15">
        <f>OrdersTable!E1037</f>
        <v>8</v>
      </c>
      <c r="T1037" s="15">
        <f t="shared" si="366"/>
        <v>39.99</v>
      </c>
      <c r="U1037" s="15">
        <f t="shared" si="367"/>
        <v>54.85</v>
      </c>
      <c r="V1037" s="15">
        <f t="shared" si="368"/>
        <v>64.78</v>
      </c>
      <c r="W1037" s="15">
        <f>IF(MarkupType="Store Markup",ROUND(V1037+V1037*StoreMarkup,2),IF(MarkupType="Supplier Markup",V1037+V1037*SupplierMarkup,"Error at finding value"))</f>
        <v>102.03</v>
      </c>
      <c r="X1037" s="32">
        <f t="shared" si="370"/>
        <v>7.27</v>
      </c>
      <c r="Y1037" s="15">
        <f t="shared" si="371"/>
        <v>518.24</v>
      </c>
      <c r="Z1037" s="15">
        <f t="shared" si="372"/>
        <v>758.08</v>
      </c>
      <c r="AA1037" s="15">
        <f>IF(FreightType="Lethbridge-Stewart Freight ",ROUND(2.99+IF(N1037&gt;0.75,(N1037-0.75)*2.25,0)*S1037,2),IF(MarkupType="Supplier Markup",V1037+V1037*SupplierMarkup,"Error at finding value"))</f>
        <v>25.49</v>
      </c>
      <c r="AB1037" s="15">
        <f t="shared" si="373"/>
        <v>58.16</v>
      </c>
    </row>
    <row r="1038" spans="1:28" x14ac:dyDescent="0.25">
      <c r="A1038" s="16">
        <f>OrdersTable!A1038</f>
        <v>285</v>
      </c>
      <c r="B1038" s="15" t="str">
        <f t="shared" si="353"/>
        <v>Mr</v>
      </c>
      <c r="C1038" s="15" t="str">
        <f t="shared" si="374"/>
        <v>Temple Morgan</v>
      </c>
      <c r="D1038" s="15" t="str">
        <f t="shared" si="354"/>
        <v>Mathew Peter</v>
      </c>
      <c r="E1038" s="15" t="str">
        <f t="shared" si="355"/>
        <v>19 Tansky Court</v>
      </c>
      <c r="F1038" s="15" t="str">
        <f t="shared" si="356"/>
        <v>Belford</v>
      </c>
      <c r="G1038" s="15" t="str">
        <f t="shared" si="357"/>
        <v>NSW</v>
      </c>
      <c r="H1038" s="15">
        <f t="shared" si="358"/>
        <v>2335</v>
      </c>
      <c r="I1038" s="15">
        <f t="shared" si="369"/>
        <v>716</v>
      </c>
      <c r="J1038" s="15">
        <f>OrdersTable!B1038</f>
        <v>694</v>
      </c>
      <c r="K1038" s="15" t="str">
        <f t="shared" si="359"/>
        <v>Posters, Prints and Standees</v>
      </c>
      <c r="L1038" s="15" t="str">
        <f t="shared" si="360"/>
        <v>Doctor Who: 16'x12' Framed Print: Hide</v>
      </c>
      <c r="M1038" s="15" t="str">
        <f t="shared" si="361"/>
        <v>-</v>
      </c>
      <c r="N1038" s="15">
        <f t="shared" si="362"/>
        <v>0.75</v>
      </c>
      <c r="O1038" s="15" t="str">
        <f t="shared" si="363"/>
        <v>A40</v>
      </c>
      <c r="P1038" s="15" t="str">
        <f t="shared" si="364"/>
        <v>Romana Imports</v>
      </c>
      <c r="Q1038" s="15" t="str">
        <f t="shared" si="365"/>
        <v>17 Lalla Ward Road</v>
      </c>
      <c r="R1038" s="3">
        <f>OrdersTable!C1038</f>
        <v>44635</v>
      </c>
      <c r="S1038" s="15">
        <f>OrdersTable!E1038</f>
        <v>2</v>
      </c>
      <c r="T1038" s="15">
        <f t="shared" si="366"/>
        <v>14.99</v>
      </c>
      <c r="U1038" s="15">
        <f t="shared" si="367"/>
        <v>20.49</v>
      </c>
      <c r="V1038" s="15">
        <f t="shared" si="368"/>
        <v>24.28</v>
      </c>
      <c r="W1038" s="15">
        <f>IF(MarkupType="Store Markup",ROUND(V1038+V1038*StoreMarkup,2),IF(MarkupType="Supplier Markup",V1038+V1038*SupplierMarkup,"Error at finding value"))</f>
        <v>38.24</v>
      </c>
      <c r="X1038" s="32" t="str">
        <f t="shared" si="370"/>
        <v>0.00</v>
      </c>
      <c r="Y1038" s="15">
        <f t="shared" si="371"/>
        <v>48.56</v>
      </c>
      <c r="Z1038" s="15">
        <f t="shared" si="372"/>
        <v>76.48</v>
      </c>
      <c r="AA1038" s="15">
        <f>IF(FreightType="Lethbridge-Stewart Freight ",ROUND(2.99+IF(N1038&gt;0.75,(N1038-0.75)*2.25,0)*S1038,2),IF(MarkupType="Supplier Markup",V1038+V1038*SupplierMarkup,"Error at finding value"))</f>
        <v>2.99</v>
      </c>
      <c r="AB1038" s="15">
        <f t="shared" si="373"/>
        <v>0</v>
      </c>
    </row>
    <row r="1039" spans="1:28" x14ac:dyDescent="0.25">
      <c r="A1039" s="16">
        <f>OrdersTable!A1039</f>
        <v>328</v>
      </c>
      <c r="B1039" s="15" t="str">
        <f t="shared" si="353"/>
        <v>Dr</v>
      </c>
      <c r="C1039" s="15" t="str">
        <f t="shared" si="374"/>
        <v>Ward</v>
      </c>
      <c r="D1039" s="15" t="str">
        <f t="shared" si="354"/>
        <v>Keiren Nicholas</v>
      </c>
      <c r="E1039" s="15" t="str">
        <f t="shared" si="355"/>
        <v>13 Green Crescent</v>
      </c>
      <c r="F1039" s="15" t="str">
        <f t="shared" si="356"/>
        <v>Breakwater</v>
      </c>
      <c r="G1039" s="15" t="str">
        <f t="shared" si="357"/>
        <v>VIC</v>
      </c>
      <c r="H1039" s="15">
        <f t="shared" si="358"/>
        <v>3219</v>
      </c>
      <c r="I1039" s="15">
        <f t="shared" si="369"/>
        <v>1596</v>
      </c>
      <c r="J1039" s="15">
        <f>OrdersTable!B1039</f>
        <v>620</v>
      </c>
      <c r="K1039" s="15" t="str">
        <f t="shared" si="359"/>
        <v>iPhone Skins</v>
      </c>
      <c r="L1039" s="15" t="str">
        <f t="shared" si="360"/>
        <v>Doctor Who: iPhone Skin: TARDIS Water Colour</v>
      </c>
      <c r="M1039" s="15" t="str">
        <f t="shared" si="361"/>
        <v>-</v>
      </c>
      <c r="N1039" s="15">
        <f t="shared" si="362"/>
        <v>0.5</v>
      </c>
      <c r="O1039" s="15" t="str">
        <f t="shared" si="363"/>
        <v>A30</v>
      </c>
      <c r="P1039" s="15" t="str">
        <f t="shared" si="364"/>
        <v>Chesterton Enterprises</v>
      </c>
      <c r="Q1039" s="15" t="str">
        <f t="shared" si="365"/>
        <v>41 William Russell Road</v>
      </c>
      <c r="R1039" s="3">
        <f>OrdersTable!C1039</f>
        <v>44635</v>
      </c>
      <c r="S1039" s="15">
        <f>OrdersTable!E1039</f>
        <v>8</v>
      </c>
      <c r="T1039" s="15">
        <f t="shared" si="366"/>
        <v>9.99</v>
      </c>
      <c r="U1039" s="15">
        <f t="shared" si="367"/>
        <v>13.81</v>
      </c>
      <c r="V1039" s="15">
        <f t="shared" si="368"/>
        <v>16.18</v>
      </c>
      <c r="W1039" s="15">
        <f>IF(MarkupType="Store Markup",ROUND(V1039+V1039*StoreMarkup,2),IF(MarkupType="Supplier Markup",V1039+V1039*SupplierMarkup,"Error at finding value"))</f>
        <v>25.48</v>
      </c>
      <c r="X1039" s="32" t="str">
        <f t="shared" si="370"/>
        <v>0.00</v>
      </c>
      <c r="Y1039" s="15">
        <f t="shared" si="371"/>
        <v>129.44</v>
      </c>
      <c r="Z1039" s="15">
        <f t="shared" si="372"/>
        <v>203.84</v>
      </c>
      <c r="AA1039" s="15">
        <f>IF(FreightType="Lethbridge-Stewart Freight ",ROUND(2.99+IF(N1039&gt;0.75,(N1039-0.75)*2.25,0)*S1039,2),IF(MarkupType="Supplier Markup",V1039+V1039*SupplierMarkup,"Error at finding value"))</f>
        <v>2.99</v>
      </c>
      <c r="AB1039" s="15">
        <f t="shared" si="373"/>
        <v>0</v>
      </c>
    </row>
    <row r="1040" spans="1:28" x14ac:dyDescent="0.25">
      <c r="A1040" s="16">
        <f>OrdersTable!A1040</f>
        <v>331</v>
      </c>
      <c r="B1040" s="15" t="str">
        <f t="shared" si="353"/>
        <v>Mrs</v>
      </c>
      <c r="C1040" s="15" t="str">
        <f t="shared" si="374"/>
        <v>McKenzie</v>
      </c>
      <c r="D1040" s="15" t="str">
        <f t="shared" si="354"/>
        <v>Melinda Kate</v>
      </c>
      <c r="E1040" s="15" t="str">
        <f t="shared" si="355"/>
        <v>49 McKay Way</v>
      </c>
      <c r="F1040" s="15" t="str">
        <f t="shared" si="356"/>
        <v>Black Hills</v>
      </c>
      <c r="G1040" s="15" t="str">
        <f t="shared" si="357"/>
        <v>TAS</v>
      </c>
      <c r="H1040" s="15">
        <f t="shared" si="358"/>
        <v>7140</v>
      </c>
      <c r="I1040" s="15">
        <f t="shared" si="369"/>
        <v>2191</v>
      </c>
      <c r="J1040" s="15">
        <f>OrdersTable!B1040</f>
        <v>398</v>
      </c>
      <c r="K1040" s="15" t="str">
        <f t="shared" si="359"/>
        <v>Clothing and Apparel</v>
      </c>
      <c r="L1040" s="15" t="str">
        <f t="shared" si="360"/>
        <v>Doctor Who: Women's Winter Pyjamas</v>
      </c>
      <c r="M1040" s="15" t="str">
        <f t="shared" si="361"/>
        <v>S</v>
      </c>
      <c r="N1040" s="15">
        <f t="shared" si="362"/>
        <v>1.5</v>
      </c>
      <c r="O1040" s="15" t="str">
        <f t="shared" si="363"/>
        <v>A40</v>
      </c>
      <c r="P1040" s="15" t="str">
        <f t="shared" si="364"/>
        <v>Romana Imports</v>
      </c>
      <c r="Q1040" s="15" t="str">
        <f t="shared" si="365"/>
        <v>17 Lalla Ward Road</v>
      </c>
      <c r="R1040" s="3">
        <f>OrdersTable!C1040</f>
        <v>44635</v>
      </c>
      <c r="S1040" s="15">
        <f>OrdersTable!E1040</f>
        <v>6</v>
      </c>
      <c r="T1040" s="15">
        <f t="shared" si="366"/>
        <v>29.99</v>
      </c>
      <c r="U1040" s="15">
        <f t="shared" si="367"/>
        <v>41.07</v>
      </c>
      <c r="V1040" s="15">
        <f t="shared" si="368"/>
        <v>48.58</v>
      </c>
      <c r="W1040" s="15">
        <f>IF(MarkupType="Store Markup",ROUND(V1040+V1040*StoreMarkup,2),IF(MarkupType="Supplier Markup",V1040+V1040*SupplierMarkup,"Error at finding value"))</f>
        <v>76.510000000000005</v>
      </c>
      <c r="X1040" s="32" t="str">
        <f t="shared" si="370"/>
        <v>0.00</v>
      </c>
      <c r="Y1040" s="15">
        <f t="shared" si="371"/>
        <v>291.48</v>
      </c>
      <c r="Z1040" s="15">
        <f t="shared" si="372"/>
        <v>459.06</v>
      </c>
      <c r="AA1040" s="15">
        <f>IF(FreightType="Lethbridge-Stewart Freight ",ROUND(2.99+IF(N1040&gt;0.75,(N1040-0.75)*2.25,0)*S1040,2),IF(MarkupType="Supplier Markup",V1040+V1040*SupplierMarkup,"Error at finding value"))</f>
        <v>13.12</v>
      </c>
      <c r="AB1040" s="15">
        <f t="shared" si="373"/>
        <v>0</v>
      </c>
    </row>
    <row r="1041" spans="1:28" x14ac:dyDescent="0.25">
      <c r="A1041" s="16">
        <f>OrdersTable!A1041</f>
        <v>338</v>
      </c>
      <c r="B1041" s="15" t="str">
        <f t="shared" si="353"/>
        <v>Miss</v>
      </c>
      <c r="C1041" s="15" t="str">
        <f t="shared" si="374"/>
        <v>Pellegrino</v>
      </c>
      <c r="D1041" s="15" t="str">
        <f t="shared" si="354"/>
        <v>Samantha</v>
      </c>
      <c r="E1041" s="15" t="str">
        <f t="shared" si="355"/>
        <v>38 McKeown Street</v>
      </c>
      <c r="F1041" s="15" t="str">
        <f t="shared" si="356"/>
        <v>Avon Plains</v>
      </c>
      <c r="G1041" s="15" t="str">
        <f t="shared" si="357"/>
        <v>VIC</v>
      </c>
      <c r="H1041" s="15">
        <f t="shared" si="358"/>
        <v>3477</v>
      </c>
      <c r="I1041" s="15">
        <f t="shared" si="369"/>
        <v>1565</v>
      </c>
      <c r="J1041" s="15">
        <f>OrdersTable!B1041</f>
        <v>668</v>
      </c>
      <c r="K1041" s="15" t="str">
        <f t="shared" si="359"/>
        <v>Mugs</v>
      </c>
      <c r="L1041" s="15" t="str">
        <f t="shared" si="360"/>
        <v>Doctor Who: Mug: Silver TARDIS</v>
      </c>
      <c r="M1041" s="15" t="str">
        <f t="shared" si="361"/>
        <v>-</v>
      </c>
      <c r="N1041" s="15">
        <f t="shared" si="362"/>
        <v>1.1499999999999999</v>
      </c>
      <c r="O1041" s="15" t="str">
        <f t="shared" si="363"/>
        <v>A50</v>
      </c>
      <c r="P1041" s="15" t="str">
        <f t="shared" si="364"/>
        <v>Rassilon Ltd.</v>
      </c>
      <c r="Q1041" s="15" t="str">
        <f t="shared" si="365"/>
        <v>82 Richard Mathews Road</v>
      </c>
      <c r="R1041" s="3">
        <f>OrdersTable!C1041</f>
        <v>44635</v>
      </c>
      <c r="S1041" s="15">
        <f>OrdersTable!E1041</f>
        <v>6</v>
      </c>
      <c r="T1041" s="15">
        <f t="shared" si="366"/>
        <v>22.99</v>
      </c>
      <c r="U1041" s="15">
        <f t="shared" si="367"/>
        <v>31.53</v>
      </c>
      <c r="V1041" s="15">
        <f t="shared" si="368"/>
        <v>37.24</v>
      </c>
      <c r="W1041" s="15">
        <f>IF(MarkupType="Store Markup",ROUND(V1041+V1041*StoreMarkup,2),IF(MarkupType="Supplier Markup",V1041+V1041*SupplierMarkup,"Error at finding value"))</f>
        <v>58.65</v>
      </c>
      <c r="X1041" s="32" t="str">
        <f t="shared" si="370"/>
        <v>0.00</v>
      </c>
      <c r="Y1041" s="15">
        <f t="shared" si="371"/>
        <v>223.44</v>
      </c>
      <c r="Z1041" s="15">
        <f t="shared" si="372"/>
        <v>351.9</v>
      </c>
      <c r="AA1041" s="15">
        <f>IF(FreightType="Lethbridge-Stewart Freight ",ROUND(2.99+IF(N1041&gt;0.75,(N1041-0.75)*2.25,0)*S1041,2),IF(MarkupType="Supplier Markup",V1041+V1041*SupplierMarkup,"Error at finding value"))</f>
        <v>8.39</v>
      </c>
      <c r="AB1041" s="15">
        <f t="shared" si="373"/>
        <v>0</v>
      </c>
    </row>
    <row r="1042" spans="1:28" x14ac:dyDescent="0.25">
      <c r="A1042" s="16">
        <f>OrdersTable!A1042</f>
        <v>364</v>
      </c>
      <c r="B1042" s="15" t="str">
        <f t="shared" si="353"/>
        <v>Dr</v>
      </c>
      <c r="C1042" s="15" t="str">
        <f t="shared" si="374"/>
        <v>Reibelt</v>
      </c>
      <c r="D1042" s="15" t="str">
        <f t="shared" si="354"/>
        <v>Corey James</v>
      </c>
      <c r="E1042" s="15" t="str">
        <f t="shared" si="355"/>
        <v>23 Burns Drive</v>
      </c>
      <c r="F1042" s="15" t="str">
        <f t="shared" si="356"/>
        <v>Caliph</v>
      </c>
      <c r="G1042" s="15" t="str">
        <f t="shared" si="357"/>
        <v>SA</v>
      </c>
      <c r="H1042" s="15">
        <f t="shared" si="358"/>
        <v>5310</v>
      </c>
      <c r="I1042" s="15">
        <f t="shared" si="369"/>
        <v>1720</v>
      </c>
      <c r="J1042" s="15">
        <f>OrdersTable!B1042</f>
        <v>398</v>
      </c>
      <c r="K1042" s="15" t="str">
        <f t="shared" si="359"/>
        <v>Clothing and Apparel</v>
      </c>
      <c r="L1042" s="15" t="str">
        <f t="shared" si="360"/>
        <v>Doctor Who: Women's Winter Pyjamas</v>
      </c>
      <c r="M1042" s="15" t="str">
        <f t="shared" si="361"/>
        <v>S</v>
      </c>
      <c r="N1042" s="15">
        <f t="shared" si="362"/>
        <v>1.5</v>
      </c>
      <c r="O1042" s="15" t="str">
        <f t="shared" si="363"/>
        <v>A40</v>
      </c>
      <c r="P1042" s="15" t="str">
        <f t="shared" si="364"/>
        <v>Romana Imports</v>
      </c>
      <c r="Q1042" s="15" t="str">
        <f t="shared" si="365"/>
        <v>17 Lalla Ward Road</v>
      </c>
      <c r="R1042" s="3">
        <f>OrdersTable!C1042</f>
        <v>44635</v>
      </c>
      <c r="S1042" s="15">
        <f>OrdersTable!E1042</f>
        <v>9</v>
      </c>
      <c r="T1042" s="15">
        <f t="shared" si="366"/>
        <v>29.99</v>
      </c>
      <c r="U1042" s="15">
        <f t="shared" si="367"/>
        <v>41.07</v>
      </c>
      <c r="V1042" s="15">
        <f t="shared" si="368"/>
        <v>48.58</v>
      </c>
      <c r="W1042" s="15">
        <f>IF(MarkupType="Store Markup",ROUND(V1042+V1042*StoreMarkup,2),IF(MarkupType="Supplier Markup",V1042+V1042*SupplierMarkup,"Error at finding value"))</f>
        <v>76.510000000000005</v>
      </c>
      <c r="X1042" s="32" t="str">
        <f t="shared" si="370"/>
        <v>0.00</v>
      </c>
      <c r="Y1042" s="15">
        <f t="shared" si="371"/>
        <v>437.22</v>
      </c>
      <c r="Z1042" s="15">
        <f t="shared" si="372"/>
        <v>688.59</v>
      </c>
      <c r="AA1042" s="15">
        <f>IF(FreightType="Lethbridge-Stewart Freight ",ROUND(2.99+IF(N1042&gt;0.75,(N1042-0.75)*2.25,0)*S1042,2),IF(MarkupType="Supplier Markup",V1042+V1042*SupplierMarkup,"Error at finding value"))</f>
        <v>18.18</v>
      </c>
      <c r="AB1042" s="15">
        <f t="shared" si="373"/>
        <v>0</v>
      </c>
    </row>
    <row r="1043" spans="1:28" x14ac:dyDescent="0.25">
      <c r="A1043" s="16">
        <f>OrdersTable!A1043</f>
        <v>364</v>
      </c>
      <c r="B1043" s="15" t="str">
        <f t="shared" si="353"/>
        <v>Dr</v>
      </c>
      <c r="C1043" s="15" t="str">
        <f t="shared" si="374"/>
        <v>Reibelt</v>
      </c>
      <c r="D1043" s="15" t="str">
        <f t="shared" si="354"/>
        <v>Corey James</v>
      </c>
      <c r="E1043" s="15" t="str">
        <f t="shared" si="355"/>
        <v>23 Burns Drive</v>
      </c>
      <c r="F1043" s="15" t="str">
        <f t="shared" si="356"/>
        <v>Caliph</v>
      </c>
      <c r="G1043" s="15" t="str">
        <f t="shared" si="357"/>
        <v>SA</v>
      </c>
      <c r="H1043" s="15">
        <f t="shared" si="358"/>
        <v>5310</v>
      </c>
      <c r="I1043" s="15">
        <f t="shared" si="369"/>
        <v>1720</v>
      </c>
      <c r="J1043" s="15">
        <f>OrdersTable!B1043</f>
        <v>711</v>
      </c>
      <c r="K1043" s="15" t="str">
        <f t="shared" si="359"/>
        <v>Posters, Prints and Standees</v>
      </c>
      <c r="L1043" s="15" t="str">
        <f t="shared" si="360"/>
        <v>Doctor Who: Poster: TARDIS Door Poster</v>
      </c>
      <c r="M1043" s="15" t="str">
        <f t="shared" si="361"/>
        <v>-</v>
      </c>
      <c r="N1043" s="15">
        <f t="shared" si="362"/>
        <v>0.3</v>
      </c>
      <c r="O1043" s="15" t="str">
        <f t="shared" si="363"/>
        <v>A20</v>
      </c>
      <c r="P1043" s="15" t="str">
        <f t="shared" si="364"/>
        <v>Morbius Inc.</v>
      </c>
      <c r="Q1043" s="15" t="str">
        <f t="shared" si="365"/>
        <v>56 Michael Spice Hwy</v>
      </c>
      <c r="R1043" s="3">
        <f>OrdersTable!C1043</f>
        <v>44635</v>
      </c>
      <c r="S1043" s="15">
        <f>OrdersTable!E1043</f>
        <v>3</v>
      </c>
      <c r="T1043" s="15">
        <f t="shared" si="366"/>
        <v>5.99</v>
      </c>
      <c r="U1043" s="15">
        <f t="shared" si="367"/>
        <v>8.41</v>
      </c>
      <c r="V1043" s="15">
        <f t="shared" si="368"/>
        <v>9.6999999999999993</v>
      </c>
      <c r="W1043" s="15">
        <f>IF(MarkupType="Store Markup",ROUND(V1043+V1043*StoreMarkup,2),IF(MarkupType="Supplier Markup",V1043+V1043*SupplierMarkup,"Error at finding value"))</f>
        <v>15.28</v>
      </c>
      <c r="X1043" s="32" t="str">
        <f t="shared" si="370"/>
        <v>0.00</v>
      </c>
      <c r="Y1043" s="15">
        <f t="shared" si="371"/>
        <v>29.1</v>
      </c>
      <c r="Z1043" s="15">
        <f t="shared" si="372"/>
        <v>45.84</v>
      </c>
      <c r="AA1043" s="15">
        <f>IF(FreightType="Lethbridge-Stewart Freight ",ROUND(2.99+IF(N1043&gt;0.75,(N1043-0.75)*2.25,0)*S1043,2),IF(MarkupType="Supplier Markup",V1043+V1043*SupplierMarkup,"Error at finding value"))</f>
        <v>2.99</v>
      </c>
      <c r="AB1043" s="15">
        <f t="shared" si="373"/>
        <v>0</v>
      </c>
    </row>
    <row r="1044" spans="1:28" x14ac:dyDescent="0.25">
      <c r="A1044" s="16">
        <f>OrdersTable!A1044</f>
        <v>489</v>
      </c>
      <c r="B1044" s="15" t="str">
        <f t="shared" si="353"/>
        <v>Mr</v>
      </c>
      <c r="C1044" s="15" t="str">
        <f t="shared" si="374"/>
        <v>Edwards</v>
      </c>
      <c r="D1044" s="15" t="str">
        <f t="shared" si="354"/>
        <v>Luke Russell</v>
      </c>
      <c r="E1044" s="15" t="str">
        <f t="shared" si="355"/>
        <v>43 Valusaga Court</v>
      </c>
      <c r="F1044" s="15" t="str">
        <f t="shared" si="356"/>
        <v>Alfredtown</v>
      </c>
      <c r="G1044" s="15" t="str">
        <f t="shared" si="357"/>
        <v>NSW</v>
      </c>
      <c r="H1044" s="15">
        <f t="shared" si="358"/>
        <v>2650</v>
      </c>
      <c r="I1044" s="15">
        <f t="shared" si="369"/>
        <v>1124</v>
      </c>
      <c r="J1044" s="15">
        <f>OrdersTable!B1044</f>
        <v>758</v>
      </c>
      <c r="K1044" s="15" t="str">
        <f t="shared" si="359"/>
        <v>Statues and Busts</v>
      </c>
      <c r="L1044" s="15" t="str">
        <f t="shared" si="360"/>
        <v>Doctor Who: Helmet: Sontaran Officer Linx</v>
      </c>
      <c r="M1044" s="15" t="str">
        <f t="shared" si="361"/>
        <v>-</v>
      </c>
      <c r="N1044" s="15">
        <f t="shared" si="362"/>
        <v>1.75</v>
      </c>
      <c r="O1044" s="15" t="str">
        <f t="shared" si="363"/>
        <v>A50</v>
      </c>
      <c r="P1044" s="15" t="str">
        <f t="shared" si="364"/>
        <v>Rassilon Ltd.</v>
      </c>
      <c r="Q1044" s="15" t="str">
        <f t="shared" si="365"/>
        <v>82 Richard Mathews Road</v>
      </c>
      <c r="R1044" s="3">
        <f>OrdersTable!C1044</f>
        <v>44635</v>
      </c>
      <c r="S1044" s="15">
        <f>OrdersTable!E1044</f>
        <v>7</v>
      </c>
      <c r="T1044" s="15">
        <f t="shared" si="366"/>
        <v>34.99</v>
      </c>
      <c r="U1044" s="15">
        <f t="shared" si="367"/>
        <v>47.79</v>
      </c>
      <c r="V1044" s="15">
        <f t="shared" si="368"/>
        <v>56.68</v>
      </c>
      <c r="W1044" s="15">
        <f>IF(MarkupType="Store Markup",ROUND(V1044+V1044*StoreMarkup,2),IF(MarkupType="Supplier Markup",V1044+V1044*SupplierMarkup,"Error at finding value"))</f>
        <v>89.27</v>
      </c>
      <c r="X1044" s="32" t="str">
        <f t="shared" si="370"/>
        <v>0.00</v>
      </c>
      <c r="Y1044" s="15">
        <f t="shared" si="371"/>
        <v>396.76</v>
      </c>
      <c r="Z1044" s="15">
        <f t="shared" si="372"/>
        <v>624.89</v>
      </c>
      <c r="AA1044" s="15">
        <f>IF(FreightType="Lethbridge-Stewart Freight ",ROUND(2.99+IF(N1044&gt;0.75,(N1044-0.75)*2.25,0)*S1044,2),IF(MarkupType="Supplier Markup",V1044+V1044*SupplierMarkup,"Error at finding value"))</f>
        <v>18.739999999999998</v>
      </c>
      <c r="AB1044" s="15">
        <f t="shared" si="373"/>
        <v>0</v>
      </c>
    </row>
    <row r="1045" spans="1:28" x14ac:dyDescent="0.25">
      <c r="A1045" s="16">
        <f>OrdersTable!A1045</f>
        <v>531</v>
      </c>
      <c r="B1045" s="15" t="str">
        <f t="shared" si="353"/>
        <v>Ms</v>
      </c>
      <c r="C1045" s="15" t="str">
        <f t="shared" si="374"/>
        <v>Stanton</v>
      </c>
      <c r="D1045" s="15" t="str">
        <f t="shared" si="354"/>
        <v>Sharaze</v>
      </c>
      <c r="E1045" s="15" t="str">
        <f t="shared" si="355"/>
        <v>1 Siddons Crescent</v>
      </c>
      <c r="F1045" s="15" t="str">
        <f t="shared" si="356"/>
        <v>Alfredtown</v>
      </c>
      <c r="G1045" s="15" t="str">
        <f t="shared" si="357"/>
        <v>NSW</v>
      </c>
      <c r="H1045" s="15">
        <f t="shared" si="358"/>
        <v>2650</v>
      </c>
      <c r="I1045" s="15">
        <f t="shared" si="369"/>
        <v>1124</v>
      </c>
      <c r="J1045" s="15">
        <f>OrdersTable!B1045</f>
        <v>852</v>
      </c>
      <c r="K1045" s="15" t="str">
        <f t="shared" si="359"/>
        <v>Statues and Busts</v>
      </c>
      <c r="L1045" s="15" t="str">
        <f t="shared" si="360"/>
        <v>Doctor Who: Statue: Revenge Of The Cybermen Cyberleader</v>
      </c>
      <c r="M1045" s="15" t="str">
        <f t="shared" si="361"/>
        <v>-</v>
      </c>
      <c r="N1045" s="15">
        <f t="shared" si="362"/>
        <v>5.4</v>
      </c>
      <c r="O1045" s="15" t="str">
        <f t="shared" si="363"/>
        <v>A50</v>
      </c>
      <c r="P1045" s="15" t="str">
        <f t="shared" si="364"/>
        <v>Rassilon Ltd.</v>
      </c>
      <c r="Q1045" s="15" t="str">
        <f t="shared" si="365"/>
        <v>82 Richard Mathews Road</v>
      </c>
      <c r="R1045" s="3">
        <f>OrdersTable!C1045</f>
        <v>44635</v>
      </c>
      <c r="S1045" s="15">
        <f>OrdersTable!E1045</f>
        <v>3</v>
      </c>
      <c r="T1045" s="15">
        <f t="shared" si="366"/>
        <v>108</v>
      </c>
      <c r="U1045" s="15">
        <f t="shared" si="367"/>
        <v>147.29</v>
      </c>
      <c r="V1045" s="15">
        <f t="shared" si="368"/>
        <v>174.96</v>
      </c>
      <c r="W1045" s="15">
        <f>IF(MarkupType="Store Markup",ROUND(V1045+V1045*StoreMarkup,2),IF(MarkupType="Supplier Markup",V1045+V1045*SupplierMarkup,"Error at finding value"))</f>
        <v>275.56</v>
      </c>
      <c r="X1045" s="32">
        <f t="shared" si="370"/>
        <v>19.63</v>
      </c>
      <c r="Y1045" s="15">
        <f t="shared" si="371"/>
        <v>524.88</v>
      </c>
      <c r="Z1045" s="15">
        <f t="shared" si="372"/>
        <v>767.79</v>
      </c>
      <c r="AA1045" s="15">
        <f>IF(FreightType="Lethbridge-Stewart Freight ",ROUND(2.99+IF(N1045&gt;0.75,(N1045-0.75)*2.25,0)*S1045,2),IF(MarkupType="Supplier Markup",V1045+V1045*SupplierMarkup,"Error at finding value"))</f>
        <v>34.380000000000003</v>
      </c>
      <c r="AB1045" s="15">
        <f t="shared" si="373"/>
        <v>58.89</v>
      </c>
    </row>
    <row r="1046" spans="1:28" x14ac:dyDescent="0.25">
      <c r="A1046" s="16">
        <f>OrdersTable!A1046</f>
        <v>557</v>
      </c>
      <c r="B1046" s="15" t="str">
        <f t="shared" si="353"/>
        <v>Mrs</v>
      </c>
      <c r="C1046" s="15" t="str">
        <f t="shared" si="374"/>
        <v>Allen</v>
      </c>
      <c r="D1046" s="15" t="str">
        <f t="shared" si="354"/>
        <v>Morgan</v>
      </c>
      <c r="E1046" s="15" t="str">
        <f t="shared" si="355"/>
        <v>15 Winsor Street</v>
      </c>
      <c r="F1046" s="15" t="str">
        <f t="shared" si="356"/>
        <v>Appletree Flat</v>
      </c>
      <c r="G1046" s="15" t="str">
        <f t="shared" si="357"/>
        <v>NSW</v>
      </c>
      <c r="H1046" s="15">
        <f t="shared" si="358"/>
        <v>2330</v>
      </c>
      <c r="I1046" s="15">
        <f t="shared" si="369"/>
        <v>691</v>
      </c>
      <c r="J1046" s="15">
        <f>OrdersTable!B1046</f>
        <v>745</v>
      </c>
      <c r="K1046" s="15" t="str">
        <f t="shared" si="359"/>
        <v>Props and Replicas</v>
      </c>
      <c r="L1046" s="15" t="str">
        <f t="shared" si="360"/>
        <v>Doctor Who: TARDIS Type 40 Plaque</v>
      </c>
      <c r="M1046" s="15" t="str">
        <f t="shared" si="361"/>
        <v>-</v>
      </c>
      <c r="N1046" s="15">
        <f t="shared" si="362"/>
        <v>1.75</v>
      </c>
      <c r="O1046" s="15" t="str">
        <f t="shared" si="363"/>
        <v>A30</v>
      </c>
      <c r="P1046" s="15" t="str">
        <f t="shared" si="364"/>
        <v>Chesterton Enterprises</v>
      </c>
      <c r="Q1046" s="15" t="str">
        <f t="shared" si="365"/>
        <v>41 William Russell Road</v>
      </c>
      <c r="R1046" s="3">
        <f>OrdersTable!C1046</f>
        <v>44635</v>
      </c>
      <c r="S1046" s="15">
        <f>OrdersTable!E1046</f>
        <v>10</v>
      </c>
      <c r="T1046" s="15">
        <f t="shared" si="366"/>
        <v>34.99</v>
      </c>
      <c r="U1046" s="15">
        <f t="shared" si="367"/>
        <v>47.86</v>
      </c>
      <c r="V1046" s="15">
        <f t="shared" si="368"/>
        <v>56.68</v>
      </c>
      <c r="W1046" s="15">
        <f>IF(MarkupType="Store Markup",ROUND(V1046+V1046*StoreMarkup,2),IF(MarkupType="Supplier Markup",V1046+V1046*SupplierMarkup,"Error at finding value"))</f>
        <v>89.27</v>
      </c>
      <c r="X1046" s="32" t="str">
        <f t="shared" si="370"/>
        <v>0.00</v>
      </c>
      <c r="Y1046" s="15">
        <f t="shared" si="371"/>
        <v>566.79999999999995</v>
      </c>
      <c r="Z1046" s="15">
        <f t="shared" si="372"/>
        <v>892.7</v>
      </c>
      <c r="AA1046" s="15">
        <f>IF(FreightType="Lethbridge-Stewart Freight ",ROUND(2.99+IF(N1046&gt;0.75,(N1046-0.75)*2.25,0)*S1046,2),IF(MarkupType="Supplier Markup",V1046+V1046*SupplierMarkup,"Error at finding value"))</f>
        <v>25.49</v>
      </c>
      <c r="AB1046" s="15">
        <f t="shared" si="373"/>
        <v>0</v>
      </c>
    </row>
    <row r="1047" spans="1:28" x14ac:dyDescent="0.25">
      <c r="A1047" s="16">
        <f>OrdersTable!A1047</f>
        <v>586</v>
      </c>
      <c r="B1047" s="15" t="str">
        <f t="shared" si="353"/>
        <v>Dr</v>
      </c>
      <c r="C1047" s="15" t="str">
        <f t="shared" si="374"/>
        <v>Coetzee</v>
      </c>
      <c r="D1047" s="15" t="str">
        <f t="shared" si="354"/>
        <v>Riekert</v>
      </c>
      <c r="E1047" s="15" t="str">
        <f t="shared" si="355"/>
        <v>5 Western Road</v>
      </c>
      <c r="F1047" s="15" t="str">
        <f t="shared" si="356"/>
        <v>Alfredtown</v>
      </c>
      <c r="G1047" s="15" t="str">
        <f t="shared" si="357"/>
        <v>NSW</v>
      </c>
      <c r="H1047" s="15">
        <f t="shared" si="358"/>
        <v>2650</v>
      </c>
      <c r="I1047" s="15">
        <f t="shared" si="369"/>
        <v>1124</v>
      </c>
      <c r="J1047" s="15">
        <f>OrdersTable!B1047</f>
        <v>725</v>
      </c>
      <c r="K1047" s="15" t="str">
        <f t="shared" si="359"/>
        <v>Props and Replicas</v>
      </c>
      <c r="L1047" s="15" t="str">
        <f t="shared" si="360"/>
        <v>Doctor Who: Captain Jack Sonic Blaster</v>
      </c>
      <c r="M1047" s="15" t="str">
        <f t="shared" si="361"/>
        <v>-</v>
      </c>
      <c r="N1047" s="15">
        <f t="shared" si="362"/>
        <v>14.8</v>
      </c>
      <c r="O1047" s="15" t="str">
        <f t="shared" si="363"/>
        <v>A30</v>
      </c>
      <c r="P1047" s="15" t="str">
        <f t="shared" si="364"/>
        <v>Chesterton Enterprises</v>
      </c>
      <c r="Q1047" s="15" t="str">
        <f t="shared" si="365"/>
        <v>41 William Russell Road</v>
      </c>
      <c r="R1047" s="3">
        <f>OrdersTable!C1047</f>
        <v>44635</v>
      </c>
      <c r="S1047" s="15">
        <f>OrdersTable!E1047</f>
        <v>3</v>
      </c>
      <c r="T1047" s="15">
        <f t="shared" si="366"/>
        <v>295.99</v>
      </c>
      <c r="U1047" s="15">
        <f t="shared" si="367"/>
        <v>403.88</v>
      </c>
      <c r="V1047" s="15">
        <f t="shared" si="368"/>
        <v>479.5</v>
      </c>
      <c r="W1047" s="15">
        <f>IF(MarkupType="Store Markup",ROUND(V1047+V1047*StoreMarkup,2),IF(MarkupType="Supplier Markup",V1047+V1047*SupplierMarkup,"Error at finding value"))</f>
        <v>755.21</v>
      </c>
      <c r="X1047" s="32">
        <f t="shared" si="370"/>
        <v>53.81</v>
      </c>
      <c r="Y1047" s="15">
        <f t="shared" si="371"/>
        <v>1438.5</v>
      </c>
      <c r="Z1047" s="15">
        <f t="shared" si="372"/>
        <v>2104.1999999999998</v>
      </c>
      <c r="AA1047" s="15">
        <f>IF(FreightType="Lethbridge-Stewart Freight ",ROUND(2.99+IF(N1047&gt;0.75,(N1047-0.75)*2.25,0)*S1047,2),IF(MarkupType="Supplier Markup",V1047+V1047*SupplierMarkup,"Error at finding value"))</f>
        <v>97.83</v>
      </c>
      <c r="AB1047" s="15">
        <f t="shared" si="373"/>
        <v>161.43</v>
      </c>
    </row>
    <row r="1048" spans="1:28" x14ac:dyDescent="0.25">
      <c r="A1048" s="16">
        <f>OrdersTable!A1048</f>
        <v>747</v>
      </c>
      <c r="B1048" s="15" t="str">
        <f t="shared" si="353"/>
        <v>Miss</v>
      </c>
      <c r="C1048" s="15" t="str">
        <f t="shared" si="374"/>
        <v>Coom</v>
      </c>
      <c r="D1048" s="15" t="str">
        <f t="shared" si="354"/>
        <v>Mackenzie Megan</v>
      </c>
      <c r="E1048" s="15" t="str">
        <f t="shared" si="355"/>
        <v>2 Tsalikis Road</v>
      </c>
      <c r="F1048" s="15" t="str">
        <f t="shared" si="356"/>
        <v>Aberfoyle</v>
      </c>
      <c r="G1048" s="15" t="str">
        <f t="shared" si="357"/>
        <v>NSW</v>
      </c>
      <c r="H1048" s="15">
        <f t="shared" si="358"/>
        <v>2350</v>
      </c>
      <c r="I1048" s="15">
        <f t="shared" si="369"/>
        <v>363</v>
      </c>
      <c r="J1048" s="15">
        <f>OrdersTable!B1048</f>
        <v>699</v>
      </c>
      <c r="K1048" s="15" t="str">
        <f t="shared" si="359"/>
        <v>Posters, Prints and Standees</v>
      </c>
      <c r="L1048" s="15" t="str">
        <f t="shared" si="360"/>
        <v>Doctor Who: Half Sized Standee: The Master</v>
      </c>
      <c r="M1048" s="15" t="str">
        <f t="shared" si="361"/>
        <v>-</v>
      </c>
      <c r="N1048" s="15">
        <f t="shared" si="362"/>
        <v>0.5</v>
      </c>
      <c r="O1048" s="15" t="str">
        <f t="shared" si="363"/>
        <v>A20</v>
      </c>
      <c r="P1048" s="15" t="str">
        <f t="shared" si="364"/>
        <v>Morbius Inc.</v>
      </c>
      <c r="Q1048" s="15" t="str">
        <f t="shared" si="365"/>
        <v>56 Michael Spice Hwy</v>
      </c>
      <c r="R1048" s="3">
        <f>OrdersTable!C1048</f>
        <v>44635</v>
      </c>
      <c r="S1048" s="15">
        <f>OrdersTable!E1048</f>
        <v>6</v>
      </c>
      <c r="T1048" s="15">
        <f t="shared" si="366"/>
        <v>9.99</v>
      </c>
      <c r="U1048" s="15">
        <f t="shared" si="367"/>
        <v>13.79</v>
      </c>
      <c r="V1048" s="15">
        <f t="shared" si="368"/>
        <v>16.18</v>
      </c>
      <c r="W1048" s="15">
        <f>IF(MarkupType="Store Markup",ROUND(V1048+V1048*StoreMarkup,2),IF(MarkupType="Supplier Markup",V1048+V1048*SupplierMarkup,"Error at finding value"))</f>
        <v>25.48</v>
      </c>
      <c r="X1048" s="32" t="str">
        <f t="shared" si="370"/>
        <v>0.00</v>
      </c>
      <c r="Y1048" s="15">
        <f t="shared" si="371"/>
        <v>97.08</v>
      </c>
      <c r="Z1048" s="15">
        <f t="shared" si="372"/>
        <v>152.88</v>
      </c>
      <c r="AA1048" s="15">
        <f>IF(FreightType="Lethbridge-Stewart Freight ",ROUND(2.99+IF(N1048&gt;0.75,(N1048-0.75)*2.25,0)*S1048,2),IF(MarkupType="Supplier Markup",V1048+V1048*SupplierMarkup,"Error at finding value"))</f>
        <v>2.99</v>
      </c>
      <c r="AB1048" s="15">
        <f t="shared" si="373"/>
        <v>0</v>
      </c>
    </row>
    <row r="1049" spans="1:28" x14ac:dyDescent="0.25">
      <c r="A1049" s="16">
        <f>OrdersTable!A1049</f>
        <v>758</v>
      </c>
      <c r="B1049" s="15" t="str">
        <f t="shared" si="353"/>
        <v>Mr</v>
      </c>
      <c r="C1049" s="15" t="str">
        <f t="shared" si="374"/>
        <v>Whitehorn</v>
      </c>
      <c r="D1049" s="15" t="str">
        <f t="shared" si="354"/>
        <v>James</v>
      </c>
      <c r="E1049" s="15" t="str">
        <f t="shared" si="355"/>
        <v>32 Raubenheimer Circuit</v>
      </c>
      <c r="F1049" s="15" t="str">
        <f t="shared" si="356"/>
        <v>Belconnen</v>
      </c>
      <c r="G1049" s="15" t="str">
        <f t="shared" si="357"/>
        <v>ACT</v>
      </c>
      <c r="H1049" s="15">
        <f t="shared" si="358"/>
        <v>2617</v>
      </c>
      <c r="I1049" s="15">
        <f t="shared" si="369"/>
        <v>1194</v>
      </c>
      <c r="J1049" s="15">
        <f>OrdersTable!B1049</f>
        <v>812</v>
      </c>
      <c r="K1049" s="15" t="str">
        <f t="shared" si="359"/>
        <v>Statues and Busts</v>
      </c>
      <c r="L1049" s="15" t="str">
        <f t="shared" si="360"/>
        <v>Doctor Who: Masterpiece Collection Maxi Bust: Dalek: Day Of The Daleks</v>
      </c>
      <c r="M1049" s="15" t="str">
        <f t="shared" si="361"/>
        <v>-</v>
      </c>
      <c r="N1049" s="15">
        <f t="shared" si="362"/>
        <v>2.5</v>
      </c>
      <c r="O1049" s="15" t="str">
        <f t="shared" si="363"/>
        <v>A20</v>
      </c>
      <c r="P1049" s="15" t="str">
        <f t="shared" si="364"/>
        <v>Morbius Inc.</v>
      </c>
      <c r="Q1049" s="15" t="str">
        <f t="shared" si="365"/>
        <v>56 Michael Spice Hwy</v>
      </c>
      <c r="R1049" s="3">
        <f>OrdersTable!C1049</f>
        <v>44635</v>
      </c>
      <c r="S1049" s="15">
        <f>OrdersTable!E1049</f>
        <v>1</v>
      </c>
      <c r="T1049" s="15">
        <f t="shared" si="366"/>
        <v>49.99</v>
      </c>
      <c r="U1049" s="15">
        <f t="shared" si="367"/>
        <v>68.47</v>
      </c>
      <c r="V1049" s="15">
        <f t="shared" si="368"/>
        <v>80.98</v>
      </c>
      <c r="W1049" s="15">
        <f>IF(MarkupType="Store Markup",ROUND(V1049+V1049*StoreMarkup,2),IF(MarkupType="Supplier Markup",V1049+V1049*SupplierMarkup,"Error at finding value"))</f>
        <v>127.54</v>
      </c>
      <c r="X1049" s="32" t="str">
        <f t="shared" si="370"/>
        <v>0.00</v>
      </c>
      <c r="Y1049" s="15">
        <f t="shared" si="371"/>
        <v>80.98</v>
      </c>
      <c r="Z1049" s="15">
        <f t="shared" si="372"/>
        <v>127.54</v>
      </c>
      <c r="AA1049" s="15">
        <f>IF(FreightType="Lethbridge-Stewart Freight ",ROUND(2.99+IF(N1049&gt;0.75,(N1049-0.75)*2.25,0)*S1049,2),IF(MarkupType="Supplier Markup",V1049+V1049*SupplierMarkup,"Error at finding value"))</f>
        <v>6.93</v>
      </c>
      <c r="AB1049" s="15">
        <f t="shared" si="373"/>
        <v>0</v>
      </c>
    </row>
    <row r="1050" spans="1:28" x14ac:dyDescent="0.25">
      <c r="A1050" s="16">
        <f>OrdersTable!A1050</f>
        <v>972</v>
      </c>
      <c r="B1050" s="15" t="str">
        <f t="shared" si="353"/>
        <v>Miss</v>
      </c>
      <c r="C1050" s="15" t="str">
        <f t="shared" si="374"/>
        <v>Walsh</v>
      </c>
      <c r="D1050" s="15" t="str">
        <f t="shared" si="354"/>
        <v>Alana Jane</v>
      </c>
      <c r="E1050" s="15" t="str">
        <f t="shared" si="355"/>
        <v>40 Betts Crescent</v>
      </c>
      <c r="F1050" s="15" t="str">
        <f t="shared" si="356"/>
        <v>Alleena</v>
      </c>
      <c r="G1050" s="15" t="str">
        <f t="shared" si="357"/>
        <v>NSW</v>
      </c>
      <c r="H1050" s="15">
        <f t="shared" si="358"/>
        <v>2671</v>
      </c>
      <c r="I1050" s="15">
        <f t="shared" si="369"/>
        <v>988</v>
      </c>
      <c r="J1050" s="15">
        <f>OrdersTable!B1050</f>
        <v>778</v>
      </c>
      <c r="K1050" s="15" t="str">
        <f t="shared" si="359"/>
        <v>Statues and Busts</v>
      </c>
      <c r="L1050" s="15" t="str">
        <f t="shared" si="360"/>
        <v>Doctor Who: Legends Forever Bust: William Hartnell</v>
      </c>
      <c r="M1050" s="15" t="str">
        <f t="shared" si="361"/>
        <v>-</v>
      </c>
      <c r="N1050" s="15">
        <f t="shared" si="362"/>
        <v>1.375</v>
      </c>
      <c r="O1050" s="15" t="str">
        <f t="shared" si="363"/>
        <v>A40</v>
      </c>
      <c r="P1050" s="15" t="str">
        <f t="shared" si="364"/>
        <v>Romana Imports</v>
      </c>
      <c r="Q1050" s="15" t="str">
        <f t="shared" si="365"/>
        <v>17 Lalla Ward Road</v>
      </c>
      <c r="R1050" s="3">
        <f>OrdersTable!C1050</f>
        <v>44635</v>
      </c>
      <c r="S1050" s="15">
        <f>OrdersTable!E1050</f>
        <v>1</v>
      </c>
      <c r="T1050" s="15">
        <f t="shared" si="366"/>
        <v>27.5</v>
      </c>
      <c r="U1050" s="15">
        <f t="shared" si="367"/>
        <v>37.520000000000003</v>
      </c>
      <c r="V1050" s="15">
        <f t="shared" si="368"/>
        <v>44.55</v>
      </c>
      <c r="W1050" s="15">
        <f>IF(MarkupType="Store Markup",ROUND(V1050+V1050*StoreMarkup,2),IF(MarkupType="Supplier Markup",V1050+V1050*SupplierMarkup,"Error at finding value"))</f>
        <v>70.17</v>
      </c>
      <c r="X1050" s="32" t="str">
        <f t="shared" si="370"/>
        <v>0.00</v>
      </c>
      <c r="Y1050" s="15">
        <f t="shared" si="371"/>
        <v>44.55</v>
      </c>
      <c r="Z1050" s="15">
        <f t="shared" si="372"/>
        <v>70.17</v>
      </c>
      <c r="AA1050" s="15">
        <f>IF(FreightType="Lethbridge-Stewart Freight ",ROUND(2.99+IF(N1050&gt;0.75,(N1050-0.75)*2.25,0)*S1050,2),IF(MarkupType="Supplier Markup",V1050+V1050*SupplierMarkup,"Error at finding value"))</f>
        <v>4.4000000000000004</v>
      </c>
      <c r="AB1050" s="15">
        <f t="shared" si="373"/>
        <v>0</v>
      </c>
    </row>
    <row r="1051" spans="1:28" x14ac:dyDescent="0.25">
      <c r="A1051" s="16">
        <f>OrdersTable!A1051</f>
        <v>47</v>
      </c>
      <c r="B1051" s="15" t="str">
        <f t="shared" si="353"/>
        <v>Dr</v>
      </c>
      <c r="C1051" s="15" t="str">
        <f t="shared" si="374"/>
        <v>Kaur</v>
      </c>
      <c r="D1051" s="15" t="str">
        <f t="shared" si="354"/>
        <v>Jasleen</v>
      </c>
      <c r="E1051" s="15" t="str">
        <f t="shared" si="355"/>
        <v>7 Hong Road</v>
      </c>
      <c r="F1051" s="15" t="str">
        <f t="shared" si="356"/>
        <v>Belconnen</v>
      </c>
      <c r="G1051" s="15" t="str">
        <f t="shared" si="357"/>
        <v>ACT</v>
      </c>
      <c r="H1051" s="15">
        <f t="shared" si="358"/>
        <v>2617</v>
      </c>
      <c r="I1051" s="15">
        <f t="shared" si="369"/>
        <v>1194</v>
      </c>
      <c r="J1051" s="15">
        <f>OrdersTable!B1051</f>
        <v>826</v>
      </c>
      <c r="K1051" s="15" t="str">
        <f t="shared" si="359"/>
        <v>Statues and Busts</v>
      </c>
      <c r="L1051" s="15" t="str">
        <f t="shared" si="360"/>
        <v>Doctor Who: Mini Bust: Cyberman</v>
      </c>
      <c r="M1051" s="15" t="str">
        <f t="shared" si="361"/>
        <v>-</v>
      </c>
      <c r="N1051" s="15">
        <f t="shared" si="362"/>
        <v>1.8</v>
      </c>
      <c r="O1051" s="15" t="str">
        <f t="shared" si="363"/>
        <v>A40</v>
      </c>
      <c r="P1051" s="15" t="str">
        <f t="shared" si="364"/>
        <v>Romana Imports</v>
      </c>
      <c r="Q1051" s="15" t="str">
        <f t="shared" si="365"/>
        <v>17 Lalla Ward Road</v>
      </c>
      <c r="R1051" s="3">
        <f>OrdersTable!C1051</f>
        <v>44636</v>
      </c>
      <c r="S1051" s="15">
        <f>OrdersTable!E1051</f>
        <v>8</v>
      </c>
      <c r="T1051" s="15">
        <f t="shared" si="366"/>
        <v>35.99</v>
      </c>
      <c r="U1051" s="15">
        <f t="shared" si="367"/>
        <v>49.13</v>
      </c>
      <c r="V1051" s="15">
        <f t="shared" si="368"/>
        <v>58.3</v>
      </c>
      <c r="W1051" s="15">
        <f>IF(MarkupType="Store Markup",ROUND(V1051+V1051*StoreMarkup,2),IF(MarkupType="Supplier Markup",V1051+V1051*SupplierMarkup,"Error at finding value"))</f>
        <v>91.82</v>
      </c>
      <c r="X1051" s="32" t="str">
        <f t="shared" si="370"/>
        <v>0.00</v>
      </c>
      <c r="Y1051" s="15">
        <f t="shared" si="371"/>
        <v>466.4</v>
      </c>
      <c r="Z1051" s="15">
        <f t="shared" si="372"/>
        <v>734.56</v>
      </c>
      <c r="AA1051" s="15">
        <f>IF(FreightType="Lethbridge-Stewart Freight ",ROUND(2.99+IF(N1051&gt;0.75,(N1051-0.75)*2.25,0)*S1051,2),IF(MarkupType="Supplier Markup",V1051+V1051*SupplierMarkup,"Error at finding value"))</f>
        <v>21.89</v>
      </c>
      <c r="AB1051" s="15">
        <f t="shared" si="373"/>
        <v>0</v>
      </c>
    </row>
    <row r="1052" spans="1:28" x14ac:dyDescent="0.25">
      <c r="A1052" s="16">
        <f>OrdersTable!A1052</f>
        <v>190</v>
      </c>
      <c r="B1052" s="15" t="str">
        <f t="shared" si="353"/>
        <v>Mr</v>
      </c>
      <c r="C1052" s="15" t="str">
        <f t="shared" si="374"/>
        <v>Azar</v>
      </c>
      <c r="D1052" s="15" t="str">
        <f t="shared" si="354"/>
        <v>Hector Antonio</v>
      </c>
      <c r="E1052" s="15" t="str">
        <f t="shared" si="355"/>
        <v>38 Hope Avenue</v>
      </c>
      <c r="F1052" s="15" t="str">
        <f t="shared" si="356"/>
        <v>Glenfern</v>
      </c>
      <c r="G1052" s="15" t="str">
        <f t="shared" si="357"/>
        <v>QLD</v>
      </c>
      <c r="H1052" s="15">
        <f t="shared" si="358"/>
        <v>4515</v>
      </c>
      <c r="I1052" s="15">
        <f t="shared" si="369"/>
        <v>128</v>
      </c>
      <c r="J1052" s="15">
        <f>OrdersTable!B1052</f>
        <v>707</v>
      </c>
      <c r="K1052" s="15" t="str">
        <f t="shared" si="359"/>
        <v>Posters, Prints and Standees</v>
      </c>
      <c r="L1052" s="15" t="str">
        <f t="shared" si="360"/>
        <v>Doctor Who: Poster: Ironside Dalek Blueprint</v>
      </c>
      <c r="M1052" s="15" t="str">
        <f t="shared" si="361"/>
        <v>-</v>
      </c>
      <c r="N1052" s="15">
        <f t="shared" si="362"/>
        <v>0.2</v>
      </c>
      <c r="O1052" s="15" t="str">
        <f t="shared" si="363"/>
        <v>A20</v>
      </c>
      <c r="P1052" s="15" t="str">
        <f t="shared" si="364"/>
        <v>Morbius Inc.</v>
      </c>
      <c r="Q1052" s="15" t="str">
        <f t="shared" si="365"/>
        <v>56 Michael Spice Hwy</v>
      </c>
      <c r="R1052" s="3">
        <f>OrdersTable!C1052</f>
        <v>44636</v>
      </c>
      <c r="S1052" s="15">
        <f>OrdersTable!E1052</f>
        <v>8</v>
      </c>
      <c r="T1052" s="15">
        <f t="shared" si="366"/>
        <v>3.99</v>
      </c>
      <c r="U1052" s="15">
        <f t="shared" si="367"/>
        <v>5.48</v>
      </c>
      <c r="V1052" s="15">
        <f t="shared" si="368"/>
        <v>6.46</v>
      </c>
      <c r="W1052" s="15">
        <f>IF(MarkupType="Store Markup",ROUND(V1052+V1052*StoreMarkup,2),IF(MarkupType="Supplier Markup",V1052+V1052*SupplierMarkup,"Error at finding value"))</f>
        <v>10.17</v>
      </c>
      <c r="X1052" s="32" t="str">
        <f t="shared" si="370"/>
        <v>0.00</v>
      </c>
      <c r="Y1052" s="15">
        <f t="shared" si="371"/>
        <v>51.68</v>
      </c>
      <c r="Z1052" s="15">
        <f t="shared" si="372"/>
        <v>81.36</v>
      </c>
      <c r="AA1052" s="15">
        <f>IF(FreightType="Lethbridge-Stewart Freight ",ROUND(2.99+IF(N1052&gt;0.75,(N1052-0.75)*2.25,0)*S1052,2),IF(MarkupType="Supplier Markup",V1052+V1052*SupplierMarkup,"Error at finding value"))</f>
        <v>2.99</v>
      </c>
      <c r="AB1052" s="15">
        <f t="shared" si="373"/>
        <v>0</v>
      </c>
    </row>
    <row r="1053" spans="1:28" x14ac:dyDescent="0.25">
      <c r="A1053" s="16">
        <f>OrdersTable!A1053</f>
        <v>226</v>
      </c>
      <c r="B1053" s="15" t="str">
        <f t="shared" si="353"/>
        <v>Ms</v>
      </c>
      <c r="C1053" s="15" t="str">
        <f t="shared" si="374"/>
        <v>Stewart</v>
      </c>
      <c r="D1053" s="15" t="str">
        <f t="shared" si="354"/>
        <v>Jodi Louise</v>
      </c>
      <c r="E1053" s="15" t="str">
        <f t="shared" si="355"/>
        <v>33 Abington Court</v>
      </c>
      <c r="F1053" s="15" t="str">
        <f t="shared" si="356"/>
        <v>Iluka</v>
      </c>
      <c r="G1053" s="15" t="str">
        <f t="shared" si="357"/>
        <v>NSW</v>
      </c>
      <c r="H1053" s="15">
        <f t="shared" si="358"/>
        <v>2466</v>
      </c>
      <c r="I1053" s="15">
        <f t="shared" si="369"/>
        <v>347</v>
      </c>
      <c r="J1053" s="15">
        <f>OrdersTable!B1053</f>
        <v>620</v>
      </c>
      <c r="K1053" s="15" t="str">
        <f t="shared" si="359"/>
        <v>iPhone Skins</v>
      </c>
      <c r="L1053" s="15" t="str">
        <f t="shared" si="360"/>
        <v>Doctor Who: iPhone Skin: TARDIS Water Colour</v>
      </c>
      <c r="M1053" s="15" t="str">
        <f t="shared" si="361"/>
        <v>-</v>
      </c>
      <c r="N1053" s="15">
        <f t="shared" si="362"/>
        <v>0.5</v>
      </c>
      <c r="O1053" s="15" t="str">
        <f t="shared" si="363"/>
        <v>A30</v>
      </c>
      <c r="P1053" s="15" t="str">
        <f t="shared" si="364"/>
        <v>Chesterton Enterprises</v>
      </c>
      <c r="Q1053" s="15" t="str">
        <f t="shared" si="365"/>
        <v>41 William Russell Road</v>
      </c>
      <c r="R1053" s="3">
        <f>OrdersTable!C1053</f>
        <v>44636</v>
      </c>
      <c r="S1053" s="15">
        <f>OrdersTable!E1053</f>
        <v>3</v>
      </c>
      <c r="T1053" s="15">
        <f t="shared" si="366"/>
        <v>9.99</v>
      </c>
      <c r="U1053" s="15">
        <f t="shared" si="367"/>
        <v>13.81</v>
      </c>
      <c r="V1053" s="15">
        <f t="shared" si="368"/>
        <v>16.18</v>
      </c>
      <c r="W1053" s="15">
        <f>IF(MarkupType="Store Markup",ROUND(V1053+V1053*StoreMarkup,2),IF(MarkupType="Supplier Markup",V1053+V1053*SupplierMarkup,"Error at finding value"))</f>
        <v>25.48</v>
      </c>
      <c r="X1053" s="32" t="str">
        <f t="shared" si="370"/>
        <v>0.00</v>
      </c>
      <c r="Y1053" s="15">
        <f t="shared" si="371"/>
        <v>48.54</v>
      </c>
      <c r="Z1053" s="15">
        <f t="shared" si="372"/>
        <v>76.44</v>
      </c>
      <c r="AA1053" s="15">
        <f>IF(FreightType="Lethbridge-Stewart Freight ",ROUND(2.99+IF(N1053&gt;0.75,(N1053-0.75)*2.25,0)*S1053,2),IF(MarkupType="Supplier Markup",V1053+V1053*SupplierMarkup,"Error at finding value"))</f>
        <v>2.99</v>
      </c>
      <c r="AB1053" s="15">
        <f t="shared" si="373"/>
        <v>0</v>
      </c>
    </row>
    <row r="1054" spans="1:28" x14ac:dyDescent="0.25">
      <c r="A1054" s="16">
        <f>OrdersTable!A1054</f>
        <v>249</v>
      </c>
      <c r="B1054" s="15" t="str">
        <f t="shared" si="353"/>
        <v>Mr</v>
      </c>
      <c r="C1054" s="15" t="str">
        <f t="shared" si="374"/>
        <v>Sinclair</v>
      </c>
      <c r="D1054" s="15" t="str">
        <f t="shared" si="354"/>
        <v>Travis James Foord</v>
      </c>
      <c r="E1054" s="15" t="str">
        <f t="shared" si="355"/>
        <v>25 Leunen Avenue</v>
      </c>
      <c r="F1054" s="15" t="str">
        <f t="shared" si="356"/>
        <v>Batlow</v>
      </c>
      <c r="G1054" s="15" t="str">
        <f t="shared" si="357"/>
        <v>NSW</v>
      </c>
      <c r="H1054" s="15">
        <f t="shared" si="358"/>
        <v>2730</v>
      </c>
      <c r="I1054" s="15">
        <f t="shared" si="369"/>
        <v>1138</v>
      </c>
      <c r="J1054" s="15">
        <f>OrdersTable!B1054</f>
        <v>652</v>
      </c>
      <c r="K1054" s="15" t="str">
        <f t="shared" si="359"/>
        <v>Mugs</v>
      </c>
      <c r="L1054" s="15" t="str">
        <f t="shared" si="360"/>
        <v>Doctor Who: Mug: Dalek 2D</v>
      </c>
      <c r="M1054" s="15" t="str">
        <f t="shared" si="361"/>
        <v>-</v>
      </c>
      <c r="N1054" s="15">
        <f t="shared" si="362"/>
        <v>0.35</v>
      </c>
      <c r="O1054" s="15" t="str">
        <f t="shared" si="363"/>
        <v>A10</v>
      </c>
      <c r="P1054" s="15" t="str">
        <f t="shared" si="364"/>
        <v>Gallifrey International</v>
      </c>
      <c r="Q1054" s="15" t="str">
        <f t="shared" si="365"/>
        <v>181 Arcadia Street</v>
      </c>
      <c r="R1054" s="3">
        <f>OrdersTable!C1054</f>
        <v>44636</v>
      </c>
      <c r="S1054" s="15">
        <f>OrdersTable!E1054</f>
        <v>4</v>
      </c>
      <c r="T1054" s="15">
        <f t="shared" si="366"/>
        <v>6.99</v>
      </c>
      <c r="U1054" s="15">
        <f t="shared" si="367"/>
        <v>9.8800000000000008</v>
      </c>
      <c r="V1054" s="15">
        <f t="shared" si="368"/>
        <v>11.32</v>
      </c>
      <c r="W1054" s="15">
        <f>IF(MarkupType="Store Markup",ROUND(V1054+V1054*StoreMarkup,2),IF(MarkupType="Supplier Markup",V1054+V1054*SupplierMarkup,"Error at finding value"))</f>
        <v>17.829999999999998</v>
      </c>
      <c r="X1054" s="32" t="str">
        <f t="shared" si="370"/>
        <v>0.00</v>
      </c>
      <c r="Y1054" s="15">
        <f t="shared" si="371"/>
        <v>45.28</v>
      </c>
      <c r="Z1054" s="15">
        <f t="shared" si="372"/>
        <v>71.319999999999993</v>
      </c>
      <c r="AA1054" s="15">
        <f>IF(FreightType="Lethbridge-Stewart Freight ",ROUND(2.99+IF(N1054&gt;0.75,(N1054-0.75)*2.25,0)*S1054,2),IF(MarkupType="Supplier Markup",V1054+V1054*SupplierMarkup,"Error at finding value"))</f>
        <v>2.99</v>
      </c>
      <c r="AB1054" s="15">
        <f t="shared" si="373"/>
        <v>0</v>
      </c>
    </row>
    <row r="1055" spans="1:28" x14ac:dyDescent="0.25">
      <c r="A1055" s="16">
        <f>OrdersTable!A1055</f>
        <v>284</v>
      </c>
      <c r="B1055" s="15" t="str">
        <f t="shared" si="353"/>
        <v>Mr</v>
      </c>
      <c r="C1055" s="15" t="str">
        <f t="shared" si="374"/>
        <v>Aitcheson</v>
      </c>
      <c r="D1055" s="15" t="str">
        <f t="shared" si="354"/>
        <v>Ben James</v>
      </c>
      <c r="E1055" s="15" t="str">
        <f t="shared" si="355"/>
        <v>32 Evans Avenue</v>
      </c>
      <c r="F1055" s="15" t="str">
        <f t="shared" si="356"/>
        <v>Batlow</v>
      </c>
      <c r="G1055" s="15" t="str">
        <f t="shared" si="357"/>
        <v>NSW</v>
      </c>
      <c r="H1055" s="15">
        <f t="shared" si="358"/>
        <v>2730</v>
      </c>
      <c r="I1055" s="15">
        <f t="shared" si="369"/>
        <v>1138</v>
      </c>
      <c r="J1055" s="15">
        <f>OrdersTable!B1055</f>
        <v>830</v>
      </c>
      <c r="K1055" s="15" t="str">
        <f t="shared" si="359"/>
        <v>Statues and Busts</v>
      </c>
      <c r="L1055" s="15" t="str">
        <f t="shared" si="360"/>
        <v>Doctor Who: Mini Bust: Weeping Angel</v>
      </c>
      <c r="M1055" s="15" t="str">
        <f t="shared" si="361"/>
        <v>-</v>
      </c>
      <c r="N1055" s="15">
        <f t="shared" si="362"/>
        <v>1.8</v>
      </c>
      <c r="O1055" s="15" t="str">
        <f t="shared" si="363"/>
        <v>A50</v>
      </c>
      <c r="P1055" s="15" t="str">
        <f t="shared" si="364"/>
        <v>Rassilon Ltd.</v>
      </c>
      <c r="Q1055" s="15" t="str">
        <f t="shared" si="365"/>
        <v>82 Richard Mathews Road</v>
      </c>
      <c r="R1055" s="3">
        <f>OrdersTable!C1055</f>
        <v>44636</v>
      </c>
      <c r="S1055" s="15">
        <f>OrdersTable!E1055</f>
        <v>7</v>
      </c>
      <c r="T1055" s="15">
        <f t="shared" si="366"/>
        <v>35.99</v>
      </c>
      <c r="U1055" s="15">
        <f t="shared" si="367"/>
        <v>49.35</v>
      </c>
      <c r="V1055" s="15">
        <f t="shared" si="368"/>
        <v>58.3</v>
      </c>
      <c r="W1055" s="15">
        <f>IF(MarkupType="Store Markup",ROUND(V1055+V1055*StoreMarkup,2),IF(MarkupType="Supplier Markup",V1055+V1055*SupplierMarkup,"Error at finding value"))</f>
        <v>91.82</v>
      </c>
      <c r="X1055" s="32" t="str">
        <f t="shared" si="370"/>
        <v>0.00</v>
      </c>
      <c r="Y1055" s="15">
        <f t="shared" si="371"/>
        <v>408.1</v>
      </c>
      <c r="Z1055" s="15">
        <f t="shared" si="372"/>
        <v>642.74</v>
      </c>
      <c r="AA1055" s="15">
        <f>IF(FreightType="Lethbridge-Stewart Freight ",ROUND(2.99+IF(N1055&gt;0.75,(N1055-0.75)*2.25,0)*S1055,2),IF(MarkupType="Supplier Markup",V1055+V1055*SupplierMarkup,"Error at finding value"))</f>
        <v>19.53</v>
      </c>
      <c r="AB1055" s="15">
        <f t="shared" si="373"/>
        <v>0</v>
      </c>
    </row>
    <row r="1056" spans="1:28" x14ac:dyDescent="0.25">
      <c r="A1056" s="16">
        <f>OrdersTable!A1056</f>
        <v>308</v>
      </c>
      <c r="B1056" s="15" t="str">
        <f t="shared" si="353"/>
        <v>Dr</v>
      </c>
      <c r="C1056" s="15" t="str">
        <f t="shared" si="374"/>
        <v>Azar</v>
      </c>
      <c r="D1056" s="15" t="str">
        <f t="shared" si="354"/>
        <v>Mariam</v>
      </c>
      <c r="E1056" s="15" t="str">
        <f t="shared" si="355"/>
        <v>26 Osmond Road</v>
      </c>
      <c r="F1056" s="15" t="str">
        <f t="shared" si="356"/>
        <v>Boston</v>
      </c>
      <c r="G1056" s="15" t="str">
        <f t="shared" si="357"/>
        <v>SA</v>
      </c>
      <c r="H1056" s="15">
        <f t="shared" si="358"/>
        <v>5607</v>
      </c>
      <c r="I1056" s="15">
        <f t="shared" si="369"/>
        <v>2076</v>
      </c>
      <c r="J1056" s="15">
        <f>OrdersTable!B1056</f>
        <v>128</v>
      </c>
      <c r="K1056" s="15" t="str">
        <f t="shared" si="359"/>
        <v>Bobbleheads</v>
      </c>
      <c r="L1056" s="15" t="str">
        <f t="shared" si="360"/>
        <v>Doctor Who: Bobblehead: Davros</v>
      </c>
      <c r="M1056" s="15" t="str">
        <f t="shared" si="361"/>
        <v>-</v>
      </c>
      <c r="N1056" s="15">
        <f t="shared" si="362"/>
        <v>0.85</v>
      </c>
      <c r="O1056" s="15" t="str">
        <f t="shared" si="363"/>
        <v>A50</v>
      </c>
      <c r="P1056" s="15" t="str">
        <f t="shared" si="364"/>
        <v>Rassilon Ltd.</v>
      </c>
      <c r="Q1056" s="15" t="str">
        <f t="shared" si="365"/>
        <v>82 Richard Mathews Road</v>
      </c>
      <c r="R1056" s="3">
        <f>OrdersTable!C1056</f>
        <v>44636</v>
      </c>
      <c r="S1056" s="15">
        <f>OrdersTable!E1056</f>
        <v>5</v>
      </c>
      <c r="T1056" s="15">
        <f t="shared" si="366"/>
        <v>16.989999999999998</v>
      </c>
      <c r="U1056" s="15">
        <f t="shared" si="367"/>
        <v>23.27</v>
      </c>
      <c r="V1056" s="15">
        <f t="shared" si="368"/>
        <v>27.52</v>
      </c>
      <c r="W1056" s="15">
        <f>IF(MarkupType="Store Markup",ROUND(V1056+V1056*StoreMarkup,2),IF(MarkupType="Supplier Markup",V1056+V1056*SupplierMarkup,"Error at finding value"))</f>
        <v>43.34</v>
      </c>
      <c r="X1056" s="32" t="str">
        <f t="shared" si="370"/>
        <v>0.00</v>
      </c>
      <c r="Y1056" s="15">
        <f t="shared" si="371"/>
        <v>137.6</v>
      </c>
      <c r="Z1056" s="15">
        <f t="shared" si="372"/>
        <v>216.7</v>
      </c>
      <c r="AA1056" s="15">
        <f>IF(FreightType="Lethbridge-Stewart Freight ",ROUND(2.99+IF(N1056&gt;0.75,(N1056-0.75)*2.25,0)*S1056,2),IF(MarkupType="Supplier Markup",V1056+V1056*SupplierMarkup,"Error at finding value"))</f>
        <v>4.12</v>
      </c>
      <c r="AB1056" s="15">
        <f t="shared" si="373"/>
        <v>0</v>
      </c>
    </row>
    <row r="1057" spans="1:28" x14ac:dyDescent="0.25">
      <c r="A1057" s="16">
        <f>OrdersTable!A1057</f>
        <v>496</v>
      </c>
      <c r="B1057" s="15" t="str">
        <f t="shared" si="353"/>
        <v>Dr</v>
      </c>
      <c r="C1057" s="15" t="str">
        <f t="shared" si="374"/>
        <v>Johnston</v>
      </c>
      <c r="D1057" s="15" t="str">
        <f t="shared" si="354"/>
        <v>Karrina</v>
      </c>
      <c r="E1057" s="15" t="str">
        <f t="shared" si="355"/>
        <v>11 Bishop Drive</v>
      </c>
      <c r="F1057" s="15" t="str">
        <f t="shared" si="356"/>
        <v>Belford</v>
      </c>
      <c r="G1057" s="15" t="str">
        <f t="shared" si="357"/>
        <v>NSW</v>
      </c>
      <c r="H1057" s="15">
        <f t="shared" si="358"/>
        <v>2335</v>
      </c>
      <c r="I1057" s="15">
        <f t="shared" si="369"/>
        <v>716</v>
      </c>
      <c r="J1057" s="15">
        <f>OrdersTable!B1057</f>
        <v>341</v>
      </c>
      <c r="K1057" s="15" t="str">
        <f t="shared" si="359"/>
        <v>Clothing and Apparel</v>
      </c>
      <c r="L1057" s="15" t="str">
        <f t="shared" si="360"/>
        <v xml:space="preserve">Doctor Who: T-Shirts: 4th Doctor Costume </v>
      </c>
      <c r="M1057" s="15" t="str">
        <f t="shared" si="361"/>
        <v>XL</v>
      </c>
      <c r="N1057" s="15">
        <f t="shared" si="362"/>
        <v>0.8</v>
      </c>
      <c r="O1057" s="15" t="str">
        <f t="shared" si="363"/>
        <v>A20</v>
      </c>
      <c r="P1057" s="15" t="str">
        <f t="shared" si="364"/>
        <v>Morbius Inc.</v>
      </c>
      <c r="Q1057" s="15" t="str">
        <f t="shared" si="365"/>
        <v>56 Michael Spice Hwy</v>
      </c>
      <c r="R1057" s="3">
        <f>OrdersTable!C1057</f>
        <v>44636</v>
      </c>
      <c r="S1057" s="15">
        <f>OrdersTable!E1057</f>
        <v>9</v>
      </c>
      <c r="T1057" s="15">
        <f t="shared" si="366"/>
        <v>15.99</v>
      </c>
      <c r="U1057" s="15">
        <f t="shared" si="367"/>
        <v>22.05</v>
      </c>
      <c r="V1057" s="15">
        <f t="shared" si="368"/>
        <v>25.9</v>
      </c>
      <c r="W1057" s="15">
        <f>IF(MarkupType="Store Markup",ROUND(V1057+V1057*StoreMarkup,2),IF(MarkupType="Supplier Markup",V1057+V1057*SupplierMarkup,"Error at finding value"))</f>
        <v>40.79</v>
      </c>
      <c r="X1057" s="32" t="str">
        <f t="shared" si="370"/>
        <v>0.00</v>
      </c>
      <c r="Y1057" s="15">
        <f t="shared" si="371"/>
        <v>233.1</v>
      </c>
      <c r="Z1057" s="15">
        <f t="shared" si="372"/>
        <v>367.11</v>
      </c>
      <c r="AA1057" s="15">
        <f>IF(FreightType="Lethbridge-Stewart Freight ",ROUND(2.99+IF(N1057&gt;0.75,(N1057-0.75)*2.25,0)*S1057,2),IF(MarkupType="Supplier Markup",V1057+V1057*SupplierMarkup,"Error at finding value"))</f>
        <v>4</v>
      </c>
      <c r="AB1057" s="15">
        <f t="shared" si="373"/>
        <v>0</v>
      </c>
    </row>
    <row r="1058" spans="1:28" x14ac:dyDescent="0.25">
      <c r="A1058" s="16">
        <f>OrdersTable!A1058</f>
        <v>515</v>
      </c>
      <c r="B1058" s="15" t="str">
        <f t="shared" si="353"/>
        <v>Mr</v>
      </c>
      <c r="C1058" s="15" t="str">
        <f t="shared" si="374"/>
        <v>Noffke</v>
      </c>
      <c r="D1058" s="15" t="str">
        <f t="shared" si="354"/>
        <v>William Thomas</v>
      </c>
      <c r="E1058" s="15" t="str">
        <f t="shared" si="355"/>
        <v>20 Tyler Drive</v>
      </c>
      <c r="F1058" s="15" t="str">
        <f t="shared" si="356"/>
        <v>Areegra</v>
      </c>
      <c r="G1058" s="15" t="str">
        <f t="shared" si="357"/>
        <v>VIC</v>
      </c>
      <c r="H1058" s="15">
        <f t="shared" si="358"/>
        <v>3480</v>
      </c>
      <c r="I1058" s="15">
        <f t="shared" si="369"/>
        <v>1559</v>
      </c>
      <c r="J1058" s="15">
        <f>OrdersTable!B1058</f>
        <v>259</v>
      </c>
      <c r="K1058" s="15" t="str">
        <f t="shared" si="359"/>
        <v>Clothing and Apparel</v>
      </c>
      <c r="L1058" s="15" t="str">
        <f t="shared" si="360"/>
        <v>Doctor Who: Men's Winter Pyjamas</v>
      </c>
      <c r="M1058" s="15" t="str">
        <f t="shared" si="361"/>
        <v>XL</v>
      </c>
      <c r="N1058" s="15">
        <f t="shared" si="362"/>
        <v>1.5</v>
      </c>
      <c r="O1058" s="15" t="str">
        <f t="shared" si="363"/>
        <v>A50</v>
      </c>
      <c r="P1058" s="15" t="str">
        <f t="shared" si="364"/>
        <v>Rassilon Ltd.</v>
      </c>
      <c r="Q1058" s="15" t="str">
        <f t="shared" si="365"/>
        <v>82 Richard Mathews Road</v>
      </c>
      <c r="R1058" s="3">
        <f>OrdersTable!C1058</f>
        <v>44636</v>
      </c>
      <c r="S1058" s="15">
        <f>OrdersTable!E1058</f>
        <v>8</v>
      </c>
      <c r="T1058" s="15">
        <f t="shared" si="366"/>
        <v>29.99</v>
      </c>
      <c r="U1058" s="15">
        <f t="shared" si="367"/>
        <v>41.15</v>
      </c>
      <c r="V1058" s="15">
        <f t="shared" si="368"/>
        <v>48.58</v>
      </c>
      <c r="W1058" s="15">
        <f>IF(MarkupType="Store Markup",ROUND(V1058+V1058*StoreMarkup,2),IF(MarkupType="Supplier Markup",V1058+V1058*SupplierMarkup,"Error at finding value"))</f>
        <v>76.510000000000005</v>
      </c>
      <c r="X1058" s="32" t="str">
        <f t="shared" si="370"/>
        <v>0.00</v>
      </c>
      <c r="Y1058" s="15">
        <f t="shared" si="371"/>
        <v>388.64</v>
      </c>
      <c r="Z1058" s="15">
        <f t="shared" si="372"/>
        <v>612.08000000000004</v>
      </c>
      <c r="AA1058" s="15">
        <f>IF(FreightType="Lethbridge-Stewart Freight ",ROUND(2.99+IF(N1058&gt;0.75,(N1058-0.75)*2.25,0)*S1058,2),IF(MarkupType="Supplier Markup",V1058+V1058*SupplierMarkup,"Error at finding value"))</f>
        <v>16.489999999999998</v>
      </c>
      <c r="AB1058" s="15">
        <f t="shared" si="373"/>
        <v>0</v>
      </c>
    </row>
    <row r="1059" spans="1:28" x14ac:dyDescent="0.25">
      <c r="A1059" s="16">
        <f>OrdersTable!A1059</f>
        <v>527</v>
      </c>
      <c r="B1059" s="15" t="str">
        <f t="shared" si="353"/>
        <v>Mr</v>
      </c>
      <c r="C1059" s="15" t="str">
        <f t="shared" si="374"/>
        <v>McTaggart</v>
      </c>
      <c r="D1059" s="15" t="str">
        <f t="shared" si="354"/>
        <v>Daniel</v>
      </c>
      <c r="E1059" s="15" t="str">
        <f t="shared" si="355"/>
        <v>24 Mulholland Avenue</v>
      </c>
      <c r="F1059" s="15" t="str">
        <f t="shared" si="356"/>
        <v>Belconnen</v>
      </c>
      <c r="G1059" s="15" t="str">
        <f t="shared" si="357"/>
        <v>ACT</v>
      </c>
      <c r="H1059" s="15">
        <f t="shared" si="358"/>
        <v>2617</v>
      </c>
      <c r="I1059" s="15">
        <f t="shared" si="369"/>
        <v>1194</v>
      </c>
      <c r="J1059" s="15">
        <f>OrdersTable!B1059</f>
        <v>377</v>
      </c>
      <c r="K1059" s="15" t="str">
        <f t="shared" si="359"/>
        <v>Clothing and Apparel</v>
      </c>
      <c r="L1059" s="15" t="str">
        <f t="shared" si="360"/>
        <v xml:space="preserve">Doctor Who: T-Shirts: 7th Doctor Costume </v>
      </c>
      <c r="M1059" s="15" t="str">
        <f t="shared" si="361"/>
        <v>M</v>
      </c>
      <c r="N1059" s="15">
        <f t="shared" si="362"/>
        <v>0.8</v>
      </c>
      <c r="O1059" s="15" t="str">
        <f t="shared" si="363"/>
        <v>A40</v>
      </c>
      <c r="P1059" s="15" t="str">
        <f t="shared" si="364"/>
        <v>Romana Imports</v>
      </c>
      <c r="Q1059" s="15" t="str">
        <f t="shared" si="365"/>
        <v>17 Lalla Ward Road</v>
      </c>
      <c r="R1059" s="3">
        <f>OrdersTable!C1059</f>
        <v>44636</v>
      </c>
      <c r="S1059" s="15">
        <f>OrdersTable!E1059</f>
        <v>3</v>
      </c>
      <c r="T1059" s="15">
        <f t="shared" si="366"/>
        <v>15.99</v>
      </c>
      <c r="U1059" s="15">
        <f t="shared" si="367"/>
        <v>21.95</v>
      </c>
      <c r="V1059" s="15">
        <f t="shared" si="368"/>
        <v>25.9</v>
      </c>
      <c r="W1059" s="15">
        <f>IF(MarkupType="Store Markup",ROUND(V1059+V1059*StoreMarkup,2),IF(MarkupType="Supplier Markup",V1059+V1059*SupplierMarkup,"Error at finding value"))</f>
        <v>40.79</v>
      </c>
      <c r="X1059" s="32" t="str">
        <f t="shared" si="370"/>
        <v>0.00</v>
      </c>
      <c r="Y1059" s="15">
        <f t="shared" si="371"/>
        <v>77.7</v>
      </c>
      <c r="Z1059" s="15">
        <f t="shared" si="372"/>
        <v>122.37</v>
      </c>
      <c r="AA1059" s="15">
        <f>IF(FreightType="Lethbridge-Stewart Freight ",ROUND(2.99+IF(N1059&gt;0.75,(N1059-0.75)*2.25,0)*S1059,2),IF(MarkupType="Supplier Markup",V1059+V1059*SupplierMarkup,"Error at finding value"))</f>
        <v>3.33</v>
      </c>
      <c r="AB1059" s="15">
        <f t="shared" si="373"/>
        <v>0</v>
      </c>
    </row>
    <row r="1060" spans="1:28" x14ac:dyDescent="0.25">
      <c r="A1060" s="16">
        <f>OrdersTable!A1060</f>
        <v>158</v>
      </c>
      <c r="B1060" s="15" t="str">
        <f t="shared" si="353"/>
        <v>Mr</v>
      </c>
      <c r="C1060" s="15" t="str">
        <f t="shared" si="374"/>
        <v>Fowler</v>
      </c>
      <c r="D1060" s="15" t="str">
        <f t="shared" si="354"/>
        <v>James</v>
      </c>
      <c r="E1060" s="15" t="str">
        <f t="shared" si="355"/>
        <v>30 Virk Court</v>
      </c>
      <c r="F1060" s="15" t="str">
        <f t="shared" si="356"/>
        <v>Black Hills</v>
      </c>
      <c r="G1060" s="15" t="str">
        <f t="shared" si="357"/>
        <v>TAS</v>
      </c>
      <c r="H1060" s="15">
        <f t="shared" si="358"/>
        <v>7140</v>
      </c>
      <c r="I1060" s="15">
        <f t="shared" si="369"/>
        <v>2191</v>
      </c>
      <c r="J1060" s="15">
        <f>OrdersTable!B1060</f>
        <v>398</v>
      </c>
      <c r="K1060" s="15" t="str">
        <f t="shared" si="359"/>
        <v>Clothing and Apparel</v>
      </c>
      <c r="L1060" s="15" t="str">
        <f t="shared" si="360"/>
        <v>Doctor Who: Women's Winter Pyjamas</v>
      </c>
      <c r="M1060" s="15" t="str">
        <f t="shared" si="361"/>
        <v>S</v>
      </c>
      <c r="N1060" s="15">
        <f t="shared" si="362"/>
        <v>1.5</v>
      </c>
      <c r="O1060" s="15" t="str">
        <f t="shared" si="363"/>
        <v>A40</v>
      </c>
      <c r="P1060" s="15" t="str">
        <f t="shared" si="364"/>
        <v>Romana Imports</v>
      </c>
      <c r="Q1060" s="15" t="str">
        <f t="shared" si="365"/>
        <v>17 Lalla Ward Road</v>
      </c>
      <c r="R1060" s="3">
        <f>OrdersTable!C1060</f>
        <v>44637</v>
      </c>
      <c r="S1060" s="15">
        <f>OrdersTable!E1060</f>
        <v>6</v>
      </c>
      <c r="T1060" s="15">
        <f t="shared" si="366"/>
        <v>29.99</v>
      </c>
      <c r="U1060" s="15">
        <f t="shared" si="367"/>
        <v>41.07</v>
      </c>
      <c r="V1060" s="15">
        <f t="shared" si="368"/>
        <v>48.58</v>
      </c>
      <c r="W1060" s="15">
        <f>IF(MarkupType="Store Markup",ROUND(V1060+V1060*StoreMarkup,2),IF(MarkupType="Supplier Markup",V1060+V1060*SupplierMarkup,"Error at finding value"))</f>
        <v>76.510000000000005</v>
      </c>
      <c r="X1060" s="32" t="str">
        <f t="shared" si="370"/>
        <v>0.00</v>
      </c>
      <c r="Y1060" s="15">
        <f t="shared" si="371"/>
        <v>291.48</v>
      </c>
      <c r="Z1060" s="15">
        <f t="shared" si="372"/>
        <v>459.06</v>
      </c>
      <c r="AA1060" s="15">
        <f>IF(FreightType="Lethbridge-Stewart Freight ",ROUND(2.99+IF(N1060&gt;0.75,(N1060-0.75)*2.25,0)*S1060,2),IF(MarkupType="Supplier Markup",V1060+V1060*SupplierMarkup,"Error at finding value"))</f>
        <v>13.12</v>
      </c>
      <c r="AB1060" s="15">
        <f t="shared" si="373"/>
        <v>0</v>
      </c>
    </row>
    <row r="1061" spans="1:28" x14ac:dyDescent="0.25">
      <c r="A1061" s="16">
        <f>OrdersTable!A1061</f>
        <v>333</v>
      </c>
      <c r="B1061" s="15" t="str">
        <f t="shared" si="353"/>
        <v>Mr</v>
      </c>
      <c r="C1061" s="15" t="str">
        <f t="shared" si="374"/>
        <v>Martin</v>
      </c>
      <c r="D1061" s="15" t="str">
        <f t="shared" si="354"/>
        <v>Damien Roger</v>
      </c>
      <c r="E1061" s="15" t="str">
        <f t="shared" si="355"/>
        <v>23 Quennell Way</v>
      </c>
      <c r="F1061" s="15" t="str">
        <f t="shared" si="356"/>
        <v>Aberfoyle</v>
      </c>
      <c r="G1061" s="15" t="str">
        <f t="shared" si="357"/>
        <v>NSW</v>
      </c>
      <c r="H1061" s="15">
        <f t="shared" si="358"/>
        <v>2350</v>
      </c>
      <c r="I1061" s="15">
        <f t="shared" si="369"/>
        <v>363</v>
      </c>
      <c r="J1061" s="15">
        <f>OrdersTable!B1061</f>
        <v>676</v>
      </c>
      <c r="K1061" s="15" t="str">
        <f t="shared" si="359"/>
        <v>Mugs</v>
      </c>
      <c r="L1061" s="15" t="str">
        <f t="shared" si="360"/>
        <v>Doctor Who: Mug: The Eleventh Doctor</v>
      </c>
      <c r="M1061" s="15" t="str">
        <f t="shared" si="361"/>
        <v>-</v>
      </c>
      <c r="N1061" s="15">
        <f t="shared" si="362"/>
        <v>0.45</v>
      </c>
      <c r="O1061" s="15" t="str">
        <f t="shared" si="363"/>
        <v>A20</v>
      </c>
      <c r="P1061" s="15" t="str">
        <f t="shared" si="364"/>
        <v>Morbius Inc.</v>
      </c>
      <c r="Q1061" s="15" t="str">
        <f t="shared" si="365"/>
        <v>56 Michael Spice Hwy</v>
      </c>
      <c r="R1061" s="3">
        <f>OrdersTable!C1061</f>
        <v>44637</v>
      </c>
      <c r="S1061" s="15">
        <f>OrdersTable!E1061</f>
        <v>9</v>
      </c>
      <c r="T1061" s="15">
        <f t="shared" si="366"/>
        <v>8.99</v>
      </c>
      <c r="U1061" s="15">
        <f t="shared" si="367"/>
        <v>12.55</v>
      </c>
      <c r="V1061" s="15">
        <f t="shared" si="368"/>
        <v>14.56</v>
      </c>
      <c r="W1061" s="15">
        <f>IF(MarkupType="Store Markup",ROUND(V1061+V1061*StoreMarkup,2),IF(MarkupType="Supplier Markup",V1061+V1061*SupplierMarkup,"Error at finding value"))</f>
        <v>22.93</v>
      </c>
      <c r="X1061" s="32" t="str">
        <f t="shared" si="370"/>
        <v>0.00</v>
      </c>
      <c r="Y1061" s="15">
        <f t="shared" si="371"/>
        <v>131.04</v>
      </c>
      <c r="Z1061" s="15">
        <f t="shared" si="372"/>
        <v>206.37</v>
      </c>
      <c r="AA1061" s="15">
        <f>IF(FreightType="Lethbridge-Stewart Freight ",ROUND(2.99+IF(N1061&gt;0.75,(N1061-0.75)*2.25,0)*S1061,2),IF(MarkupType="Supplier Markup",V1061+V1061*SupplierMarkup,"Error at finding value"))</f>
        <v>2.99</v>
      </c>
      <c r="AB1061" s="15">
        <f t="shared" si="373"/>
        <v>0</v>
      </c>
    </row>
    <row r="1062" spans="1:28" x14ac:dyDescent="0.25">
      <c r="A1062" s="16">
        <f>OrdersTable!A1062</f>
        <v>370</v>
      </c>
      <c r="B1062" s="15" t="str">
        <f t="shared" si="353"/>
        <v>Mr</v>
      </c>
      <c r="C1062" s="15" t="str">
        <f t="shared" si="374"/>
        <v>Kennedy</v>
      </c>
      <c r="D1062" s="15" t="str">
        <f t="shared" si="354"/>
        <v>Joseph Dominic</v>
      </c>
      <c r="E1062" s="15" t="str">
        <f t="shared" si="355"/>
        <v>43 Barton Road</v>
      </c>
      <c r="F1062" s="15" t="str">
        <f t="shared" si="356"/>
        <v>Boston</v>
      </c>
      <c r="G1062" s="15" t="str">
        <f t="shared" si="357"/>
        <v>SA</v>
      </c>
      <c r="H1062" s="15">
        <f t="shared" si="358"/>
        <v>5607</v>
      </c>
      <c r="I1062" s="15">
        <f t="shared" si="369"/>
        <v>2076</v>
      </c>
      <c r="J1062" s="15">
        <f>OrdersTable!B1062</f>
        <v>780</v>
      </c>
      <c r="K1062" s="15" t="str">
        <f t="shared" si="359"/>
        <v>Statues and Busts</v>
      </c>
      <c r="L1062" s="15" t="str">
        <f t="shared" si="360"/>
        <v>Doctor Who: Masterpiece Collection Dalek: Genesis Of The Daleks</v>
      </c>
      <c r="M1062" s="15" t="str">
        <f t="shared" si="361"/>
        <v>-</v>
      </c>
      <c r="N1062" s="15">
        <f t="shared" si="362"/>
        <v>2.5</v>
      </c>
      <c r="O1062" s="15" t="str">
        <f t="shared" si="363"/>
        <v>A30</v>
      </c>
      <c r="P1062" s="15" t="str">
        <f t="shared" si="364"/>
        <v>Chesterton Enterprises</v>
      </c>
      <c r="Q1062" s="15" t="str">
        <f t="shared" si="365"/>
        <v>41 William Russell Road</v>
      </c>
      <c r="R1062" s="3">
        <f>OrdersTable!C1062</f>
        <v>44637</v>
      </c>
      <c r="S1062" s="15">
        <f>OrdersTable!E1062</f>
        <v>7</v>
      </c>
      <c r="T1062" s="15">
        <f t="shared" si="366"/>
        <v>49.99</v>
      </c>
      <c r="U1062" s="15">
        <f t="shared" si="367"/>
        <v>68.23</v>
      </c>
      <c r="V1062" s="15">
        <f t="shared" si="368"/>
        <v>80.98</v>
      </c>
      <c r="W1062" s="15">
        <f>IF(MarkupType="Store Markup",ROUND(V1062+V1062*StoreMarkup,2),IF(MarkupType="Supplier Markup",V1062+V1062*SupplierMarkup,"Error at finding value"))</f>
        <v>127.54</v>
      </c>
      <c r="X1062" s="32">
        <f t="shared" si="370"/>
        <v>9.09</v>
      </c>
      <c r="Y1062" s="15">
        <f t="shared" si="371"/>
        <v>566.86</v>
      </c>
      <c r="Z1062" s="15">
        <f t="shared" si="372"/>
        <v>829.15</v>
      </c>
      <c r="AA1062" s="15">
        <f>IF(FreightType="Lethbridge-Stewart Freight ",ROUND(2.99+IF(N1062&gt;0.75,(N1062-0.75)*2.25,0)*S1062,2),IF(MarkupType="Supplier Markup",V1062+V1062*SupplierMarkup,"Error at finding value"))</f>
        <v>30.55</v>
      </c>
      <c r="AB1062" s="15">
        <f t="shared" si="373"/>
        <v>63.63</v>
      </c>
    </row>
    <row r="1063" spans="1:28" x14ac:dyDescent="0.25">
      <c r="A1063" s="16">
        <f>OrdersTable!A1063</f>
        <v>390</v>
      </c>
      <c r="B1063" s="15" t="str">
        <f t="shared" si="353"/>
        <v>Ms</v>
      </c>
      <c r="C1063" s="15" t="str">
        <f t="shared" si="374"/>
        <v>Queen</v>
      </c>
      <c r="D1063" s="15" t="str">
        <f t="shared" si="354"/>
        <v>Joanne</v>
      </c>
      <c r="E1063" s="15" t="str">
        <f t="shared" si="355"/>
        <v>30 Hall Drive</v>
      </c>
      <c r="F1063" s="15" t="str">
        <f t="shared" si="356"/>
        <v>Belconnen</v>
      </c>
      <c r="G1063" s="15" t="str">
        <f t="shared" si="357"/>
        <v>ACT</v>
      </c>
      <c r="H1063" s="15">
        <f t="shared" si="358"/>
        <v>2617</v>
      </c>
      <c r="I1063" s="15">
        <f t="shared" si="369"/>
        <v>1194</v>
      </c>
      <c r="J1063" s="15">
        <f>OrdersTable!B1063</f>
        <v>239</v>
      </c>
      <c r="K1063" s="15" t="str">
        <f t="shared" si="359"/>
        <v>Clothing and Apparel</v>
      </c>
      <c r="L1063" s="15" t="str">
        <f t="shared" si="360"/>
        <v>Doctor Who: Men's Winter Pyjamas</v>
      </c>
      <c r="M1063" s="15" t="str">
        <f t="shared" si="361"/>
        <v>L</v>
      </c>
      <c r="N1063" s="15">
        <f t="shared" si="362"/>
        <v>1.5</v>
      </c>
      <c r="O1063" s="15" t="str">
        <f t="shared" si="363"/>
        <v>A10</v>
      </c>
      <c r="P1063" s="15" t="str">
        <f t="shared" si="364"/>
        <v>Gallifrey International</v>
      </c>
      <c r="Q1063" s="15" t="str">
        <f t="shared" si="365"/>
        <v>181 Arcadia Street</v>
      </c>
      <c r="R1063" s="3">
        <f>OrdersTable!C1063</f>
        <v>44637</v>
      </c>
      <c r="S1063" s="15">
        <f>OrdersTable!E1063</f>
        <v>4</v>
      </c>
      <c r="T1063" s="15">
        <f t="shared" si="366"/>
        <v>29.99</v>
      </c>
      <c r="U1063" s="15">
        <f t="shared" si="367"/>
        <v>41.23</v>
      </c>
      <c r="V1063" s="15">
        <f t="shared" si="368"/>
        <v>48.58</v>
      </c>
      <c r="W1063" s="15">
        <f>IF(MarkupType="Store Markup",ROUND(V1063+V1063*StoreMarkup,2),IF(MarkupType="Supplier Markup",V1063+V1063*SupplierMarkup,"Error at finding value"))</f>
        <v>76.510000000000005</v>
      </c>
      <c r="X1063" s="32" t="str">
        <f t="shared" si="370"/>
        <v>0.00</v>
      </c>
      <c r="Y1063" s="15">
        <f t="shared" si="371"/>
        <v>194.32</v>
      </c>
      <c r="Z1063" s="15">
        <f t="shared" si="372"/>
        <v>306.04000000000002</v>
      </c>
      <c r="AA1063" s="15">
        <f>IF(FreightType="Lethbridge-Stewart Freight ",ROUND(2.99+IF(N1063&gt;0.75,(N1063-0.75)*2.25,0)*S1063,2),IF(MarkupType="Supplier Markup",V1063+V1063*SupplierMarkup,"Error at finding value"))</f>
        <v>9.74</v>
      </c>
      <c r="AB1063" s="15">
        <f t="shared" si="373"/>
        <v>0</v>
      </c>
    </row>
    <row r="1064" spans="1:28" x14ac:dyDescent="0.25">
      <c r="A1064" s="16">
        <f>OrdersTable!A1064</f>
        <v>496</v>
      </c>
      <c r="B1064" s="15" t="str">
        <f t="shared" si="353"/>
        <v>Dr</v>
      </c>
      <c r="C1064" s="15" t="str">
        <f t="shared" si="374"/>
        <v>Johnston</v>
      </c>
      <c r="D1064" s="15" t="str">
        <f t="shared" si="354"/>
        <v>Karrina</v>
      </c>
      <c r="E1064" s="15" t="str">
        <f t="shared" si="355"/>
        <v>11 Bishop Drive</v>
      </c>
      <c r="F1064" s="15" t="str">
        <f t="shared" si="356"/>
        <v>Belford</v>
      </c>
      <c r="G1064" s="15" t="str">
        <f t="shared" si="357"/>
        <v>NSW</v>
      </c>
      <c r="H1064" s="15">
        <f t="shared" si="358"/>
        <v>2335</v>
      </c>
      <c r="I1064" s="15">
        <f t="shared" si="369"/>
        <v>716</v>
      </c>
      <c r="J1064" s="15">
        <f>OrdersTable!B1064</f>
        <v>759</v>
      </c>
      <c r="K1064" s="15" t="str">
        <f t="shared" si="359"/>
        <v>Statues and Busts</v>
      </c>
      <c r="L1064" s="15" t="str">
        <f t="shared" si="360"/>
        <v>Doctor Who: Legends Forever Bust: Jon Pertwee</v>
      </c>
      <c r="M1064" s="15" t="str">
        <f t="shared" si="361"/>
        <v>-</v>
      </c>
      <c r="N1064" s="15">
        <f t="shared" si="362"/>
        <v>1.375</v>
      </c>
      <c r="O1064" s="15" t="str">
        <f t="shared" si="363"/>
        <v>A30</v>
      </c>
      <c r="P1064" s="15" t="str">
        <f t="shared" si="364"/>
        <v>Chesterton Enterprises</v>
      </c>
      <c r="Q1064" s="15" t="str">
        <f t="shared" si="365"/>
        <v>41 William Russell Road</v>
      </c>
      <c r="R1064" s="3">
        <f>OrdersTable!C1064</f>
        <v>44637</v>
      </c>
      <c r="S1064" s="15">
        <f>OrdersTable!E1064</f>
        <v>10</v>
      </c>
      <c r="T1064" s="15">
        <f t="shared" si="366"/>
        <v>27.5</v>
      </c>
      <c r="U1064" s="15">
        <f t="shared" si="367"/>
        <v>37.630000000000003</v>
      </c>
      <c r="V1064" s="15">
        <f t="shared" si="368"/>
        <v>44.55</v>
      </c>
      <c r="W1064" s="15">
        <f>IF(MarkupType="Store Markup",ROUND(V1064+V1064*StoreMarkup,2),IF(MarkupType="Supplier Markup",V1064+V1064*SupplierMarkup,"Error at finding value"))</f>
        <v>70.17</v>
      </c>
      <c r="X1064" s="32" t="str">
        <f t="shared" si="370"/>
        <v>0.00</v>
      </c>
      <c r="Y1064" s="15">
        <f t="shared" si="371"/>
        <v>445.5</v>
      </c>
      <c r="Z1064" s="15">
        <f t="shared" si="372"/>
        <v>701.7</v>
      </c>
      <c r="AA1064" s="15">
        <f>IF(FreightType="Lethbridge-Stewart Freight ",ROUND(2.99+IF(N1064&gt;0.75,(N1064-0.75)*2.25,0)*S1064,2),IF(MarkupType="Supplier Markup",V1064+V1064*SupplierMarkup,"Error at finding value"))</f>
        <v>17.05</v>
      </c>
      <c r="AB1064" s="15">
        <f t="shared" si="373"/>
        <v>0</v>
      </c>
    </row>
    <row r="1065" spans="1:28" x14ac:dyDescent="0.25">
      <c r="A1065" s="16">
        <f>OrdersTable!A1065</f>
        <v>501</v>
      </c>
      <c r="B1065" s="15" t="str">
        <f t="shared" si="353"/>
        <v>Miss</v>
      </c>
      <c r="C1065" s="15" t="str">
        <f t="shared" si="374"/>
        <v>Tharenou</v>
      </c>
      <c r="D1065" s="15" t="str">
        <f t="shared" si="354"/>
        <v>Kimberley Jacinta</v>
      </c>
      <c r="E1065" s="15" t="str">
        <f t="shared" si="355"/>
        <v>49 Moncada Circuit</v>
      </c>
      <c r="F1065" s="15" t="str">
        <f t="shared" si="356"/>
        <v>Belford</v>
      </c>
      <c r="G1065" s="15" t="str">
        <f t="shared" si="357"/>
        <v>NSW</v>
      </c>
      <c r="H1065" s="15">
        <f t="shared" si="358"/>
        <v>2335</v>
      </c>
      <c r="I1065" s="15">
        <f t="shared" si="369"/>
        <v>716</v>
      </c>
      <c r="J1065" s="15">
        <f>OrdersTable!B1065</f>
        <v>563</v>
      </c>
      <c r="K1065" s="15" t="str">
        <f t="shared" si="359"/>
        <v>Giftware</v>
      </c>
      <c r="L1065" s="15" t="str">
        <f t="shared" si="360"/>
        <v>Doctor Who: TARDIS Jewellery Box</v>
      </c>
      <c r="M1065" s="15" t="str">
        <f t="shared" si="361"/>
        <v>-</v>
      </c>
      <c r="N1065" s="15">
        <f t="shared" si="362"/>
        <v>1.1499999999999999</v>
      </c>
      <c r="O1065" s="15" t="str">
        <f t="shared" si="363"/>
        <v>A50</v>
      </c>
      <c r="P1065" s="15" t="str">
        <f t="shared" si="364"/>
        <v>Rassilon Ltd.</v>
      </c>
      <c r="Q1065" s="15" t="str">
        <f t="shared" si="365"/>
        <v>82 Richard Mathews Road</v>
      </c>
      <c r="R1065" s="3">
        <f>OrdersTable!C1065</f>
        <v>44637</v>
      </c>
      <c r="S1065" s="15">
        <f>OrdersTable!E1065</f>
        <v>2</v>
      </c>
      <c r="T1065" s="15">
        <f t="shared" si="366"/>
        <v>22.99</v>
      </c>
      <c r="U1065" s="15">
        <f t="shared" si="367"/>
        <v>31.63</v>
      </c>
      <c r="V1065" s="15">
        <f t="shared" si="368"/>
        <v>37.24</v>
      </c>
      <c r="W1065" s="15">
        <f>IF(MarkupType="Store Markup",ROUND(V1065+V1065*StoreMarkup,2),IF(MarkupType="Supplier Markup",V1065+V1065*SupplierMarkup,"Error at finding value"))</f>
        <v>58.65</v>
      </c>
      <c r="X1065" s="32" t="str">
        <f t="shared" si="370"/>
        <v>0.00</v>
      </c>
      <c r="Y1065" s="15">
        <f t="shared" si="371"/>
        <v>74.48</v>
      </c>
      <c r="Z1065" s="15">
        <f t="shared" si="372"/>
        <v>117.3</v>
      </c>
      <c r="AA1065" s="15">
        <f>IF(FreightType="Lethbridge-Stewart Freight ",ROUND(2.99+IF(N1065&gt;0.75,(N1065-0.75)*2.25,0)*S1065,2),IF(MarkupType="Supplier Markup",V1065+V1065*SupplierMarkup,"Error at finding value"))</f>
        <v>4.79</v>
      </c>
      <c r="AB1065" s="15">
        <f t="shared" si="373"/>
        <v>0</v>
      </c>
    </row>
    <row r="1066" spans="1:28" x14ac:dyDescent="0.25">
      <c r="A1066" s="16">
        <f>OrdersTable!A1066</f>
        <v>526</v>
      </c>
      <c r="B1066" s="15" t="str">
        <f t="shared" si="353"/>
        <v>Mrs</v>
      </c>
      <c r="C1066" s="15" t="str">
        <f t="shared" si="374"/>
        <v>Bradford</v>
      </c>
      <c r="D1066" s="15" t="str">
        <f t="shared" si="354"/>
        <v>Haleigh Renae Ann</v>
      </c>
      <c r="E1066" s="15" t="str">
        <f t="shared" si="355"/>
        <v>31 Johnston Road</v>
      </c>
      <c r="F1066" s="15" t="str">
        <f t="shared" si="356"/>
        <v>Ashford</v>
      </c>
      <c r="G1066" s="15" t="str">
        <f t="shared" si="357"/>
        <v>SA</v>
      </c>
      <c r="H1066" s="15">
        <f t="shared" si="358"/>
        <v>5035</v>
      </c>
      <c r="I1066" s="15">
        <f t="shared" si="369"/>
        <v>1877</v>
      </c>
      <c r="J1066" s="15">
        <f>OrdersTable!B1066</f>
        <v>671</v>
      </c>
      <c r="K1066" s="15" t="str">
        <f t="shared" si="359"/>
        <v>Mugs</v>
      </c>
      <c r="L1066" s="15" t="str">
        <f t="shared" si="360"/>
        <v>Doctor Who: Mug: TARDIS Inside</v>
      </c>
      <c r="M1066" s="15" t="str">
        <f t="shared" si="361"/>
        <v>-</v>
      </c>
      <c r="N1066" s="15">
        <f t="shared" si="362"/>
        <v>0.6</v>
      </c>
      <c r="O1066" s="15" t="str">
        <f t="shared" si="363"/>
        <v>A30</v>
      </c>
      <c r="P1066" s="15" t="str">
        <f t="shared" si="364"/>
        <v>Chesterton Enterprises</v>
      </c>
      <c r="Q1066" s="15" t="str">
        <f t="shared" si="365"/>
        <v>41 William Russell Road</v>
      </c>
      <c r="R1066" s="3">
        <f>OrdersTable!C1066</f>
        <v>44637</v>
      </c>
      <c r="S1066" s="15">
        <f>OrdersTable!E1066</f>
        <v>5</v>
      </c>
      <c r="T1066" s="15">
        <f t="shared" si="366"/>
        <v>11.99</v>
      </c>
      <c r="U1066" s="15">
        <f t="shared" si="367"/>
        <v>16.690000000000001</v>
      </c>
      <c r="V1066" s="15">
        <f t="shared" si="368"/>
        <v>19.420000000000002</v>
      </c>
      <c r="W1066" s="15">
        <f>IF(MarkupType="Store Markup",ROUND(V1066+V1066*StoreMarkup,2),IF(MarkupType="Supplier Markup",V1066+V1066*SupplierMarkup,"Error at finding value"))</f>
        <v>30.59</v>
      </c>
      <c r="X1066" s="32" t="str">
        <f t="shared" si="370"/>
        <v>0.00</v>
      </c>
      <c r="Y1066" s="15">
        <f t="shared" si="371"/>
        <v>97.1</v>
      </c>
      <c r="Z1066" s="15">
        <f t="shared" si="372"/>
        <v>152.94999999999999</v>
      </c>
      <c r="AA1066" s="15">
        <f>IF(FreightType="Lethbridge-Stewart Freight ",ROUND(2.99+IF(N1066&gt;0.75,(N1066-0.75)*2.25,0)*S1066,2),IF(MarkupType="Supplier Markup",V1066+V1066*SupplierMarkup,"Error at finding value"))</f>
        <v>2.99</v>
      </c>
      <c r="AB1066" s="15">
        <f t="shared" si="373"/>
        <v>0</v>
      </c>
    </row>
    <row r="1067" spans="1:28" x14ac:dyDescent="0.25">
      <c r="A1067" s="16">
        <f>OrdersTable!A1067</f>
        <v>531</v>
      </c>
      <c r="B1067" s="15" t="str">
        <f t="shared" si="353"/>
        <v>Ms</v>
      </c>
      <c r="C1067" s="15" t="str">
        <f t="shared" si="374"/>
        <v>Stanton</v>
      </c>
      <c r="D1067" s="15" t="str">
        <f t="shared" si="354"/>
        <v>Sharaze</v>
      </c>
      <c r="E1067" s="15" t="str">
        <f t="shared" si="355"/>
        <v>1 Siddons Crescent</v>
      </c>
      <c r="F1067" s="15" t="str">
        <f t="shared" si="356"/>
        <v>Alfredtown</v>
      </c>
      <c r="G1067" s="15" t="str">
        <f t="shared" si="357"/>
        <v>NSW</v>
      </c>
      <c r="H1067" s="15">
        <f t="shared" si="358"/>
        <v>2650</v>
      </c>
      <c r="I1067" s="15">
        <f t="shared" si="369"/>
        <v>1124</v>
      </c>
      <c r="J1067" s="15">
        <f>OrdersTable!B1067</f>
        <v>652</v>
      </c>
      <c r="K1067" s="15" t="str">
        <f t="shared" si="359"/>
        <v>Mugs</v>
      </c>
      <c r="L1067" s="15" t="str">
        <f t="shared" si="360"/>
        <v>Doctor Who: Mug: Dalek 2D</v>
      </c>
      <c r="M1067" s="15" t="str">
        <f t="shared" si="361"/>
        <v>-</v>
      </c>
      <c r="N1067" s="15">
        <f t="shared" si="362"/>
        <v>0.35</v>
      </c>
      <c r="O1067" s="15" t="str">
        <f t="shared" si="363"/>
        <v>A10</v>
      </c>
      <c r="P1067" s="15" t="str">
        <f t="shared" si="364"/>
        <v>Gallifrey International</v>
      </c>
      <c r="Q1067" s="15" t="str">
        <f t="shared" si="365"/>
        <v>181 Arcadia Street</v>
      </c>
      <c r="R1067" s="3">
        <f>OrdersTable!C1067</f>
        <v>44637</v>
      </c>
      <c r="S1067" s="15">
        <f>OrdersTable!E1067</f>
        <v>6</v>
      </c>
      <c r="T1067" s="15">
        <f t="shared" si="366"/>
        <v>6.99</v>
      </c>
      <c r="U1067" s="15">
        <f t="shared" si="367"/>
        <v>9.8800000000000008</v>
      </c>
      <c r="V1067" s="15">
        <f t="shared" si="368"/>
        <v>11.32</v>
      </c>
      <c r="W1067" s="15">
        <f>IF(MarkupType="Store Markup",ROUND(V1067+V1067*StoreMarkup,2),IF(MarkupType="Supplier Markup",V1067+V1067*SupplierMarkup,"Error at finding value"))</f>
        <v>17.829999999999998</v>
      </c>
      <c r="X1067" s="32" t="str">
        <f t="shared" si="370"/>
        <v>0.00</v>
      </c>
      <c r="Y1067" s="15">
        <f t="shared" si="371"/>
        <v>67.92</v>
      </c>
      <c r="Z1067" s="15">
        <f t="shared" si="372"/>
        <v>106.98</v>
      </c>
      <c r="AA1067" s="15">
        <f>IF(FreightType="Lethbridge-Stewart Freight ",ROUND(2.99+IF(N1067&gt;0.75,(N1067-0.75)*2.25,0)*S1067,2),IF(MarkupType="Supplier Markup",V1067+V1067*SupplierMarkup,"Error at finding value"))</f>
        <v>2.99</v>
      </c>
      <c r="AB1067" s="15">
        <f t="shared" si="373"/>
        <v>0</v>
      </c>
    </row>
    <row r="1068" spans="1:28" x14ac:dyDescent="0.25">
      <c r="A1068" s="16">
        <f>OrdersTable!A1068</f>
        <v>538</v>
      </c>
      <c r="B1068" s="15" t="str">
        <f t="shared" si="353"/>
        <v>Dr</v>
      </c>
      <c r="C1068" s="15" t="str">
        <f t="shared" si="374"/>
        <v>Radovic</v>
      </c>
      <c r="D1068" s="15" t="str">
        <f t="shared" si="354"/>
        <v>Harley Benjamin</v>
      </c>
      <c r="E1068" s="15" t="str">
        <f t="shared" si="355"/>
        <v>50 Hocking Way</v>
      </c>
      <c r="F1068" s="15" t="str">
        <f t="shared" si="356"/>
        <v>Bray Park</v>
      </c>
      <c r="G1068" s="15" t="str">
        <f t="shared" si="357"/>
        <v>QLD</v>
      </c>
      <c r="H1068" s="15">
        <f t="shared" si="358"/>
        <v>4500</v>
      </c>
      <c r="I1068" s="15">
        <f t="shared" si="369"/>
        <v>139</v>
      </c>
      <c r="J1068" s="15">
        <f>OrdersTable!B1068</f>
        <v>453</v>
      </c>
      <c r="K1068" s="15" t="str">
        <f t="shared" si="359"/>
        <v>Giftware</v>
      </c>
      <c r="L1068" s="15" t="str">
        <f t="shared" si="360"/>
        <v>Doctor Who: Ceramic Cookie Jar: TARDIS</v>
      </c>
      <c r="M1068" s="15" t="str">
        <f t="shared" si="361"/>
        <v>-</v>
      </c>
      <c r="N1068" s="15">
        <f t="shared" si="362"/>
        <v>1.35</v>
      </c>
      <c r="O1068" s="15" t="str">
        <f t="shared" si="363"/>
        <v>A40</v>
      </c>
      <c r="P1068" s="15" t="str">
        <f t="shared" si="364"/>
        <v>Romana Imports</v>
      </c>
      <c r="Q1068" s="15" t="str">
        <f t="shared" si="365"/>
        <v>17 Lalla Ward Road</v>
      </c>
      <c r="R1068" s="3">
        <f>OrdersTable!C1068</f>
        <v>44637</v>
      </c>
      <c r="S1068" s="15">
        <f>OrdersTable!E1068</f>
        <v>10</v>
      </c>
      <c r="T1068" s="15">
        <f t="shared" si="366"/>
        <v>26.99</v>
      </c>
      <c r="U1068" s="15">
        <f t="shared" si="367"/>
        <v>37.119999999999997</v>
      </c>
      <c r="V1068" s="15">
        <f t="shared" si="368"/>
        <v>43.72</v>
      </c>
      <c r="W1068" s="15">
        <f>IF(MarkupType="Store Markup",ROUND(V1068+V1068*StoreMarkup,2),IF(MarkupType="Supplier Markup",V1068+V1068*SupplierMarkup,"Error at finding value"))</f>
        <v>68.86</v>
      </c>
      <c r="X1068" s="32" t="str">
        <f t="shared" si="370"/>
        <v>0.00</v>
      </c>
      <c r="Y1068" s="15">
        <f t="shared" si="371"/>
        <v>437.2</v>
      </c>
      <c r="Z1068" s="15">
        <f t="shared" si="372"/>
        <v>688.6</v>
      </c>
      <c r="AA1068" s="15">
        <f>IF(FreightType="Lethbridge-Stewart Freight ",ROUND(2.99+IF(N1068&gt;0.75,(N1068-0.75)*2.25,0)*S1068,2),IF(MarkupType="Supplier Markup",V1068+V1068*SupplierMarkup,"Error at finding value"))</f>
        <v>16.489999999999998</v>
      </c>
      <c r="AB1068" s="15">
        <f t="shared" si="373"/>
        <v>0</v>
      </c>
    </row>
    <row r="1069" spans="1:28" x14ac:dyDescent="0.25">
      <c r="A1069" s="16">
        <f>OrdersTable!A1069</f>
        <v>538</v>
      </c>
      <c r="B1069" s="15" t="str">
        <f t="shared" si="353"/>
        <v>Dr</v>
      </c>
      <c r="C1069" s="15" t="str">
        <f t="shared" si="374"/>
        <v>Radovic</v>
      </c>
      <c r="D1069" s="15" t="str">
        <f t="shared" si="354"/>
        <v>Harley Benjamin</v>
      </c>
      <c r="E1069" s="15" t="str">
        <f t="shared" si="355"/>
        <v>50 Hocking Way</v>
      </c>
      <c r="F1069" s="15" t="str">
        <f t="shared" si="356"/>
        <v>Bray Park</v>
      </c>
      <c r="G1069" s="15" t="str">
        <f t="shared" si="357"/>
        <v>QLD</v>
      </c>
      <c r="H1069" s="15">
        <f t="shared" si="358"/>
        <v>4500</v>
      </c>
      <c r="I1069" s="15">
        <f t="shared" si="369"/>
        <v>139</v>
      </c>
      <c r="J1069" s="15">
        <f>OrdersTable!B1069</f>
        <v>867</v>
      </c>
      <c r="K1069" s="15" t="str">
        <f t="shared" si="359"/>
        <v>Statues and Busts</v>
      </c>
      <c r="L1069" s="15" t="str">
        <f t="shared" si="360"/>
        <v>Doctor Who: TITANS: The 11th Doctor</v>
      </c>
      <c r="M1069" s="15" t="str">
        <f t="shared" si="361"/>
        <v>-</v>
      </c>
      <c r="N1069" s="15">
        <f t="shared" si="362"/>
        <v>0.4</v>
      </c>
      <c r="O1069" s="15" t="str">
        <f t="shared" si="363"/>
        <v>A20</v>
      </c>
      <c r="P1069" s="15" t="str">
        <f t="shared" si="364"/>
        <v>Morbius Inc.</v>
      </c>
      <c r="Q1069" s="15" t="str">
        <f t="shared" si="365"/>
        <v>56 Michael Spice Hwy</v>
      </c>
      <c r="R1069" s="3">
        <f>OrdersTable!C1069</f>
        <v>44637</v>
      </c>
      <c r="S1069" s="15">
        <f>OrdersTable!E1069</f>
        <v>5</v>
      </c>
      <c r="T1069" s="15">
        <f t="shared" si="366"/>
        <v>7.99</v>
      </c>
      <c r="U1069" s="15">
        <f t="shared" si="367"/>
        <v>11.1</v>
      </c>
      <c r="V1069" s="15">
        <f t="shared" si="368"/>
        <v>12.94</v>
      </c>
      <c r="W1069" s="15">
        <f>IF(MarkupType="Store Markup",ROUND(V1069+V1069*StoreMarkup,2),IF(MarkupType="Supplier Markup",V1069+V1069*SupplierMarkup,"Error at finding value"))</f>
        <v>20.38</v>
      </c>
      <c r="X1069" s="32" t="str">
        <f t="shared" si="370"/>
        <v>0.00</v>
      </c>
      <c r="Y1069" s="15">
        <f t="shared" si="371"/>
        <v>64.7</v>
      </c>
      <c r="Z1069" s="15">
        <f t="shared" si="372"/>
        <v>101.9</v>
      </c>
      <c r="AA1069" s="15">
        <f>IF(FreightType="Lethbridge-Stewart Freight ",ROUND(2.99+IF(N1069&gt;0.75,(N1069-0.75)*2.25,0)*S1069,2),IF(MarkupType="Supplier Markup",V1069+V1069*SupplierMarkup,"Error at finding value"))</f>
        <v>2.99</v>
      </c>
      <c r="AB1069" s="15">
        <f t="shared" si="373"/>
        <v>0</v>
      </c>
    </row>
    <row r="1070" spans="1:28" x14ac:dyDescent="0.25">
      <c r="A1070" s="16">
        <f>OrdersTable!A1070</f>
        <v>544</v>
      </c>
      <c r="B1070" s="15" t="str">
        <f t="shared" si="353"/>
        <v>Mr</v>
      </c>
      <c r="C1070" s="15" t="str">
        <f t="shared" si="374"/>
        <v>Sullivan</v>
      </c>
      <c r="D1070" s="15" t="str">
        <f t="shared" si="354"/>
        <v>Lawrence Bernard</v>
      </c>
      <c r="E1070" s="15" t="str">
        <f t="shared" si="355"/>
        <v>11 Haydon Boulevard</v>
      </c>
      <c r="F1070" s="15" t="str">
        <f t="shared" si="356"/>
        <v>Breakwater</v>
      </c>
      <c r="G1070" s="15" t="str">
        <f t="shared" si="357"/>
        <v>VIC</v>
      </c>
      <c r="H1070" s="15">
        <f t="shared" si="358"/>
        <v>3219</v>
      </c>
      <c r="I1070" s="15">
        <f t="shared" si="369"/>
        <v>1596</v>
      </c>
      <c r="J1070" s="15">
        <f>OrdersTable!B1070</f>
        <v>673</v>
      </c>
      <c r="K1070" s="15" t="str">
        <f t="shared" si="359"/>
        <v>Mugs</v>
      </c>
      <c r="L1070" s="15" t="str">
        <f t="shared" si="360"/>
        <v>Doctor Who: Mug: TARDIS With Lid</v>
      </c>
      <c r="M1070" s="15" t="str">
        <f t="shared" si="361"/>
        <v>-</v>
      </c>
      <c r="N1070" s="15">
        <f t="shared" si="362"/>
        <v>0.58499999999999996</v>
      </c>
      <c r="O1070" s="15" t="str">
        <f t="shared" si="363"/>
        <v>A10</v>
      </c>
      <c r="P1070" s="15" t="str">
        <f t="shared" si="364"/>
        <v>Gallifrey International</v>
      </c>
      <c r="Q1070" s="15" t="str">
        <f t="shared" si="365"/>
        <v>181 Arcadia Street</v>
      </c>
      <c r="R1070" s="3">
        <f>OrdersTable!C1070</f>
        <v>44637</v>
      </c>
      <c r="S1070" s="15">
        <f>OrdersTable!E1070</f>
        <v>7</v>
      </c>
      <c r="T1070" s="15">
        <f t="shared" si="366"/>
        <v>11.69</v>
      </c>
      <c r="U1070" s="15">
        <f t="shared" si="367"/>
        <v>16.190000000000001</v>
      </c>
      <c r="V1070" s="15">
        <f t="shared" si="368"/>
        <v>18.940000000000001</v>
      </c>
      <c r="W1070" s="15">
        <f>IF(MarkupType="Store Markup",ROUND(V1070+V1070*StoreMarkup,2),IF(MarkupType="Supplier Markup",V1070+V1070*SupplierMarkup,"Error at finding value"))</f>
        <v>29.83</v>
      </c>
      <c r="X1070" s="32" t="str">
        <f t="shared" si="370"/>
        <v>0.00</v>
      </c>
      <c r="Y1070" s="15">
        <f t="shared" si="371"/>
        <v>132.58000000000001</v>
      </c>
      <c r="Z1070" s="15">
        <f t="shared" si="372"/>
        <v>208.81</v>
      </c>
      <c r="AA1070" s="15">
        <f>IF(FreightType="Lethbridge-Stewart Freight ",ROUND(2.99+IF(N1070&gt;0.75,(N1070-0.75)*2.25,0)*S1070,2),IF(MarkupType="Supplier Markup",V1070+V1070*SupplierMarkup,"Error at finding value"))</f>
        <v>2.99</v>
      </c>
      <c r="AB1070" s="15">
        <f t="shared" si="373"/>
        <v>0</v>
      </c>
    </row>
    <row r="1071" spans="1:28" x14ac:dyDescent="0.25">
      <c r="A1071" s="16">
        <f>OrdersTable!A1071</f>
        <v>546</v>
      </c>
      <c r="B1071" s="15" t="str">
        <f t="shared" si="353"/>
        <v>Ms</v>
      </c>
      <c r="C1071" s="15" t="str">
        <f t="shared" si="374"/>
        <v>Shortt</v>
      </c>
      <c r="D1071" s="15" t="str">
        <f t="shared" si="354"/>
        <v>Rickylee Sidonia</v>
      </c>
      <c r="E1071" s="15" t="str">
        <f t="shared" si="355"/>
        <v>4 Hughes Road</v>
      </c>
      <c r="F1071" s="15" t="str">
        <f t="shared" si="356"/>
        <v>Glenfern</v>
      </c>
      <c r="G1071" s="15" t="str">
        <f t="shared" si="357"/>
        <v>QLD</v>
      </c>
      <c r="H1071" s="15">
        <f t="shared" si="358"/>
        <v>4515</v>
      </c>
      <c r="I1071" s="15">
        <f t="shared" si="369"/>
        <v>128</v>
      </c>
      <c r="J1071" s="15">
        <f>OrdersTable!B1071</f>
        <v>679</v>
      </c>
      <c r="K1071" s="15" t="str">
        <f t="shared" si="359"/>
        <v>Mugs</v>
      </c>
      <c r="L1071" s="15" t="str">
        <f t="shared" si="360"/>
        <v>Doctor Who: Mug: The Fifth Doctor</v>
      </c>
      <c r="M1071" s="15" t="str">
        <f t="shared" si="361"/>
        <v>-</v>
      </c>
      <c r="N1071" s="15">
        <f t="shared" si="362"/>
        <v>0.45</v>
      </c>
      <c r="O1071" s="15" t="str">
        <f t="shared" si="363"/>
        <v>A40</v>
      </c>
      <c r="P1071" s="15" t="str">
        <f t="shared" si="364"/>
        <v>Romana Imports</v>
      </c>
      <c r="Q1071" s="15" t="str">
        <f t="shared" si="365"/>
        <v>17 Lalla Ward Road</v>
      </c>
      <c r="R1071" s="3">
        <f>OrdersTable!C1071</f>
        <v>44637</v>
      </c>
      <c r="S1071" s="15">
        <f>OrdersTable!E1071</f>
        <v>1</v>
      </c>
      <c r="T1071" s="15">
        <f t="shared" si="366"/>
        <v>8.99</v>
      </c>
      <c r="U1071" s="15">
        <f t="shared" si="367"/>
        <v>12.28</v>
      </c>
      <c r="V1071" s="15">
        <f t="shared" si="368"/>
        <v>14.56</v>
      </c>
      <c r="W1071" s="15">
        <f>IF(MarkupType="Store Markup",ROUND(V1071+V1071*StoreMarkup,2),IF(MarkupType="Supplier Markup",V1071+V1071*SupplierMarkup,"Error at finding value"))</f>
        <v>22.93</v>
      </c>
      <c r="X1071" s="32" t="str">
        <f t="shared" si="370"/>
        <v>0.00</v>
      </c>
      <c r="Y1071" s="15">
        <f t="shared" si="371"/>
        <v>14.56</v>
      </c>
      <c r="Z1071" s="15">
        <f t="shared" si="372"/>
        <v>22.93</v>
      </c>
      <c r="AA1071" s="15">
        <f>IF(FreightType="Lethbridge-Stewart Freight ",ROUND(2.99+IF(N1071&gt;0.75,(N1071-0.75)*2.25,0)*S1071,2),IF(MarkupType="Supplier Markup",V1071+V1071*SupplierMarkup,"Error at finding value"))</f>
        <v>2.99</v>
      </c>
      <c r="AB1071" s="15">
        <f t="shared" si="373"/>
        <v>0</v>
      </c>
    </row>
    <row r="1072" spans="1:28" x14ac:dyDescent="0.25">
      <c r="A1072" s="16">
        <f>OrdersTable!A1072</f>
        <v>611</v>
      </c>
      <c r="B1072" s="15" t="str">
        <f t="shared" si="353"/>
        <v>Mr</v>
      </c>
      <c r="C1072" s="15" t="str">
        <f t="shared" si="374"/>
        <v>Wittman</v>
      </c>
      <c r="D1072" s="15" t="str">
        <f t="shared" si="354"/>
        <v>Nicholas Jackson</v>
      </c>
      <c r="E1072" s="15" t="str">
        <f t="shared" si="355"/>
        <v>48 Sheppard-Kadel Way</v>
      </c>
      <c r="F1072" s="15" t="str">
        <f t="shared" si="356"/>
        <v>Nayook</v>
      </c>
      <c r="G1072" s="15" t="str">
        <f t="shared" si="357"/>
        <v>VIC</v>
      </c>
      <c r="H1072" s="15">
        <f t="shared" si="358"/>
        <v>3832</v>
      </c>
      <c r="I1072" s="15">
        <f t="shared" si="369"/>
        <v>1552</v>
      </c>
      <c r="J1072" s="15">
        <f>OrdersTable!B1072</f>
        <v>377</v>
      </c>
      <c r="K1072" s="15" t="str">
        <f t="shared" si="359"/>
        <v>Clothing and Apparel</v>
      </c>
      <c r="L1072" s="15" t="str">
        <f t="shared" si="360"/>
        <v xml:space="preserve">Doctor Who: T-Shirts: 7th Doctor Costume </v>
      </c>
      <c r="M1072" s="15" t="str">
        <f t="shared" si="361"/>
        <v>M</v>
      </c>
      <c r="N1072" s="15">
        <f t="shared" si="362"/>
        <v>0.8</v>
      </c>
      <c r="O1072" s="15" t="str">
        <f t="shared" si="363"/>
        <v>A40</v>
      </c>
      <c r="P1072" s="15" t="str">
        <f t="shared" si="364"/>
        <v>Romana Imports</v>
      </c>
      <c r="Q1072" s="15" t="str">
        <f t="shared" si="365"/>
        <v>17 Lalla Ward Road</v>
      </c>
      <c r="R1072" s="3">
        <f>OrdersTable!C1072</f>
        <v>44637</v>
      </c>
      <c r="S1072" s="15">
        <f>OrdersTable!E1072</f>
        <v>1</v>
      </c>
      <c r="T1072" s="15">
        <f t="shared" si="366"/>
        <v>15.99</v>
      </c>
      <c r="U1072" s="15">
        <f t="shared" si="367"/>
        <v>21.95</v>
      </c>
      <c r="V1072" s="15">
        <f t="shared" si="368"/>
        <v>25.9</v>
      </c>
      <c r="W1072" s="15">
        <f>IF(MarkupType="Store Markup",ROUND(V1072+V1072*StoreMarkup,2),IF(MarkupType="Supplier Markup",V1072+V1072*SupplierMarkup,"Error at finding value"))</f>
        <v>40.79</v>
      </c>
      <c r="X1072" s="32" t="str">
        <f t="shared" si="370"/>
        <v>0.00</v>
      </c>
      <c r="Y1072" s="15">
        <f t="shared" si="371"/>
        <v>25.9</v>
      </c>
      <c r="Z1072" s="15">
        <f t="shared" si="372"/>
        <v>40.79</v>
      </c>
      <c r="AA1072" s="15">
        <f>IF(FreightType="Lethbridge-Stewart Freight ",ROUND(2.99+IF(N1072&gt;0.75,(N1072-0.75)*2.25,0)*S1072,2),IF(MarkupType="Supplier Markup",V1072+V1072*SupplierMarkup,"Error at finding value"))</f>
        <v>3.1</v>
      </c>
      <c r="AB1072" s="15">
        <f t="shared" si="373"/>
        <v>0</v>
      </c>
    </row>
    <row r="1073" spans="1:28" x14ac:dyDescent="0.25">
      <c r="A1073" s="16">
        <f>OrdersTable!A1073</f>
        <v>659</v>
      </c>
      <c r="B1073" s="15" t="str">
        <f t="shared" si="353"/>
        <v>Mr</v>
      </c>
      <c r="C1073" s="15" t="str">
        <f t="shared" si="374"/>
        <v>Douglas</v>
      </c>
      <c r="D1073" s="15" t="str">
        <f t="shared" si="354"/>
        <v>Jason Richard</v>
      </c>
      <c r="E1073" s="15" t="str">
        <f t="shared" si="355"/>
        <v>14 Young Crescent</v>
      </c>
      <c r="F1073" s="15" t="str">
        <f t="shared" si="356"/>
        <v>Caliph</v>
      </c>
      <c r="G1073" s="15" t="str">
        <f t="shared" si="357"/>
        <v>SA</v>
      </c>
      <c r="H1073" s="15">
        <f t="shared" si="358"/>
        <v>5310</v>
      </c>
      <c r="I1073" s="15">
        <f t="shared" si="369"/>
        <v>1720</v>
      </c>
      <c r="J1073" s="15">
        <f>OrdersTable!B1073</f>
        <v>689</v>
      </c>
      <c r="K1073" s="15" t="str">
        <f t="shared" si="359"/>
        <v>Posters, Prints and Standees</v>
      </c>
      <c r="L1073" s="15" t="str">
        <f t="shared" si="360"/>
        <v>Doctor Who: 16'x12' Framed Print: Cold War</v>
      </c>
      <c r="M1073" s="15" t="str">
        <f t="shared" si="361"/>
        <v>-</v>
      </c>
      <c r="N1073" s="15">
        <f t="shared" si="362"/>
        <v>0.75</v>
      </c>
      <c r="O1073" s="15" t="str">
        <f t="shared" si="363"/>
        <v>A50</v>
      </c>
      <c r="P1073" s="15" t="str">
        <f t="shared" si="364"/>
        <v>Rassilon Ltd.</v>
      </c>
      <c r="Q1073" s="15" t="str">
        <f t="shared" si="365"/>
        <v>82 Richard Mathews Road</v>
      </c>
      <c r="R1073" s="3">
        <f>OrdersTable!C1073</f>
        <v>44637</v>
      </c>
      <c r="S1073" s="15">
        <f>OrdersTable!E1073</f>
        <v>6</v>
      </c>
      <c r="T1073" s="15">
        <f t="shared" si="366"/>
        <v>14.99</v>
      </c>
      <c r="U1073" s="15">
        <f t="shared" si="367"/>
        <v>20.77</v>
      </c>
      <c r="V1073" s="15">
        <f t="shared" si="368"/>
        <v>24.28</v>
      </c>
      <c r="W1073" s="15">
        <f>IF(MarkupType="Store Markup",ROUND(V1073+V1073*StoreMarkup,2),IF(MarkupType="Supplier Markup",V1073+V1073*SupplierMarkup,"Error at finding value"))</f>
        <v>38.24</v>
      </c>
      <c r="X1073" s="32" t="str">
        <f t="shared" si="370"/>
        <v>0.00</v>
      </c>
      <c r="Y1073" s="15">
        <f t="shared" si="371"/>
        <v>145.68</v>
      </c>
      <c r="Z1073" s="15">
        <f t="shared" si="372"/>
        <v>229.44</v>
      </c>
      <c r="AA1073" s="15">
        <f>IF(FreightType="Lethbridge-Stewart Freight ",ROUND(2.99+IF(N1073&gt;0.75,(N1073-0.75)*2.25,0)*S1073,2),IF(MarkupType="Supplier Markup",V1073+V1073*SupplierMarkup,"Error at finding value"))</f>
        <v>2.99</v>
      </c>
      <c r="AB1073" s="15">
        <f t="shared" si="373"/>
        <v>0</v>
      </c>
    </row>
    <row r="1074" spans="1:28" x14ac:dyDescent="0.25">
      <c r="A1074" s="16">
        <f>OrdersTable!A1074</f>
        <v>983</v>
      </c>
      <c r="B1074" s="15" t="str">
        <f t="shared" si="353"/>
        <v>Mrs</v>
      </c>
      <c r="C1074" s="15" t="str">
        <f t="shared" si="374"/>
        <v>Bennett</v>
      </c>
      <c r="D1074" s="15" t="str">
        <f t="shared" si="354"/>
        <v>Mikayla Elizabeth</v>
      </c>
      <c r="E1074" s="15" t="str">
        <f t="shared" si="355"/>
        <v>35 Khanal Crescent</v>
      </c>
      <c r="F1074" s="15" t="str">
        <f t="shared" si="356"/>
        <v>Bamboo</v>
      </c>
      <c r="G1074" s="15" t="str">
        <f t="shared" si="357"/>
        <v>QLD</v>
      </c>
      <c r="H1074" s="15">
        <f t="shared" si="358"/>
        <v>4873</v>
      </c>
      <c r="I1074" s="15">
        <f t="shared" si="369"/>
        <v>1741</v>
      </c>
      <c r="J1074" s="15">
        <f>OrdersTable!B1074</f>
        <v>341</v>
      </c>
      <c r="K1074" s="15" t="str">
        <f t="shared" si="359"/>
        <v>Clothing and Apparel</v>
      </c>
      <c r="L1074" s="15" t="str">
        <f t="shared" si="360"/>
        <v xml:space="preserve">Doctor Who: T-Shirts: 4th Doctor Costume </v>
      </c>
      <c r="M1074" s="15" t="str">
        <f t="shared" si="361"/>
        <v>XL</v>
      </c>
      <c r="N1074" s="15">
        <f t="shared" si="362"/>
        <v>0.8</v>
      </c>
      <c r="O1074" s="15" t="str">
        <f t="shared" si="363"/>
        <v>A20</v>
      </c>
      <c r="P1074" s="15" t="str">
        <f t="shared" si="364"/>
        <v>Morbius Inc.</v>
      </c>
      <c r="Q1074" s="15" t="str">
        <f t="shared" si="365"/>
        <v>56 Michael Spice Hwy</v>
      </c>
      <c r="R1074" s="3">
        <f>OrdersTable!C1074</f>
        <v>44637</v>
      </c>
      <c r="S1074" s="15">
        <f>OrdersTable!E1074</f>
        <v>4</v>
      </c>
      <c r="T1074" s="15">
        <f t="shared" si="366"/>
        <v>15.99</v>
      </c>
      <c r="U1074" s="15">
        <f t="shared" si="367"/>
        <v>22.05</v>
      </c>
      <c r="V1074" s="15">
        <f t="shared" si="368"/>
        <v>25.9</v>
      </c>
      <c r="W1074" s="15">
        <f>IF(MarkupType="Store Markup",ROUND(V1074+V1074*StoreMarkup,2),IF(MarkupType="Supplier Markup",V1074+V1074*SupplierMarkup,"Error at finding value"))</f>
        <v>40.79</v>
      </c>
      <c r="X1074" s="32" t="str">
        <f t="shared" si="370"/>
        <v>0.00</v>
      </c>
      <c r="Y1074" s="15">
        <f t="shared" si="371"/>
        <v>103.6</v>
      </c>
      <c r="Z1074" s="15">
        <f t="shared" si="372"/>
        <v>163.16</v>
      </c>
      <c r="AA1074" s="15">
        <f>IF(FreightType="Lethbridge-Stewart Freight ",ROUND(2.99+IF(N1074&gt;0.75,(N1074-0.75)*2.25,0)*S1074,2),IF(MarkupType="Supplier Markup",V1074+V1074*SupplierMarkup,"Error at finding value"))</f>
        <v>3.44</v>
      </c>
      <c r="AB1074" s="15">
        <f t="shared" si="373"/>
        <v>0</v>
      </c>
    </row>
    <row r="1075" spans="1:28" x14ac:dyDescent="0.25">
      <c r="A1075" s="16">
        <f>OrdersTable!A1075</f>
        <v>22</v>
      </c>
      <c r="B1075" s="15" t="str">
        <f t="shared" si="353"/>
        <v>Mr</v>
      </c>
      <c r="C1075" s="15" t="str">
        <f t="shared" si="374"/>
        <v>Tyrrell</v>
      </c>
      <c r="D1075" s="15" t="str">
        <f t="shared" si="354"/>
        <v>Timothy James</v>
      </c>
      <c r="E1075" s="15" t="str">
        <f t="shared" si="355"/>
        <v>48 Lambourne Crescent</v>
      </c>
      <c r="F1075" s="15" t="str">
        <f t="shared" si="356"/>
        <v>Belford</v>
      </c>
      <c r="G1075" s="15" t="str">
        <f t="shared" si="357"/>
        <v>NSW</v>
      </c>
      <c r="H1075" s="15">
        <f t="shared" si="358"/>
        <v>2335</v>
      </c>
      <c r="I1075" s="15">
        <f t="shared" si="369"/>
        <v>716</v>
      </c>
      <c r="J1075" s="15">
        <f>OrdersTable!B1075</f>
        <v>787</v>
      </c>
      <c r="K1075" s="15" t="str">
        <f t="shared" si="359"/>
        <v>Statues and Busts</v>
      </c>
      <c r="L1075" s="15" t="str">
        <f t="shared" si="360"/>
        <v>Doctor Who: Masterpiece Collection Maxi Bust: 1st Doctor</v>
      </c>
      <c r="M1075" s="15" t="str">
        <f t="shared" si="361"/>
        <v>-</v>
      </c>
      <c r="N1075" s="15">
        <f t="shared" si="362"/>
        <v>2.5</v>
      </c>
      <c r="O1075" s="15" t="str">
        <f t="shared" si="363"/>
        <v>A10</v>
      </c>
      <c r="P1075" s="15" t="str">
        <f t="shared" si="364"/>
        <v>Gallifrey International</v>
      </c>
      <c r="Q1075" s="15" t="str">
        <f t="shared" si="365"/>
        <v>181 Arcadia Street</v>
      </c>
      <c r="R1075" s="3">
        <f>OrdersTable!C1075</f>
        <v>44638</v>
      </c>
      <c r="S1075" s="15">
        <f>OrdersTable!E1075</f>
        <v>5</v>
      </c>
      <c r="T1075" s="15">
        <f t="shared" si="366"/>
        <v>49.99</v>
      </c>
      <c r="U1075" s="15">
        <f t="shared" si="367"/>
        <v>68.290000000000006</v>
      </c>
      <c r="V1075" s="15">
        <f t="shared" si="368"/>
        <v>80.98</v>
      </c>
      <c r="W1075" s="15">
        <f>IF(MarkupType="Store Markup",ROUND(V1075+V1075*StoreMarkup,2),IF(MarkupType="Supplier Markup",V1075+V1075*SupplierMarkup,"Error at finding value"))</f>
        <v>127.54</v>
      </c>
      <c r="X1075" s="32">
        <f t="shared" si="370"/>
        <v>9.09</v>
      </c>
      <c r="Y1075" s="15">
        <f t="shared" si="371"/>
        <v>404.9</v>
      </c>
      <c r="Z1075" s="15">
        <f t="shared" si="372"/>
        <v>592.25</v>
      </c>
      <c r="AA1075" s="15">
        <f>IF(FreightType="Lethbridge-Stewart Freight ",ROUND(2.99+IF(N1075&gt;0.75,(N1075-0.75)*2.25,0)*S1075,2),IF(MarkupType="Supplier Markup",V1075+V1075*SupplierMarkup,"Error at finding value"))</f>
        <v>22.68</v>
      </c>
      <c r="AB1075" s="15">
        <f t="shared" si="373"/>
        <v>45.45</v>
      </c>
    </row>
    <row r="1076" spans="1:28" x14ac:dyDescent="0.25">
      <c r="A1076" s="16">
        <f>OrdersTable!A1076</f>
        <v>139</v>
      </c>
      <c r="B1076" s="15" t="str">
        <f t="shared" si="353"/>
        <v>Mrs</v>
      </c>
      <c r="C1076" s="15" t="str">
        <f t="shared" si="374"/>
        <v>Atkinson</v>
      </c>
      <c r="D1076" s="15" t="str">
        <f t="shared" si="354"/>
        <v>Leanne</v>
      </c>
      <c r="E1076" s="15" t="str">
        <f t="shared" si="355"/>
        <v>45 Maloney Boulevard</v>
      </c>
      <c r="F1076" s="15" t="str">
        <f t="shared" si="356"/>
        <v>Avon Plains</v>
      </c>
      <c r="G1076" s="15" t="str">
        <f t="shared" si="357"/>
        <v>VIC</v>
      </c>
      <c r="H1076" s="15">
        <f t="shared" si="358"/>
        <v>3477</v>
      </c>
      <c r="I1076" s="15">
        <f t="shared" si="369"/>
        <v>1565</v>
      </c>
      <c r="J1076" s="15">
        <f>OrdersTable!B1076</f>
        <v>703</v>
      </c>
      <c r="K1076" s="15" t="str">
        <f t="shared" si="359"/>
        <v>Posters, Prints and Standees</v>
      </c>
      <c r="L1076" s="15" t="str">
        <f t="shared" si="360"/>
        <v>Doctor Who: Poster: Doctor With Sonic Screwdriver</v>
      </c>
      <c r="M1076" s="15" t="str">
        <f t="shared" si="361"/>
        <v>-</v>
      </c>
      <c r="N1076" s="15">
        <f t="shared" si="362"/>
        <v>0.2</v>
      </c>
      <c r="O1076" s="15" t="str">
        <f t="shared" si="363"/>
        <v>A50</v>
      </c>
      <c r="P1076" s="15" t="str">
        <f t="shared" si="364"/>
        <v>Rassilon Ltd.</v>
      </c>
      <c r="Q1076" s="15" t="str">
        <f t="shared" si="365"/>
        <v>82 Richard Mathews Road</v>
      </c>
      <c r="R1076" s="3">
        <f>OrdersTable!C1076</f>
        <v>44638</v>
      </c>
      <c r="S1076" s="15">
        <f>OrdersTable!E1076</f>
        <v>4</v>
      </c>
      <c r="T1076" s="15">
        <f t="shared" si="366"/>
        <v>3.99</v>
      </c>
      <c r="U1076" s="15">
        <f t="shared" si="367"/>
        <v>5.51</v>
      </c>
      <c r="V1076" s="15">
        <f t="shared" si="368"/>
        <v>6.46</v>
      </c>
      <c r="W1076" s="15">
        <f>IF(MarkupType="Store Markup",ROUND(V1076+V1076*StoreMarkup,2),IF(MarkupType="Supplier Markup",V1076+V1076*SupplierMarkup,"Error at finding value"))</f>
        <v>10.17</v>
      </c>
      <c r="X1076" s="32" t="str">
        <f t="shared" si="370"/>
        <v>0.00</v>
      </c>
      <c r="Y1076" s="15">
        <f t="shared" si="371"/>
        <v>25.84</v>
      </c>
      <c r="Z1076" s="15">
        <f t="shared" si="372"/>
        <v>40.68</v>
      </c>
      <c r="AA1076" s="15">
        <f>IF(FreightType="Lethbridge-Stewart Freight ",ROUND(2.99+IF(N1076&gt;0.75,(N1076-0.75)*2.25,0)*S1076,2),IF(MarkupType="Supplier Markup",V1076+V1076*SupplierMarkup,"Error at finding value"))</f>
        <v>2.99</v>
      </c>
      <c r="AB1076" s="15">
        <f t="shared" si="373"/>
        <v>0</v>
      </c>
    </row>
    <row r="1077" spans="1:28" x14ac:dyDescent="0.25">
      <c r="A1077" s="16">
        <f>OrdersTable!A1077</f>
        <v>141</v>
      </c>
      <c r="B1077" s="15" t="str">
        <f t="shared" si="353"/>
        <v>Mr</v>
      </c>
      <c r="C1077" s="15" t="str">
        <f t="shared" si="374"/>
        <v>Bergmann</v>
      </c>
      <c r="D1077" s="15" t="str">
        <f t="shared" si="354"/>
        <v>Beau Jay</v>
      </c>
      <c r="E1077" s="15" t="str">
        <f t="shared" si="355"/>
        <v>47 McCullough Circuit</v>
      </c>
      <c r="F1077" s="15" t="str">
        <f t="shared" si="356"/>
        <v>Breakwater</v>
      </c>
      <c r="G1077" s="15" t="str">
        <f t="shared" si="357"/>
        <v>VIC</v>
      </c>
      <c r="H1077" s="15">
        <f t="shared" si="358"/>
        <v>3219</v>
      </c>
      <c r="I1077" s="15">
        <f t="shared" si="369"/>
        <v>1596</v>
      </c>
      <c r="J1077" s="15">
        <f>OrdersTable!B1077</f>
        <v>418</v>
      </c>
      <c r="K1077" s="15" t="str">
        <f t="shared" si="359"/>
        <v>Clothing and Apparel</v>
      </c>
      <c r="L1077" s="15" t="str">
        <f t="shared" si="360"/>
        <v>Doctor Who: Women's Winter Pyjamas</v>
      </c>
      <c r="M1077" s="15" t="str">
        <f t="shared" si="361"/>
        <v>M</v>
      </c>
      <c r="N1077" s="15">
        <f t="shared" si="362"/>
        <v>1.5</v>
      </c>
      <c r="O1077" s="15" t="str">
        <f t="shared" si="363"/>
        <v>A30</v>
      </c>
      <c r="P1077" s="15" t="str">
        <f t="shared" si="364"/>
        <v>Chesterton Enterprises</v>
      </c>
      <c r="Q1077" s="15" t="str">
        <f t="shared" si="365"/>
        <v>41 William Russell Road</v>
      </c>
      <c r="R1077" s="3">
        <f>OrdersTable!C1077</f>
        <v>44638</v>
      </c>
      <c r="S1077" s="15">
        <f>OrdersTable!E1077</f>
        <v>2</v>
      </c>
      <c r="T1077" s="15">
        <f t="shared" si="366"/>
        <v>29.99</v>
      </c>
      <c r="U1077" s="15">
        <f t="shared" si="367"/>
        <v>40.96</v>
      </c>
      <c r="V1077" s="15">
        <f t="shared" si="368"/>
        <v>48.58</v>
      </c>
      <c r="W1077" s="15">
        <f>IF(MarkupType="Store Markup",ROUND(V1077+V1077*StoreMarkup,2),IF(MarkupType="Supplier Markup",V1077+V1077*SupplierMarkup,"Error at finding value"))</f>
        <v>76.510000000000005</v>
      </c>
      <c r="X1077" s="32" t="str">
        <f t="shared" si="370"/>
        <v>0.00</v>
      </c>
      <c r="Y1077" s="15">
        <f t="shared" si="371"/>
        <v>97.16</v>
      </c>
      <c r="Z1077" s="15">
        <f t="shared" si="372"/>
        <v>153.02000000000001</v>
      </c>
      <c r="AA1077" s="15">
        <f>IF(FreightType="Lethbridge-Stewart Freight ",ROUND(2.99+IF(N1077&gt;0.75,(N1077-0.75)*2.25,0)*S1077,2),IF(MarkupType="Supplier Markup",V1077+V1077*SupplierMarkup,"Error at finding value"))</f>
        <v>6.37</v>
      </c>
      <c r="AB1077" s="15">
        <f t="shared" si="373"/>
        <v>0</v>
      </c>
    </row>
    <row r="1078" spans="1:28" x14ac:dyDescent="0.25">
      <c r="A1078" s="16">
        <f>OrdersTable!A1078</f>
        <v>200</v>
      </c>
      <c r="B1078" s="15" t="str">
        <f t="shared" si="353"/>
        <v>Ms</v>
      </c>
      <c r="C1078" s="15" t="str">
        <f t="shared" si="374"/>
        <v>Barton</v>
      </c>
      <c r="D1078" s="15" t="str">
        <f t="shared" si="354"/>
        <v>Kimberley</v>
      </c>
      <c r="E1078" s="15" t="str">
        <f t="shared" si="355"/>
        <v>9 Decuyper Road</v>
      </c>
      <c r="F1078" s="15" t="str">
        <f t="shared" si="356"/>
        <v>Ashford</v>
      </c>
      <c r="G1078" s="15" t="str">
        <f t="shared" si="357"/>
        <v>SA</v>
      </c>
      <c r="H1078" s="15">
        <f t="shared" si="358"/>
        <v>5035</v>
      </c>
      <c r="I1078" s="15">
        <f t="shared" si="369"/>
        <v>1877</v>
      </c>
      <c r="J1078" s="15">
        <f>OrdersTable!B1078</f>
        <v>259</v>
      </c>
      <c r="K1078" s="15" t="str">
        <f t="shared" si="359"/>
        <v>Clothing and Apparel</v>
      </c>
      <c r="L1078" s="15" t="str">
        <f t="shared" si="360"/>
        <v>Doctor Who: Men's Winter Pyjamas</v>
      </c>
      <c r="M1078" s="15" t="str">
        <f t="shared" si="361"/>
        <v>XL</v>
      </c>
      <c r="N1078" s="15">
        <f t="shared" si="362"/>
        <v>1.5</v>
      </c>
      <c r="O1078" s="15" t="str">
        <f t="shared" si="363"/>
        <v>A50</v>
      </c>
      <c r="P1078" s="15" t="str">
        <f t="shared" si="364"/>
        <v>Rassilon Ltd.</v>
      </c>
      <c r="Q1078" s="15" t="str">
        <f t="shared" si="365"/>
        <v>82 Richard Mathews Road</v>
      </c>
      <c r="R1078" s="3">
        <f>OrdersTable!C1078</f>
        <v>44638</v>
      </c>
      <c r="S1078" s="15">
        <f>OrdersTable!E1078</f>
        <v>9</v>
      </c>
      <c r="T1078" s="15">
        <f t="shared" si="366"/>
        <v>29.99</v>
      </c>
      <c r="U1078" s="15">
        <f t="shared" si="367"/>
        <v>41.15</v>
      </c>
      <c r="V1078" s="15">
        <f t="shared" si="368"/>
        <v>48.58</v>
      </c>
      <c r="W1078" s="15">
        <f>IF(MarkupType="Store Markup",ROUND(V1078+V1078*StoreMarkup,2),IF(MarkupType="Supplier Markup",V1078+V1078*SupplierMarkup,"Error at finding value"))</f>
        <v>76.510000000000005</v>
      </c>
      <c r="X1078" s="32" t="str">
        <f t="shared" si="370"/>
        <v>0.00</v>
      </c>
      <c r="Y1078" s="15">
        <f t="shared" si="371"/>
        <v>437.22</v>
      </c>
      <c r="Z1078" s="15">
        <f t="shared" si="372"/>
        <v>688.59</v>
      </c>
      <c r="AA1078" s="15">
        <f>IF(FreightType="Lethbridge-Stewart Freight ",ROUND(2.99+IF(N1078&gt;0.75,(N1078-0.75)*2.25,0)*S1078,2),IF(MarkupType="Supplier Markup",V1078+V1078*SupplierMarkup,"Error at finding value"))</f>
        <v>18.18</v>
      </c>
      <c r="AB1078" s="15">
        <f t="shared" si="373"/>
        <v>0</v>
      </c>
    </row>
    <row r="1079" spans="1:28" x14ac:dyDescent="0.25">
      <c r="A1079" s="16">
        <f>OrdersTable!A1079</f>
        <v>200</v>
      </c>
      <c r="B1079" s="15" t="str">
        <f t="shared" si="353"/>
        <v>Ms</v>
      </c>
      <c r="C1079" s="15" t="str">
        <f t="shared" si="374"/>
        <v>Barton</v>
      </c>
      <c r="D1079" s="15" t="str">
        <f t="shared" si="354"/>
        <v>Kimberley</v>
      </c>
      <c r="E1079" s="15" t="str">
        <f t="shared" si="355"/>
        <v>9 Decuyper Road</v>
      </c>
      <c r="F1079" s="15" t="str">
        <f t="shared" si="356"/>
        <v>Ashford</v>
      </c>
      <c r="G1079" s="15" t="str">
        <f t="shared" si="357"/>
        <v>SA</v>
      </c>
      <c r="H1079" s="15">
        <f t="shared" si="358"/>
        <v>5035</v>
      </c>
      <c r="I1079" s="15">
        <f t="shared" si="369"/>
        <v>1877</v>
      </c>
      <c r="J1079" s="15">
        <f>OrdersTable!B1079</f>
        <v>668</v>
      </c>
      <c r="K1079" s="15" t="str">
        <f t="shared" si="359"/>
        <v>Mugs</v>
      </c>
      <c r="L1079" s="15" t="str">
        <f t="shared" si="360"/>
        <v>Doctor Who: Mug: Silver TARDIS</v>
      </c>
      <c r="M1079" s="15" t="str">
        <f t="shared" si="361"/>
        <v>-</v>
      </c>
      <c r="N1079" s="15">
        <f t="shared" si="362"/>
        <v>1.1499999999999999</v>
      </c>
      <c r="O1079" s="15" t="str">
        <f t="shared" si="363"/>
        <v>A50</v>
      </c>
      <c r="P1079" s="15" t="str">
        <f t="shared" si="364"/>
        <v>Rassilon Ltd.</v>
      </c>
      <c r="Q1079" s="15" t="str">
        <f t="shared" si="365"/>
        <v>82 Richard Mathews Road</v>
      </c>
      <c r="R1079" s="3">
        <f>OrdersTable!C1079</f>
        <v>44638</v>
      </c>
      <c r="S1079" s="15">
        <f>OrdersTable!E1079</f>
        <v>1</v>
      </c>
      <c r="T1079" s="15">
        <f t="shared" si="366"/>
        <v>22.99</v>
      </c>
      <c r="U1079" s="15">
        <f t="shared" si="367"/>
        <v>31.53</v>
      </c>
      <c r="V1079" s="15">
        <f t="shared" si="368"/>
        <v>37.24</v>
      </c>
      <c r="W1079" s="15">
        <f>IF(MarkupType="Store Markup",ROUND(V1079+V1079*StoreMarkup,2),IF(MarkupType="Supplier Markup",V1079+V1079*SupplierMarkup,"Error at finding value"))</f>
        <v>58.65</v>
      </c>
      <c r="X1079" s="32" t="str">
        <f t="shared" si="370"/>
        <v>0.00</v>
      </c>
      <c r="Y1079" s="15">
        <f t="shared" si="371"/>
        <v>37.24</v>
      </c>
      <c r="Z1079" s="15">
        <f t="shared" si="372"/>
        <v>58.65</v>
      </c>
      <c r="AA1079" s="15">
        <f>IF(FreightType="Lethbridge-Stewart Freight ",ROUND(2.99+IF(N1079&gt;0.75,(N1079-0.75)*2.25,0)*S1079,2),IF(MarkupType="Supplier Markup",V1079+V1079*SupplierMarkup,"Error at finding value"))</f>
        <v>3.89</v>
      </c>
      <c r="AB1079" s="15">
        <f t="shared" si="373"/>
        <v>0</v>
      </c>
    </row>
    <row r="1080" spans="1:28" x14ac:dyDescent="0.25">
      <c r="A1080" s="16">
        <f>OrdersTable!A1080</f>
        <v>249</v>
      </c>
      <c r="B1080" s="15" t="str">
        <f t="shared" si="353"/>
        <v>Mr</v>
      </c>
      <c r="C1080" s="15" t="str">
        <f t="shared" si="374"/>
        <v>Sinclair</v>
      </c>
      <c r="D1080" s="15" t="str">
        <f t="shared" si="354"/>
        <v>Travis James Foord</v>
      </c>
      <c r="E1080" s="15" t="str">
        <f t="shared" si="355"/>
        <v>25 Leunen Avenue</v>
      </c>
      <c r="F1080" s="15" t="str">
        <f t="shared" si="356"/>
        <v>Batlow</v>
      </c>
      <c r="G1080" s="15" t="str">
        <f t="shared" si="357"/>
        <v>NSW</v>
      </c>
      <c r="H1080" s="15">
        <f t="shared" si="358"/>
        <v>2730</v>
      </c>
      <c r="I1080" s="15">
        <f t="shared" si="369"/>
        <v>1138</v>
      </c>
      <c r="J1080" s="15">
        <f>OrdersTable!B1080</f>
        <v>762</v>
      </c>
      <c r="K1080" s="15" t="str">
        <f t="shared" si="359"/>
        <v>Statues and Busts</v>
      </c>
      <c r="L1080" s="15" t="str">
        <f t="shared" si="360"/>
        <v>Doctor Who: Legends Forever Bust: Patrick Troughton</v>
      </c>
      <c r="M1080" s="15" t="str">
        <f t="shared" si="361"/>
        <v>-</v>
      </c>
      <c r="N1080" s="15">
        <f t="shared" si="362"/>
        <v>1.375</v>
      </c>
      <c r="O1080" s="15" t="str">
        <f t="shared" si="363"/>
        <v>A40</v>
      </c>
      <c r="P1080" s="15" t="str">
        <f t="shared" si="364"/>
        <v>Romana Imports</v>
      </c>
      <c r="Q1080" s="15" t="str">
        <f t="shared" si="365"/>
        <v>17 Lalla Ward Road</v>
      </c>
      <c r="R1080" s="3">
        <f>OrdersTable!C1080</f>
        <v>44638</v>
      </c>
      <c r="S1080" s="15">
        <f>OrdersTable!E1080</f>
        <v>8</v>
      </c>
      <c r="T1080" s="15">
        <f t="shared" si="366"/>
        <v>27.5</v>
      </c>
      <c r="U1080" s="15">
        <f t="shared" si="367"/>
        <v>37.799999999999997</v>
      </c>
      <c r="V1080" s="15">
        <f t="shared" si="368"/>
        <v>44.55</v>
      </c>
      <c r="W1080" s="15">
        <f>IF(MarkupType="Store Markup",ROUND(V1080+V1080*StoreMarkup,2),IF(MarkupType="Supplier Markup",V1080+V1080*SupplierMarkup,"Error at finding value"))</f>
        <v>70.17</v>
      </c>
      <c r="X1080" s="32" t="str">
        <f t="shared" si="370"/>
        <v>0.00</v>
      </c>
      <c r="Y1080" s="15">
        <f t="shared" si="371"/>
        <v>356.4</v>
      </c>
      <c r="Z1080" s="15">
        <f t="shared" si="372"/>
        <v>561.36</v>
      </c>
      <c r="AA1080" s="15">
        <f>IF(FreightType="Lethbridge-Stewart Freight ",ROUND(2.99+IF(N1080&gt;0.75,(N1080-0.75)*2.25,0)*S1080,2),IF(MarkupType="Supplier Markup",V1080+V1080*SupplierMarkup,"Error at finding value"))</f>
        <v>14.24</v>
      </c>
      <c r="AB1080" s="15">
        <f t="shared" si="373"/>
        <v>0</v>
      </c>
    </row>
    <row r="1081" spans="1:28" x14ac:dyDescent="0.25">
      <c r="A1081" s="16">
        <f>OrdersTable!A1081</f>
        <v>328</v>
      </c>
      <c r="B1081" s="15" t="str">
        <f t="shared" si="353"/>
        <v>Dr</v>
      </c>
      <c r="C1081" s="15" t="str">
        <f t="shared" si="374"/>
        <v>Ward</v>
      </c>
      <c r="D1081" s="15" t="str">
        <f t="shared" si="354"/>
        <v>Keiren Nicholas</v>
      </c>
      <c r="E1081" s="15" t="str">
        <f t="shared" si="355"/>
        <v>13 Green Crescent</v>
      </c>
      <c r="F1081" s="15" t="str">
        <f t="shared" si="356"/>
        <v>Breakwater</v>
      </c>
      <c r="G1081" s="15" t="str">
        <f t="shared" si="357"/>
        <v>VIC</v>
      </c>
      <c r="H1081" s="15">
        <f t="shared" si="358"/>
        <v>3219</v>
      </c>
      <c r="I1081" s="15">
        <f t="shared" si="369"/>
        <v>1596</v>
      </c>
      <c r="J1081" s="15">
        <f>OrdersTable!B1081</f>
        <v>374</v>
      </c>
      <c r="K1081" s="15" t="str">
        <f t="shared" si="359"/>
        <v>Clothing and Apparel</v>
      </c>
      <c r="L1081" s="15" t="str">
        <f t="shared" si="360"/>
        <v xml:space="preserve">Doctor Who: T-Shirts: 5th Doctor Costume </v>
      </c>
      <c r="M1081" s="15" t="str">
        <f t="shared" si="361"/>
        <v>XL</v>
      </c>
      <c r="N1081" s="15">
        <f t="shared" si="362"/>
        <v>0.8</v>
      </c>
      <c r="O1081" s="15" t="str">
        <f t="shared" si="363"/>
        <v>A50</v>
      </c>
      <c r="P1081" s="15" t="str">
        <f t="shared" si="364"/>
        <v>Rassilon Ltd.</v>
      </c>
      <c r="Q1081" s="15" t="str">
        <f t="shared" si="365"/>
        <v>82 Richard Mathews Road</v>
      </c>
      <c r="R1081" s="3">
        <f>OrdersTable!C1081</f>
        <v>44638</v>
      </c>
      <c r="S1081" s="15">
        <f>OrdersTable!E1081</f>
        <v>8</v>
      </c>
      <c r="T1081" s="15">
        <f t="shared" si="366"/>
        <v>15.99</v>
      </c>
      <c r="U1081" s="15">
        <f t="shared" si="367"/>
        <v>21.97</v>
      </c>
      <c r="V1081" s="15">
        <f t="shared" si="368"/>
        <v>25.9</v>
      </c>
      <c r="W1081" s="15">
        <f>IF(MarkupType="Store Markup",ROUND(V1081+V1081*StoreMarkup,2),IF(MarkupType="Supplier Markup",V1081+V1081*SupplierMarkup,"Error at finding value"))</f>
        <v>40.79</v>
      </c>
      <c r="X1081" s="32" t="str">
        <f t="shared" si="370"/>
        <v>0.00</v>
      </c>
      <c r="Y1081" s="15">
        <f t="shared" si="371"/>
        <v>207.2</v>
      </c>
      <c r="Z1081" s="15">
        <f t="shared" si="372"/>
        <v>326.32</v>
      </c>
      <c r="AA1081" s="15">
        <f>IF(FreightType="Lethbridge-Stewart Freight ",ROUND(2.99+IF(N1081&gt;0.75,(N1081-0.75)*2.25,0)*S1081,2),IF(MarkupType="Supplier Markup",V1081+V1081*SupplierMarkup,"Error at finding value"))</f>
        <v>3.89</v>
      </c>
      <c r="AB1081" s="15">
        <f t="shared" si="373"/>
        <v>0</v>
      </c>
    </row>
    <row r="1082" spans="1:28" x14ac:dyDescent="0.25">
      <c r="A1082" s="16">
        <f>OrdersTable!A1082</f>
        <v>364</v>
      </c>
      <c r="B1082" s="15" t="str">
        <f t="shared" si="353"/>
        <v>Dr</v>
      </c>
      <c r="C1082" s="15" t="str">
        <f t="shared" si="374"/>
        <v>Reibelt</v>
      </c>
      <c r="D1082" s="15" t="str">
        <f t="shared" si="354"/>
        <v>Corey James</v>
      </c>
      <c r="E1082" s="15" t="str">
        <f t="shared" si="355"/>
        <v>23 Burns Drive</v>
      </c>
      <c r="F1082" s="15" t="str">
        <f t="shared" si="356"/>
        <v>Caliph</v>
      </c>
      <c r="G1082" s="15" t="str">
        <f t="shared" si="357"/>
        <v>SA</v>
      </c>
      <c r="H1082" s="15">
        <f t="shared" si="358"/>
        <v>5310</v>
      </c>
      <c r="I1082" s="15">
        <f t="shared" si="369"/>
        <v>1720</v>
      </c>
      <c r="J1082" s="15">
        <f>OrdersTable!B1082</f>
        <v>719</v>
      </c>
      <c r="K1082" s="15" t="str">
        <f t="shared" si="359"/>
        <v>Posters, Prints and Standees</v>
      </c>
      <c r="L1082" s="15" t="str">
        <f t="shared" si="360"/>
        <v>Doctor Who: Standee: Supreme Dalek</v>
      </c>
      <c r="M1082" s="15" t="str">
        <f t="shared" si="361"/>
        <v>-</v>
      </c>
      <c r="N1082" s="15">
        <f t="shared" si="362"/>
        <v>1.125</v>
      </c>
      <c r="O1082" s="15" t="str">
        <f t="shared" si="363"/>
        <v>A50</v>
      </c>
      <c r="P1082" s="15" t="str">
        <f t="shared" si="364"/>
        <v>Rassilon Ltd.</v>
      </c>
      <c r="Q1082" s="15" t="str">
        <f t="shared" si="365"/>
        <v>82 Richard Mathews Road</v>
      </c>
      <c r="R1082" s="3">
        <f>OrdersTable!C1082</f>
        <v>44638</v>
      </c>
      <c r="S1082" s="15">
        <f>OrdersTable!E1082</f>
        <v>8</v>
      </c>
      <c r="T1082" s="15">
        <f t="shared" si="366"/>
        <v>22.49</v>
      </c>
      <c r="U1082" s="15">
        <f t="shared" si="367"/>
        <v>30.76</v>
      </c>
      <c r="V1082" s="15">
        <f t="shared" si="368"/>
        <v>36.43</v>
      </c>
      <c r="W1082" s="15">
        <f>IF(MarkupType="Store Markup",ROUND(V1082+V1082*StoreMarkup,2),IF(MarkupType="Supplier Markup",V1082+V1082*SupplierMarkup,"Error at finding value"))</f>
        <v>57.38</v>
      </c>
      <c r="X1082" s="32" t="str">
        <f t="shared" si="370"/>
        <v>0.00</v>
      </c>
      <c r="Y1082" s="15">
        <f t="shared" si="371"/>
        <v>291.44</v>
      </c>
      <c r="Z1082" s="15">
        <f t="shared" si="372"/>
        <v>459.04</v>
      </c>
      <c r="AA1082" s="15">
        <f>IF(FreightType="Lethbridge-Stewart Freight ",ROUND(2.99+IF(N1082&gt;0.75,(N1082-0.75)*2.25,0)*S1082,2),IF(MarkupType="Supplier Markup",V1082+V1082*SupplierMarkup,"Error at finding value"))</f>
        <v>9.74</v>
      </c>
      <c r="AB1082" s="15">
        <f t="shared" si="373"/>
        <v>0</v>
      </c>
    </row>
    <row r="1083" spans="1:28" x14ac:dyDescent="0.25">
      <c r="A1083" s="16">
        <f>OrdersTable!A1083</f>
        <v>515</v>
      </c>
      <c r="B1083" s="15" t="str">
        <f t="shared" si="353"/>
        <v>Mr</v>
      </c>
      <c r="C1083" s="15" t="str">
        <f t="shared" si="374"/>
        <v>Noffke</v>
      </c>
      <c r="D1083" s="15" t="str">
        <f t="shared" si="354"/>
        <v>William Thomas</v>
      </c>
      <c r="E1083" s="15" t="str">
        <f t="shared" si="355"/>
        <v>20 Tyler Drive</v>
      </c>
      <c r="F1083" s="15" t="str">
        <f t="shared" si="356"/>
        <v>Areegra</v>
      </c>
      <c r="G1083" s="15" t="str">
        <f t="shared" si="357"/>
        <v>VIC</v>
      </c>
      <c r="H1083" s="15">
        <f t="shared" si="358"/>
        <v>3480</v>
      </c>
      <c r="I1083" s="15">
        <f t="shared" si="369"/>
        <v>1559</v>
      </c>
      <c r="J1083" s="15">
        <f>OrdersTable!B1083</f>
        <v>813</v>
      </c>
      <c r="K1083" s="15" t="str">
        <f t="shared" si="359"/>
        <v>Statues and Busts</v>
      </c>
      <c r="L1083" s="15" t="str">
        <f t="shared" si="360"/>
        <v>Doctor Who: Masterpiece Collection Maxi Bust: Leela</v>
      </c>
      <c r="M1083" s="15" t="str">
        <f t="shared" si="361"/>
        <v>-</v>
      </c>
      <c r="N1083" s="15">
        <f t="shared" si="362"/>
        <v>2.5</v>
      </c>
      <c r="O1083" s="15" t="str">
        <f t="shared" si="363"/>
        <v>A30</v>
      </c>
      <c r="P1083" s="15" t="str">
        <f t="shared" si="364"/>
        <v>Chesterton Enterprises</v>
      </c>
      <c r="Q1083" s="15" t="str">
        <f t="shared" si="365"/>
        <v>41 William Russell Road</v>
      </c>
      <c r="R1083" s="3">
        <f>OrdersTable!C1083</f>
        <v>44638</v>
      </c>
      <c r="S1083" s="15">
        <f>OrdersTable!E1083</f>
        <v>2</v>
      </c>
      <c r="T1083" s="15">
        <f t="shared" si="366"/>
        <v>49.99</v>
      </c>
      <c r="U1083" s="15">
        <f t="shared" si="367"/>
        <v>68.319999999999993</v>
      </c>
      <c r="V1083" s="15">
        <f t="shared" si="368"/>
        <v>80.98</v>
      </c>
      <c r="W1083" s="15">
        <f>IF(MarkupType="Store Markup",ROUND(V1083+V1083*StoreMarkup,2),IF(MarkupType="Supplier Markup",V1083+V1083*SupplierMarkup,"Error at finding value"))</f>
        <v>127.54</v>
      </c>
      <c r="X1083" s="32" t="str">
        <f t="shared" si="370"/>
        <v>0.00</v>
      </c>
      <c r="Y1083" s="15">
        <f t="shared" si="371"/>
        <v>161.96</v>
      </c>
      <c r="Z1083" s="15">
        <f t="shared" si="372"/>
        <v>255.08</v>
      </c>
      <c r="AA1083" s="15">
        <f>IF(FreightType="Lethbridge-Stewart Freight ",ROUND(2.99+IF(N1083&gt;0.75,(N1083-0.75)*2.25,0)*S1083,2),IF(MarkupType="Supplier Markup",V1083+V1083*SupplierMarkup,"Error at finding value"))</f>
        <v>10.87</v>
      </c>
      <c r="AB1083" s="15">
        <f t="shared" si="373"/>
        <v>0</v>
      </c>
    </row>
    <row r="1084" spans="1:28" x14ac:dyDescent="0.25">
      <c r="A1084" s="16">
        <f>OrdersTable!A1084</f>
        <v>580</v>
      </c>
      <c r="B1084" s="15" t="str">
        <f t="shared" si="353"/>
        <v>Mr</v>
      </c>
      <c r="C1084" s="15" t="str">
        <f t="shared" si="374"/>
        <v>Faatoafe</v>
      </c>
      <c r="D1084" s="15" t="str">
        <f t="shared" si="354"/>
        <v>Jasson Iosefa</v>
      </c>
      <c r="E1084" s="15" t="str">
        <f t="shared" si="355"/>
        <v>29 Schaffer Boulevard</v>
      </c>
      <c r="F1084" s="15" t="str">
        <f t="shared" si="356"/>
        <v>Binduli</v>
      </c>
      <c r="G1084" s="15" t="str">
        <f t="shared" si="357"/>
        <v>WA</v>
      </c>
      <c r="H1084" s="15">
        <f t="shared" si="358"/>
        <v>6430</v>
      </c>
      <c r="I1084" s="15">
        <f t="shared" si="369"/>
        <v>3543</v>
      </c>
      <c r="J1084" s="15">
        <f>OrdersTable!B1084</f>
        <v>373</v>
      </c>
      <c r="K1084" s="15" t="str">
        <f t="shared" si="359"/>
        <v>Clothing and Apparel</v>
      </c>
      <c r="L1084" s="15" t="str">
        <f t="shared" si="360"/>
        <v xml:space="preserve">Doctor Who: T-Shirts: 5th Doctor Costume </v>
      </c>
      <c r="M1084" s="15" t="str">
        <f t="shared" si="361"/>
        <v>L</v>
      </c>
      <c r="N1084" s="15">
        <f t="shared" si="362"/>
        <v>0.8</v>
      </c>
      <c r="O1084" s="15" t="str">
        <f t="shared" si="363"/>
        <v>A20</v>
      </c>
      <c r="P1084" s="15" t="str">
        <f t="shared" si="364"/>
        <v>Morbius Inc.</v>
      </c>
      <c r="Q1084" s="15" t="str">
        <f t="shared" si="365"/>
        <v>56 Michael Spice Hwy</v>
      </c>
      <c r="R1084" s="3">
        <f>OrdersTable!C1084</f>
        <v>44638</v>
      </c>
      <c r="S1084" s="15">
        <f>OrdersTable!E1084</f>
        <v>2</v>
      </c>
      <c r="T1084" s="15">
        <f t="shared" si="366"/>
        <v>15.99</v>
      </c>
      <c r="U1084" s="15">
        <f t="shared" si="367"/>
        <v>22.09</v>
      </c>
      <c r="V1084" s="15">
        <f t="shared" si="368"/>
        <v>25.9</v>
      </c>
      <c r="W1084" s="15">
        <f>IF(MarkupType="Store Markup",ROUND(V1084+V1084*StoreMarkup,2),IF(MarkupType="Supplier Markup",V1084+V1084*SupplierMarkup,"Error at finding value"))</f>
        <v>40.79</v>
      </c>
      <c r="X1084" s="32" t="str">
        <f t="shared" si="370"/>
        <v>0.00</v>
      </c>
      <c r="Y1084" s="15">
        <f t="shared" si="371"/>
        <v>51.8</v>
      </c>
      <c r="Z1084" s="15">
        <f t="shared" si="372"/>
        <v>81.58</v>
      </c>
      <c r="AA1084" s="15">
        <f>IF(FreightType="Lethbridge-Stewart Freight ",ROUND(2.99+IF(N1084&gt;0.75,(N1084-0.75)*2.25,0)*S1084,2),IF(MarkupType="Supplier Markup",V1084+V1084*SupplierMarkup,"Error at finding value"))</f>
        <v>3.22</v>
      </c>
      <c r="AB1084" s="15">
        <f t="shared" si="373"/>
        <v>0</v>
      </c>
    </row>
    <row r="1085" spans="1:28" x14ac:dyDescent="0.25">
      <c r="A1085" s="16">
        <f>OrdersTable!A1085</f>
        <v>609</v>
      </c>
      <c r="B1085" s="15" t="str">
        <f t="shared" si="353"/>
        <v>Ms</v>
      </c>
      <c r="C1085" s="15" t="str">
        <f t="shared" si="374"/>
        <v>Ashley</v>
      </c>
      <c r="D1085" s="15" t="str">
        <f t="shared" si="354"/>
        <v>Matthew</v>
      </c>
      <c r="E1085" s="15" t="str">
        <f t="shared" si="355"/>
        <v>3 Wagener Crescent</v>
      </c>
      <c r="F1085" s="15" t="str">
        <f t="shared" si="356"/>
        <v>Aberfoyle</v>
      </c>
      <c r="G1085" s="15" t="str">
        <f t="shared" si="357"/>
        <v>NSW</v>
      </c>
      <c r="H1085" s="15">
        <f t="shared" si="358"/>
        <v>2350</v>
      </c>
      <c r="I1085" s="15">
        <f t="shared" si="369"/>
        <v>363</v>
      </c>
      <c r="J1085" s="15">
        <f>OrdersTable!B1085</f>
        <v>316</v>
      </c>
      <c r="K1085" s="15" t="str">
        <f t="shared" si="359"/>
        <v>Clothing and Apparel</v>
      </c>
      <c r="L1085" s="15" t="str">
        <f t="shared" si="360"/>
        <v xml:space="preserve">Doctor Who: T-Shirts: 4th Doctor Costume </v>
      </c>
      <c r="M1085" s="15" t="str">
        <f t="shared" si="361"/>
        <v>S</v>
      </c>
      <c r="N1085" s="15">
        <f t="shared" si="362"/>
        <v>0.8</v>
      </c>
      <c r="O1085" s="15" t="str">
        <f t="shared" si="363"/>
        <v>A30</v>
      </c>
      <c r="P1085" s="15" t="str">
        <f t="shared" si="364"/>
        <v>Chesterton Enterprises</v>
      </c>
      <c r="Q1085" s="15" t="str">
        <f t="shared" si="365"/>
        <v>41 William Russell Road</v>
      </c>
      <c r="R1085" s="3">
        <f>OrdersTable!C1085</f>
        <v>44638</v>
      </c>
      <c r="S1085" s="15">
        <f>OrdersTable!E1085</f>
        <v>1</v>
      </c>
      <c r="T1085" s="15">
        <f t="shared" si="366"/>
        <v>15.99</v>
      </c>
      <c r="U1085" s="15">
        <f t="shared" si="367"/>
        <v>21.94</v>
      </c>
      <c r="V1085" s="15">
        <f t="shared" si="368"/>
        <v>25.9</v>
      </c>
      <c r="W1085" s="15">
        <f>IF(MarkupType="Store Markup",ROUND(V1085+V1085*StoreMarkup,2),IF(MarkupType="Supplier Markup",V1085+V1085*SupplierMarkup,"Error at finding value"))</f>
        <v>40.79</v>
      </c>
      <c r="X1085" s="32" t="str">
        <f t="shared" si="370"/>
        <v>0.00</v>
      </c>
      <c r="Y1085" s="15">
        <f t="shared" si="371"/>
        <v>25.9</v>
      </c>
      <c r="Z1085" s="15">
        <f t="shared" si="372"/>
        <v>40.79</v>
      </c>
      <c r="AA1085" s="15">
        <f>IF(FreightType="Lethbridge-Stewart Freight ",ROUND(2.99+IF(N1085&gt;0.75,(N1085-0.75)*2.25,0)*S1085,2),IF(MarkupType="Supplier Markup",V1085+V1085*SupplierMarkup,"Error at finding value"))</f>
        <v>3.1</v>
      </c>
      <c r="AB1085" s="15">
        <f t="shared" si="373"/>
        <v>0</v>
      </c>
    </row>
    <row r="1086" spans="1:28" x14ac:dyDescent="0.25">
      <c r="A1086" s="16">
        <f>OrdersTable!A1086</f>
        <v>643</v>
      </c>
      <c r="B1086" s="15" t="str">
        <f t="shared" si="353"/>
        <v>Ms</v>
      </c>
      <c r="C1086" s="15" t="str">
        <f t="shared" si="374"/>
        <v>Crispin-Purcell</v>
      </c>
      <c r="D1086" s="15" t="str">
        <f t="shared" si="354"/>
        <v>Gabriellen Elizabeth</v>
      </c>
      <c r="E1086" s="15" t="str">
        <f t="shared" si="355"/>
        <v>12 Williams Road</v>
      </c>
      <c r="F1086" s="15" t="str">
        <f t="shared" si="356"/>
        <v>Appletree Flat</v>
      </c>
      <c r="G1086" s="15" t="str">
        <f t="shared" si="357"/>
        <v>NSW</v>
      </c>
      <c r="H1086" s="15">
        <f t="shared" si="358"/>
        <v>2330</v>
      </c>
      <c r="I1086" s="15">
        <f t="shared" si="369"/>
        <v>691</v>
      </c>
      <c r="J1086" s="15">
        <f>OrdersTable!B1086</f>
        <v>757</v>
      </c>
      <c r="K1086" s="15" t="str">
        <f t="shared" si="359"/>
        <v>Statues and Busts</v>
      </c>
      <c r="L1086" s="15" t="str">
        <f t="shared" si="360"/>
        <v>Doctor Who: Helmet: Ice Warrior</v>
      </c>
      <c r="M1086" s="15" t="str">
        <f t="shared" si="361"/>
        <v>-</v>
      </c>
      <c r="N1086" s="15">
        <f t="shared" si="362"/>
        <v>1.75</v>
      </c>
      <c r="O1086" s="15" t="str">
        <f t="shared" si="363"/>
        <v>A20</v>
      </c>
      <c r="P1086" s="15" t="str">
        <f t="shared" si="364"/>
        <v>Morbius Inc.</v>
      </c>
      <c r="Q1086" s="15" t="str">
        <f t="shared" si="365"/>
        <v>56 Michael Spice Hwy</v>
      </c>
      <c r="R1086" s="3">
        <f>OrdersTable!C1086</f>
        <v>44638</v>
      </c>
      <c r="S1086" s="15">
        <f>OrdersTable!E1086</f>
        <v>5</v>
      </c>
      <c r="T1086" s="15">
        <f t="shared" si="366"/>
        <v>34.99</v>
      </c>
      <c r="U1086" s="15">
        <f t="shared" si="367"/>
        <v>47.88</v>
      </c>
      <c r="V1086" s="15">
        <f t="shared" si="368"/>
        <v>56.68</v>
      </c>
      <c r="W1086" s="15">
        <f>IF(MarkupType="Store Markup",ROUND(V1086+V1086*StoreMarkup,2),IF(MarkupType="Supplier Markup",V1086+V1086*SupplierMarkup,"Error at finding value"))</f>
        <v>89.27</v>
      </c>
      <c r="X1086" s="32" t="str">
        <f t="shared" si="370"/>
        <v>0.00</v>
      </c>
      <c r="Y1086" s="15">
        <f t="shared" si="371"/>
        <v>283.39999999999998</v>
      </c>
      <c r="Z1086" s="15">
        <f t="shared" si="372"/>
        <v>446.35</v>
      </c>
      <c r="AA1086" s="15">
        <f>IF(FreightType="Lethbridge-Stewart Freight ",ROUND(2.99+IF(N1086&gt;0.75,(N1086-0.75)*2.25,0)*S1086,2),IF(MarkupType="Supplier Markup",V1086+V1086*SupplierMarkup,"Error at finding value"))</f>
        <v>14.24</v>
      </c>
      <c r="AB1086" s="15">
        <f t="shared" si="373"/>
        <v>0</v>
      </c>
    </row>
    <row r="1087" spans="1:28" x14ac:dyDescent="0.25">
      <c r="A1087" s="16">
        <f>OrdersTable!A1087</f>
        <v>784</v>
      </c>
      <c r="B1087" s="15" t="str">
        <f t="shared" si="353"/>
        <v>Ms</v>
      </c>
      <c r="C1087" s="15" t="str">
        <f t="shared" si="374"/>
        <v>Hansen</v>
      </c>
      <c r="D1087" s="15" t="str">
        <f t="shared" si="354"/>
        <v>Courtney Michelle</v>
      </c>
      <c r="E1087" s="15" t="str">
        <f t="shared" si="355"/>
        <v>22 Elliot Crescent</v>
      </c>
      <c r="F1087" s="15" t="str">
        <f t="shared" si="356"/>
        <v>Alfredtown</v>
      </c>
      <c r="G1087" s="15" t="str">
        <f t="shared" si="357"/>
        <v>NSW</v>
      </c>
      <c r="H1087" s="15">
        <f t="shared" si="358"/>
        <v>2650</v>
      </c>
      <c r="I1087" s="15">
        <f t="shared" si="369"/>
        <v>1124</v>
      </c>
      <c r="J1087" s="15">
        <f>OrdersTable!B1087</f>
        <v>671</v>
      </c>
      <c r="K1087" s="15" t="str">
        <f t="shared" si="359"/>
        <v>Mugs</v>
      </c>
      <c r="L1087" s="15" t="str">
        <f t="shared" si="360"/>
        <v>Doctor Who: Mug: TARDIS Inside</v>
      </c>
      <c r="M1087" s="15" t="str">
        <f t="shared" si="361"/>
        <v>-</v>
      </c>
      <c r="N1087" s="15">
        <f t="shared" si="362"/>
        <v>0.6</v>
      </c>
      <c r="O1087" s="15" t="str">
        <f t="shared" si="363"/>
        <v>A30</v>
      </c>
      <c r="P1087" s="15" t="str">
        <f t="shared" si="364"/>
        <v>Chesterton Enterprises</v>
      </c>
      <c r="Q1087" s="15" t="str">
        <f t="shared" si="365"/>
        <v>41 William Russell Road</v>
      </c>
      <c r="R1087" s="3">
        <f>OrdersTable!C1087</f>
        <v>44638</v>
      </c>
      <c r="S1087" s="15">
        <f>OrdersTable!E1087</f>
        <v>6</v>
      </c>
      <c r="T1087" s="15">
        <f t="shared" si="366"/>
        <v>11.99</v>
      </c>
      <c r="U1087" s="15">
        <f t="shared" si="367"/>
        <v>16.690000000000001</v>
      </c>
      <c r="V1087" s="15">
        <f t="shared" si="368"/>
        <v>19.420000000000002</v>
      </c>
      <c r="W1087" s="15">
        <f>IF(MarkupType="Store Markup",ROUND(V1087+V1087*StoreMarkup,2),IF(MarkupType="Supplier Markup",V1087+V1087*SupplierMarkup,"Error at finding value"))</f>
        <v>30.59</v>
      </c>
      <c r="X1087" s="32" t="str">
        <f t="shared" si="370"/>
        <v>0.00</v>
      </c>
      <c r="Y1087" s="15">
        <f t="shared" si="371"/>
        <v>116.52</v>
      </c>
      <c r="Z1087" s="15">
        <f t="shared" si="372"/>
        <v>183.54</v>
      </c>
      <c r="AA1087" s="15">
        <f>IF(FreightType="Lethbridge-Stewart Freight ",ROUND(2.99+IF(N1087&gt;0.75,(N1087-0.75)*2.25,0)*S1087,2),IF(MarkupType="Supplier Markup",V1087+V1087*SupplierMarkup,"Error at finding value"))</f>
        <v>2.99</v>
      </c>
      <c r="AB1087" s="15">
        <f t="shared" si="373"/>
        <v>0</v>
      </c>
    </row>
    <row r="1088" spans="1:28" x14ac:dyDescent="0.25">
      <c r="A1088" s="16">
        <f>OrdersTable!A1088</f>
        <v>823</v>
      </c>
      <c r="B1088" s="15" t="str">
        <f t="shared" si="353"/>
        <v>Mrs</v>
      </c>
      <c r="C1088" s="15" t="str">
        <f t="shared" si="374"/>
        <v>Riordan</v>
      </c>
      <c r="D1088" s="15" t="str">
        <f t="shared" si="354"/>
        <v>Brianna Leigh</v>
      </c>
      <c r="E1088" s="15" t="str">
        <f t="shared" si="355"/>
        <v>7 Boyd Crescent</v>
      </c>
      <c r="F1088" s="15" t="str">
        <f t="shared" si="356"/>
        <v>Bamboo</v>
      </c>
      <c r="G1088" s="15" t="str">
        <f t="shared" si="357"/>
        <v>QLD</v>
      </c>
      <c r="H1088" s="15">
        <f t="shared" si="358"/>
        <v>4873</v>
      </c>
      <c r="I1088" s="15">
        <f t="shared" si="369"/>
        <v>1741</v>
      </c>
      <c r="J1088" s="15">
        <f>OrdersTable!B1088</f>
        <v>374</v>
      </c>
      <c r="K1088" s="15" t="str">
        <f t="shared" si="359"/>
        <v>Clothing and Apparel</v>
      </c>
      <c r="L1088" s="15" t="str">
        <f t="shared" si="360"/>
        <v xml:space="preserve">Doctor Who: T-Shirts: 5th Doctor Costume </v>
      </c>
      <c r="M1088" s="15" t="str">
        <f t="shared" si="361"/>
        <v>XL</v>
      </c>
      <c r="N1088" s="15">
        <f t="shared" si="362"/>
        <v>0.8</v>
      </c>
      <c r="O1088" s="15" t="str">
        <f t="shared" si="363"/>
        <v>A50</v>
      </c>
      <c r="P1088" s="15" t="str">
        <f t="shared" si="364"/>
        <v>Rassilon Ltd.</v>
      </c>
      <c r="Q1088" s="15" t="str">
        <f t="shared" si="365"/>
        <v>82 Richard Mathews Road</v>
      </c>
      <c r="R1088" s="3">
        <f>OrdersTable!C1088</f>
        <v>44638</v>
      </c>
      <c r="S1088" s="15">
        <f>OrdersTable!E1088</f>
        <v>8</v>
      </c>
      <c r="T1088" s="15">
        <f t="shared" si="366"/>
        <v>15.99</v>
      </c>
      <c r="U1088" s="15">
        <f t="shared" si="367"/>
        <v>21.97</v>
      </c>
      <c r="V1088" s="15">
        <f t="shared" si="368"/>
        <v>25.9</v>
      </c>
      <c r="W1088" s="15">
        <f>IF(MarkupType="Store Markup",ROUND(V1088+V1088*StoreMarkup,2),IF(MarkupType="Supplier Markup",V1088+V1088*SupplierMarkup,"Error at finding value"))</f>
        <v>40.79</v>
      </c>
      <c r="X1088" s="32" t="str">
        <f t="shared" si="370"/>
        <v>0.00</v>
      </c>
      <c r="Y1088" s="15">
        <f t="shared" si="371"/>
        <v>207.2</v>
      </c>
      <c r="Z1088" s="15">
        <f t="shared" si="372"/>
        <v>326.32</v>
      </c>
      <c r="AA1088" s="15">
        <f>IF(FreightType="Lethbridge-Stewart Freight ",ROUND(2.99+IF(N1088&gt;0.75,(N1088-0.75)*2.25,0)*S1088,2),IF(MarkupType="Supplier Markup",V1088+V1088*SupplierMarkup,"Error at finding value"))</f>
        <v>3.89</v>
      </c>
      <c r="AB1088" s="15">
        <f t="shared" si="373"/>
        <v>0</v>
      </c>
    </row>
    <row r="1089" spans="1:28" x14ac:dyDescent="0.25">
      <c r="A1089" s="16">
        <f>OrdersTable!A1089</f>
        <v>923</v>
      </c>
      <c r="B1089" s="15" t="str">
        <f t="shared" si="353"/>
        <v>Ms</v>
      </c>
      <c r="C1089" s="15" t="str">
        <f t="shared" si="374"/>
        <v>Savage</v>
      </c>
      <c r="D1089" s="15" t="str">
        <f t="shared" si="354"/>
        <v>Eliza Margaret</v>
      </c>
      <c r="E1089" s="15" t="str">
        <f t="shared" si="355"/>
        <v>28 Whisson Crescent</v>
      </c>
      <c r="F1089" s="15" t="str">
        <f t="shared" si="356"/>
        <v>Belconnen</v>
      </c>
      <c r="G1089" s="15" t="str">
        <f t="shared" si="357"/>
        <v>ACT</v>
      </c>
      <c r="H1089" s="15">
        <f t="shared" si="358"/>
        <v>2617</v>
      </c>
      <c r="I1089" s="15">
        <f t="shared" si="369"/>
        <v>1194</v>
      </c>
      <c r="J1089" s="15">
        <f>OrdersTable!B1089</f>
        <v>515</v>
      </c>
      <c r="K1089" s="15" t="str">
        <f t="shared" si="359"/>
        <v>Giftware</v>
      </c>
      <c r="L1089" s="15" t="str">
        <f t="shared" si="360"/>
        <v>Doctor Who: Keyring K9</v>
      </c>
      <c r="M1089" s="15" t="str">
        <f t="shared" si="361"/>
        <v>-</v>
      </c>
      <c r="N1089" s="15">
        <f t="shared" si="362"/>
        <v>0.25</v>
      </c>
      <c r="O1089" s="15" t="str">
        <f t="shared" si="363"/>
        <v>A50</v>
      </c>
      <c r="P1089" s="15" t="str">
        <f t="shared" si="364"/>
        <v>Rassilon Ltd.</v>
      </c>
      <c r="Q1089" s="15" t="str">
        <f t="shared" si="365"/>
        <v>82 Richard Mathews Road</v>
      </c>
      <c r="R1089" s="3">
        <f>OrdersTable!C1089</f>
        <v>44638</v>
      </c>
      <c r="S1089" s="15">
        <f>OrdersTable!E1089</f>
        <v>2</v>
      </c>
      <c r="T1089" s="15">
        <f t="shared" si="366"/>
        <v>4.99</v>
      </c>
      <c r="U1089" s="15">
        <f t="shared" si="367"/>
        <v>6.91</v>
      </c>
      <c r="V1089" s="15">
        <f t="shared" si="368"/>
        <v>8.08</v>
      </c>
      <c r="W1089" s="15">
        <f>IF(MarkupType="Store Markup",ROUND(V1089+V1089*StoreMarkup,2),IF(MarkupType="Supplier Markup",V1089+V1089*SupplierMarkup,"Error at finding value"))</f>
        <v>12.73</v>
      </c>
      <c r="X1089" s="32" t="str">
        <f t="shared" si="370"/>
        <v>0.00</v>
      </c>
      <c r="Y1089" s="15">
        <f t="shared" si="371"/>
        <v>16.16</v>
      </c>
      <c r="Z1089" s="15">
        <f t="shared" si="372"/>
        <v>25.46</v>
      </c>
      <c r="AA1089" s="15">
        <f>IF(FreightType="Lethbridge-Stewart Freight ",ROUND(2.99+IF(N1089&gt;0.75,(N1089-0.75)*2.25,0)*S1089,2),IF(MarkupType="Supplier Markup",V1089+V1089*SupplierMarkup,"Error at finding value"))</f>
        <v>2.99</v>
      </c>
      <c r="AB1089" s="15">
        <f t="shared" si="373"/>
        <v>0</v>
      </c>
    </row>
    <row r="1090" spans="1:28" x14ac:dyDescent="0.25">
      <c r="A1090" s="16">
        <f>OrdersTable!A1090</f>
        <v>42</v>
      </c>
      <c r="B1090" s="15" t="str">
        <f t="shared" si="353"/>
        <v>Mr</v>
      </c>
      <c r="C1090" s="15" t="str">
        <f t="shared" si="374"/>
        <v>Ballantyne</v>
      </c>
      <c r="D1090" s="15" t="str">
        <f t="shared" si="354"/>
        <v>Barry John</v>
      </c>
      <c r="E1090" s="15" t="str">
        <f t="shared" si="355"/>
        <v>14 Bachmann Drive</v>
      </c>
      <c r="F1090" s="15" t="str">
        <f t="shared" si="356"/>
        <v>Alleena</v>
      </c>
      <c r="G1090" s="15" t="str">
        <f t="shared" si="357"/>
        <v>NSW</v>
      </c>
      <c r="H1090" s="15">
        <f t="shared" si="358"/>
        <v>2671</v>
      </c>
      <c r="I1090" s="15">
        <f t="shared" si="369"/>
        <v>988</v>
      </c>
      <c r="J1090" s="15">
        <f>OrdersTable!B1090</f>
        <v>689</v>
      </c>
      <c r="K1090" s="15" t="str">
        <f t="shared" si="359"/>
        <v>Posters, Prints and Standees</v>
      </c>
      <c r="L1090" s="15" t="str">
        <f t="shared" si="360"/>
        <v>Doctor Who: 16'x12' Framed Print: Cold War</v>
      </c>
      <c r="M1090" s="15" t="str">
        <f t="shared" si="361"/>
        <v>-</v>
      </c>
      <c r="N1090" s="15">
        <f t="shared" si="362"/>
        <v>0.75</v>
      </c>
      <c r="O1090" s="15" t="str">
        <f t="shared" si="363"/>
        <v>A50</v>
      </c>
      <c r="P1090" s="15" t="str">
        <f t="shared" si="364"/>
        <v>Rassilon Ltd.</v>
      </c>
      <c r="Q1090" s="15" t="str">
        <f t="shared" si="365"/>
        <v>82 Richard Mathews Road</v>
      </c>
      <c r="R1090" s="3">
        <f>OrdersTable!C1090</f>
        <v>44639</v>
      </c>
      <c r="S1090" s="15">
        <f>OrdersTable!E1090</f>
        <v>9</v>
      </c>
      <c r="T1090" s="15">
        <f t="shared" si="366"/>
        <v>14.99</v>
      </c>
      <c r="U1090" s="15">
        <f t="shared" si="367"/>
        <v>20.77</v>
      </c>
      <c r="V1090" s="15">
        <f t="shared" si="368"/>
        <v>24.28</v>
      </c>
      <c r="W1090" s="15">
        <f>IF(MarkupType="Store Markup",ROUND(V1090+V1090*StoreMarkup,2),IF(MarkupType="Supplier Markup",V1090+V1090*SupplierMarkup,"Error at finding value"))</f>
        <v>38.24</v>
      </c>
      <c r="X1090" s="32" t="str">
        <f t="shared" si="370"/>
        <v>0.00</v>
      </c>
      <c r="Y1090" s="15">
        <f t="shared" si="371"/>
        <v>218.52</v>
      </c>
      <c r="Z1090" s="15">
        <f t="shared" si="372"/>
        <v>344.16</v>
      </c>
      <c r="AA1090" s="15">
        <f>IF(FreightType="Lethbridge-Stewart Freight ",ROUND(2.99+IF(N1090&gt;0.75,(N1090-0.75)*2.25,0)*S1090,2),IF(MarkupType="Supplier Markup",V1090+V1090*SupplierMarkup,"Error at finding value"))</f>
        <v>2.99</v>
      </c>
      <c r="AB1090" s="15">
        <f t="shared" si="373"/>
        <v>0</v>
      </c>
    </row>
    <row r="1091" spans="1:28" x14ac:dyDescent="0.25">
      <c r="A1091" s="16">
        <f>OrdersTable!A1091</f>
        <v>47</v>
      </c>
      <c r="B1091" s="15" t="str">
        <f t="shared" si="353"/>
        <v>Dr</v>
      </c>
      <c r="C1091" s="15" t="str">
        <f t="shared" si="374"/>
        <v>Kaur</v>
      </c>
      <c r="D1091" s="15" t="str">
        <f t="shared" si="354"/>
        <v>Jasleen</v>
      </c>
      <c r="E1091" s="15" t="str">
        <f t="shared" si="355"/>
        <v>7 Hong Road</v>
      </c>
      <c r="F1091" s="15" t="str">
        <f t="shared" si="356"/>
        <v>Belconnen</v>
      </c>
      <c r="G1091" s="15" t="str">
        <f t="shared" si="357"/>
        <v>ACT</v>
      </c>
      <c r="H1091" s="15">
        <f t="shared" si="358"/>
        <v>2617</v>
      </c>
      <c r="I1091" s="15">
        <f t="shared" si="369"/>
        <v>1194</v>
      </c>
      <c r="J1091" s="15">
        <f>OrdersTable!B1091</f>
        <v>702</v>
      </c>
      <c r="K1091" s="15" t="str">
        <f t="shared" si="359"/>
        <v>Posters, Prints and Standees</v>
      </c>
      <c r="L1091" s="15" t="str">
        <f t="shared" si="360"/>
        <v>Doctor Who: Poster: Daleks</v>
      </c>
      <c r="M1091" s="15" t="str">
        <f t="shared" si="361"/>
        <v>-</v>
      </c>
      <c r="N1091" s="15">
        <f t="shared" si="362"/>
        <v>0.2</v>
      </c>
      <c r="O1091" s="15" t="str">
        <f t="shared" si="363"/>
        <v>A50</v>
      </c>
      <c r="P1091" s="15" t="str">
        <f t="shared" si="364"/>
        <v>Rassilon Ltd.</v>
      </c>
      <c r="Q1091" s="15" t="str">
        <f t="shared" si="365"/>
        <v>82 Richard Mathews Road</v>
      </c>
      <c r="R1091" s="3">
        <f>OrdersTable!C1091</f>
        <v>44639</v>
      </c>
      <c r="S1091" s="15">
        <f>OrdersTable!E1091</f>
        <v>5</v>
      </c>
      <c r="T1091" s="15">
        <f t="shared" si="366"/>
        <v>3.99</v>
      </c>
      <c r="U1091" s="15">
        <f t="shared" si="367"/>
        <v>5.46</v>
      </c>
      <c r="V1091" s="15">
        <f t="shared" si="368"/>
        <v>6.46</v>
      </c>
      <c r="W1091" s="15">
        <f>IF(MarkupType="Store Markup",ROUND(V1091+V1091*StoreMarkup,2),IF(MarkupType="Supplier Markup",V1091+V1091*SupplierMarkup,"Error at finding value"))</f>
        <v>10.17</v>
      </c>
      <c r="X1091" s="32" t="str">
        <f t="shared" si="370"/>
        <v>0.00</v>
      </c>
      <c r="Y1091" s="15">
        <f t="shared" si="371"/>
        <v>32.299999999999997</v>
      </c>
      <c r="Z1091" s="15">
        <f t="shared" si="372"/>
        <v>50.85</v>
      </c>
      <c r="AA1091" s="15">
        <f>IF(FreightType="Lethbridge-Stewart Freight ",ROUND(2.99+IF(N1091&gt;0.75,(N1091-0.75)*2.25,0)*S1091,2),IF(MarkupType="Supplier Markup",V1091+V1091*SupplierMarkup,"Error at finding value"))</f>
        <v>2.99</v>
      </c>
      <c r="AB1091" s="15">
        <f t="shared" si="373"/>
        <v>0</v>
      </c>
    </row>
    <row r="1092" spans="1:28" x14ac:dyDescent="0.25">
      <c r="A1092" s="16">
        <f>OrdersTable!A1092</f>
        <v>158</v>
      </c>
      <c r="B1092" s="15" t="str">
        <f t="shared" ref="B1092:B1155" si="375">VLOOKUP($A1092,Cust,2,0)</f>
        <v>Mr</v>
      </c>
      <c r="C1092" s="15" t="str">
        <f t="shared" si="374"/>
        <v>Fowler</v>
      </c>
      <c r="D1092" s="15" t="str">
        <f t="shared" ref="D1092:D1155" si="376">VLOOKUP($A1092,Cust,4,0)</f>
        <v>James</v>
      </c>
      <c r="E1092" s="15" t="str">
        <f t="shared" ref="E1092:E1155" si="377">VLOOKUP($A1092,Cust,6,0)</f>
        <v>30 Virk Court</v>
      </c>
      <c r="F1092" s="15" t="str">
        <f t="shared" ref="F1092:F1155" si="378">VLOOKUP($A1092,Cust,7,0)</f>
        <v>Black Hills</v>
      </c>
      <c r="G1092" s="15" t="str">
        <f t="shared" ref="G1092:G1155" si="379">VLOOKUP($A1092,Cust,8,0)</f>
        <v>TAS</v>
      </c>
      <c r="H1092" s="15">
        <f t="shared" ref="H1092:H1155" si="380">VLOOKUP($A1092,Cust,9,0)</f>
        <v>7140</v>
      </c>
      <c r="I1092" s="15">
        <f t="shared" si="369"/>
        <v>2191</v>
      </c>
      <c r="J1092" s="15">
        <f>OrdersTable!B1092</f>
        <v>689</v>
      </c>
      <c r="K1092" s="15" t="str">
        <f t="shared" ref="K1092:K1155" si="381">VLOOKUP($J1092,Itms,2,0)</f>
        <v>Posters, Prints and Standees</v>
      </c>
      <c r="L1092" s="15" t="str">
        <f t="shared" ref="L1092:L1155" si="382">VLOOKUP($J1092,Itms,3,0)</f>
        <v>Doctor Who: 16'x12' Framed Print: Cold War</v>
      </c>
      <c r="M1092" s="15" t="str">
        <f t="shared" ref="M1092:M1155" si="383">VLOOKUP($J1092,Itms,4,0)</f>
        <v>-</v>
      </c>
      <c r="N1092" s="15">
        <f t="shared" ref="N1092:N1155" si="384">VLOOKUP($J1092,Itms,5,0)</f>
        <v>0.75</v>
      </c>
      <c r="O1092" s="15" t="str">
        <f t="shared" ref="O1092:O1155" si="385">VLOOKUP($J1092,Itms,6,0)</f>
        <v>A50</v>
      </c>
      <c r="P1092" s="15" t="str">
        <f t="shared" ref="P1092:P1155" si="386">VLOOKUP($O1092,Supp,2,0)</f>
        <v>Rassilon Ltd.</v>
      </c>
      <c r="Q1092" s="15" t="str">
        <f t="shared" ref="Q1092:Q1155" si="387">VLOOKUP($O1092,Supp,3,0)</f>
        <v>82 Richard Mathews Road</v>
      </c>
      <c r="R1092" s="3">
        <f>OrdersTable!C1092</f>
        <v>44639</v>
      </c>
      <c r="S1092" s="15">
        <f>OrdersTable!E1092</f>
        <v>3</v>
      </c>
      <c r="T1092" s="15">
        <f t="shared" ref="T1092:T1155" si="388">VLOOKUP($J1092,Itms,9,0)</f>
        <v>14.99</v>
      </c>
      <c r="U1092" s="15">
        <f t="shared" ref="U1092:U1155" si="389">VLOOKUP($J1092,Itms,10,0)</f>
        <v>20.77</v>
      </c>
      <c r="V1092" s="15">
        <f t="shared" ref="V1092:V1155" si="390">IF(ExchRateType="IR",ROUND(T1092*ExchRateIR,2),IF(ExchRateType="CA",ROUND(U1092*ExchRateCA,2),"Error at finding value"))</f>
        <v>24.28</v>
      </c>
      <c r="W1092" s="15">
        <f>IF(MarkupType="Store Markup",ROUND(V1092+V1092*StoreMarkup,2),IF(MarkupType="Supplier Markup",V1092+V1092*SupplierMarkup,"Error at finding value"))</f>
        <v>38.24</v>
      </c>
      <c r="X1092" s="32" t="str">
        <f t="shared" si="370"/>
        <v>0.00</v>
      </c>
      <c r="Y1092" s="15">
        <f t="shared" si="371"/>
        <v>72.84</v>
      </c>
      <c r="Z1092" s="15">
        <f t="shared" si="372"/>
        <v>114.72</v>
      </c>
      <c r="AA1092" s="15">
        <f>IF(FreightType="Lethbridge-Stewart Freight ",ROUND(2.99+IF(N1092&gt;0.75,(N1092-0.75)*2.25,0)*S1092,2),IF(MarkupType="Supplier Markup",V1092+V1092*SupplierMarkup,"Error at finding value"))</f>
        <v>2.99</v>
      </c>
      <c r="AB1092" s="15">
        <f t="shared" si="373"/>
        <v>0</v>
      </c>
    </row>
    <row r="1093" spans="1:28" x14ac:dyDescent="0.25">
      <c r="A1093" s="16">
        <f>OrdersTable!A1093</f>
        <v>232</v>
      </c>
      <c r="B1093" s="15" t="str">
        <f t="shared" si="375"/>
        <v>Mrs</v>
      </c>
      <c r="C1093" s="15" t="str">
        <f t="shared" si="374"/>
        <v>Bishop</v>
      </c>
      <c r="D1093" s="15" t="str">
        <f t="shared" si="376"/>
        <v>Katherine Marie</v>
      </c>
      <c r="E1093" s="15" t="str">
        <f t="shared" si="377"/>
        <v>19 Whitehorn Circuit</v>
      </c>
      <c r="F1093" s="15" t="str">
        <f t="shared" si="378"/>
        <v>Black Hills</v>
      </c>
      <c r="G1093" s="15" t="str">
        <f t="shared" si="379"/>
        <v>TAS</v>
      </c>
      <c r="H1093" s="15">
        <f t="shared" si="380"/>
        <v>7140</v>
      </c>
      <c r="I1093" s="15">
        <f t="shared" ref="I1093:I1156" si="391">VLOOKUP($A1093,Cust,10,0)</f>
        <v>2191</v>
      </c>
      <c r="J1093" s="15">
        <f>OrdersTable!B1093</f>
        <v>813</v>
      </c>
      <c r="K1093" s="15" t="str">
        <f t="shared" si="381"/>
        <v>Statues and Busts</v>
      </c>
      <c r="L1093" s="15" t="str">
        <f t="shared" si="382"/>
        <v>Doctor Who: Masterpiece Collection Maxi Bust: Leela</v>
      </c>
      <c r="M1093" s="15" t="str">
        <f t="shared" si="383"/>
        <v>-</v>
      </c>
      <c r="N1093" s="15">
        <f t="shared" si="384"/>
        <v>2.5</v>
      </c>
      <c r="O1093" s="15" t="str">
        <f t="shared" si="385"/>
        <v>A30</v>
      </c>
      <c r="P1093" s="15" t="str">
        <f t="shared" si="386"/>
        <v>Chesterton Enterprises</v>
      </c>
      <c r="Q1093" s="15" t="str">
        <f t="shared" si="387"/>
        <v>41 William Russell Road</v>
      </c>
      <c r="R1093" s="3">
        <f>OrdersTable!C1093</f>
        <v>44639</v>
      </c>
      <c r="S1093" s="15">
        <f>OrdersTable!E1093</f>
        <v>3</v>
      </c>
      <c r="T1093" s="15">
        <f t="shared" si="388"/>
        <v>49.99</v>
      </c>
      <c r="U1093" s="15">
        <f t="shared" si="389"/>
        <v>68.319999999999993</v>
      </c>
      <c r="V1093" s="15">
        <f t="shared" si="390"/>
        <v>80.98</v>
      </c>
      <c r="W1093" s="15">
        <f>IF(MarkupType="Store Markup",ROUND(V1093+V1093*StoreMarkup,2),IF(MarkupType="Supplier Markup",V1093+V1093*SupplierMarkup,"Error at finding value"))</f>
        <v>127.54</v>
      </c>
      <c r="X1093" s="32">
        <f t="shared" ref="X1093:X1156" si="392">IF(AND(W1093&gt;100,S1093&gt;=3),ROUND(0.07125*W1093,2),"0.00")</f>
        <v>9.09</v>
      </c>
      <c r="Y1093" s="15">
        <f t="shared" ref="Y1093:Y1156" si="393">ROUND(V1093*S1093,2)</f>
        <v>242.94</v>
      </c>
      <c r="Z1093" s="15">
        <f t="shared" ref="Z1093:Z1156" si="394">ROUND((W1093-X1093)*S1093,2)</f>
        <v>355.35</v>
      </c>
      <c r="AA1093" s="15">
        <f>IF(FreightType="Lethbridge-Stewart Freight ",ROUND(2.99+IF(N1093&gt;0.75,(N1093-0.75)*2.25,0)*S1093,2),IF(MarkupType="Supplier Markup",V1093+V1093*SupplierMarkup,"Error at finding value"))</f>
        <v>14.8</v>
      </c>
      <c r="AB1093" s="15">
        <f t="shared" ref="AB1093:AB1156" si="395">ROUND(X1093*S1093,2)</f>
        <v>27.27</v>
      </c>
    </row>
    <row r="1094" spans="1:28" x14ac:dyDescent="0.25">
      <c r="A1094" s="16">
        <f>OrdersTable!A1094</f>
        <v>296</v>
      </c>
      <c r="B1094" s="15" t="str">
        <f t="shared" si="375"/>
        <v>Miss</v>
      </c>
      <c r="C1094" s="15" t="str">
        <f t="shared" si="374"/>
        <v>Kussrow</v>
      </c>
      <c r="D1094" s="15" t="str">
        <f t="shared" si="376"/>
        <v>Katherine Anne</v>
      </c>
      <c r="E1094" s="15" t="str">
        <f t="shared" si="377"/>
        <v>10 Downes Street</v>
      </c>
      <c r="F1094" s="15" t="str">
        <f t="shared" si="378"/>
        <v>Breakwater</v>
      </c>
      <c r="G1094" s="15" t="str">
        <f t="shared" si="379"/>
        <v>VIC</v>
      </c>
      <c r="H1094" s="15">
        <f t="shared" si="380"/>
        <v>3219</v>
      </c>
      <c r="I1094" s="15">
        <f t="shared" si="391"/>
        <v>1596</v>
      </c>
      <c r="J1094" s="15">
        <f>OrdersTable!B1094</f>
        <v>436</v>
      </c>
      <c r="K1094" s="15" t="str">
        <f t="shared" si="381"/>
        <v>Giftware</v>
      </c>
      <c r="L1094" s="15" t="str">
        <f t="shared" si="382"/>
        <v>Doctor Who: Adult Watch: TARDIS</v>
      </c>
      <c r="M1094" s="15" t="str">
        <f t="shared" si="383"/>
        <v>-</v>
      </c>
      <c r="N1094" s="15">
        <f t="shared" si="384"/>
        <v>1.5</v>
      </c>
      <c r="O1094" s="15" t="str">
        <f t="shared" si="385"/>
        <v>A20</v>
      </c>
      <c r="P1094" s="15" t="str">
        <f t="shared" si="386"/>
        <v>Morbius Inc.</v>
      </c>
      <c r="Q1094" s="15" t="str">
        <f t="shared" si="387"/>
        <v>56 Michael Spice Hwy</v>
      </c>
      <c r="R1094" s="3">
        <f>OrdersTable!C1094</f>
        <v>44639</v>
      </c>
      <c r="S1094" s="15">
        <f>OrdersTable!E1094</f>
        <v>10</v>
      </c>
      <c r="T1094" s="15">
        <f t="shared" si="388"/>
        <v>29.99</v>
      </c>
      <c r="U1094" s="15">
        <f t="shared" si="389"/>
        <v>40.96</v>
      </c>
      <c r="V1094" s="15">
        <f t="shared" si="390"/>
        <v>48.58</v>
      </c>
      <c r="W1094" s="15">
        <f>IF(MarkupType="Store Markup",ROUND(V1094+V1094*StoreMarkup,2),IF(MarkupType="Supplier Markup",V1094+V1094*SupplierMarkup,"Error at finding value"))</f>
        <v>76.510000000000005</v>
      </c>
      <c r="X1094" s="32" t="str">
        <f t="shared" si="392"/>
        <v>0.00</v>
      </c>
      <c r="Y1094" s="15">
        <f t="shared" si="393"/>
        <v>485.8</v>
      </c>
      <c r="Z1094" s="15">
        <f t="shared" si="394"/>
        <v>765.1</v>
      </c>
      <c r="AA1094" s="15">
        <f>IF(FreightType="Lethbridge-Stewart Freight ",ROUND(2.99+IF(N1094&gt;0.75,(N1094-0.75)*2.25,0)*S1094,2),IF(MarkupType="Supplier Markup",V1094+V1094*SupplierMarkup,"Error at finding value"))</f>
        <v>19.87</v>
      </c>
      <c r="AB1094" s="15">
        <f t="shared" si="395"/>
        <v>0</v>
      </c>
    </row>
    <row r="1095" spans="1:28" x14ac:dyDescent="0.25">
      <c r="A1095" s="16">
        <f>OrdersTable!A1095</f>
        <v>308</v>
      </c>
      <c r="B1095" s="15" t="str">
        <f t="shared" si="375"/>
        <v>Dr</v>
      </c>
      <c r="C1095" s="15" t="str">
        <f t="shared" si="374"/>
        <v>Azar</v>
      </c>
      <c r="D1095" s="15" t="str">
        <f t="shared" si="376"/>
        <v>Mariam</v>
      </c>
      <c r="E1095" s="15" t="str">
        <f t="shared" si="377"/>
        <v>26 Osmond Road</v>
      </c>
      <c r="F1095" s="15" t="str">
        <f t="shared" si="378"/>
        <v>Boston</v>
      </c>
      <c r="G1095" s="15" t="str">
        <f t="shared" si="379"/>
        <v>SA</v>
      </c>
      <c r="H1095" s="15">
        <f t="shared" si="380"/>
        <v>5607</v>
      </c>
      <c r="I1095" s="15">
        <f t="shared" si="391"/>
        <v>2076</v>
      </c>
      <c r="J1095" s="15">
        <f>OrdersTable!B1095</f>
        <v>213</v>
      </c>
      <c r="K1095" s="15" t="str">
        <f t="shared" si="381"/>
        <v>Clothing and Apparel</v>
      </c>
      <c r="L1095" s="15" t="str">
        <f t="shared" si="382"/>
        <v>Doctor Who: Fez and Bow Tie</v>
      </c>
      <c r="M1095" s="15" t="str">
        <f t="shared" si="383"/>
        <v>-</v>
      </c>
      <c r="N1095" s="15">
        <f t="shared" si="384"/>
        <v>0.97499999999999998</v>
      </c>
      <c r="O1095" s="15" t="str">
        <f t="shared" si="385"/>
        <v>A50</v>
      </c>
      <c r="P1095" s="15" t="str">
        <f t="shared" si="386"/>
        <v>Rassilon Ltd.</v>
      </c>
      <c r="Q1095" s="15" t="str">
        <f t="shared" si="387"/>
        <v>82 Richard Mathews Road</v>
      </c>
      <c r="R1095" s="3">
        <f>OrdersTable!C1095</f>
        <v>44639</v>
      </c>
      <c r="S1095" s="15">
        <f>OrdersTable!E1095</f>
        <v>6</v>
      </c>
      <c r="T1095" s="15">
        <f t="shared" si="388"/>
        <v>19.5</v>
      </c>
      <c r="U1095" s="15">
        <f t="shared" si="389"/>
        <v>26.88</v>
      </c>
      <c r="V1095" s="15">
        <f t="shared" si="390"/>
        <v>31.59</v>
      </c>
      <c r="W1095" s="15">
        <f>IF(MarkupType="Store Markup",ROUND(V1095+V1095*StoreMarkup,2),IF(MarkupType="Supplier Markup",V1095+V1095*SupplierMarkup,"Error at finding value"))</f>
        <v>49.75</v>
      </c>
      <c r="X1095" s="32" t="str">
        <f t="shared" si="392"/>
        <v>0.00</v>
      </c>
      <c r="Y1095" s="15">
        <f t="shared" si="393"/>
        <v>189.54</v>
      </c>
      <c r="Z1095" s="15">
        <f t="shared" si="394"/>
        <v>298.5</v>
      </c>
      <c r="AA1095" s="15">
        <f>IF(FreightType="Lethbridge-Stewart Freight ",ROUND(2.99+IF(N1095&gt;0.75,(N1095-0.75)*2.25,0)*S1095,2),IF(MarkupType="Supplier Markup",V1095+V1095*SupplierMarkup,"Error at finding value"))</f>
        <v>6.03</v>
      </c>
      <c r="AB1095" s="15">
        <f t="shared" si="395"/>
        <v>0</v>
      </c>
    </row>
    <row r="1096" spans="1:28" x14ac:dyDescent="0.25">
      <c r="A1096" s="16">
        <f>OrdersTable!A1096</f>
        <v>328</v>
      </c>
      <c r="B1096" s="15" t="str">
        <f t="shared" si="375"/>
        <v>Dr</v>
      </c>
      <c r="C1096" s="15" t="str">
        <f t="shared" si="374"/>
        <v>Ward</v>
      </c>
      <c r="D1096" s="15" t="str">
        <f t="shared" si="376"/>
        <v>Keiren Nicholas</v>
      </c>
      <c r="E1096" s="15" t="str">
        <f t="shared" si="377"/>
        <v>13 Green Crescent</v>
      </c>
      <c r="F1096" s="15" t="str">
        <f t="shared" si="378"/>
        <v>Breakwater</v>
      </c>
      <c r="G1096" s="15" t="str">
        <f t="shared" si="379"/>
        <v>VIC</v>
      </c>
      <c r="H1096" s="15">
        <f t="shared" si="380"/>
        <v>3219</v>
      </c>
      <c r="I1096" s="15">
        <f t="shared" si="391"/>
        <v>1596</v>
      </c>
      <c r="J1096" s="15">
        <f>OrdersTable!B1096</f>
        <v>813</v>
      </c>
      <c r="K1096" s="15" t="str">
        <f t="shared" si="381"/>
        <v>Statues and Busts</v>
      </c>
      <c r="L1096" s="15" t="str">
        <f t="shared" si="382"/>
        <v>Doctor Who: Masterpiece Collection Maxi Bust: Leela</v>
      </c>
      <c r="M1096" s="15" t="str">
        <f t="shared" si="383"/>
        <v>-</v>
      </c>
      <c r="N1096" s="15">
        <f t="shared" si="384"/>
        <v>2.5</v>
      </c>
      <c r="O1096" s="15" t="str">
        <f t="shared" si="385"/>
        <v>A30</v>
      </c>
      <c r="P1096" s="15" t="str">
        <f t="shared" si="386"/>
        <v>Chesterton Enterprises</v>
      </c>
      <c r="Q1096" s="15" t="str">
        <f t="shared" si="387"/>
        <v>41 William Russell Road</v>
      </c>
      <c r="R1096" s="3">
        <f>OrdersTable!C1096</f>
        <v>44639</v>
      </c>
      <c r="S1096" s="15">
        <f>OrdersTable!E1096</f>
        <v>4</v>
      </c>
      <c r="T1096" s="15">
        <f t="shared" si="388"/>
        <v>49.99</v>
      </c>
      <c r="U1096" s="15">
        <f t="shared" si="389"/>
        <v>68.319999999999993</v>
      </c>
      <c r="V1096" s="15">
        <f t="shared" si="390"/>
        <v>80.98</v>
      </c>
      <c r="W1096" s="15">
        <f>IF(MarkupType="Store Markup",ROUND(V1096+V1096*StoreMarkup,2),IF(MarkupType="Supplier Markup",V1096+V1096*SupplierMarkup,"Error at finding value"))</f>
        <v>127.54</v>
      </c>
      <c r="X1096" s="32">
        <f t="shared" si="392"/>
        <v>9.09</v>
      </c>
      <c r="Y1096" s="15">
        <f t="shared" si="393"/>
        <v>323.92</v>
      </c>
      <c r="Z1096" s="15">
        <f t="shared" si="394"/>
        <v>473.8</v>
      </c>
      <c r="AA1096" s="15">
        <f>IF(FreightType="Lethbridge-Stewart Freight ",ROUND(2.99+IF(N1096&gt;0.75,(N1096-0.75)*2.25,0)*S1096,2),IF(MarkupType="Supplier Markup",V1096+V1096*SupplierMarkup,"Error at finding value"))</f>
        <v>18.739999999999998</v>
      </c>
      <c r="AB1096" s="15">
        <f t="shared" si="395"/>
        <v>36.36</v>
      </c>
    </row>
    <row r="1097" spans="1:28" x14ac:dyDescent="0.25">
      <c r="A1097" s="16">
        <f>OrdersTable!A1097</f>
        <v>416</v>
      </c>
      <c r="B1097" s="15" t="str">
        <f t="shared" si="375"/>
        <v>Mr</v>
      </c>
      <c r="C1097" s="15" t="str">
        <f t="shared" si="374"/>
        <v>Mohammed</v>
      </c>
      <c r="D1097" s="15" t="str">
        <f t="shared" si="376"/>
        <v>Ahmed</v>
      </c>
      <c r="E1097" s="15" t="str">
        <f t="shared" si="377"/>
        <v>35 Ridley Avenue</v>
      </c>
      <c r="F1097" s="15" t="str">
        <f t="shared" si="378"/>
        <v>Iluka</v>
      </c>
      <c r="G1097" s="15" t="str">
        <f t="shared" si="379"/>
        <v>NSW</v>
      </c>
      <c r="H1097" s="15">
        <f t="shared" si="380"/>
        <v>2466</v>
      </c>
      <c r="I1097" s="15">
        <f t="shared" si="391"/>
        <v>347</v>
      </c>
      <c r="J1097" s="15">
        <f>OrdersTable!B1097</f>
        <v>590</v>
      </c>
      <c r="K1097" s="15" t="str">
        <f t="shared" si="381"/>
        <v>iPhone Skins</v>
      </c>
      <c r="L1097" s="15" t="str">
        <f t="shared" si="382"/>
        <v>Doctor Who: iPhone Skin: Exploding TARDIS</v>
      </c>
      <c r="M1097" s="15" t="str">
        <f t="shared" si="383"/>
        <v>-</v>
      </c>
      <c r="N1097" s="15">
        <f t="shared" si="384"/>
        <v>0.5</v>
      </c>
      <c r="O1097" s="15" t="str">
        <f t="shared" si="385"/>
        <v>A20</v>
      </c>
      <c r="P1097" s="15" t="str">
        <f t="shared" si="386"/>
        <v>Morbius Inc.</v>
      </c>
      <c r="Q1097" s="15" t="str">
        <f t="shared" si="387"/>
        <v>56 Michael Spice Hwy</v>
      </c>
      <c r="R1097" s="3">
        <f>OrdersTable!C1097</f>
        <v>44639</v>
      </c>
      <c r="S1097" s="15">
        <f>OrdersTable!E1097</f>
        <v>4</v>
      </c>
      <c r="T1097" s="15">
        <f t="shared" si="388"/>
        <v>9.99</v>
      </c>
      <c r="U1097" s="15">
        <f t="shared" si="389"/>
        <v>13.86</v>
      </c>
      <c r="V1097" s="15">
        <f t="shared" si="390"/>
        <v>16.18</v>
      </c>
      <c r="W1097" s="15">
        <f>IF(MarkupType="Store Markup",ROUND(V1097+V1097*StoreMarkup,2),IF(MarkupType="Supplier Markup",V1097+V1097*SupplierMarkup,"Error at finding value"))</f>
        <v>25.48</v>
      </c>
      <c r="X1097" s="32" t="str">
        <f t="shared" si="392"/>
        <v>0.00</v>
      </c>
      <c r="Y1097" s="15">
        <f t="shared" si="393"/>
        <v>64.72</v>
      </c>
      <c r="Z1097" s="15">
        <f t="shared" si="394"/>
        <v>101.92</v>
      </c>
      <c r="AA1097" s="15">
        <f>IF(FreightType="Lethbridge-Stewart Freight ",ROUND(2.99+IF(N1097&gt;0.75,(N1097-0.75)*2.25,0)*S1097,2),IF(MarkupType="Supplier Markup",V1097+V1097*SupplierMarkup,"Error at finding value"))</f>
        <v>2.99</v>
      </c>
      <c r="AB1097" s="15">
        <f t="shared" si="395"/>
        <v>0</v>
      </c>
    </row>
    <row r="1098" spans="1:28" x14ac:dyDescent="0.25">
      <c r="A1098" s="16">
        <f>OrdersTable!A1098</f>
        <v>467</v>
      </c>
      <c r="B1098" s="15" t="str">
        <f t="shared" si="375"/>
        <v>Mrs</v>
      </c>
      <c r="C1098" s="15" t="str">
        <f t="shared" si="374"/>
        <v>Daniell</v>
      </c>
      <c r="D1098" s="15" t="str">
        <f t="shared" si="376"/>
        <v>Bronte Eliza</v>
      </c>
      <c r="E1098" s="15" t="str">
        <f t="shared" si="377"/>
        <v>41 Wilson Boulevard</v>
      </c>
      <c r="F1098" s="15" t="str">
        <f t="shared" si="378"/>
        <v>Aberfoyle</v>
      </c>
      <c r="G1098" s="15" t="str">
        <f t="shared" si="379"/>
        <v>NSW</v>
      </c>
      <c r="H1098" s="15">
        <f t="shared" si="380"/>
        <v>2350</v>
      </c>
      <c r="I1098" s="15">
        <f t="shared" si="391"/>
        <v>363</v>
      </c>
      <c r="J1098" s="15">
        <f>OrdersTable!B1098</f>
        <v>164</v>
      </c>
      <c r="K1098" s="15" t="str">
        <f t="shared" si="381"/>
        <v>Bobbleheads</v>
      </c>
      <c r="L1098" s="15" t="str">
        <f t="shared" si="382"/>
        <v>Doctor Who: Bobblehead: Fourth Doctor</v>
      </c>
      <c r="M1098" s="15" t="str">
        <f t="shared" si="383"/>
        <v>-</v>
      </c>
      <c r="N1098" s="15">
        <f t="shared" si="384"/>
        <v>0.75</v>
      </c>
      <c r="O1098" s="15" t="str">
        <f t="shared" si="385"/>
        <v>A40</v>
      </c>
      <c r="P1098" s="15" t="str">
        <f t="shared" si="386"/>
        <v>Romana Imports</v>
      </c>
      <c r="Q1098" s="15" t="str">
        <f t="shared" si="387"/>
        <v>17 Lalla Ward Road</v>
      </c>
      <c r="R1098" s="3">
        <f>OrdersTable!C1098</f>
        <v>44639</v>
      </c>
      <c r="S1098" s="15">
        <f>OrdersTable!E1098</f>
        <v>10</v>
      </c>
      <c r="T1098" s="15">
        <f t="shared" si="388"/>
        <v>14.99</v>
      </c>
      <c r="U1098" s="15">
        <f t="shared" si="389"/>
        <v>20.53</v>
      </c>
      <c r="V1098" s="15">
        <f t="shared" si="390"/>
        <v>24.28</v>
      </c>
      <c r="W1098" s="15">
        <f>IF(MarkupType="Store Markup",ROUND(V1098+V1098*StoreMarkup,2),IF(MarkupType="Supplier Markup",V1098+V1098*SupplierMarkup,"Error at finding value"))</f>
        <v>38.24</v>
      </c>
      <c r="X1098" s="32" t="str">
        <f t="shared" si="392"/>
        <v>0.00</v>
      </c>
      <c r="Y1098" s="15">
        <f t="shared" si="393"/>
        <v>242.8</v>
      </c>
      <c r="Z1098" s="15">
        <f t="shared" si="394"/>
        <v>382.4</v>
      </c>
      <c r="AA1098" s="15">
        <f>IF(FreightType="Lethbridge-Stewart Freight ",ROUND(2.99+IF(N1098&gt;0.75,(N1098-0.75)*2.25,0)*S1098,2),IF(MarkupType="Supplier Markup",V1098+V1098*SupplierMarkup,"Error at finding value"))</f>
        <v>2.99</v>
      </c>
      <c r="AB1098" s="15">
        <f t="shared" si="395"/>
        <v>0</v>
      </c>
    </row>
    <row r="1099" spans="1:28" x14ac:dyDescent="0.25">
      <c r="A1099" s="16">
        <f>OrdersTable!A1099</f>
        <v>468</v>
      </c>
      <c r="B1099" s="15" t="str">
        <f t="shared" si="375"/>
        <v>Mrs</v>
      </c>
      <c r="C1099" s="15" t="str">
        <f t="shared" ref="C1099:C1162" si="396">VLOOKUP($A1099,Cust,3,0)</f>
        <v>Van Essen</v>
      </c>
      <c r="D1099" s="15" t="str">
        <f t="shared" si="376"/>
        <v>Bianca Jane</v>
      </c>
      <c r="E1099" s="15" t="str">
        <f t="shared" si="377"/>
        <v>47 Ward Circuit</v>
      </c>
      <c r="F1099" s="15" t="str">
        <f t="shared" si="378"/>
        <v>Batlow</v>
      </c>
      <c r="G1099" s="15" t="str">
        <f t="shared" si="379"/>
        <v>NSW</v>
      </c>
      <c r="H1099" s="15">
        <f t="shared" si="380"/>
        <v>2730</v>
      </c>
      <c r="I1099" s="15">
        <f t="shared" si="391"/>
        <v>1138</v>
      </c>
      <c r="J1099" s="15">
        <f>OrdersTable!B1099</f>
        <v>780</v>
      </c>
      <c r="K1099" s="15" t="str">
        <f t="shared" si="381"/>
        <v>Statues and Busts</v>
      </c>
      <c r="L1099" s="15" t="str">
        <f t="shared" si="382"/>
        <v>Doctor Who: Masterpiece Collection Dalek: Genesis Of The Daleks</v>
      </c>
      <c r="M1099" s="15" t="str">
        <f t="shared" si="383"/>
        <v>-</v>
      </c>
      <c r="N1099" s="15">
        <f t="shared" si="384"/>
        <v>2.5</v>
      </c>
      <c r="O1099" s="15" t="str">
        <f t="shared" si="385"/>
        <v>A30</v>
      </c>
      <c r="P1099" s="15" t="str">
        <f t="shared" si="386"/>
        <v>Chesterton Enterprises</v>
      </c>
      <c r="Q1099" s="15" t="str">
        <f t="shared" si="387"/>
        <v>41 William Russell Road</v>
      </c>
      <c r="R1099" s="3">
        <f>OrdersTable!C1099</f>
        <v>44639</v>
      </c>
      <c r="S1099" s="15">
        <f>OrdersTable!E1099</f>
        <v>3</v>
      </c>
      <c r="T1099" s="15">
        <f t="shared" si="388"/>
        <v>49.99</v>
      </c>
      <c r="U1099" s="15">
        <f t="shared" si="389"/>
        <v>68.23</v>
      </c>
      <c r="V1099" s="15">
        <f t="shared" si="390"/>
        <v>80.98</v>
      </c>
      <c r="W1099" s="15">
        <f>IF(MarkupType="Store Markup",ROUND(V1099+V1099*StoreMarkup,2),IF(MarkupType="Supplier Markup",V1099+V1099*SupplierMarkup,"Error at finding value"))</f>
        <v>127.54</v>
      </c>
      <c r="X1099" s="32">
        <f t="shared" si="392"/>
        <v>9.09</v>
      </c>
      <c r="Y1099" s="15">
        <f t="shared" si="393"/>
        <v>242.94</v>
      </c>
      <c r="Z1099" s="15">
        <f t="shared" si="394"/>
        <v>355.35</v>
      </c>
      <c r="AA1099" s="15">
        <f>IF(FreightType="Lethbridge-Stewart Freight ",ROUND(2.99+IF(N1099&gt;0.75,(N1099-0.75)*2.25,0)*S1099,2),IF(MarkupType="Supplier Markup",V1099+V1099*SupplierMarkup,"Error at finding value"))</f>
        <v>14.8</v>
      </c>
      <c r="AB1099" s="15">
        <f t="shared" si="395"/>
        <v>27.27</v>
      </c>
    </row>
    <row r="1100" spans="1:28" x14ac:dyDescent="0.25">
      <c r="A1100" s="16">
        <f>OrdersTable!A1100</f>
        <v>634</v>
      </c>
      <c r="B1100" s="15" t="str">
        <f t="shared" si="375"/>
        <v>Miss</v>
      </c>
      <c r="C1100" s="15" t="str">
        <f t="shared" si="396"/>
        <v>Betts</v>
      </c>
      <c r="D1100" s="15" t="str">
        <f t="shared" si="376"/>
        <v>Melissa Leigh</v>
      </c>
      <c r="E1100" s="15" t="str">
        <f t="shared" si="377"/>
        <v>4 Aitcheson Drive</v>
      </c>
      <c r="F1100" s="15" t="str">
        <f t="shared" si="378"/>
        <v>Bray Park</v>
      </c>
      <c r="G1100" s="15" t="str">
        <f t="shared" si="379"/>
        <v>QLD</v>
      </c>
      <c r="H1100" s="15">
        <f t="shared" si="380"/>
        <v>4500</v>
      </c>
      <c r="I1100" s="15">
        <f t="shared" si="391"/>
        <v>139</v>
      </c>
      <c r="J1100" s="15">
        <f>OrdersTable!B1100</f>
        <v>145</v>
      </c>
      <c r="K1100" s="15" t="str">
        <f t="shared" si="381"/>
        <v>Bobbleheads</v>
      </c>
      <c r="L1100" s="15" t="str">
        <f t="shared" si="382"/>
        <v>Doctor Who: Bobblehead: Eleventh Doctor</v>
      </c>
      <c r="M1100" s="15" t="str">
        <f t="shared" si="383"/>
        <v>-</v>
      </c>
      <c r="N1100" s="15">
        <f t="shared" si="384"/>
        <v>1</v>
      </c>
      <c r="O1100" s="15" t="str">
        <f t="shared" si="385"/>
        <v>A30</v>
      </c>
      <c r="P1100" s="15" t="str">
        <f t="shared" si="386"/>
        <v>Chesterton Enterprises</v>
      </c>
      <c r="Q1100" s="15" t="str">
        <f t="shared" si="387"/>
        <v>41 William Russell Road</v>
      </c>
      <c r="R1100" s="3">
        <f>OrdersTable!C1100</f>
        <v>44639</v>
      </c>
      <c r="S1100" s="15">
        <f>OrdersTable!E1100</f>
        <v>2</v>
      </c>
      <c r="T1100" s="15">
        <f t="shared" si="388"/>
        <v>19.989999999999998</v>
      </c>
      <c r="U1100" s="15">
        <f t="shared" si="389"/>
        <v>27.54</v>
      </c>
      <c r="V1100" s="15">
        <f t="shared" si="390"/>
        <v>32.380000000000003</v>
      </c>
      <c r="W1100" s="15">
        <f>IF(MarkupType="Store Markup",ROUND(V1100+V1100*StoreMarkup,2),IF(MarkupType="Supplier Markup",V1100+V1100*SupplierMarkup,"Error at finding value"))</f>
        <v>51</v>
      </c>
      <c r="X1100" s="32" t="str">
        <f t="shared" si="392"/>
        <v>0.00</v>
      </c>
      <c r="Y1100" s="15">
        <f t="shared" si="393"/>
        <v>64.760000000000005</v>
      </c>
      <c r="Z1100" s="15">
        <f t="shared" si="394"/>
        <v>102</v>
      </c>
      <c r="AA1100" s="15">
        <f>IF(FreightType="Lethbridge-Stewart Freight ",ROUND(2.99+IF(N1100&gt;0.75,(N1100-0.75)*2.25,0)*S1100,2),IF(MarkupType="Supplier Markup",V1100+V1100*SupplierMarkup,"Error at finding value"))</f>
        <v>4.12</v>
      </c>
      <c r="AB1100" s="15">
        <f t="shared" si="395"/>
        <v>0</v>
      </c>
    </row>
    <row r="1101" spans="1:28" x14ac:dyDescent="0.25">
      <c r="A1101" s="16">
        <f>OrdersTable!A1101</f>
        <v>827</v>
      </c>
      <c r="B1101" s="15" t="str">
        <f t="shared" si="375"/>
        <v>Ms</v>
      </c>
      <c r="C1101" s="15" t="str">
        <f t="shared" si="396"/>
        <v>Ottaway</v>
      </c>
      <c r="D1101" s="15" t="str">
        <f t="shared" si="376"/>
        <v>Katherine</v>
      </c>
      <c r="E1101" s="15" t="str">
        <f t="shared" si="377"/>
        <v>7 Morrison Street</v>
      </c>
      <c r="F1101" s="15" t="str">
        <f t="shared" si="378"/>
        <v>Glenfern</v>
      </c>
      <c r="G1101" s="15" t="str">
        <f t="shared" si="379"/>
        <v>QLD</v>
      </c>
      <c r="H1101" s="15">
        <f t="shared" si="380"/>
        <v>4515</v>
      </c>
      <c r="I1101" s="15">
        <f t="shared" si="391"/>
        <v>128</v>
      </c>
      <c r="J1101" s="15">
        <f>OrdersTable!B1101</f>
        <v>196</v>
      </c>
      <c r="K1101" s="15" t="str">
        <f t="shared" si="381"/>
        <v>Clothing and Apparel</v>
      </c>
      <c r="L1101" s="15" t="str">
        <f t="shared" si="382"/>
        <v>Doctor Who: 12 Foot Tom Baker Scarf</v>
      </c>
      <c r="M1101" s="15" t="str">
        <f t="shared" si="383"/>
        <v>-</v>
      </c>
      <c r="N1101" s="15">
        <f t="shared" si="384"/>
        <v>2.5</v>
      </c>
      <c r="O1101" s="15" t="str">
        <f t="shared" si="385"/>
        <v>A40</v>
      </c>
      <c r="P1101" s="15" t="str">
        <f t="shared" si="386"/>
        <v>Romana Imports</v>
      </c>
      <c r="Q1101" s="15" t="str">
        <f t="shared" si="387"/>
        <v>17 Lalla Ward Road</v>
      </c>
      <c r="R1101" s="3">
        <f>OrdersTable!C1101</f>
        <v>44639</v>
      </c>
      <c r="S1101" s="15">
        <f>OrdersTable!E1101</f>
        <v>7</v>
      </c>
      <c r="T1101" s="15">
        <f t="shared" si="388"/>
        <v>49.99</v>
      </c>
      <c r="U1101" s="15">
        <f t="shared" si="389"/>
        <v>68.28</v>
      </c>
      <c r="V1101" s="15">
        <f t="shared" si="390"/>
        <v>80.98</v>
      </c>
      <c r="W1101" s="15">
        <f>IF(MarkupType="Store Markup",ROUND(V1101+V1101*StoreMarkup,2),IF(MarkupType="Supplier Markup",V1101+V1101*SupplierMarkup,"Error at finding value"))</f>
        <v>127.54</v>
      </c>
      <c r="X1101" s="32">
        <f t="shared" si="392"/>
        <v>9.09</v>
      </c>
      <c r="Y1101" s="15">
        <f t="shared" si="393"/>
        <v>566.86</v>
      </c>
      <c r="Z1101" s="15">
        <f t="shared" si="394"/>
        <v>829.15</v>
      </c>
      <c r="AA1101" s="15">
        <f>IF(FreightType="Lethbridge-Stewart Freight ",ROUND(2.99+IF(N1101&gt;0.75,(N1101-0.75)*2.25,0)*S1101,2),IF(MarkupType="Supplier Markup",V1101+V1101*SupplierMarkup,"Error at finding value"))</f>
        <v>30.55</v>
      </c>
      <c r="AB1101" s="15">
        <f t="shared" si="395"/>
        <v>63.63</v>
      </c>
    </row>
    <row r="1102" spans="1:28" x14ac:dyDescent="0.25">
      <c r="A1102" s="16">
        <f>OrdersTable!A1102</f>
        <v>843</v>
      </c>
      <c r="B1102" s="15" t="str">
        <f t="shared" si="375"/>
        <v>Mr</v>
      </c>
      <c r="C1102" s="15" t="str">
        <f t="shared" si="396"/>
        <v>Goodwin</v>
      </c>
      <c r="D1102" s="15" t="str">
        <f t="shared" si="376"/>
        <v>Damon Joel</v>
      </c>
      <c r="E1102" s="15" t="str">
        <f t="shared" si="377"/>
        <v>40 Powell Boulevard</v>
      </c>
      <c r="F1102" s="15" t="str">
        <f t="shared" si="378"/>
        <v>Abington</v>
      </c>
      <c r="G1102" s="15" t="str">
        <f t="shared" si="379"/>
        <v>QLD</v>
      </c>
      <c r="H1102" s="15">
        <f t="shared" si="380"/>
        <v>4660</v>
      </c>
      <c r="I1102" s="15">
        <f t="shared" si="391"/>
        <v>336</v>
      </c>
      <c r="J1102" s="15">
        <f>OrdersTable!B1102</f>
        <v>805</v>
      </c>
      <c r="K1102" s="15" t="str">
        <f t="shared" si="381"/>
        <v>Statues and Busts</v>
      </c>
      <c r="L1102" s="15" t="str">
        <f t="shared" si="382"/>
        <v>Doctor Who: Masterpiece Collection Maxi Bust: 5th Doctor</v>
      </c>
      <c r="M1102" s="15" t="str">
        <f t="shared" si="383"/>
        <v>-</v>
      </c>
      <c r="N1102" s="15">
        <f t="shared" si="384"/>
        <v>2.5</v>
      </c>
      <c r="O1102" s="15" t="str">
        <f t="shared" si="385"/>
        <v>A20</v>
      </c>
      <c r="P1102" s="15" t="str">
        <f t="shared" si="386"/>
        <v>Morbius Inc.</v>
      </c>
      <c r="Q1102" s="15" t="str">
        <f t="shared" si="387"/>
        <v>56 Michael Spice Hwy</v>
      </c>
      <c r="R1102" s="3">
        <f>OrdersTable!C1102</f>
        <v>44639</v>
      </c>
      <c r="S1102" s="15">
        <f>OrdersTable!E1102</f>
        <v>4</v>
      </c>
      <c r="T1102" s="15">
        <f t="shared" si="388"/>
        <v>49.99</v>
      </c>
      <c r="U1102" s="15">
        <f t="shared" si="389"/>
        <v>68.42</v>
      </c>
      <c r="V1102" s="15">
        <f t="shared" si="390"/>
        <v>80.98</v>
      </c>
      <c r="W1102" s="15">
        <f>IF(MarkupType="Store Markup",ROUND(V1102+V1102*StoreMarkup,2),IF(MarkupType="Supplier Markup",V1102+V1102*SupplierMarkup,"Error at finding value"))</f>
        <v>127.54</v>
      </c>
      <c r="X1102" s="32">
        <f t="shared" si="392"/>
        <v>9.09</v>
      </c>
      <c r="Y1102" s="15">
        <f t="shared" si="393"/>
        <v>323.92</v>
      </c>
      <c r="Z1102" s="15">
        <f t="shared" si="394"/>
        <v>473.8</v>
      </c>
      <c r="AA1102" s="15">
        <f>IF(FreightType="Lethbridge-Stewart Freight ",ROUND(2.99+IF(N1102&gt;0.75,(N1102-0.75)*2.25,0)*S1102,2),IF(MarkupType="Supplier Markup",V1102+V1102*SupplierMarkup,"Error at finding value"))</f>
        <v>18.739999999999998</v>
      </c>
      <c r="AB1102" s="15">
        <f t="shared" si="395"/>
        <v>36.36</v>
      </c>
    </row>
    <row r="1103" spans="1:28" x14ac:dyDescent="0.25">
      <c r="A1103" s="16">
        <f>OrdersTable!A1103</f>
        <v>22</v>
      </c>
      <c r="B1103" s="15" t="str">
        <f t="shared" si="375"/>
        <v>Mr</v>
      </c>
      <c r="C1103" s="15" t="str">
        <f t="shared" si="396"/>
        <v>Tyrrell</v>
      </c>
      <c r="D1103" s="15" t="str">
        <f t="shared" si="376"/>
        <v>Timothy James</v>
      </c>
      <c r="E1103" s="15" t="str">
        <f t="shared" si="377"/>
        <v>48 Lambourne Crescent</v>
      </c>
      <c r="F1103" s="15" t="str">
        <f t="shared" si="378"/>
        <v>Belford</v>
      </c>
      <c r="G1103" s="15" t="str">
        <f t="shared" si="379"/>
        <v>NSW</v>
      </c>
      <c r="H1103" s="15">
        <f t="shared" si="380"/>
        <v>2335</v>
      </c>
      <c r="I1103" s="15">
        <f t="shared" si="391"/>
        <v>716</v>
      </c>
      <c r="J1103" s="15">
        <f>OrdersTable!B1103</f>
        <v>418</v>
      </c>
      <c r="K1103" s="15" t="str">
        <f t="shared" si="381"/>
        <v>Clothing and Apparel</v>
      </c>
      <c r="L1103" s="15" t="str">
        <f t="shared" si="382"/>
        <v>Doctor Who: Women's Winter Pyjamas</v>
      </c>
      <c r="M1103" s="15" t="str">
        <f t="shared" si="383"/>
        <v>M</v>
      </c>
      <c r="N1103" s="15">
        <f t="shared" si="384"/>
        <v>1.5</v>
      </c>
      <c r="O1103" s="15" t="str">
        <f t="shared" si="385"/>
        <v>A30</v>
      </c>
      <c r="P1103" s="15" t="str">
        <f t="shared" si="386"/>
        <v>Chesterton Enterprises</v>
      </c>
      <c r="Q1103" s="15" t="str">
        <f t="shared" si="387"/>
        <v>41 William Russell Road</v>
      </c>
      <c r="R1103" s="3">
        <f>OrdersTable!C1103</f>
        <v>44640</v>
      </c>
      <c r="S1103" s="15">
        <f>OrdersTable!E1103</f>
        <v>1</v>
      </c>
      <c r="T1103" s="15">
        <f t="shared" si="388"/>
        <v>29.99</v>
      </c>
      <c r="U1103" s="15">
        <f t="shared" si="389"/>
        <v>40.96</v>
      </c>
      <c r="V1103" s="15">
        <f t="shared" si="390"/>
        <v>48.58</v>
      </c>
      <c r="W1103" s="15">
        <f>IF(MarkupType="Store Markup",ROUND(V1103+V1103*StoreMarkup,2),IF(MarkupType="Supplier Markup",V1103+V1103*SupplierMarkup,"Error at finding value"))</f>
        <v>76.510000000000005</v>
      </c>
      <c r="X1103" s="32" t="str">
        <f t="shared" si="392"/>
        <v>0.00</v>
      </c>
      <c r="Y1103" s="15">
        <f t="shared" si="393"/>
        <v>48.58</v>
      </c>
      <c r="Z1103" s="15">
        <f t="shared" si="394"/>
        <v>76.510000000000005</v>
      </c>
      <c r="AA1103" s="15">
        <f>IF(FreightType="Lethbridge-Stewart Freight ",ROUND(2.99+IF(N1103&gt;0.75,(N1103-0.75)*2.25,0)*S1103,2),IF(MarkupType="Supplier Markup",V1103+V1103*SupplierMarkup,"Error at finding value"))</f>
        <v>4.68</v>
      </c>
      <c r="AB1103" s="15">
        <f t="shared" si="395"/>
        <v>0</v>
      </c>
    </row>
    <row r="1104" spans="1:28" x14ac:dyDescent="0.25">
      <c r="A1104" s="16">
        <f>OrdersTable!A1104</f>
        <v>46</v>
      </c>
      <c r="B1104" s="15" t="str">
        <f t="shared" si="375"/>
        <v>Mrs</v>
      </c>
      <c r="C1104" s="15" t="str">
        <f t="shared" si="396"/>
        <v>Dovey</v>
      </c>
      <c r="D1104" s="15" t="str">
        <f t="shared" si="376"/>
        <v>Aisha Jade</v>
      </c>
      <c r="E1104" s="15" t="str">
        <f t="shared" si="377"/>
        <v>43 Wilkes Circuit</v>
      </c>
      <c r="F1104" s="15" t="str">
        <f t="shared" si="378"/>
        <v>Alfredtown</v>
      </c>
      <c r="G1104" s="15" t="str">
        <f t="shared" si="379"/>
        <v>NSW</v>
      </c>
      <c r="H1104" s="15">
        <f t="shared" si="380"/>
        <v>2650</v>
      </c>
      <c r="I1104" s="15">
        <f t="shared" si="391"/>
        <v>1124</v>
      </c>
      <c r="J1104" s="15">
        <f>OrdersTable!B1104</f>
        <v>812</v>
      </c>
      <c r="K1104" s="15" t="str">
        <f t="shared" si="381"/>
        <v>Statues and Busts</v>
      </c>
      <c r="L1104" s="15" t="str">
        <f t="shared" si="382"/>
        <v>Doctor Who: Masterpiece Collection Maxi Bust: Dalek: Day Of The Daleks</v>
      </c>
      <c r="M1104" s="15" t="str">
        <f t="shared" si="383"/>
        <v>-</v>
      </c>
      <c r="N1104" s="15">
        <f t="shared" si="384"/>
        <v>2.5</v>
      </c>
      <c r="O1104" s="15" t="str">
        <f t="shared" si="385"/>
        <v>A20</v>
      </c>
      <c r="P1104" s="15" t="str">
        <f t="shared" si="386"/>
        <v>Morbius Inc.</v>
      </c>
      <c r="Q1104" s="15" t="str">
        <f t="shared" si="387"/>
        <v>56 Michael Spice Hwy</v>
      </c>
      <c r="R1104" s="3">
        <f>OrdersTable!C1104</f>
        <v>44640</v>
      </c>
      <c r="S1104" s="15">
        <f>OrdersTable!E1104</f>
        <v>5</v>
      </c>
      <c r="T1104" s="15">
        <f t="shared" si="388"/>
        <v>49.99</v>
      </c>
      <c r="U1104" s="15">
        <f t="shared" si="389"/>
        <v>68.47</v>
      </c>
      <c r="V1104" s="15">
        <f t="shared" si="390"/>
        <v>80.98</v>
      </c>
      <c r="W1104" s="15">
        <f>IF(MarkupType="Store Markup",ROUND(V1104+V1104*StoreMarkup,2),IF(MarkupType="Supplier Markup",V1104+V1104*SupplierMarkup,"Error at finding value"))</f>
        <v>127.54</v>
      </c>
      <c r="X1104" s="32">
        <f t="shared" si="392"/>
        <v>9.09</v>
      </c>
      <c r="Y1104" s="15">
        <f t="shared" si="393"/>
        <v>404.9</v>
      </c>
      <c r="Z1104" s="15">
        <f t="shared" si="394"/>
        <v>592.25</v>
      </c>
      <c r="AA1104" s="15">
        <f>IF(FreightType="Lethbridge-Stewart Freight ",ROUND(2.99+IF(N1104&gt;0.75,(N1104-0.75)*2.25,0)*S1104,2),IF(MarkupType="Supplier Markup",V1104+V1104*SupplierMarkup,"Error at finding value"))</f>
        <v>22.68</v>
      </c>
      <c r="AB1104" s="15">
        <f t="shared" si="395"/>
        <v>45.45</v>
      </c>
    </row>
    <row r="1105" spans="1:28" x14ac:dyDescent="0.25">
      <c r="A1105" s="16">
        <f>OrdersTable!A1105</f>
        <v>55</v>
      </c>
      <c r="B1105" s="15" t="str">
        <f t="shared" si="375"/>
        <v>Mr</v>
      </c>
      <c r="C1105" s="15" t="str">
        <f t="shared" si="396"/>
        <v>Myers</v>
      </c>
      <c r="D1105" s="15" t="str">
        <f t="shared" si="376"/>
        <v>Luke Charles</v>
      </c>
      <c r="E1105" s="15" t="str">
        <f t="shared" si="377"/>
        <v>25 Penrose Street</v>
      </c>
      <c r="F1105" s="15" t="str">
        <f t="shared" si="378"/>
        <v>Black Hills</v>
      </c>
      <c r="G1105" s="15" t="str">
        <f t="shared" si="379"/>
        <v>TAS</v>
      </c>
      <c r="H1105" s="15">
        <f t="shared" si="380"/>
        <v>7140</v>
      </c>
      <c r="I1105" s="15">
        <f t="shared" si="391"/>
        <v>2191</v>
      </c>
      <c r="J1105" s="15">
        <f>OrdersTable!B1105</f>
        <v>747</v>
      </c>
      <c r="K1105" s="15" t="str">
        <f t="shared" si="381"/>
        <v>Props and Replicas</v>
      </c>
      <c r="L1105" s="15" t="str">
        <f t="shared" si="382"/>
        <v>Doctor Who: The Master's Fob Watch</v>
      </c>
      <c r="M1105" s="15" t="str">
        <f t="shared" si="383"/>
        <v>-</v>
      </c>
      <c r="N1105" s="15">
        <f t="shared" si="384"/>
        <v>2.25</v>
      </c>
      <c r="O1105" s="15" t="str">
        <f t="shared" si="385"/>
        <v>A10</v>
      </c>
      <c r="P1105" s="15" t="str">
        <f t="shared" si="386"/>
        <v>Gallifrey International</v>
      </c>
      <c r="Q1105" s="15" t="str">
        <f t="shared" si="387"/>
        <v>181 Arcadia Street</v>
      </c>
      <c r="R1105" s="3">
        <f>OrdersTable!C1105</f>
        <v>44640</v>
      </c>
      <c r="S1105" s="15">
        <f>OrdersTable!E1105</f>
        <v>6</v>
      </c>
      <c r="T1105" s="15">
        <f t="shared" si="388"/>
        <v>44.99</v>
      </c>
      <c r="U1105" s="15">
        <f t="shared" si="389"/>
        <v>61.7</v>
      </c>
      <c r="V1105" s="15">
        <f t="shared" si="390"/>
        <v>72.88</v>
      </c>
      <c r="W1105" s="15">
        <f>IF(MarkupType="Store Markup",ROUND(V1105+V1105*StoreMarkup,2),IF(MarkupType="Supplier Markup",V1105+V1105*SupplierMarkup,"Error at finding value"))</f>
        <v>114.79</v>
      </c>
      <c r="X1105" s="32">
        <f t="shared" si="392"/>
        <v>8.18</v>
      </c>
      <c r="Y1105" s="15">
        <f t="shared" si="393"/>
        <v>437.28</v>
      </c>
      <c r="Z1105" s="15">
        <f t="shared" si="394"/>
        <v>639.66</v>
      </c>
      <c r="AA1105" s="15">
        <f>IF(FreightType="Lethbridge-Stewart Freight ",ROUND(2.99+IF(N1105&gt;0.75,(N1105-0.75)*2.25,0)*S1105,2),IF(MarkupType="Supplier Markup",V1105+V1105*SupplierMarkup,"Error at finding value"))</f>
        <v>23.24</v>
      </c>
      <c r="AB1105" s="15">
        <f t="shared" si="395"/>
        <v>49.08</v>
      </c>
    </row>
    <row r="1106" spans="1:28" x14ac:dyDescent="0.25">
      <c r="A1106" s="16">
        <f>OrdersTable!A1106</f>
        <v>158</v>
      </c>
      <c r="B1106" s="15" t="str">
        <f t="shared" si="375"/>
        <v>Mr</v>
      </c>
      <c r="C1106" s="15" t="str">
        <f t="shared" si="396"/>
        <v>Fowler</v>
      </c>
      <c r="D1106" s="15" t="str">
        <f t="shared" si="376"/>
        <v>James</v>
      </c>
      <c r="E1106" s="15" t="str">
        <f t="shared" si="377"/>
        <v>30 Virk Court</v>
      </c>
      <c r="F1106" s="15" t="str">
        <f t="shared" si="378"/>
        <v>Black Hills</v>
      </c>
      <c r="G1106" s="15" t="str">
        <f t="shared" si="379"/>
        <v>TAS</v>
      </c>
      <c r="H1106" s="15">
        <f t="shared" si="380"/>
        <v>7140</v>
      </c>
      <c r="I1106" s="15">
        <f t="shared" si="391"/>
        <v>2191</v>
      </c>
      <c r="J1106" s="15">
        <f>OrdersTable!B1106</f>
        <v>164</v>
      </c>
      <c r="K1106" s="15" t="str">
        <f t="shared" si="381"/>
        <v>Bobbleheads</v>
      </c>
      <c r="L1106" s="15" t="str">
        <f t="shared" si="382"/>
        <v>Doctor Who: Bobblehead: Fourth Doctor</v>
      </c>
      <c r="M1106" s="15" t="str">
        <f t="shared" si="383"/>
        <v>-</v>
      </c>
      <c r="N1106" s="15">
        <f t="shared" si="384"/>
        <v>0.75</v>
      </c>
      <c r="O1106" s="15" t="str">
        <f t="shared" si="385"/>
        <v>A40</v>
      </c>
      <c r="P1106" s="15" t="str">
        <f t="shared" si="386"/>
        <v>Romana Imports</v>
      </c>
      <c r="Q1106" s="15" t="str">
        <f t="shared" si="387"/>
        <v>17 Lalla Ward Road</v>
      </c>
      <c r="R1106" s="3">
        <f>OrdersTable!C1106</f>
        <v>44640</v>
      </c>
      <c r="S1106" s="15">
        <f>OrdersTable!E1106</f>
        <v>9</v>
      </c>
      <c r="T1106" s="15">
        <f t="shared" si="388"/>
        <v>14.99</v>
      </c>
      <c r="U1106" s="15">
        <f t="shared" si="389"/>
        <v>20.53</v>
      </c>
      <c r="V1106" s="15">
        <f t="shared" si="390"/>
        <v>24.28</v>
      </c>
      <c r="W1106" s="15">
        <f>IF(MarkupType="Store Markup",ROUND(V1106+V1106*StoreMarkup,2),IF(MarkupType="Supplier Markup",V1106+V1106*SupplierMarkup,"Error at finding value"))</f>
        <v>38.24</v>
      </c>
      <c r="X1106" s="32" t="str">
        <f t="shared" si="392"/>
        <v>0.00</v>
      </c>
      <c r="Y1106" s="15">
        <f t="shared" si="393"/>
        <v>218.52</v>
      </c>
      <c r="Z1106" s="15">
        <f t="shared" si="394"/>
        <v>344.16</v>
      </c>
      <c r="AA1106" s="15">
        <f>IF(FreightType="Lethbridge-Stewart Freight ",ROUND(2.99+IF(N1106&gt;0.75,(N1106-0.75)*2.25,0)*S1106,2),IF(MarkupType="Supplier Markup",V1106+V1106*SupplierMarkup,"Error at finding value"))</f>
        <v>2.99</v>
      </c>
      <c r="AB1106" s="15">
        <f t="shared" si="395"/>
        <v>0</v>
      </c>
    </row>
    <row r="1107" spans="1:28" x14ac:dyDescent="0.25">
      <c r="A1107" s="16">
        <f>OrdersTable!A1107</f>
        <v>226</v>
      </c>
      <c r="B1107" s="15" t="str">
        <f t="shared" si="375"/>
        <v>Ms</v>
      </c>
      <c r="C1107" s="15" t="str">
        <f t="shared" si="396"/>
        <v>Stewart</v>
      </c>
      <c r="D1107" s="15" t="str">
        <f t="shared" si="376"/>
        <v>Jodi Louise</v>
      </c>
      <c r="E1107" s="15" t="str">
        <f t="shared" si="377"/>
        <v>33 Abington Court</v>
      </c>
      <c r="F1107" s="15" t="str">
        <f t="shared" si="378"/>
        <v>Iluka</v>
      </c>
      <c r="G1107" s="15" t="str">
        <f t="shared" si="379"/>
        <v>NSW</v>
      </c>
      <c r="H1107" s="15">
        <f t="shared" si="380"/>
        <v>2466</v>
      </c>
      <c r="I1107" s="15">
        <f t="shared" si="391"/>
        <v>347</v>
      </c>
      <c r="J1107" s="15">
        <f>OrdersTable!B1107</f>
        <v>213</v>
      </c>
      <c r="K1107" s="15" t="str">
        <f t="shared" si="381"/>
        <v>Clothing and Apparel</v>
      </c>
      <c r="L1107" s="15" t="str">
        <f t="shared" si="382"/>
        <v>Doctor Who: Fez and Bow Tie</v>
      </c>
      <c r="M1107" s="15" t="str">
        <f t="shared" si="383"/>
        <v>-</v>
      </c>
      <c r="N1107" s="15">
        <f t="shared" si="384"/>
        <v>0.97499999999999998</v>
      </c>
      <c r="O1107" s="15" t="str">
        <f t="shared" si="385"/>
        <v>A50</v>
      </c>
      <c r="P1107" s="15" t="str">
        <f t="shared" si="386"/>
        <v>Rassilon Ltd.</v>
      </c>
      <c r="Q1107" s="15" t="str">
        <f t="shared" si="387"/>
        <v>82 Richard Mathews Road</v>
      </c>
      <c r="R1107" s="3">
        <f>OrdersTable!C1107</f>
        <v>44640</v>
      </c>
      <c r="S1107" s="15">
        <f>OrdersTable!E1107</f>
        <v>10</v>
      </c>
      <c r="T1107" s="15">
        <f t="shared" si="388"/>
        <v>19.5</v>
      </c>
      <c r="U1107" s="15">
        <f t="shared" si="389"/>
        <v>26.88</v>
      </c>
      <c r="V1107" s="15">
        <f t="shared" si="390"/>
        <v>31.59</v>
      </c>
      <c r="W1107" s="15">
        <f>IF(MarkupType="Store Markup",ROUND(V1107+V1107*StoreMarkup,2),IF(MarkupType="Supplier Markup",V1107+V1107*SupplierMarkup,"Error at finding value"))</f>
        <v>49.75</v>
      </c>
      <c r="X1107" s="32" t="str">
        <f t="shared" si="392"/>
        <v>0.00</v>
      </c>
      <c r="Y1107" s="15">
        <f t="shared" si="393"/>
        <v>315.89999999999998</v>
      </c>
      <c r="Z1107" s="15">
        <f t="shared" si="394"/>
        <v>497.5</v>
      </c>
      <c r="AA1107" s="15">
        <f>IF(FreightType="Lethbridge-Stewart Freight ",ROUND(2.99+IF(N1107&gt;0.75,(N1107-0.75)*2.25,0)*S1107,2),IF(MarkupType="Supplier Markup",V1107+V1107*SupplierMarkup,"Error at finding value"))</f>
        <v>8.0500000000000007</v>
      </c>
      <c r="AB1107" s="15">
        <f t="shared" si="395"/>
        <v>0</v>
      </c>
    </row>
    <row r="1108" spans="1:28" x14ac:dyDescent="0.25">
      <c r="A1108" s="16">
        <f>OrdersTable!A1108</f>
        <v>296</v>
      </c>
      <c r="B1108" s="15" t="str">
        <f t="shared" si="375"/>
        <v>Miss</v>
      </c>
      <c r="C1108" s="15" t="str">
        <f t="shared" si="396"/>
        <v>Kussrow</v>
      </c>
      <c r="D1108" s="15" t="str">
        <f t="shared" si="376"/>
        <v>Katherine Anne</v>
      </c>
      <c r="E1108" s="15" t="str">
        <f t="shared" si="377"/>
        <v>10 Downes Street</v>
      </c>
      <c r="F1108" s="15" t="str">
        <f t="shared" si="378"/>
        <v>Breakwater</v>
      </c>
      <c r="G1108" s="15" t="str">
        <f t="shared" si="379"/>
        <v>VIC</v>
      </c>
      <c r="H1108" s="15">
        <f t="shared" si="380"/>
        <v>3219</v>
      </c>
      <c r="I1108" s="15">
        <f t="shared" si="391"/>
        <v>1596</v>
      </c>
      <c r="J1108" s="15">
        <f>OrdersTable!B1108</f>
        <v>583</v>
      </c>
      <c r="K1108" s="15" t="str">
        <f t="shared" si="381"/>
        <v>iPhone Skins</v>
      </c>
      <c r="L1108" s="15" t="str">
        <f t="shared" si="382"/>
        <v>Doctor Who: iPhone Skin: Cyberman Delete</v>
      </c>
      <c r="M1108" s="15" t="str">
        <f t="shared" si="383"/>
        <v>-</v>
      </c>
      <c r="N1108" s="15">
        <f t="shared" si="384"/>
        <v>0.3</v>
      </c>
      <c r="O1108" s="15" t="str">
        <f t="shared" si="385"/>
        <v>A50</v>
      </c>
      <c r="P1108" s="15" t="str">
        <f t="shared" si="386"/>
        <v>Rassilon Ltd.</v>
      </c>
      <c r="Q1108" s="15" t="str">
        <f t="shared" si="387"/>
        <v>82 Richard Mathews Road</v>
      </c>
      <c r="R1108" s="3">
        <f>OrdersTable!C1108</f>
        <v>44640</v>
      </c>
      <c r="S1108" s="15">
        <f>OrdersTable!E1108</f>
        <v>3</v>
      </c>
      <c r="T1108" s="15">
        <f t="shared" si="388"/>
        <v>5.99</v>
      </c>
      <c r="U1108" s="15">
        <f t="shared" si="389"/>
        <v>8.23</v>
      </c>
      <c r="V1108" s="15">
        <f t="shared" si="390"/>
        <v>9.6999999999999993</v>
      </c>
      <c r="W1108" s="15">
        <f>IF(MarkupType="Store Markup",ROUND(V1108+V1108*StoreMarkup,2),IF(MarkupType="Supplier Markup",V1108+V1108*SupplierMarkup,"Error at finding value"))</f>
        <v>15.28</v>
      </c>
      <c r="X1108" s="32" t="str">
        <f t="shared" si="392"/>
        <v>0.00</v>
      </c>
      <c r="Y1108" s="15">
        <f t="shared" si="393"/>
        <v>29.1</v>
      </c>
      <c r="Z1108" s="15">
        <f t="shared" si="394"/>
        <v>45.84</v>
      </c>
      <c r="AA1108" s="15">
        <f>IF(FreightType="Lethbridge-Stewart Freight ",ROUND(2.99+IF(N1108&gt;0.75,(N1108-0.75)*2.25,0)*S1108,2),IF(MarkupType="Supplier Markup",V1108+V1108*SupplierMarkup,"Error at finding value"))</f>
        <v>2.99</v>
      </c>
      <c r="AB1108" s="15">
        <f t="shared" si="395"/>
        <v>0</v>
      </c>
    </row>
    <row r="1109" spans="1:28" x14ac:dyDescent="0.25">
      <c r="A1109" s="16">
        <f>OrdersTable!A1109</f>
        <v>364</v>
      </c>
      <c r="B1109" s="15" t="str">
        <f t="shared" si="375"/>
        <v>Dr</v>
      </c>
      <c r="C1109" s="15" t="str">
        <f t="shared" si="396"/>
        <v>Reibelt</v>
      </c>
      <c r="D1109" s="15" t="str">
        <f t="shared" si="376"/>
        <v>Corey James</v>
      </c>
      <c r="E1109" s="15" t="str">
        <f t="shared" si="377"/>
        <v>23 Burns Drive</v>
      </c>
      <c r="F1109" s="15" t="str">
        <f t="shared" si="378"/>
        <v>Caliph</v>
      </c>
      <c r="G1109" s="15" t="str">
        <f t="shared" si="379"/>
        <v>SA</v>
      </c>
      <c r="H1109" s="15">
        <f t="shared" si="380"/>
        <v>5310</v>
      </c>
      <c r="I1109" s="15">
        <f t="shared" si="391"/>
        <v>1720</v>
      </c>
      <c r="J1109" s="15">
        <f>OrdersTable!B1109</f>
        <v>694</v>
      </c>
      <c r="K1109" s="15" t="str">
        <f t="shared" si="381"/>
        <v>Posters, Prints and Standees</v>
      </c>
      <c r="L1109" s="15" t="str">
        <f t="shared" si="382"/>
        <v>Doctor Who: 16'x12' Framed Print: Hide</v>
      </c>
      <c r="M1109" s="15" t="str">
        <f t="shared" si="383"/>
        <v>-</v>
      </c>
      <c r="N1109" s="15">
        <f t="shared" si="384"/>
        <v>0.75</v>
      </c>
      <c r="O1109" s="15" t="str">
        <f t="shared" si="385"/>
        <v>A40</v>
      </c>
      <c r="P1109" s="15" t="str">
        <f t="shared" si="386"/>
        <v>Romana Imports</v>
      </c>
      <c r="Q1109" s="15" t="str">
        <f t="shared" si="387"/>
        <v>17 Lalla Ward Road</v>
      </c>
      <c r="R1109" s="3">
        <f>OrdersTable!C1109</f>
        <v>44640</v>
      </c>
      <c r="S1109" s="15">
        <f>OrdersTable!E1109</f>
        <v>9</v>
      </c>
      <c r="T1109" s="15">
        <f t="shared" si="388"/>
        <v>14.99</v>
      </c>
      <c r="U1109" s="15">
        <f t="shared" si="389"/>
        <v>20.49</v>
      </c>
      <c r="V1109" s="15">
        <f t="shared" si="390"/>
        <v>24.28</v>
      </c>
      <c r="W1109" s="15">
        <f>IF(MarkupType="Store Markup",ROUND(V1109+V1109*StoreMarkup,2),IF(MarkupType="Supplier Markup",V1109+V1109*SupplierMarkup,"Error at finding value"))</f>
        <v>38.24</v>
      </c>
      <c r="X1109" s="32" t="str">
        <f t="shared" si="392"/>
        <v>0.00</v>
      </c>
      <c r="Y1109" s="15">
        <f t="shared" si="393"/>
        <v>218.52</v>
      </c>
      <c r="Z1109" s="15">
        <f t="shared" si="394"/>
        <v>344.16</v>
      </c>
      <c r="AA1109" s="15">
        <f>IF(FreightType="Lethbridge-Stewart Freight ",ROUND(2.99+IF(N1109&gt;0.75,(N1109-0.75)*2.25,0)*S1109,2),IF(MarkupType="Supplier Markup",V1109+V1109*SupplierMarkup,"Error at finding value"))</f>
        <v>2.99</v>
      </c>
      <c r="AB1109" s="15">
        <f t="shared" si="395"/>
        <v>0</v>
      </c>
    </row>
    <row r="1110" spans="1:28" x14ac:dyDescent="0.25">
      <c r="A1110" s="16">
        <f>OrdersTable!A1110</f>
        <v>448</v>
      </c>
      <c r="B1110" s="15" t="str">
        <f t="shared" si="375"/>
        <v>Mr</v>
      </c>
      <c r="C1110" s="15" t="str">
        <f t="shared" si="396"/>
        <v>Earl</v>
      </c>
      <c r="D1110" s="15" t="str">
        <f t="shared" si="376"/>
        <v>Benn Robert</v>
      </c>
      <c r="E1110" s="15" t="str">
        <f t="shared" si="377"/>
        <v>31 Kae Drive</v>
      </c>
      <c r="F1110" s="15" t="str">
        <f t="shared" si="378"/>
        <v>Belford</v>
      </c>
      <c r="G1110" s="15" t="str">
        <f t="shared" si="379"/>
        <v>NSW</v>
      </c>
      <c r="H1110" s="15">
        <f t="shared" si="380"/>
        <v>2335</v>
      </c>
      <c r="I1110" s="15">
        <f t="shared" si="391"/>
        <v>716</v>
      </c>
      <c r="J1110" s="15">
        <f>OrdersTable!B1110</f>
        <v>620</v>
      </c>
      <c r="K1110" s="15" t="str">
        <f t="shared" si="381"/>
        <v>iPhone Skins</v>
      </c>
      <c r="L1110" s="15" t="str">
        <f t="shared" si="382"/>
        <v>Doctor Who: iPhone Skin: TARDIS Water Colour</v>
      </c>
      <c r="M1110" s="15" t="str">
        <f t="shared" si="383"/>
        <v>-</v>
      </c>
      <c r="N1110" s="15">
        <f t="shared" si="384"/>
        <v>0.5</v>
      </c>
      <c r="O1110" s="15" t="str">
        <f t="shared" si="385"/>
        <v>A30</v>
      </c>
      <c r="P1110" s="15" t="str">
        <f t="shared" si="386"/>
        <v>Chesterton Enterprises</v>
      </c>
      <c r="Q1110" s="15" t="str">
        <f t="shared" si="387"/>
        <v>41 William Russell Road</v>
      </c>
      <c r="R1110" s="3">
        <f>OrdersTable!C1110</f>
        <v>44640</v>
      </c>
      <c r="S1110" s="15">
        <f>OrdersTable!E1110</f>
        <v>8</v>
      </c>
      <c r="T1110" s="15">
        <f t="shared" si="388"/>
        <v>9.99</v>
      </c>
      <c r="U1110" s="15">
        <f t="shared" si="389"/>
        <v>13.81</v>
      </c>
      <c r="V1110" s="15">
        <f t="shared" si="390"/>
        <v>16.18</v>
      </c>
      <c r="W1110" s="15">
        <f>IF(MarkupType="Store Markup",ROUND(V1110+V1110*StoreMarkup,2),IF(MarkupType="Supplier Markup",V1110+V1110*SupplierMarkup,"Error at finding value"))</f>
        <v>25.48</v>
      </c>
      <c r="X1110" s="32" t="str">
        <f t="shared" si="392"/>
        <v>0.00</v>
      </c>
      <c r="Y1110" s="15">
        <f t="shared" si="393"/>
        <v>129.44</v>
      </c>
      <c r="Z1110" s="15">
        <f t="shared" si="394"/>
        <v>203.84</v>
      </c>
      <c r="AA1110" s="15">
        <f>IF(FreightType="Lethbridge-Stewart Freight ",ROUND(2.99+IF(N1110&gt;0.75,(N1110-0.75)*2.25,0)*S1110,2),IF(MarkupType="Supplier Markup",V1110+V1110*SupplierMarkup,"Error at finding value"))</f>
        <v>2.99</v>
      </c>
      <c r="AB1110" s="15">
        <f t="shared" si="395"/>
        <v>0</v>
      </c>
    </row>
    <row r="1111" spans="1:28" x14ac:dyDescent="0.25">
      <c r="A1111" s="16">
        <f>OrdersTable!A1111</f>
        <v>500</v>
      </c>
      <c r="B1111" s="15" t="str">
        <f t="shared" si="375"/>
        <v>Ms</v>
      </c>
      <c r="C1111" s="15" t="str">
        <f t="shared" si="396"/>
        <v>Helmers</v>
      </c>
      <c r="D1111" s="15" t="str">
        <f t="shared" si="376"/>
        <v>Kristy-Lee</v>
      </c>
      <c r="E1111" s="15" t="str">
        <f t="shared" si="377"/>
        <v>43 Welthagen Court</v>
      </c>
      <c r="F1111" s="15" t="str">
        <f t="shared" si="378"/>
        <v>Areegra</v>
      </c>
      <c r="G1111" s="15" t="str">
        <f t="shared" si="379"/>
        <v>VIC</v>
      </c>
      <c r="H1111" s="15">
        <f t="shared" si="380"/>
        <v>3480</v>
      </c>
      <c r="I1111" s="15">
        <f t="shared" si="391"/>
        <v>1559</v>
      </c>
      <c r="J1111" s="15">
        <f>OrdersTable!B1111</f>
        <v>813</v>
      </c>
      <c r="K1111" s="15" t="str">
        <f t="shared" si="381"/>
        <v>Statues and Busts</v>
      </c>
      <c r="L1111" s="15" t="str">
        <f t="shared" si="382"/>
        <v>Doctor Who: Masterpiece Collection Maxi Bust: Leela</v>
      </c>
      <c r="M1111" s="15" t="str">
        <f t="shared" si="383"/>
        <v>-</v>
      </c>
      <c r="N1111" s="15">
        <f t="shared" si="384"/>
        <v>2.5</v>
      </c>
      <c r="O1111" s="15" t="str">
        <f t="shared" si="385"/>
        <v>A30</v>
      </c>
      <c r="P1111" s="15" t="str">
        <f t="shared" si="386"/>
        <v>Chesterton Enterprises</v>
      </c>
      <c r="Q1111" s="15" t="str">
        <f t="shared" si="387"/>
        <v>41 William Russell Road</v>
      </c>
      <c r="R1111" s="3">
        <f>OrdersTable!C1111</f>
        <v>44640</v>
      </c>
      <c r="S1111" s="15">
        <f>OrdersTable!E1111</f>
        <v>3</v>
      </c>
      <c r="T1111" s="15">
        <f t="shared" si="388"/>
        <v>49.99</v>
      </c>
      <c r="U1111" s="15">
        <f t="shared" si="389"/>
        <v>68.319999999999993</v>
      </c>
      <c r="V1111" s="15">
        <f t="shared" si="390"/>
        <v>80.98</v>
      </c>
      <c r="W1111" s="15">
        <f>IF(MarkupType="Store Markup",ROUND(V1111+V1111*StoreMarkup,2),IF(MarkupType="Supplier Markup",V1111+V1111*SupplierMarkup,"Error at finding value"))</f>
        <v>127.54</v>
      </c>
      <c r="X1111" s="32">
        <f t="shared" si="392"/>
        <v>9.09</v>
      </c>
      <c r="Y1111" s="15">
        <f t="shared" si="393"/>
        <v>242.94</v>
      </c>
      <c r="Z1111" s="15">
        <f t="shared" si="394"/>
        <v>355.35</v>
      </c>
      <c r="AA1111" s="15">
        <f>IF(FreightType="Lethbridge-Stewart Freight ",ROUND(2.99+IF(N1111&gt;0.75,(N1111-0.75)*2.25,0)*S1111,2),IF(MarkupType="Supplier Markup",V1111+V1111*SupplierMarkup,"Error at finding value"))</f>
        <v>14.8</v>
      </c>
      <c r="AB1111" s="15">
        <f t="shared" si="395"/>
        <v>27.27</v>
      </c>
    </row>
    <row r="1112" spans="1:28" x14ac:dyDescent="0.25">
      <c r="A1112" s="16">
        <f>OrdersTable!A1112</f>
        <v>526</v>
      </c>
      <c r="B1112" s="15" t="str">
        <f t="shared" si="375"/>
        <v>Mrs</v>
      </c>
      <c r="C1112" s="15" t="str">
        <f t="shared" si="396"/>
        <v>Bradford</v>
      </c>
      <c r="D1112" s="15" t="str">
        <f t="shared" si="376"/>
        <v>Haleigh Renae Ann</v>
      </c>
      <c r="E1112" s="15" t="str">
        <f t="shared" si="377"/>
        <v>31 Johnston Road</v>
      </c>
      <c r="F1112" s="15" t="str">
        <f t="shared" si="378"/>
        <v>Ashford</v>
      </c>
      <c r="G1112" s="15" t="str">
        <f t="shared" si="379"/>
        <v>SA</v>
      </c>
      <c r="H1112" s="15">
        <f t="shared" si="380"/>
        <v>5035</v>
      </c>
      <c r="I1112" s="15">
        <f t="shared" si="391"/>
        <v>1877</v>
      </c>
      <c r="J1112" s="15">
        <f>OrdersTable!B1112</f>
        <v>812</v>
      </c>
      <c r="K1112" s="15" t="str">
        <f t="shared" si="381"/>
        <v>Statues and Busts</v>
      </c>
      <c r="L1112" s="15" t="str">
        <f t="shared" si="382"/>
        <v>Doctor Who: Masterpiece Collection Maxi Bust: Dalek: Day Of The Daleks</v>
      </c>
      <c r="M1112" s="15" t="str">
        <f t="shared" si="383"/>
        <v>-</v>
      </c>
      <c r="N1112" s="15">
        <f t="shared" si="384"/>
        <v>2.5</v>
      </c>
      <c r="O1112" s="15" t="str">
        <f t="shared" si="385"/>
        <v>A20</v>
      </c>
      <c r="P1112" s="15" t="str">
        <f t="shared" si="386"/>
        <v>Morbius Inc.</v>
      </c>
      <c r="Q1112" s="15" t="str">
        <f t="shared" si="387"/>
        <v>56 Michael Spice Hwy</v>
      </c>
      <c r="R1112" s="3">
        <f>OrdersTable!C1112</f>
        <v>44640</v>
      </c>
      <c r="S1112" s="15">
        <f>OrdersTable!E1112</f>
        <v>6</v>
      </c>
      <c r="T1112" s="15">
        <f t="shared" si="388"/>
        <v>49.99</v>
      </c>
      <c r="U1112" s="15">
        <f t="shared" si="389"/>
        <v>68.47</v>
      </c>
      <c r="V1112" s="15">
        <f t="shared" si="390"/>
        <v>80.98</v>
      </c>
      <c r="W1112" s="15">
        <f>IF(MarkupType="Store Markup",ROUND(V1112+V1112*StoreMarkup,2),IF(MarkupType="Supplier Markup",V1112+V1112*SupplierMarkup,"Error at finding value"))</f>
        <v>127.54</v>
      </c>
      <c r="X1112" s="32">
        <f t="shared" si="392"/>
        <v>9.09</v>
      </c>
      <c r="Y1112" s="15">
        <f t="shared" si="393"/>
        <v>485.88</v>
      </c>
      <c r="Z1112" s="15">
        <f t="shared" si="394"/>
        <v>710.7</v>
      </c>
      <c r="AA1112" s="15">
        <f>IF(FreightType="Lethbridge-Stewart Freight ",ROUND(2.99+IF(N1112&gt;0.75,(N1112-0.75)*2.25,0)*S1112,2),IF(MarkupType="Supplier Markup",V1112+V1112*SupplierMarkup,"Error at finding value"))</f>
        <v>26.62</v>
      </c>
      <c r="AB1112" s="15">
        <f t="shared" si="395"/>
        <v>54.54</v>
      </c>
    </row>
    <row r="1113" spans="1:28" x14ac:dyDescent="0.25">
      <c r="A1113" s="16">
        <f>OrdersTable!A1113</f>
        <v>531</v>
      </c>
      <c r="B1113" s="15" t="str">
        <f t="shared" si="375"/>
        <v>Ms</v>
      </c>
      <c r="C1113" s="15" t="str">
        <f t="shared" si="396"/>
        <v>Stanton</v>
      </c>
      <c r="D1113" s="15" t="str">
        <f t="shared" si="376"/>
        <v>Sharaze</v>
      </c>
      <c r="E1113" s="15" t="str">
        <f t="shared" si="377"/>
        <v>1 Siddons Crescent</v>
      </c>
      <c r="F1113" s="15" t="str">
        <f t="shared" si="378"/>
        <v>Alfredtown</v>
      </c>
      <c r="G1113" s="15" t="str">
        <f t="shared" si="379"/>
        <v>NSW</v>
      </c>
      <c r="H1113" s="15">
        <f t="shared" si="380"/>
        <v>2650</v>
      </c>
      <c r="I1113" s="15">
        <f t="shared" si="391"/>
        <v>1124</v>
      </c>
      <c r="J1113" s="15">
        <f>OrdersTable!B1113</f>
        <v>201</v>
      </c>
      <c r="K1113" s="15" t="str">
        <f t="shared" si="381"/>
        <v>Clothing and Apparel</v>
      </c>
      <c r="L1113" s="15" t="str">
        <f t="shared" si="382"/>
        <v>Doctor Who: Dalek Beanie</v>
      </c>
      <c r="M1113" s="15" t="str">
        <f t="shared" si="383"/>
        <v>-</v>
      </c>
      <c r="N1113" s="15">
        <f t="shared" si="384"/>
        <v>1.1399999999999999</v>
      </c>
      <c r="O1113" s="15" t="str">
        <f t="shared" si="385"/>
        <v>A50</v>
      </c>
      <c r="P1113" s="15" t="str">
        <f t="shared" si="386"/>
        <v>Rassilon Ltd.</v>
      </c>
      <c r="Q1113" s="15" t="str">
        <f t="shared" si="387"/>
        <v>82 Richard Mathews Road</v>
      </c>
      <c r="R1113" s="3">
        <f>OrdersTable!C1113</f>
        <v>44640</v>
      </c>
      <c r="S1113" s="15">
        <f>OrdersTable!E1113</f>
        <v>8</v>
      </c>
      <c r="T1113" s="15">
        <f t="shared" si="388"/>
        <v>22.75</v>
      </c>
      <c r="U1113" s="15">
        <f t="shared" si="389"/>
        <v>31.26</v>
      </c>
      <c r="V1113" s="15">
        <f t="shared" si="390"/>
        <v>36.86</v>
      </c>
      <c r="W1113" s="15">
        <f>IF(MarkupType="Store Markup",ROUND(V1113+V1113*StoreMarkup,2),IF(MarkupType="Supplier Markup",V1113+V1113*SupplierMarkup,"Error at finding value"))</f>
        <v>58.05</v>
      </c>
      <c r="X1113" s="32" t="str">
        <f t="shared" si="392"/>
        <v>0.00</v>
      </c>
      <c r="Y1113" s="15">
        <f t="shared" si="393"/>
        <v>294.88</v>
      </c>
      <c r="Z1113" s="15">
        <f t="shared" si="394"/>
        <v>464.4</v>
      </c>
      <c r="AA1113" s="15">
        <f>IF(FreightType="Lethbridge-Stewart Freight ",ROUND(2.99+IF(N1113&gt;0.75,(N1113-0.75)*2.25,0)*S1113,2),IF(MarkupType="Supplier Markup",V1113+V1113*SupplierMarkup,"Error at finding value"))</f>
        <v>10.01</v>
      </c>
      <c r="AB1113" s="15">
        <f t="shared" si="395"/>
        <v>0</v>
      </c>
    </row>
    <row r="1114" spans="1:28" x14ac:dyDescent="0.25">
      <c r="A1114" s="16">
        <f>OrdersTable!A1114</f>
        <v>540</v>
      </c>
      <c r="B1114" s="15" t="str">
        <f t="shared" si="375"/>
        <v>Dr</v>
      </c>
      <c r="C1114" s="15" t="str">
        <f t="shared" si="396"/>
        <v>Hackett</v>
      </c>
      <c r="D1114" s="15" t="str">
        <f t="shared" si="376"/>
        <v>Patrick</v>
      </c>
      <c r="E1114" s="15" t="str">
        <f t="shared" si="377"/>
        <v>25 Sweet Drive</v>
      </c>
      <c r="F1114" s="15" t="str">
        <f t="shared" si="378"/>
        <v>Bridgewater</v>
      </c>
      <c r="G1114" s="15" t="str">
        <f t="shared" si="379"/>
        <v>VIC</v>
      </c>
      <c r="H1114" s="15">
        <f t="shared" si="380"/>
        <v>3516</v>
      </c>
      <c r="I1114" s="15">
        <f t="shared" si="391"/>
        <v>1486</v>
      </c>
      <c r="J1114" s="15">
        <f>OrdersTable!B1114</f>
        <v>259</v>
      </c>
      <c r="K1114" s="15" t="str">
        <f t="shared" si="381"/>
        <v>Clothing and Apparel</v>
      </c>
      <c r="L1114" s="15" t="str">
        <f t="shared" si="382"/>
        <v>Doctor Who: Men's Winter Pyjamas</v>
      </c>
      <c r="M1114" s="15" t="str">
        <f t="shared" si="383"/>
        <v>XL</v>
      </c>
      <c r="N1114" s="15">
        <f t="shared" si="384"/>
        <v>1.5</v>
      </c>
      <c r="O1114" s="15" t="str">
        <f t="shared" si="385"/>
        <v>A50</v>
      </c>
      <c r="P1114" s="15" t="str">
        <f t="shared" si="386"/>
        <v>Rassilon Ltd.</v>
      </c>
      <c r="Q1114" s="15" t="str">
        <f t="shared" si="387"/>
        <v>82 Richard Mathews Road</v>
      </c>
      <c r="R1114" s="3">
        <f>OrdersTable!C1114</f>
        <v>44640</v>
      </c>
      <c r="S1114" s="15">
        <f>OrdersTable!E1114</f>
        <v>5</v>
      </c>
      <c r="T1114" s="15">
        <f t="shared" si="388"/>
        <v>29.99</v>
      </c>
      <c r="U1114" s="15">
        <f t="shared" si="389"/>
        <v>41.15</v>
      </c>
      <c r="V1114" s="15">
        <f t="shared" si="390"/>
        <v>48.58</v>
      </c>
      <c r="W1114" s="15">
        <f>IF(MarkupType="Store Markup",ROUND(V1114+V1114*StoreMarkup,2),IF(MarkupType="Supplier Markup",V1114+V1114*SupplierMarkup,"Error at finding value"))</f>
        <v>76.510000000000005</v>
      </c>
      <c r="X1114" s="32" t="str">
        <f t="shared" si="392"/>
        <v>0.00</v>
      </c>
      <c r="Y1114" s="15">
        <f t="shared" si="393"/>
        <v>242.9</v>
      </c>
      <c r="Z1114" s="15">
        <f t="shared" si="394"/>
        <v>382.55</v>
      </c>
      <c r="AA1114" s="15">
        <f>IF(FreightType="Lethbridge-Stewart Freight ",ROUND(2.99+IF(N1114&gt;0.75,(N1114-0.75)*2.25,0)*S1114,2),IF(MarkupType="Supplier Markup",V1114+V1114*SupplierMarkup,"Error at finding value"))</f>
        <v>11.43</v>
      </c>
      <c r="AB1114" s="15">
        <f t="shared" si="395"/>
        <v>0</v>
      </c>
    </row>
    <row r="1115" spans="1:28" x14ac:dyDescent="0.25">
      <c r="A1115" s="16">
        <f>OrdersTable!A1115</f>
        <v>540</v>
      </c>
      <c r="B1115" s="15" t="str">
        <f t="shared" si="375"/>
        <v>Dr</v>
      </c>
      <c r="C1115" s="15" t="str">
        <f t="shared" si="396"/>
        <v>Hackett</v>
      </c>
      <c r="D1115" s="15" t="str">
        <f t="shared" si="376"/>
        <v>Patrick</v>
      </c>
      <c r="E1115" s="15" t="str">
        <f t="shared" si="377"/>
        <v>25 Sweet Drive</v>
      </c>
      <c r="F1115" s="15" t="str">
        <f t="shared" si="378"/>
        <v>Bridgewater</v>
      </c>
      <c r="G1115" s="15" t="str">
        <f t="shared" si="379"/>
        <v>VIC</v>
      </c>
      <c r="H1115" s="15">
        <f t="shared" si="380"/>
        <v>3516</v>
      </c>
      <c r="I1115" s="15">
        <f t="shared" si="391"/>
        <v>1486</v>
      </c>
      <c r="J1115" s="15">
        <f>OrdersTable!B1115</f>
        <v>724</v>
      </c>
      <c r="K1115" s="15" t="str">
        <f t="shared" si="381"/>
        <v>Posters, Prints and Standees</v>
      </c>
      <c r="L1115" s="15" t="str">
        <f t="shared" si="382"/>
        <v>Doctor Who: Standee: The 10th Doctor</v>
      </c>
      <c r="M1115" s="15" t="str">
        <f t="shared" si="383"/>
        <v>-</v>
      </c>
      <c r="N1115" s="15">
        <f t="shared" si="384"/>
        <v>1.125</v>
      </c>
      <c r="O1115" s="15" t="str">
        <f t="shared" si="385"/>
        <v>A50</v>
      </c>
      <c r="P1115" s="15" t="str">
        <f t="shared" si="386"/>
        <v>Rassilon Ltd.</v>
      </c>
      <c r="Q1115" s="15" t="str">
        <f t="shared" si="387"/>
        <v>82 Richard Mathews Road</v>
      </c>
      <c r="R1115" s="3">
        <f>OrdersTable!C1115</f>
        <v>44640</v>
      </c>
      <c r="S1115" s="15">
        <f>OrdersTable!E1115</f>
        <v>9</v>
      </c>
      <c r="T1115" s="15">
        <f t="shared" si="388"/>
        <v>22.49</v>
      </c>
      <c r="U1115" s="15">
        <f t="shared" si="389"/>
        <v>30.77</v>
      </c>
      <c r="V1115" s="15">
        <f t="shared" si="390"/>
        <v>36.43</v>
      </c>
      <c r="W1115" s="15">
        <f>IF(MarkupType="Store Markup",ROUND(V1115+V1115*StoreMarkup,2),IF(MarkupType="Supplier Markup",V1115+V1115*SupplierMarkup,"Error at finding value"))</f>
        <v>57.38</v>
      </c>
      <c r="X1115" s="32" t="str">
        <f t="shared" si="392"/>
        <v>0.00</v>
      </c>
      <c r="Y1115" s="15">
        <f t="shared" si="393"/>
        <v>327.87</v>
      </c>
      <c r="Z1115" s="15">
        <f t="shared" si="394"/>
        <v>516.41999999999996</v>
      </c>
      <c r="AA1115" s="15">
        <f>IF(FreightType="Lethbridge-Stewart Freight ",ROUND(2.99+IF(N1115&gt;0.75,(N1115-0.75)*2.25,0)*S1115,2),IF(MarkupType="Supplier Markup",V1115+V1115*SupplierMarkup,"Error at finding value"))</f>
        <v>10.58</v>
      </c>
      <c r="AB1115" s="15">
        <f t="shared" si="395"/>
        <v>0</v>
      </c>
    </row>
    <row r="1116" spans="1:28" x14ac:dyDescent="0.25">
      <c r="A1116" s="16">
        <f>OrdersTable!A1116</f>
        <v>570</v>
      </c>
      <c r="B1116" s="15" t="str">
        <f t="shared" si="375"/>
        <v>Mr</v>
      </c>
      <c r="C1116" s="15" t="str">
        <f t="shared" si="396"/>
        <v>Adams</v>
      </c>
      <c r="D1116" s="15" t="str">
        <f t="shared" si="376"/>
        <v>Matthew</v>
      </c>
      <c r="E1116" s="15" t="str">
        <f t="shared" si="377"/>
        <v>36 Fenech Avenue</v>
      </c>
      <c r="F1116" s="15" t="str">
        <f t="shared" si="378"/>
        <v>Bray Park</v>
      </c>
      <c r="G1116" s="15" t="str">
        <f t="shared" si="379"/>
        <v>QLD</v>
      </c>
      <c r="H1116" s="15">
        <f t="shared" si="380"/>
        <v>4500</v>
      </c>
      <c r="I1116" s="15">
        <f t="shared" si="391"/>
        <v>139</v>
      </c>
      <c r="J1116" s="15">
        <f>OrdersTable!B1116</f>
        <v>843</v>
      </c>
      <c r="K1116" s="15" t="str">
        <f t="shared" si="381"/>
        <v>Statues and Busts</v>
      </c>
      <c r="L1116" s="15" t="str">
        <f t="shared" si="382"/>
        <v>Doctor Who: Signature Edition Statue: Gallifrey Edition: Tom Baker</v>
      </c>
      <c r="M1116" s="15" t="str">
        <f t="shared" si="383"/>
        <v>-</v>
      </c>
      <c r="N1116" s="15">
        <f t="shared" si="384"/>
        <v>2.5</v>
      </c>
      <c r="O1116" s="15" t="str">
        <f t="shared" si="385"/>
        <v>A20</v>
      </c>
      <c r="P1116" s="15" t="str">
        <f t="shared" si="386"/>
        <v>Morbius Inc.</v>
      </c>
      <c r="Q1116" s="15" t="str">
        <f t="shared" si="387"/>
        <v>56 Michael Spice Hwy</v>
      </c>
      <c r="R1116" s="3">
        <f>OrdersTable!C1116</f>
        <v>44640</v>
      </c>
      <c r="S1116" s="15">
        <f>OrdersTable!E1116</f>
        <v>10</v>
      </c>
      <c r="T1116" s="15">
        <f t="shared" si="388"/>
        <v>49.99</v>
      </c>
      <c r="U1116" s="15">
        <f t="shared" si="389"/>
        <v>68.33</v>
      </c>
      <c r="V1116" s="15">
        <f t="shared" si="390"/>
        <v>80.98</v>
      </c>
      <c r="W1116" s="15">
        <f>IF(MarkupType="Store Markup",ROUND(V1116+V1116*StoreMarkup,2),IF(MarkupType="Supplier Markup",V1116+V1116*SupplierMarkup,"Error at finding value"))</f>
        <v>127.54</v>
      </c>
      <c r="X1116" s="32">
        <f t="shared" si="392"/>
        <v>9.09</v>
      </c>
      <c r="Y1116" s="15">
        <f t="shared" si="393"/>
        <v>809.8</v>
      </c>
      <c r="Z1116" s="15">
        <f t="shared" si="394"/>
        <v>1184.5</v>
      </c>
      <c r="AA1116" s="15">
        <f>IF(FreightType="Lethbridge-Stewart Freight ",ROUND(2.99+IF(N1116&gt;0.75,(N1116-0.75)*2.25,0)*S1116,2),IF(MarkupType="Supplier Markup",V1116+V1116*SupplierMarkup,"Error at finding value"))</f>
        <v>42.37</v>
      </c>
      <c r="AB1116" s="15">
        <f t="shared" si="395"/>
        <v>90.9</v>
      </c>
    </row>
    <row r="1117" spans="1:28" x14ac:dyDescent="0.25">
      <c r="A1117" s="16">
        <f>OrdersTable!A1117</f>
        <v>611</v>
      </c>
      <c r="B1117" s="15" t="str">
        <f t="shared" si="375"/>
        <v>Mr</v>
      </c>
      <c r="C1117" s="15" t="str">
        <f t="shared" si="396"/>
        <v>Wittman</v>
      </c>
      <c r="D1117" s="15" t="str">
        <f t="shared" si="376"/>
        <v>Nicholas Jackson</v>
      </c>
      <c r="E1117" s="15" t="str">
        <f t="shared" si="377"/>
        <v>48 Sheppard-Kadel Way</v>
      </c>
      <c r="F1117" s="15" t="str">
        <f t="shared" si="378"/>
        <v>Nayook</v>
      </c>
      <c r="G1117" s="15" t="str">
        <f t="shared" si="379"/>
        <v>VIC</v>
      </c>
      <c r="H1117" s="15">
        <f t="shared" si="380"/>
        <v>3832</v>
      </c>
      <c r="I1117" s="15">
        <f t="shared" si="391"/>
        <v>1552</v>
      </c>
      <c r="J1117" s="15">
        <f>OrdersTable!B1117</f>
        <v>704</v>
      </c>
      <c r="K1117" s="15" t="str">
        <f t="shared" si="381"/>
        <v>Posters, Prints and Standees</v>
      </c>
      <c r="L1117" s="15" t="str">
        <f t="shared" si="382"/>
        <v>Doctor Who: Poster: Doctor's Enemies</v>
      </c>
      <c r="M1117" s="15" t="str">
        <f t="shared" si="383"/>
        <v>-</v>
      </c>
      <c r="N1117" s="15">
        <f t="shared" si="384"/>
        <v>0.2</v>
      </c>
      <c r="O1117" s="15" t="str">
        <f t="shared" si="385"/>
        <v>A30</v>
      </c>
      <c r="P1117" s="15" t="str">
        <f t="shared" si="386"/>
        <v>Chesterton Enterprises</v>
      </c>
      <c r="Q1117" s="15" t="str">
        <f t="shared" si="387"/>
        <v>41 William Russell Road</v>
      </c>
      <c r="R1117" s="3">
        <f>OrdersTable!C1117</f>
        <v>44640</v>
      </c>
      <c r="S1117" s="15">
        <f>OrdersTable!E1117</f>
        <v>7</v>
      </c>
      <c r="T1117" s="15">
        <f t="shared" si="388"/>
        <v>3.99</v>
      </c>
      <c r="U1117" s="15">
        <f t="shared" si="389"/>
        <v>5.52</v>
      </c>
      <c r="V1117" s="15">
        <f t="shared" si="390"/>
        <v>6.46</v>
      </c>
      <c r="W1117" s="15">
        <f>IF(MarkupType="Store Markup",ROUND(V1117+V1117*StoreMarkup,2),IF(MarkupType="Supplier Markup",V1117+V1117*SupplierMarkup,"Error at finding value"))</f>
        <v>10.17</v>
      </c>
      <c r="X1117" s="32" t="str">
        <f t="shared" si="392"/>
        <v>0.00</v>
      </c>
      <c r="Y1117" s="15">
        <f t="shared" si="393"/>
        <v>45.22</v>
      </c>
      <c r="Z1117" s="15">
        <f t="shared" si="394"/>
        <v>71.19</v>
      </c>
      <c r="AA1117" s="15">
        <f>IF(FreightType="Lethbridge-Stewart Freight ",ROUND(2.99+IF(N1117&gt;0.75,(N1117-0.75)*2.25,0)*S1117,2),IF(MarkupType="Supplier Markup",V1117+V1117*SupplierMarkup,"Error at finding value"))</f>
        <v>2.99</v>
      </c>
      <c r="AB1117" s="15">
        <f t="shared" si="395"/>
        <v>0</v>
      </c>
    </row>
    <row r="1118" spans="1:28" x14ac:dyDescent="0.25">
      <c r="A1118" s="16">
        <f>OrdersTable!A1118</f>
        <v>923</v>
      </c>
      <c r="B1118" s="15" t="str">
        <f t="shared" si="375"/>
        <v>Ms</v>
      </c>
      <c r="C1118" s="15" t="str">
        <f t="shared" si="396"/>
        <v>Savage</v>
      </c>
      <c r="D1118" s="15" t="str">
        <f t="shared" si="376"/>
        <v>Eliza Margaret</v>
      </c>
      <c r="E1118" s="15" t="str">
        <f t="shared" si="377"/>
        <v>28 Whisson Crescent</v>
      </c>
      <c r="F1118" s="15" t="str">
        <f t="shared" si="378"/>
        <v>Belconnen</v>
      </c>
      <c r="G1118" s="15" t="str">
        <f t="shared" si="379"/>
        <v>ACT</v>
      </c>
      <c r="H1118" s="15">
        <f t="shared" si="380"/>
        <v>2617</v>
      </c>
      <c r="I1118" s="15">
        <f t="shared" si="391"/>
        <v>1194</v>
      </c>
      <c r="J1118" s="15">
        <f>OrdersTable!B1118</f>
        <v>710</v>
      </c>
      <c r="K1118" s="15" t="str">
        <f t="shared" si="381"/>
        <v>Posters, Prints and Standees</v>
      </c>
      <c r="L1118" s="15" t="str">
        <f t="shared" si="382"/>
        <v>Doctor Who: Poster: Regenerate</v>
      </c>
      <c r="M1118" s="15" t="str">
        <f t="shared" si="383"/>
        <v>-</v>
      </c>
      <c r="N1118" s="15">
        <f t="shared" si="384"/>
        <v>0.2</v>
      </c>
      <c r="O1118" s="15" t="str">
        <f t="shared" si="385"/>
        <v>A40</v>
      </c>
      <c r="P1118" s="15" t="str">
        <f t="shared" si="386"/>
        <v>Romana Imports</v>
      </c>
      <c r="Q1118" s="15" t="str">
        <f t="shared" si="387"/>
        <v>17 Lalla Ward Road</v>
      </c>
      <c r="R1118" s="3">
        <f>OrdersTable!C1118</f>
        <v>44640</v>
      </c>
      <c r="S1118" s="15">
        <f>OrdersTable!E1118</f>
        <v>9</v>
      </c>
      <c r="T1118" s="15">
        <f t="shared" si="388"/>
        <v>3.99</v>
      </c>
      <c r="U1118" s="15">
        <f t="shared" si="389"/>
        <v>5.5</v>
      </c>
      <c r="V1118" s="15">
        <f t="shared" si="390"/>
        <v>6.46</v>
      </c>
      <c r="W1118" s="15">
        <f>IF(MarkupType="Store Markup",ROUND(V1118+V1118*StoreMarkup,2),IF(MarkupType="Supplier Markup",V1118+V1118*SupplierMarkup,"Error at finding value"))</f>
        <v>10.17</v>
      </c>
      <c r="X1118" s="32" t="str">
        <f t="shared" si="392"/>
        <v>0.00</v>
      </c>
      <c r="Y1118" s="15">
        <f t="shared" si="393"/>
        <v>58.14</v>
      </c>
      <c r="Z1118" s="15">
        <f t="shared" si="394"/>
        <v>91.53</v>
      </c>
      <c r="AA1118" s="15">
        <f>IF(FreightType="Lethbridge-Stewart Freight ",ROUND(2.99+IF(N1118&gt;0.75,(N1118-0.75)*2.25,0)*S1118,2),IF(MarkupType="Supplier Markup",V1118+V1118*SupplierMarkup,"Error at finding value"))</f>
        <v>2.99</v>
      </c>
      <c r="AB1118" s="15">
        <f t="shared" si="395"/>
        <v>0</v>
      </c>
    </row>
    <row r="1119" spans="1:28" x14ac:dyDescent="0.25">
      <c r="A1119" s="16">
        <f>OrdersTable!A1119</f>
        <v>972</v>
      </c>
      <c r="B1119" s="15" t="str">
        <f t="shared" si="375"/>
        <v>Miss</v>
      </c>
      <c r="C1119" s="15" t="str">
        <f t="shared" si="396"/>
        <v>Walsh</v>
      </c>
      <c r="D1119" s="15" t="str">
        <f t="shared" si="376"/>
        <v>Alana Jane</v>
      </c>
      <c r="E1119" s="15" t="str">
        <f t="shared" si="377"/>
        <v>40 Betts Crescent</v>
      </c>
      <c r="F1119" s="15" t="str">
        <f t="shared" si="378"/>
        <v>Alleena</v>
      </c>
      <c r="G1119" s="15" t="str">
        <f t="shared" si="379"/>
        <v>NSW</v>
      </c>
      <c r="H1119" s="15">
        <f t="shared" si="380"/>
        <v>2671</v>
      </c>
      <c r="I1119" s="15">
        <f t="shared" si="391"/>
        <v>988</v>
      </c>
      <c r="J1119" s="15">
        <f>OrdersTable!B1119</f>
        <v>843</v>
      </c>
      <c r="K1119" s="15" t="str">
        <f t="shared" si="381"/>
        <v>Statues and Busts</v>
      </c>
      <c r="L1119" s="15" t="str">
        <f t="shared" si="382"/>
        <v>Doctor Who: Signature Edition Statue: Gallifrey Edition: Tom Baker</v>
      </c>
      <c r="M1119" s="15" t="str">
        <f t="shared" si="383"/>
        <v>-</v>
      </c>
      <c r="N1119" s="15">
        <f t="shared" si="384"/>
        <v>2.5</v>
      </c>
      <c r="O1119" s="15" t="str">
        <f t="shared" si="385"/>
        <v>A20</v>
      </c>
      <c r="P1119" s="15" t="str">
        <f t="shared" si="386"/>
        <v>Morbius Inc.</v>
      </c>
      <c r="Q1119" s="15" t="str">
        <f t="shared" si="387"/>
        <v>56 Michael Spice Hwy</v>
      </c>
      <c r="R1119" s="3">
        <f>OrdersTable!C1119</f>
        <v>44640</v>
      </c>
      <c r="S1119" s="15">
        <f>OrdersTable!E1119</f>
        <v>9</v>
      </c>
      <c r="T1119" s="15">
        <f t="shared" si="388"/>
        <v>49.99</v>
      </c>
      <c r="U1119" s="15">
        <f t="shared" si="389"/>
        <v>68.33</v>
      </c>
      <c r="V1119" s="15">
        <f t="shared" si="390"/>
        <v>80.98</v>
      </c>
      <c r="W1119" s="15">
        <f>IF(MarkupType="Store Markup",ROUND(V1119+V1119*StoreMarkup,2),IF(MarkupType="Supplier Markup",V1119+V1119*SupplierMarkup,"Error at finding value"))</f>
        <v>127.54</v>
      </c>
      <c r="X1119" s="32">
        <f t="shared" si="392"/>
        <v>9.09</v>
      </c>
      <c r="Y1119" s="15">
        <f t="shared" si="393"/>
        <v>728.82</v>
      </c>
      <c r="Z1119" s="15">
        <f t="shared" si="394"/>
        <v>1066.05</v>
      </c>
      <c r="AA1119" s="15">
        <f>IF(FreightType="Lethbridge-Stewart Freight ",ROUND(2.99+IF(N1119&gt;0.75,(N1119-0.75)*2.25,0)*S1119,2),IF(MarkupType="Supplier Markup",V1119+V1119*SupplierMarkup,"Error at finding value"))</f>
        <v>38.43</v>
      </c>
      <c r="AB1119" s="15">
        <f t="shared" si="395"/>
        <v>81.81</v>
      </c>
    </row>
    <row r="1120" spans="1:28" x14ac:dyDescent="0.25">
      <c r="A1120" s="16">
        <f>OrdersTable!A1120</f>
        <v>42</v>
      </c>
      <c r="B1120" s="15" t="str">
        <f t="shared" si="375"/>
        <v>Mr</v>
      </c>
      <c r="C1120" s="15" t="str">
        <f t="shared" si="396"/>
        <v>Ballantyne</v>
      </c>
      <c r="D1120" s="15" t="str">
        <f t="shared" si="376"/>
        <v>Barry John</v>
      </c>
      <c r="E1120" s="15" t="str">
        <f t="shared" si="377"/>
        <v>14 Bachmann Drive</v>
      </c>
      <c r="F1120" s="15" t="str">
        <f t="shared" si="378"/>
        <v>Alleena</v>
      </c>
      <c r="G1120" s="15" t="str">
        <f t="shared" si="379"/>
        <v>NSW</v>
      </c>
      <c r="H1120" s="15">
        <f t="shared" si="380"/>
        <v>2671</v>
      </c>
      <c r="I1120" s="15">
        <f t="shared" si="391"/>
        <v>988</v>
      </c>
      <c r="J1120" s="15">
        <f>OrdersTable!B1120</f>
        <v>196</v>
      </c>
      <c r="K1120" s="15" t="str">
        <f t="shared" si="381"/>
        <v>Clothing and Apparel</v>
      </c>
      <c r="L1120" s="15" t="str">
        <f t="shared" si="382"/>
        <v>Doctor Who: 12 Foot Tom Baker Scarf</v>
      </c>
      <c r="M1120" s="15" t="str">
        <f t="shared" si="383"/>
        <v>-</v>
      </c>
      <c r="N1120" s="15">
        <f t="shared" si="384"/>
        <v>2.5</v>
      </c>
      <c r="O1120" s="15" t="str">
        <f t="shared" si="385"/>
        <v>A40</v>
      </c>
      <c r="P1120" s="15" t="str">
        <f t="shared" si="386"/>
        <v>Romana Imports</v>
      </c>
      <c r="Q1120" s="15" t="str">
        <f t="shared" si="387"/>
        <v>17 Lalla Ward Road</v>
      </c>
      <c r="R1120" s="3">
        <f>OrdersTable!C1120</f>
        <v>44641</v>
      </c>
      <c r="S1120" s="15">
        <f>OrdersTable!E1120</f>
        <v>4</v>
      </c>
      <c r="T1120" s="15">
        <f t="shared" si="388"/>
        <v>49.99</v>
      </c>
      <c r="U1120" s="15">
        <f t="shared" si="389"/>
        <v>68.28</v>
      </c>
      <c r="V1120" s="15">
        <f t="shared" si="390"/>
        <v>80.98</v>
      </c>
      <c r="W1120" s="15">
        <f>IF(MarkupType="Store Markup",ROUND(V1120+V1120*StoreMarkup,2),IF(MarkupType="Supplier Markup",V1120+V1120*SupplierMarkup,"Error at finding value"))</f>
        <v>127.54</v>
      </c>
      <c r="X1120" s="32">
        <f t="shared" si="392"/>
        <v>9.09</v>
      </c>
      <c r="Y1120" s="15">
        <f t="shared" si="393"/>
        <v>323.92</v>
      </c>
      <c r="Z1120" s="15">
        <f t="shared" si="394"/>
        <v>473.8</v>
      </c>
      <c r="AA1120" s="15">
        <f>IF(FreightType="Lethbridge-Stewart Freight ",ROUND(2.99+IF(N1120&gt;0.75,(N1120-0.75)*2.25,0)*S1120,2),IF(MarkupType="Supplier Markup",V1120+V1120*SupplierMarkup,"Error at finding value"))</f>
        <v>18.739999999999998</v>
      </c>
      <c r="AB1120" s="15">
        <f t="shared" si="395"/>
        <v>36.36</v>
      </c>
    </row>
    <row r="1121" spans="1:28" x14ac:dyDescent="0.25">
      <c r="A1121" s="16">
        <f>OrdersTable!A1121</f>
        <v>66</v>
      </c>
      <c r="B1121" s="15" t="str">
        <f t="shared" si="375"/>
        <v>Mr</v>
      </c>
      <c r="C1121" s="15" t="str">
        <f t="shared" si="396"/>
        <v>Bachmann</v>
      </c>
      <c r="D1121" s="15" t="str">
        <f t="shared" si="376"/>
        <v>Aaron</v>
      </c>
      <c r="E1121" s="15" t="str">
        <f t="shared" si="377"/>
        <v>3 Csabai Avenue</v>
      </c>
      <c r="F1121" s="15" t="str">
        <f t="shared" si="378"/>
        <v>Bridgewater</v>
      </c>
      <c r="G1121" s="15" t="str">
        <f t="shared" si="379"/>
        <v>VIC</v>
      </c>
      <c r="H1121" s="15">
        <f t="shared" si="380"/>
        <v>3516</v>
      </c>
      <c r="I1121" s="15">
        <f t="shared" si="391"/>
        <v>1486</v>
      </c>
      <c r="J1121" s="15">
        <f>OrdersTable!B1121</f>
        <v>673</v>
      </c>
      <c r="K1121" s="15" t="str">
        <f t="shared" si="381"/>
        <v>Mugs</v>
      </c>
      <c r="L1121" s="15" t="str">
        <f t="shared" si="382"/>
        <v>Doctor Who: Mug: TARDIS With Lid</v>
      </c>
      <c r="M1121" s="15" t="str">
        <f t="shared" si="383"/>
        <v>-</v>
      </c>
      <c r="N1121" s="15">
        <f t="shared" si="384"/>
        <v>0.58499999999999996</v>
      </c>
      <c r="O1121" s="15" t="str">
        <f t="shared" si="385"/>
        <v>A10</v>
      </c>
      <c r="P1121" s="15" t="str">
        <f t="shared" si="386"/>
        <v>Gallifrey International</v>
      </c>
      <c r="Q1121" s="15" t="str">
        <f t="shared" si="387"/>
        <v>181 Arcadia Street</v>
      </c>
      <c r="R1121" s="3">
        <f>OrdersTable!C1121</f>
        <v>44641</v>
      </c>
      <c r="S1121" s="15">
        <f>OrdersTable!E1121</f>
        <v>2</v>
      </c>
      <c r="T1121" s="15">
        <f t="shared" si="388"/>
        <v>11.69</v>
      </c>
      <c r="U1121" s="15">
        <f t="shared" si="389"/>
        <v>16.190000000000001</v>
      </c>
      <c r="V1121" s="15">
        <f t="shared" si="390"/>
        <v>18.940000000000001</v>
      </c>
      <c r="W1121" s="15">
        <f>IF(MarkupType="Store Markup",ROUND(V1121+V1121*StoreMarkup,2),IF(MarkupType="Supplier Markup",V1121+V1121*SupplierMarkup,"Error at finding value"))</f>
        <v>29.83</v>
      </c>
      <c r="X1121" s="32" t="str">
        <f t="shared" si="392"/>
        <v>0.00</v>
      </c>
      <c r="Y1121" s="15">
        <f t="shared" si="393"/>
        <v>37.880000000000003</v>
      </c>
      <c r="Z1121" s="15">
        <f t="shared" si="394"/>
        <v>59.66</v>
      </c>
      <c r="AA1121" s="15">
        <f>IF(FreightType="Lethbridge-Stewart Freight ",ROUND(2.99+IF(N1121&gt;0.75,(N1121-0.75)*2.25,0)*S1121,2),IF(MarkupType="Supplier Markup",V1121+V1121*SupplierMarkup,"Error at finding value"))</f>
        <v>2.99</v>
      </c>
      <c r="AB1121" s="15">
        <f t="shared" si="395"/>
        <v>0</v>
      </c>
    </row>
    <row r="1122" spans="1:28" x14ac:dyDescent="0.25">
      <c r="A1122" s="16">
        <f>OrdersTable!A1122</f>
        <v>139</v>
      </c>
      <c r="B1122" s="15" t="str">
        <f t="shared" si="375"/>
        <v>Mrs</v>
      </c>
      <c r="C1122" s="15" t="str">
        <f t="shared" si="396"/>
        <v>Atkinson</v>
      </c>
      <c r="D1122" s="15" t="str">
        <f t="shared" si="376"/>
        <v>Leanne</v>
      </c>
      <c r="E1122" s="15" t="str">
        <f t="shared" si="377"/>
        <v>45 Maloney Boulevard</v>
      </c>
      <c r="F1122" s="15" t="str">
        <f t="shared" si="378"/>
        <v>Avon Plains</v>
      </c>
      <c r="G1122" s="15" t="str">
        <f t="shared" si="379"/>
        <v>VIC</v>
      </c>
      <c r="H1122" s="15">
        <f t="shared" si="380"/>
        <v>3477</v>
      </c>
      <c r="I1122" s="15">
        <f t="shared" si="391"/>
        <v>1565</v>
      </c>
      <c r="J1122" s="15">
        <f>OrdersTable!B1122</f>
        <v>582</v>
      </c>
      <c r="K1122" s="15" t="str">
        <f t="shared" si="381"/>
        <v>Giftware</v>
      </c>
      <c r="L1122" s="15" t="str">
        <f t="shared" si="382"/>
        <v>Doctor Who: Wallpaper: Classic TARDIS Roundels</v>
      </c>
      <c r="M1122" s="15" t="str">
        <f t="shared" si="383"/>
        <v>-</v>
      </c>
      <c r="N1122" s="15">
        <f t="shared" si="384"/>
        <v>1.75</v>
      </c>
      <c r="O1122" s="15" t="str">
        <f t="shared" si="385"/>
        <v>A40</v>
      </c>
      <c r="P1122" s="15" t="str">
        <f t="shared" si="386"/>
        <v>Romana Imports</v>
      </c>
      <c r="Q1122" s="15" t="str">
        <f t="shared" si="387"/>
        <v>17 Lalla Ward Road</v>
      </c>
      <c r="R1122" s="3">
        <f>OrdersTable!C1122</f>
        <v>44641</v>
      </c>
      <c r="S1122" s="15">
        <f>OrdersTable!E1122</f>
        <v>2</v>
      </c>
      <c r="T1122" s="15">
        <f t="shared" si="388"/>
        <v>34.99</v>
      </c>
      <c r="U1122" s="15">
        <f t="shared" si="389"/>
        <v>47.77</v>
      </c>
      <c r="V1122" s="15">
        <f t="shared" si="390"/>
        <v>56.68</v>
      </c>
      <c r="W1122" s="15">
        <f>IF(MarkupType="Store Markup",ROUND(V1122+V1122*StoreMarkup,2),IF(MarkupType="Supplier Markup",V1122+V1122*SupplierMarkup,"Error at finding value"))</f>
        <v>89.27</v>
      </c>
      <c r="X1122" s="32" t="str">
        <f t="shared" si="392"/>
        <v>0.00</v>
      </c>
      <c r="Y1122" s="15">
        <f t="shared" si="393"/>
        <v>113.36</v>
      </c>
      <c r="Z1122" s="15">
        <f t="shared" si="394"/>
        <v>178.54</v>
      </c>
      <c r="AA1122" s="15">
        <f>IF(FreightType="Lethbridge-Stewart Freight ",ROUND(2.99+IF(N1122&gt;0.75,(N1122-0.75)*2.25,0)*S1122,2),IF(MarkupType="Supplier Markup",V1122+V1122*SupplierMarkup,"Error at finding value"))</f>
        <v>7.49</v>
      </c>
      <c r="AB1122" s="15">
        <f t="shared" si="395"/>
        <v>0</v>
      </c>
    </row>
    <row r="1123" spans="1:28" x14ac:dyDescent="0.25">
      <c r="A1123" s="16">
        <f>OrdersTable!A1123</f>
        <v>146</v>
      </c>
      <c r="B1123" s="15" t="str">
        <f t="shared" si="375"/>
        <v>Miss</v>
      </c>
      <c r="C1123" s="15" t="str">
        <f t="shared" si="396"/>
        <v>Brown</v>
      </c>
      <c r="D1123" s="15" t="str">
        <f t="shared" si="376"/>
        <v>Sarah Danielle</v>
      </c>
      <c r="E1123" s="15" t="str">
        <f t="shared" si="377"/>
        <v>50 Brieschke Court</v>
      </c>
      <c r="F1123" s="15" t="str">
        <f t="shared" si="378"/>
        <v>Bray Park</v>
      </c>
      <c r="G1123" s="15" t="str">
        <f t="shared" si="379"/>
        <v>QLD</v>
      </c>
      <c r="H1123" s="15">
        <f t="shared" si="380"/>
        <v>4500</v>
      </c>
      <c r="I1123" s="15">
        <f t="shared" si="391"/>
        <v>139</v>
      </c>
      <c r="J1123" s="15">
        <f>OrdersTable!B1123</f>
        <v>563</v>
      </c>
      <c r="K1123" s="15" t="str">
        <f t="shared" si="381"/>
        <v>Giftware</v>
      </c>
      <c r="L1123" s="15" t="str">
        <f t="shared" si="382"/>
        <v>Doctor Who: TARDIS Jewellery Box</v>
      </c>
      <c r="M1123" s="15" t="str">
        <f t="shared" si="383"/>
        <v>-</v>
      </c>
      <c r="N1123" s="15">
        <f t="shared" si="384"/>
        <v>1.1499999999999999</v>
      </c>
      <c r="O1123" s="15" t="str">
        <f t="shared" si="385"/>
        <v>A50</v>
      </c>
      <c r="P1123" s="15" t="str">
        <f t="shared" si="386"/>
        <v>Rassilon Ltd.</v>
      </c>
      <c r="Q1123" s="15" t="str">
        <f t="shared" si="387"/>
        <v>82 Richard Mathews Road</v>
      </c>
      <c r="R1123" s="3">
        <f>OrdersTable!C1123</f>
        <v>44641</v>
      </c>
      <c r="S1123" s="15">
        <f>OrdersTable!E1123</f>
        <v>9</v>
      </c>
      <c r="T1123" s="15">
        <f t="shared" si="388"/>
        <v>22.99</v>
      </c>
      <c r="U1123" s="15">
        <f t="shared" si="389"/>
        <v>31.63</v>
      </c>
      <c r="V1123" s="15">
        <f t="shared" si="390"/>
        <v>37.24</v>
      </c>
      <c r="W1123" s="15">
        <f>IF(MarkupType="Store Markup",ROUND(V1123+V1123*StoreMarkup,2),IF(MarkupType="Supplier Markup",V1123+V1123*SupplierMarkup,"Error at finding value"))</f>
        <v>58.65</v>
      </c>
      <c r="X1123" s="32" t="str">
        <f t="shared" si="392"/>
        <v>0.00</v>
      </c>
      <c r="Y1123" s="15">
        <f t="shared" si="393"/>
        <v>335.16</v>
      </c>
      <c r="Z1123" s="15">
        <f t="shared" si="394"/>
        <v>527.85</v>
      </c>
      <c r="AA1123" s="15">
        <f>IF(FreightType="Lethbridge-Stewart Freight ",ROUND(2.99+IF(N1123&gt;0.75,(N1123-0.75)*2.25,0)*S1123,2),IF(MarkupType="Supplier Markup",V1123+V1123*SupplierMarkup,"Error at finding value"))</f>
        <v>11.09</v>
      </c>
      <c r="AB1123" s="15">
        <f t="shared" si="395"/>
        <v>0</v>
      </c>
    </row>
    <row r="1124" spans="1:28" x14ac:dyDescent="0.25">
      <c r="A1124" s="16">
        <f>OrdersTable!A1124</f>
        <v>158</v>
      </c>
      <c r="B1124" s="15" t="str">
        <f t="shared" si="375"/>
        <v>Mr</v>
      </c>
      <c r="C1124" s="15" t="str">
        <f t="shared" si="396"/>
        <v>Fowler</v>
      </c>
      <c r="D1124" s="15" t="str">
        <f t="shared" si="376"/>
        <v>James</v>
      </c>
      <c r="E1124" s="15" t="str">
        <f t="shared" si="377"/>
        <v>30 Virk Court</v>
      </c>
      <c r="F1124" s="15" t="str">
        <f t="shared" si="378"/>
        <v>Black Hills</v>
      </c>
      <c r="G1124" s="15" t="str">
        <f t="shared" si="379"/>
        <v>TAS</v>
      </c>
      <c r="H1124" s="15">
        <f t="shared" si="380"/>
        <v>7140</v>
      </c>
      <c r="I1124" s="15">
        <f t="shared" si="391"/>
        <v>2191</v>
      </c>
      <c r="J1124" s="15">
        <f>OrdersTable!B1124</f>
        <v>594</v>
      </c>
      <c r="K1124" s="15" t="str">
        <f t="shared" si="381"/>
        <v>iPhone Skins</v>
      </c>
      <c r="L1124" s="15" t="str">
        <f t="shared" si="382"/>
        <v>Doctor Who: iPhone Skin: Keep Calm And Don't Blink</v>
      </c>
      <c r="M1124" s="15" t="str">
        <f t="shared" si="383"/>
        <v>-</v>
      </c>
      <c r="N1124" s="15">
        <f t="shared" si="384"/>
        <v>0.5</v>
      </c>
      <c r="O1124" s="15" t="str">
        <f t="shared" si="385"/>
        <v>A20</v>
      </c>
      <c r="P1124" s="15" t="str">
        <f t="shared" si="386"/>
        <v>Morbius Inc.</v>
      </c>
      <c r="Q1124" s="15" t="str">
        <f t="shared" si="387"/>
        <v>56 Michael Spice Hwy</v>
      </c>
      <c r="R1124" s="3">
        <f>OrdersTable!C1124</f>
        <v>44641</v>
      </c>
      <c r="S1124" s="15">
        <f>OrdersTable!E1124</f>
        <v>4</v>
      </c>
      <c r="T1124" s="15">
        <f t="shared" si="388"/>
        <v>9.99</v>
      </c>
      <c r="U1124" s="15">
        <f t="shared" si="389"/>
        <v>13.88</v>
      </c>
      <c r="V1124" s="15">
        <f t="shared" si="390"/>
        <v>16.18</v>
      </c>
      <c r="W1124" s="15">
        <f>IF(MarkupType="Store Markup",ROUND(V1124+V1124*StoreMarkup,2),IF(MarkupType="Supplier Markup",V1124+V1124*SupplierMarkup,"Error at finding value"))</f>
        <v>25.48</v>
      </c>
      <c r="X1124" s="32" t="str">
        <f t="shared" si="392"/>
        <v>0.00</v>
      </c>
      <c r="Y1124" s="15">
        <f t="shared" si="393"/>
        <v>64.72</v>
      </c>
      <c r="Z1124" s="15">
        <f t="shared" si="394"/>
        <v>101.92</v>
      </c>
      <c r="AA1124" s="15">
        <f>IF(FreightType="Lethbridge-Stewart Freight ",ROUND(2.99+IF(N1124&gt;0.75,(N1124-0.75)*2.25,0)*S1124,2),IF(MarkupType="Supplier Markup",V1124+V1124*SupplierMarkup,"Error at finding value"))</f>
        <v>2.99</v>
      </c>
      <c r="AB1124" s="15">
        <f t="shared" si="395"/>
        <v>0</v>
      </c>
    </row>
    <row r="1125" spans="1:28" x14ac:dyDescent="0.25">
      <c r="A1125" s="16">
        <f>OrdersTable!A1125</f>
        <v>323</v>
      </c>
      <c r="B1125" s="15" t="str">
        <f t="shared" si="375"/>
        <v>Dr</v>
      </c>
      <c r="C1125" s="15" t="str">
        <f t="shared" si="396"/>
        <v>King</v>
      </c>
      <c r="D1125" s="15" t="str">
        <f t="shared" si="376"/>
        <v>Leith</v>
      </c>
      <c r="E1125" s="15" t="str">
        <f t="shared" si="377"/>
        <v>25 Carbone Court</v>
      </c>
      <c r="F1125" s="15" t="str">
        <f t="shared" si="378"/>
        <v>Nayook</v>
      </c>
      <c r="G1125" s="15" t="str">
        <f t="shared" si="379"/>
        <v>VIC</v>
      </c>
      <c r="H1125" s="15">
        <f t="shared" si="380"/>
        <v>3832</v>
      </c>
      <c r="I1125" s="15">
        <f t="shared" si="391"/>
        <v>1552</v>
      </c>
      <c r="J1125" s="15">
        <f>OrdersTable!B1125</f>
        <v>679</v>
      </c>
      <c r="K1125" s="15" t="str">
        <f t="shared" si="381"/>
        <v>Mugs</v>
      </c>
      <c r="L1125" s="15" t="str">
        <f t="shared" si="382"/>
        <v>Doctor Who: Mug: The Fifth Doctor</v>
      </c>
      <c r="M1125" s="15" t="str">
        <f t="shared" si="383"/>
        <v>-</v>
      </c>
      <c r="N1125" s="15">
        <f t="shared" si="384"/>
        <v>0.45</v>
      </c>
      <c r="O1125" s="15" t="str">
        <f t="shared" si="385"/>
        <v>A40</v>
      </c>
      <c r="P1125" s="15" t="str">
        <f t="shared" si="386"/>
        <v>Romana Imports</v>
      </c>
      <c r="Q1125" s="15" t="str">
        <f t="shared" si="387"/>
        <v>17 Lalla Ward Road</v>
      </c>
      <c r="R1125" s="3">
        <f>OrdersTable!C1125</f>
        <v>44641</v>
      </c>
      <c r="S1125" s="15">
        <f>OrdersTable!E1125</f>
        <v>6</v>
      </c>
      <c r="T1125" s="15">
        <f t="shared" si="388"/>
        <v>8.99</v>
      </c>
      <c r="U1125" s="15">
        <f t="shared" si="389"/>
        <v>12.28</v>
      </c>
      <c r="V1125" s="15">
        <f t="shared" si="390"/>
        <v>14.56</v>
      </c>
      <c r="W1125" s="15">
        <f>IF(MarkupType="Store Markup",ROUND(V1125+V1125*StoreMarkup,2),IF(MarkupType="Supplier Markup",V1125+V1125*SupplierMarkup,"Error at finding value"))</f>
        <v>22.93</v>
      </c>
      <c r="X1125" s="32" t="str">
        <f t="shared" si="392"/>
        <v>0.00</v>
      </c>
      <c r="Y1125" s="15">
        <f t="shared" si="393"/>
        <v>87.36</v>
      </c>
      <c r="Z1125" s="15">
        <f t="shared" si="394"/>
        <v>137.58000000000001</v>
      </c>
      <c r="AA1125" s="15">
        <f>IF(FreightType="Lethbridge-Stewart Freight ",ROUND(2.99+IF(N1125&gt;0.75,(N1125-0.75)*2.25,0)*S1125,2),IF(MarkupType="Supplier Markup",V1125+V1125*SupplierMarkup,"Error at finding value"))</f>
        <v>2.99</v>
      </c>
      <c r="AB1125" s="15">
        <f t="shared" si="395"/>
        <v>0</v>
      </c>
    </row>
    <row r="1126" spans="1:28" x14ac:dyDescent="0.25">
      <c r="A1126" s="16">
        <f>OrdersTable!A1126</f>
        <v>323</v>
      </c>
      <c r="B1126" s="15" t="str">
        <f t="shared" si="375"/>
        <v>Dr</v>
      </c>
      <c r="C1126" s="15" t="str">
        <f t="shared" si="396"/>
        <v>King</v>
      </c>
      <c r="D1126" s="15" t="str">
        <f t="shared" si="376"/>
        <v>Leith</v>
      </c>
      <c r="E1126" s="15" t="str">
        <f t="shared" si="377"/>
        <v>25 Carbone Court</v>
      </c>
      <c r="F1126" s="15" t="str">
        <f t="shared" si="378"/>
        <v>Nayook</v>
      </c>
      <c r="G1126" s="15" t="str">
        <f t="shared" si="379"/>
        <v>VIC</v>
      </c>
      <c r="H1126" s="15">
        <f t="shared" si="380"/>
        <v>3832</v>
      </c>
      <c r="I1126" s="15">
        <f t="shared" si="391"/>
        <v>1552</v>
      </c>
      <c r="J1126" s="15">
        <f>OrdersTable!B1126</f>
        <v>683</v>
      </c>
      <c r="K1126" s="15" t="str">
        <f t="shared" si="381"/>
        <v>Mugs</v>
      </c>
      <c r="L1126" s="15" t="str">
        <f t="shared" si="382"/>
        <v>Doctor Who: Mug: The Tenth Doctor</v>
      </c>
      <c r="M1126" s="15" t="str">
        <f t="shared" si="383"/>
        <v>-</v>
      </c>
      <c r="N1126" s="15">
        <f t="shared" si="384"/>
        <v>0.45</v>
      </c>
      <c r="O1126" s="15" t="str">
        <f t="shared" si="385"/>
        <v>A20</v>
      </c>
      <c r="P1126" s="15" t="str">
        <f t="shared" si="386"/>
        <v>Morbius Inc.</v>
      </c>
      <c r="Q1126" s="15" t="str">
        <f t="shared" si="387"/>
        <v>56 Michael Spice Hwy</v>
      </c>
      <c r="R1126" s="3">
        <f>OrdersTable!C1126</f>
        <v>44641</v>
      </c>
      <c r="S1126" s="15">
        <f>OrdersTable!E1126</f>
        <v>3</v>
      </c>
      <c r="T1126" s="15">
        <f t="shared" si="388"/>
        <v>8.99</v>
      </c>
      <c r="U1126" s="15">
        <f t="shared" si="389"/>
        <v>12.54</v>
      </c>
      <c r="V1126" s="15">
        <f t="shared" si="390"/>
        <v>14.56</v>
      </c>
      <c r="W1126" s="15">
        <f>IF(MarkupType="Store Markup",ROUND(V1126+V1126*StoreMarkup,2),IF(MarkupType="Supplier Markup",V1126+V1126*SupplierMarkup,"Error at finding value"))</f>
        <v>22.93</v>
      </c>
      <c r="X1126" s="32" t="str">
        <f t="shared" si="392"/>
        <v>0.00</v>
      </c>
      <c r="Y1126" s="15">
        <f t="shared" si="393"/>
        <v>43.68</v>
      </c>
      <c r="Z1126" s="15">
        <f t="shared" si="394"/>
        <v>68.790000000000006</v>
      </c>
      <c r="AA1126" s="15">
        <f>IF(FreightType="Lethbridge-Stewart Freight ",ROUND(2.99+IF(N1126&gt;0.75,(N1126-0.75)*2.25,0)*S1126,2),IF(MarkupType="Supplier Markup",V1126+V1126*SupplierMarkup,"Error at finding value"))</f>
        <v>2.99</v>
      </c>
      <c r="AB1126" s="15">
        <f t="shared" si="395"/>
        <v>0</v>
      </c>
    </row>
    <row r="1127" spans="1:28" x14ac:dyDescent="0.25">
      <c r="A1127" s="16">
        <f>OrdersTable!A1127</f>
        <v>329</v>
      </c>
      <c r="B1127" s="15" t="str">
        <f t="shared" si="375"/>
        <v>Ms</v>
      </c>
      <c r="C1127" s="15" t="str">
        <f t="shared" si="396"/>
        <v>Hubbard</v>
      </c>
      <c r="D1127" s="15" t="str">
        <f t="shared" si="376"/>
        <v>Sonya Marie</v>
      </c>
      <c r="E1127" s="15" t="str">
        <f t="shared" si="377"/>
        <v>42 Keable Crescent</v>
      </c>
      <c r="F1127" s="15" t="str">
        <f t="shared" si="378"/>
        <v>Boston</v>
      </c>
      <c r="G1127" s="15" t="str">
        <f t="shared" si="379"/>
        <v>SA</v>
      </c>
      <c r="H1127" s="15">
        <f t="shared" si="380"/>
        <v>5607</v>
      </c>
      <c r="I1127" s="15">
        <f t="shared" si="391"/>
        <v>2076</v>
      </c>
      <c r="J1127" s="15">
        <f>OrdersTable!B1127</f>
        <v>594</v>
      </c>
      <c r="K1127" s="15" t="str">
        <f t="shared" si="381"/>
        <v>iPhone Skins</v>
      </c>
      <c r="L1127" s="15" t="str">
        <f t="shared" si="382"/>
        <v>Doctor Who: iPhone Skin: Keep Calm And Don't Blink</v>
      </c>
      <c r="M1127" s="15" t="str">
        <f t="shared" si="383"/>
        <v>-</v>
      </c>
      <c r="N1127" s="15">
        <f t="shared" si="384"/>
        <v>0.5</v>
      </c>
      <c r="O1127" s="15" t="str">
        <f t="shared" si="385"/>
        <v>A20</v>
      </c>
      <c r="P1127" s="15" t="str">
        <f t="shared" si="386"/>
        <v>Morbius Inc.</v>
      </c>
      <c r="Q1127" s="15" t="str">
        <f t="shared" si="387"/>
        <v>56 Michael Spice Hwy</v>
      </c>
      <c r="R1127" s="3">
        <f>OrdersTable!C1127</f>
        <v>44641</v>
      </c>
      <c r="S1127" s="15">
        <f>OrdersTable!E1127</f>
        <v>7</v>
      </c>
      <c r="T1127" s="15">
        <f t="shared" si="388"/>
        <v>9.99</v>
      </c>
      <c r="U1127" s="15">
        <f t="shared" si="389"/>
        <v>13.88</v>
      </c>
      <c r="V1127" s="15">
        <f t="shared" si="390"/>
        <v>16.18</v>
      </c>
      <c r="W1127" s="15">
        <f>IF(MarkupType="Store Markup",ROUND(V1127+V1127*StoreMarkup,2),IF(MarkupType="Supplier Markup",V1127+V1127*SupplierMarkup,"Error at finding value"))</f>
        <v>25.48</v>
      </c>
      <c r="X1127" s="32" t="str">
        <f t="shared" si="392"/>
        <v>0.00</v>
      </c>
      <c r="Y1127" s="15">
        <f t="shared" si="393"/>
        <v>113.26</v>
      </c>
      <c r="Z1127" s="15">
        <f t="shared" si="394"/>
        <v>178.36</v>
      </c>
      <c r="AA1127" s="15">
        <f>IF(FreightType="Lethbridge-Stewart Freight ",ROUND(2.99+IF(N1127&gt;0.75,(N1127-0.75)*2.25,0)*S1127,2),IF(MarkupType="Supplier Markup",V1127+V1127*SupplierMarkup,"Error at finding value"))</f>
        <v>2.99</v>
      </c>
      <c r="AB1127" s="15">
        <f t="shared" si="395"/>
        <v>0</v>
      </c>
    </row>
    <row r="1128" spans="1:28" x14ac:dyDescent="0.25">
      <c r="A1128" s="16">
        <f>OrdersTable!A1128</f>
        <v>331</v>
      </c>
      <c r="B1128" s="15" t="str">
        <f t="shared" si="375"/>
        <v>Mrs</v>
      </c>
      <c r="C1128" s="15" t="str">
        <f t="shared" si="396"/>
        <v>McKenzie</v>
      </c>
      <c r="D1128" s="15" t="str">
        <f t="shared" si="376"/>
        <v>Melinda Kate</v>
      </c>
      <c r="E1128" s="15" t="str">
        <f t="shared" si="377"/>
        <v>49 McKay Way</v>
      </c>
      <c r="F1128" s="15" t="str">
        <f t="shared" si="378"/>
        <v>Black Hills</v>
      </c>
      <c r="G1128" s="15" t="str">
        <f t="shared" si="379"/>
        <v>TAS</v>
      </c>
      <c r="H1128" s="15">
        <f t="shared" si="380"/>
        <v>7140</v>
      </c>
      <c r="I1128" s="15">
        <f t="shared" si="391"/>
        <v>2191</v>
      </c>
      <c r="J1128" s="15">
        <f>OrdersTable!B1128</f>
        <v>418</v>
      </c>
      <c r="K1128" s="15" t="str">
        <f t="shared" si="381"/>
        <v>Clothing and Apparel</v>
      </c>
      <c r="L1128" s="15" t="str">
        <f t="shared" si="382"/>
        <v>Doctor Who: Women's Winter Pyjamas</v>
      </c>
      <c r="M1128" s="15" t="str">
        <f t="shared" si="383"/>
        <v>M</v>
      </c>
      <c r="N1128" s="15">
        <f t="shared" si="384"/>
        <v>1.5</v>
      </c>
      <c r="O1128" s="15" t="str">
        <f t="shared" si="385"/>
        <v>A30</v>
      </c>
      <c r="P1128" s="15" t="str">
        <f t="shared" si="386"/>
        <v>Chesterton Enterprises</v>
      </c>
      <c r="Q1128" s="15" t="str">
        <f t="shared" si="387"/>
        <v>41 William Russell Road</v>
      </c>
      <c r="R1128" s="3">
        <f>OrdersTable!C1128</f>
        <v>44641</v>
      </c>
      <c r="S1128" s="15">
        <f>OrdersTable!E1128</f>
        <v>4</v>
      </c>
      <c r="T1128" s="15">
        <f t="shared" si="388"/>
        <v>29.99</v>
      </c>
      <c r="U1128" s="15">
        <f t="shared" si="389"/>
        <v>40.96</v>
      </c>
      <c r="V1128" s="15">
        <f t="shared" si="390"/>
        <v>48.58</v>
      </c>
      <c r="W1128" s="15">
        <f>IF(MarkupType="Store Markup",ROUND(V1128+V1128*StoreMarkup,2),IF(MarkupType="Supplier Markup",V1128+V1128*SupplierMarkup,"Error at finding value"))</f>
        <v>76.510000000000005</v>
      </c>
      <c r="X1128" s="32" t="str">
        <f t="shared" si="392"/>
        <v>0.00</v>
      </c>
      <c r="Y1128" s="15">
        <f t="shared" si="393"/>
        <v>194.32</v>
      </c>
      <c r="Z1128" s="15">
        <f t="shared" si="394"/>
        <v>306.04000000000002</v>
      </c>
      <c r="AA1128" s="15">
        <f>IF(FreightType="Lethbridge-Stewart Freight ",ROUND(2.99+IF(N1128&gt;0.75,(N1128-0.75)*2.25,0)*S1128,2),IF(MarkupType="Supplier Markup",V1128+V1128*SupplierMarkup,"Error at finding value"))</f>
        <v>9.74</v>
      </c>
      <c r="AB1128" s="15">
        <f t="shared" si="395"/>
        <v>0</v>
      </c>
    </row>
    <row r="1129" spans="1:28" x14ac:dyDescent="0.25">
      <c r="A1129" s="16">
        <f>OrdersTable!A1129</f>
        <v>364</v>
      </c>
      <c r="B1129" s="15" t="str">
        <f t="shared" si="375"/>
        <v>Dr</v>
      </c>
      <c r="C1129" s="15" t="str">
        <f t="shared" si="396"/>
        <v>Reibelt</v>
      </c>
      <c r="D1129" s="15" t="str">
        <f t="shared" si="376"/>
        <v>Corey James</v>
      </c>
      <c r="E1129" s="15" t="str">
        <f t="shared" si="377"/>
        <v>23 Burns Drive</v>
      </c>
      <c r="F1129" s="15" t="str">
        <f t="shared" si="378"/>
        <v>Caliph</v>
      </c>
      <c r="G1129" s="15" t="str">
        <f t="shared" si="379"/>
        <v>SA</v>
      </c>
      <c r="H1129" s="15">
        <f t="shared" si="380"/>
        <v>5310</v>
      </c>
      <c r="I1129" s="15">
        <f t="shared" si="391"/>
        <v>1720</v>
      </c>
      <c r="J1129" s="15">
        <f>OrdersTable!B1129</f>
        <v>177</v>
      </c>
      <c r="K1129" s="15" t="str">
        <f t="shared" si="381"/>
        <v>Bobbleheads</v>
      </c>
      <c r="L1129" s="15" t="str">
        <f t="shared" si="382"/>
        <v>Doctor Who: Bobblehead: TARDIS (With Sound)</v>
      </c>
      <c r="M1129" s="15" t="str">
        <f t="shared" si="383"/>
        <v>-</v>
      </c>
      <c r="N1129" s="15">
        <f t="shared" si="384"/>
        <v>1</v>
      </c>
      <c r="O1129" s="15" t="str">
        <f t="shared" si="385"/>
        <v>A30</v>
      </c>
      <c r="P1129" s="15" t="str">
        <f t="shared" si="386"/>
        <v>Chesterton Enterprises</v>
      </c>
      <c r="Q1129" s="15" t="str">
        <f t="shared" si="387"/>
        <v>41 William Russell Road</v>
      </c>
      <c r="R1129" s="3">
        <f>OrdersTable!C1129</f>
        <v>44641</v>
      </c>
      <c r="S1129" s="15">
        <f>OrdersTable!E1129</f>
        <v>4</v>
      </c>
      <c r="T1129" s="15">
        <f t="shared" si="388"/>
        <v>19.989999999999998</v>
      </c>
      <c r="U1129" s="15">
        <f t="shared" si="389"/>
        <v>27.6</v>
      </c>
      <c r="V1129" s="15">
        <f t="shared" si="390"/>
        <v>32.380000000000003</v>
      </c>
      <c r="W1129" s="15">
        <f>IF(MarkupType="Store Markup",ROUND(V1129+V1129*StoreMarkup,2),IF(MarkupType="Supplier Markup",V1129+V1129*SupplierMarkup,"Error at finding value"))</f>
        <v>51</v>
      </c>
      <c r="X1129" s="32" t="str">
        <f t="shared" si="392"/>
        <v>0.00</v>
      </c>
      <c r="Y1129" s="15">
        <f t="shared" si="393"/>
        <v>129.52000000000001</v>
      </c>
      <c r="Z1129" s="15">
        <f t="shared" si="394"/>
        <v>204</v>
      </c>
      <c r="AA1129" s="15">
        <f>IF(FreightType="Lethbridge-Stewart Freight ",ROUND(2.99+IF(N1129&gt;0.75,(N1129-0.75)*2.25,0)*S1129,2),IF(MarkupType="Supplier Markup",V1129+V1129*SupplierMarkup,"Error at finding value"))</f>
        <v>5.24</v>
      </c>
      <c r="AB1129" s="15">
        <f t="shared" si="395"/>
        <v>0</v>
      </c>
    </row>
    <row r="1130" spans="1:28" x14ac:dyDescent="0.25">
      <c r="A1130" s="16">
        <f>OrdersTable!A1130</f>
        <v>412</v>
      </c>
      <c r="B1130" s="15" t="str">
        <f t="shared" si="375"/>
        <v>Miss</v>
      </c>
      <c r="C1130" s="15" t="str">
        <f t="shared" si="396"/>
        <v>Moraitis</v>
      </c>
      <c r="D1130" s="15" t="str">
        <f t="shared" si="376"/>
        <v>Vikki Sue</v>
      </c>
      <c r="E1130" s="15" t="str">
        <f t="shared" si="377"/>
        <v>11 Stuckings Boulevard</v>
      </c>
      <c r="F1130" s="15" t="str">
        <f t="shared" si="378"/>
        <v>Airly</v>
      </c>
      <c r="G1130" s="15" t="str">
        <f t="shared" si="379"/>
        <v>VIC</v>
      </c>
      <c r="H1130" s="15">
        <f t="shared" si="380"/>
        <v>3851</v>
      </c>
      <c r="I1130" s="15">
        <f t="shared" si="391"/>
        <v>1583</v>
      </c>
      <c r="J1130" s="15">
        <f>OrdersTable!B1130</f>
        <v>418</v>
      </c>
      <c r="K1130" s="15" t="str">
        <f t="shared" si="381"/>
        <v>Clothing and Apparel</v>
      </c>
      <c r="L1130" s="15" t="str">
        <f t="shared" si="382"/>
        <v>Doctor Who: Women's Winter Pyjamas</v>
      </c>
      <c r="M1130" s="15" t="str">
        <f t="shared" si="383"/>
        <v>M</v>
      </c>
      <c r="N1130" s="15">
        <f t="shared" si="384"/>
        <v>1.5</v>
      </c>
      <c r="O1130" s="15" t="str">
        <f t="shared" si="385"/>
        <v>A30</v>
      </c>
      <c r="P1130" s="15" t="str">
        <f t="shared" si="386"/>
        <v>Chesterton Enterprises</v>
      </c>
      <c r="Q1130" s="15" t="str">
        <f t="shared" si="387"/>
        <v>41 William Russell Road</v>
      </c>
      <c r="R1130" s="3">
        <f>OrdersTable!C1130</f>
        <v>44641</v>
      </c>
      <c r="S1130" s="15">
        <f>OrdersTable!E1130</f>
        <v>7</v>
      </c>
      <c r="T1130" s="15">
        <f t="shared" si="388"/>
        <v>29.99</v>
      </c>
      <c r="U1130" s="15">
        <f t="shared" si="389"/>
        <v>40.96</v>
      </c>
      <c r="V1130" s="15">
        <f t="shared" si="390"/>
        <v>48.58</v>
      </c>
      <c r="W1130" s="15">
        <f>IF(MarkupType="Store Markup",ROUND(V1130+V1130*StoreMarkup,2),IF(MarkupType="Supplier Markup",V1130+V1130*SupplierMarkup,"Error at finding value"))</f>
        <v>76.510000000000005</v>
      </c>
      <c r="X1130" s="32" t="str">
        <f t="shared" si="392"/>
        <v>0.00</v>
      </c>
      <c r="Y1130" s="15">
        <f t="shared" si="393"/>
        <v>340.06</v>
      </c>
      <c r="Z1130" s="15">
        <f t="shared" si="394"/>
        <v>535.57000000000005</v>
      </c>
      <c r="AA1130" s="15">
        <f>IF(FreightType="Lethbridge-Stewart Freight ",ROUND(2.99+IF(N1130&gt;0.75,(N1130-0.75)*2.25,0)*S1130,2),IF(MarkupType="Supplier Markup",V1130+V1130*SupplierMarkup,"Error at finding value"))</f>
        <v>14.8</v>
      </c>
      <c r="AB1130" s="15">
        <f t="shared" si="395"/>
        <v>0</v>
      </c>
    </row>
    <row r="1131" spans="1:28" x14ac:dyDescent="0.25">
      <c r="A1131" s="16">
        <f>OrdersTable!A1131</f>
        <v>491</v>
      </c>
      <c r="B1131" s="15" t="str">
        <f t="shared" si="375"/>
        <v>Miss</v>
      </c>
      <c r="C1131" s="15" t="str">
        <f t="shared" si="396"/>
        <v>Winks</v>
      </c>
      <c r="D1131" s="15" t="str">
        <f t="shared" si="376"/>
        <v>Lori-Ann</v>
      </c>
      <c r="E1131" s="15" t="str">
        <f t="shared" si="377"/>
        <v>40 Lyne Street</v>
      </c>
      <c r="F1131" s="15" t="str">
        <f t="shared" si="378"/>
        <v>Bray Park</v>
      </c>
      <c r="G1131" s="15" t="str">
        <f t="shared" si="379"/>
        <v>QLD</v>
      </c>
      <c r="H1131" s="15">
        <f t="shared" si="380"/>
        <v>4500</v>
      </c>
      <c r="I1131" s="15">
        <f t="shared" si="391"/>
        <v>139</v>
      </c>
      <c r="J1131" s="15">
        <f>OrdersTable!B1131</f>
        <v>732</v>
      </c>
      <c r="K1131" s="15" t="str">
        <f t="shared" si="381"/>
        <v>Props and Replicas</v>
      </c>
      <c r="L1131" s="15" t="str">
        <f t="shared" si="382"/>
        <v>Doctor Who: Eleventh Doctor's Sonic Screwdriver</v>
      </c>
      <c r="M1131" s="15" t="str">
        <f t="shared" si="383"/>
        <v>-</v>
      </c>
      <c r="N1131" s="15">
        <f t="shared" si="384"/>
        <v>3</v>
      </c>
      <c r="O1131" s="15" t="str">
        <f t="shared" si="385"/>
        <v>A40</v>
      </c>
      <c r="P1131" s="15" t="str">
        <f t="shared" si="386"/>
        <v>Romana Imports</v>
      </c>
      <c r="Q1131" s="15" t="str">
        <f t="shared" si="387"/>
        <v>17 Lalla Ward Road</v>
      </c>
      <c r="R1131" s="3">
        <f>OrdersTable!C1131</f>
        <v>44641</v>
      </c>
      <c r="S1131" s="15">
        <f>OrdersTable!E1131</f>
        <v>9</v>
      </c>
      <c r="T1131" s="15">
        <f t="shared" si="388"/>
        <v>59.99</v>
      </c>
      <c r="U1131" s="15">
        <f t="shared" si="389"/>
        <v>81.83</v>
      </c>
      <c r="V1131" s="15">
        <f t="shared" si="390"/>
        <v>97.18</v>
      </c>
      <c r="W1131" s="15">
        <f>IF(MarkupType="Store Markup",ROUND(V1131+V1131*StoreMarkup,2),IF(MarkupType="Supplier Markup",V1131+V1131*SupplierMarkup,"Error at finding value"))</f>
        <v>153.06</v>
      </c>
      <c r="X1131" s="32">
        <f t="shared" si="392"/>
        <v>10.91</v>
      </c>
      <c r="Y1131" s="15">
        <f t="shared" si="393"/>
        <v>874.62</v>
      </c>
      <c r="Z1131" s="15">
        <f t="shared" si="394"/>
        <v>1279.3499999999999</v>
      </c>
      <c r="AA1131" s="15">
        <f>IF(FreightType="Lethbridge-Stewart Freight ",ROUND(2.99+IF(N1131&gt;0.75,(N1131-0.75)*2.25,0)*S1131,2),IF(MarkupType="Supplier Markup",V1131+V1131*SupplierMarkup,"Error at finding value"))</f>
        <v>48.55</v>
      </c>
      <c r="AB1131" s="15">
        <f t="shared" si="395"/>
        <v>98.19</v>
      </c>
    </row>
    <row r="1132" spans="1:28" x14ac:dyDescent="0.25">
      <c r="A1132" s="16">
        <f>OrdersTable!A1132</f>
        <v>526</v>
      </c>
      <c r="B1132" s="15" t="str">
        <f t="shared" si="375"/>
        <v>Mrs</v>
      </c>
      <c r="C1132" s="15" t="str">
        <f t="shared" si="396"/>
        <v>Bradford</v>
      </c>
      <c r="D1132" s="15" t="str">
        <f t="shared" si="376"/>
        <v>Haleigh Renae Ann</v>
      </c>
      <c r="E1132" s="15" t="str">
        <f t="shared" si="377"/>
        <v>31 Johnston Road</v>
      </c>
      <c r="F1132" s="15" t="str">
        <f t="shared" si="378"/>
        <v>Ashford</v>
      </c>
      <c r="G1132" s="15" t="str">
        <f t="shared" si="379"/>
        <v>SA</v>
      </c>
      <c r="H1132" s="15">
        <f t="shared" si="380"/>
        <v>5035</v>
      </c>
      <c r="I1132" s="15">
        <f t="shared" si="391"/>
        <v>1877</v>
      </c>
      <c r="J1132" s="15">
        <f>OrdersTable!B1132</f>
        <v>620</v>
      </c>
      <c r="K1132" s="15" t="str">
        <f t="shared" si="381"/>
        <v>iPhone Skins</v>
      </c>
      <c r="L1132" s="15" t="str">
        <f t="shared" si="382"/>
        <v>Doctor Who: iPhone Skin: TARDIS Water Colour</v>
      </c>
      <c r="M1132" s="15" t="str">
        <f t="shared" si="383"/>
        <v>-</v>
      </c>
      <c r="N1132" s="15">
        <f t="shared" si="384"/>
        <v>0.5</v>
      </c>
      <c r="O1132" s="15" t="str">
        <f t="shared" si="385"/>
        <v>A30</v>
      </c>
      <c r="P1132" s="15" t="str">
        <f t="shared" si="386"/>
        <v>Chesterton Enterprises</v>
      </c>
      <c r="Q1132" s="15" t="str">
        <f t="shared" si="387"/>
        <v>41 William Russell Road</v>
      </c>
      <c r="R1132" s="3">
        <f>OrdersTable!C1132</f>
        <v>44641</v>
      </c>
      <c r="S1132" s="15">
        <f>OrdersTable!E1132</f>
        <v>2</v>
      </c>
      <c r="T1132" s="15">
        <f t="shared" si="388"/>
        <v>9.99</v>
      </c>
      <c r="U1132" s="15">
        <f t="shared" si="389"/>
        <v>13.81</v>
      </c>
      <c r="V1132" s="15">
        <f t="shared" si="390"/>
        <v>16.18</v>
      </c>
      <c r="W1132" s="15">
        <f>IF(MarkupType="Store Markup",ROUND(V1132+V1132*StoreMarkup,2),IF(MarkupType="Supplier Markup",V1132+V1132*SupplierMarkup,"Error at finding value"))</f>
        <v>25.48</v>
      </c>
      <c r="X1132" s="32" t="str">
        <f t="shared" si="392"/>
        <v>0.00</v>
      </c>
      <c r="Y1132" s="15">
        <f t="shared" si="393"/>
        <v>32.36</v>
      </c>
      <c r="Z1132" s="15">
        <f t="shared" si="394"/>
        <v>50.96</v>
      </c>
      <c r="AA1132" s="15">
        <f>IF(FreightType="Lethbridge-Stewart Freight ",ROUND(2.99+IF(N1132&gt;0.75,(N1132-0.75)*2.25,0)*S1132,2),IF(MarkupType="Supplier Markup",V1132+V1132*SupplierMarkup,"Error at finding value"))</f>
        <v>2.99</v>
      </c>
      <c r="AB1132" s="15">
        <f t="shared" si="395"/>
        <v>0</v>
      </c>
    </row>
    <row r="1133" spans="1:28" x14ac:dyDescent="0.25">
      <c r="A1133" s="16">
        <f>OrdersTable!A1133</f>
        <v>526</v>
      </c>
      <c r="B1133" s="15" t="str">
        <f t="shared" si="375"/>
        <v>Mrs</v>
      </c>
      <c r="C1133" s="15" t="str">
        <f t="shared" si="396"/>
        <v>Bradford</v>
      </c>
      <c r="D1133" s="15" t="str">
        <f t="shared" si="376"/>
        <v>Haleigh Renae Ann</v>
      </c>
      <c r="E1133" s="15" t="str">
        <f t="shared" si="377"/>
        <v>31 Johnston Road</v>
      </c>
      <c r="F1133" s="15" t="str">
        <f t="shared" si="378"/>
        <v>Ashford</v>
      </c>
      <c r="G1133" s="15" t="str">
        <f t="shared" si="379"/>
        <v>SA</v>
      </c>
      <c r="H1133" s="15">
        <f t="shared" si="380"/>
        <v>5035</v>
      </c>
      <c r="I1133" s="15">
        <f t="shared" si="391"/>
        <v>1877</v>
      </c>
      <c r="J1133" s="15">
        <f>OrdersTable!B1133</f>
        <v>812</v>
      </c>
      <c r="K1133" s="15" t="str">
        <f t="shared" si="381"/>
        <v>Statues and Busts</v>
      </c>
      <c r="L1133" s="15" t="str">
        <f t="shared" si="382"/>
        <v>Doctor Who: Masterpiece Collection Maxi Bust: Dalek: Day Of The Daleks</v>
      </c>
      <c r="M1133" s="15" t="str">
        <f t="shared" si="383"/>
        <v>-</v>
      </c>
      <c r="N1133" s="15">
        <f t="shared" si="384"/>
        <v>2.5</v>
      </c>
      <c r="O1133" s="15" t="str">
        <f t="shared" si="385"/>
        <v>A20</v>
      </c>
      <c r="P1133" s="15" t="str">
        <f t="shared" si="386"/>
        <v>Morbius Inc.</v>
      </c>
      <c r="Q1133" s="15" t="str">
        <f t="shared" si="387"/>
        <v>56 Michael Spice Hwy</v>
      </c>
      <c r="R1133" s="3">
        <f>OrdersTable!C1133</f>
        <v>44641</v>
      </c>
      <c r="S1133" s="15">
        <f>OrdersTable!E1133</f>
        <v>5</v>
      </c>
      <c r="T1133" s="15">
        <f t="shared" si="388"/>
        <v>49.99</v>
      </c>
      <c r="U1133" s="15">
        <f t="shared" si="389"/>
        <v>68.47</v>
      </c>
      <c r="V1133" s="15">
        <f t="shared" si="390"/>
        <v>80.98</v>
      </c>
      <c r="W1133" s="15">
        <f>IF(MarkupType="Store Markup",ROUND(V1133+V1133*StoreMarkup,2),IF(MarkupType="Supplier Markup",V1133+V1133*SupplierMarkup,"Error at finding value"))</f>
        <v>127.54</v>
      </c>
      <c r="X1133" s="32">
        <f t="shared" si="392"/>
        <v>9.09</v>
      </c>
      <c r="Y1133" s="15">
        <f t="shared" si="393"/>
        <v>404.9</v>
      </c>
      <c r="Z1133" s="15">
        <f t="shared" si="394"/>
        <v>592.25</v>
      </c>
      <c r="AA1133" s="15">
        <f>IF(FreightType="Lethbridge-Stewart Freight ",ROUND(2.99+IF(N1133&gt;0.75,(N1133-0.75)*2.25,0)*S1133,2),IF(MarkupType="Supplier Markup",V1133+V1133*SupplierMarkup,"Error at finding value"))</f>
        <v>22.68</v>
      </c>
      <c r="AB1133" s="15">
        <f t="shared" si="395"/>
        <v>45.45</v>
      </c>
    </row>
    <row r="1134" spans="1:28" x14ac:dyDescent="0.25">
      <c r="A1134" s="16">
        <f>OrdersTable!A1134</f>
        <v>540</v>
      </c>
      <c r="B1134" s="15" t="str">
        <f t="shared" si="375"/>
        <v>Dr</v>
      </c>
      <c r="C1134" s="15" t="str">
        <f t="shared" si="396"/>
        <v>Hackett</v>
      </c>
      <c r="D1134" s="15" t="str">
        <f t="shared" si="376"/>
        <v>Patrick</v>
      </c>
      <c r="E1134" s="15" t="str">
        <f t="shared" si="377"/>
        <v>25 Sweet Drive</v>
      </c>
      <c r="F1134" s="15" t="str">
        <f t="shared" si="378"/>
        <v>Bridgewater</v>
      </c>
      <c r="G1134" s="15" t="str">
        <f t="shared" si="379"/>
        <v>VIC</v>
      </c>
      <c r="H1134" s="15">
        <f t="shared" si="380"/>
        <v>3516</v>
      </c>
      <c r="I1134" s="15">
        <f t="shared" si="391"/>
        <v>1486</v>
      </c>
      <c r="J1134" s="15">
        <f>OrdersTable!B1134</f>
        <v>453</v>
      </c>
      <c r="K1134" s="15" t="str">
        <f t="shared" si="381"/>
        <v>Giftware</v>
      </c>
      <c r="L1134" s="15" t="str">
        <f t="shared" si="382"/>
        <v>Doctor Who: Ceramic Cookie Jar: TARDIS</v>
      </c>
      <c r="M1134" s="15" t="str">
        <f t="shared" si="383"/>
        <v>-</v>
      </c>
      <c r="N1134" s="15">
        <f t="shared" si="384"/>
        <v>1.35</v>
      </c>
      <c r="O1134" s="15" t="str">
        <f t="shared" si="385"/>
        <v>A40</v>
      </c>
      <c r="P1134" s="15" t="str">
        <f t="shared" si="386"/>
        <v>Romana Imports</v>
      </c>
      <c r="Q1134" s="15" t="str">
        <f t="shared" si="387"/>
        <v>17 Lalla Ward Road</v>
      </c>
      <c r="R1134" s="3">
        <f>OrdersTable!C1134</f>
        <v>44641</v>
      </c>
      <c r="S1134" s="15">
        <f>OrdersTable!E1134</f>
        <v>3</v>
      </c>
      <c r="T1134" s="15">
        <f t="shared" si="388"/>
        <v>26.99</v>
      </c>
      <c r="U1134" s="15">
        <f t="shared" si="389"/>
        <v>37.119999999999997</v>
      </c>
      <c r="V1134" s="15">
        <f t="shared" si="390"/>
        <v>43.72</v>
      </c>
      <c r="W1134" s="15">
        <f>IF(MarkupType="Store Markup",ROUND(V1134+V1134*StoreMarkup,2),IF(MarkupType="Supplier Markup",V1134+V1134*SupplierMarkup,"Error at finding value"))</f>
        <v>68.86</v>
      </c>
      <c r="X1134" s="32" t="str">
        <f t="shared" si="392"/>
        <v>0.00</v>
      </c>
      <c r="Y1134" s="15">
        <f t="shared" si="393"/>
        <v>131.16</v>
      </c>
      <c r="Z1134" s="15">
        <f t="shared" si="394"/>
        <v>206.58</v>
      </c>
      <c r="AA1134" s="15">
        <f>IF(FreightType="Lethbridge-Stewart Freight ",ROUND(2.99+IF(N1134&gt;0.75,(N1134-0.75)*2.25,0)*S1134,2),IF(MarkupType="Supplier Markup",V1134+V1134*SupplierMarkup,"Error at finding value"))</f>
        <v>7.04</v>
      </c>
      <c r="AB1134" s="15">
        <f t="shared" si="395"/>
        <v>0</v>
      </c>
    </row>
    <row r="1135" spans="1:28" x14ac:dyDescent="0.25">
      <c r="A1135" s="16">
        <f>OrdersTable!A1135</f>
        <v>600</v>
      </c>
      <c r="B1135" s="15" t="str">
        <f t="shared" si="375"/>
        <v>Dr</v>
      </c>
      <c r="C1135" s="15" t="str">
        <f t="shared" si="396"/>
        <v>McConnell</v>
      </c>
      <c r="D1135" s="15" t="str">
        <f t="shared" si="376"/>
        <v>Hannah Clair</v>
      </c>
      <c r="E1135" s="15" t="str">
        <f t="shared" si="377"/>
        <v>27 Mccarthy Circuit</v>
      </c>
      <c r="F1135" s="15" t="str">
        <f t="shared" si="378"/>
        <v>Ashford</v>
      </c>
      <c r="G1135" s="15" t="str">
        <f t="shared" si="379"/>
        <v>SA</v>
      </c>
      <c r="H1135" s="15">
        <f t="shared" si="380"/>
        <v>5035</v>
      </c>
      <c r="I1135" s="15">
        <f t="shared" si="391"/>
        <v>1877</v>
      </c>
      <c r="J1135" s="15">
        <f>OrdersTable!B1135</f>
        <v>685</v>
      </c>
      <c r="K1135" s="15" t="str">
        <f t="shared" si="381"/>
        <v>Mugs</v>
      </c>
      <c r="L1135" s="15" t="str">
        <f t="shared" si="382"/>
        <v>Doctor Who: Teapot: Sliver TARDIS</v>
      </c>
      <c r="M1135" s="15" t="str">
        <f t="shared" si="383"/>
        <v>-</v>
      </c>
      <c r="N1135" s="15">
        <f t="shared" si="384"/>
        <v>1.35</v>
      </c>
      <c r="O1135" s="15" t="str">
        <f t="shared" si="385"/>
        <v>A30</v>
      </c>
      <c r="P1135" s="15" t="str">
        <f t="shared" si="386"/>
        <v>Chesterton Enterprises</v>
      </c>
      <c r="Q1135" s="15" t="str">
        <f t="shared" si="387"/>
        <v>41 William Russell Road</v>
      </c>
      <c r="R1135" s="3">
        <f>OrdersTable!C1135</f>
        <v>44641</v>
      </c>
      <c r="S1135" s="15">
        <f>OrdersTable!E1135</f>
        <v>4</v>
      </c>
      <c r="T1135" s="15">
        <f t="shared" si="388"/>
        <v>26.99</v>
      </c>
      <c r="U1135" s="15">
        <f t="shared" si="389"/>
        <v>36.869999999999997</v>
      </c>
      <c r="V1135" s="15">
        <f t="shared" si="390"/>
        <v>43.72</v>
      </c>
      <c r="W1135" s="15">
        <f>IF(MarkupType="Store Markup",ROUND(V1135+V1135*StoreMarkup,2),IF(MarkupType="Supplier Markup",V1135+V1135*SupplierMarkup,"Error at finding value"))</f>
        <v>68.86</v>
      </c>
      <c r="X1135" s="32" t="str">
        <f t="shared" si="392"/>
        <v>0.00</v>
      </c>
      <c r="Y1135" s="15">
        <f t="shared" si="393"/>
        <v>174.88</v>
      </c>
      <c r="Z1135" s="15">
        <f t="shared" si="394"/>
        <v>275.44</v>
      </c>
      <c r="AA1135" s="15">
        <f>IF(FreightType="Lethbridge-Stewart Freight ",ROUND(2.99+IF(N1135&gt;0.75,(N1135-0.75)*2.25,0)*S1135,2),IF(MarkupType="Supplier Markup",V1135+V1135*SupplierMarkup,"Error at finding value"))</f>
        <v>8.39</v>
      </c>
      <c r="AB1135" s="15">
        <f t="shared" si="395"/>
        <v>0</v>
      </c>
    </row>
    <row r="1136" spans="1:28" x14ac:dyDescent="0.25">
      <c r="A1136" s="16">
        <f>OrdersTable!A1136</f>
        <v>659</v>
      </c>
      <c r="B1136" s="15" t="str">
        <f t="shared" si="375"/>
        <v>Mr</v>
      </c>
      <c r="C1136" s="15" t="str">
        <f t="shared" si="396"/>
        <v>Douglas</v>
      </c>
      <c r="D1136" s="15" t="str">
        <f t="shared" si="376"/>
        <v>Jason Richard</v>
      </c>
      <c r="E1136" s="15" t="str">
        <f t="shared" si="377"/>
        <v>14 Young Crescent</v>
      </c>
      <c r="F1136" s="15" t="str">
        <f t="shared" si="378"/>
        <v>Caliph</v>
      </c>
      <c r="G1136" s="15" t="str">
        <f t="shared" si="379"/>
        <v>SA</v>
      </c>
      <c r="H1136" s="15">
        <f t="shared" si="380"/>
        <v>5310</v>
      </c>
      <c r="I1136" s="15">
        <f t="shared" si="391"/>
        <v>1720</v>
      </c>
      <c r="J1136" s="15">
        <f>OrdersTable!B1136</f>
        <v>395</v>
      </c>
      <c r="K1136" s="15" t="str">
        <f t="shared" si="381"/>
        <v>Clothing and Apparel</v>
      </c>
      <c r="L1136" s="15" t="str">
        <f t="shared" si="382"/>
        <v xml:space="preserve">Doctor Who: T-Shirts: 7th Doctor Costume </v>
      </c>
      <c r="M1136" s="15" t="str">
        <f t="shared" si="383"/>
        <v>L</v>
      </c>
      <c r="N1136" s="15">
        <f t="shared" si="384"/>
        <v>0.8</v>
      </c>
      <c r="O1136" s="15" t="str">
        <f t="shared" si="385"/>
        <v>A10</v>
      </c>
      <c r="P1136" s="15" t="str">
        <f t="shared" si="386"/>
        <v>Gallifrey International</v>
      </c>
      <c r="Q1136" s="15" t="str">
        <f t="shared" si="387"/>
        <v>181 Arcadia Street</v>
      </c>
      <c r="R1136" s="3">
        <f>OrdersTable!C1136</f>
        <v>44641</v>
      </c>
      <c r="S1136" s="15">
        <f>OrdersTable!E1136</f>
        <v>6</v>
      </c>
      <c r="T1136" s="15">
        <f t="shared" si="388"/>
        <v>15.99</v>
      </c>
      <c r="U1136" s="15">
        <f t="shared" si="389"/>
        <v>22.07</v>
      </c>
      <c r="V1136" s="15">
        <f t="shared" si="390"/>
        <v>25.9</v>
      </c>
      <c r="W1136" s="15">
        <f>IF(MarkupType="Store Markup",ROUND(V1136+V1136*StoreMarkup,2),IF(MarkupType="Supplier Markup",V1136+V1136*SupplierMarkup,"Error at finding value"))</f>
        <v>40.79</v>
      </c>
      <c r="X1136" s="32" t="str">
        <f t="shared" si="392"/>
        <v>0.00</v>
      </c>
      <c r="Y1136" s="15">
        <f t="shared" si="393"/>
        <v>155.4</v>
      </c>
      <c r="Z1136" s="15">
        <f t="shared" si="394"/>
        <v>244.74</v>
      </c>
      <c r="AA1136" s="15">
        <f>IF(FreightType="Lethbridge-Stewart Freight ",ROUND(2.99+IF(N1136&gt;0.75,(N1136-0.75)*2.25,0)*S1136,2),IF(MarkupType="Supplier Markup",V1136+V1136*SupplierMarkup,"Error at finding value"))</f>
        <v>3.67</v>
      </c>
      <c r="AB1136" s="15">
        <f t="shared" si="395"/>
        <v>0</v>
      </c>
    </row>
    <row r="1137" spans="1:28" x14ac:dyDescent="0.25">
      <c r="A1137" s="16">
        <f>OrdersTable!A1137</f>
        <v>66</v>
      </c>
      <c r="B1137" s="15" t="str">
        <f t="shared" si="375"/>
        <v>Mr</v>
      </c>
      <c r="C1137" s="15" t="str">
        <f t="shared" si="396"/>
        <v>Bachmann</v>
      </c>
      <c r="D1137" s="15" t="str">
        <f t="shared" si="376"/>
        <v>Aaron</v>
      </c>
      <c r="E1137" s="15" t="str">
        <f t="shared" si="377"/>
        <v>3 Csabai Avenue</v>
      </c>
      <c r="F1137" s="15" t="str">
        <f t="shared" si="378"/>
        <v>Bridgewater</v>
      </c>
      <c r="G1137" s="15" t="str">
        <f t="shared" si="379"/>
        <v>VIC</v>
      </c>
      <c r="H1137" s="15">
        <f t="shared" si="380"/>
        <v>3516</v>
      </c>
      <c r="I1137" s="15">
        <f t="shared" si="391"/>
        <v>1486</v>
      </c>
      <c r="J1137" s="15">
        <f>OrdersTable!B1137</f>
        <v>530</v>
      </c>
      <c r="K1137" s="15" t="str">
        <f t="shared" si="381"/>
        <v>Giftware</v>
      </c>
      <c r="L1137" s="15" t="str">
        <f t="shared" si="382"/>
        <v>Doctor Who: Keyring TARDIS</v>
      </c>
      <c r="M1137" s="15" t="str">
        <f t="shared" si="383"/>
        <v>-</v>
      </c>
      <c r="N1137" s="15">
        <f t="shared" si="384"/>
        <v>0.25</v>
      </c>
      <c r="O1137" s="15" t="str">
        <f t="shared" si="385"/>
        <v>A20</v>
      </c>
      <c r="P1137" s="15" t="str">
        <f t="shared" si="386"/>
        <v>Morbius Inc.</v>
      </c>
      <c r="Q1137" s="15" t="str">
        <f t="shared" si="387"/>
        <v>56 Michael Spice Hwy</v>
      </c>
      <c r="R1137" s="3">
        <f>OrdersTable!C1137</f>
        <v>44642</v>
      </c>
      <c r="S1137" s="15">
        <f>OrdersTable!E1137</f>
        <v>1</v>
      </c>
      <c r="T1137" s="15">
        <f t="shared" si="388"/>
        <v>4.99</v>
      </c>
      <c r="U1137" s="15">
        <f t="shared" si="389"/>
        <v>7.1</v>
      </c>
      <c r="V1137" s="15">
        <f t="shared" si="390"/>
        <v>8.08</v>
      </c>
      <c r="W1137" s="15">
        <f>IF(MarkupType="Store Markup",ROUND(V1137+V1137*StoreMarkup,2),IF(MarkupType="Supplier Markup",V1137+V1137*SupplierMarkup,"Error at finding value"))</f>
        <v>12.73</v>
      </c>
      <c r="X1137" s="32" t="str">
        <f t="shared" si="392"/>
        <v>0.00</v>
      </c>
      <c r="Y1137" s="15">
        <f t="shared" si="393"/>
        <v>8.08</v>
      </c>
      <c r="Z1137" s="15">
        <f t="shared" si="394"/>
        <v>12.73</v>
      </c>
      <c r="AA1137" s="15">
        <f>IF(FreightType="Lethbridge-Stewart Freight ",ROUND(2.99+IF(N1137&gt;0.75,(N1137-0.75)*2.25,0)*S1137,2),IF(MarkupType="Supplier Markup",V1137+V1137*SupplierMarkup,"Error at finding value"))</f>
        <v>2.99</v>
      </c>
      <c r="AB1137" s="15">
        <f t="shared" si="395"/>
        <v>0</v>
      </c>
    </row>
    <row r="1138" spans="1:28" x14ac:dyDescent="0.25">
      <c r="A1138" s="16">
        <f>OrdersTable!A1138</f>
        <v>81</v>
      </c>
      <c r="B1138" s="15" t="str">
        <f t="shared" si="375"/>
        <v>Ms</v>
      </c>
      <c r="C1138" s="15" t="str">
        <f t="shared" si="396"/>
        <v>Madsen</v>
      </c>
      <c r="D1138" s="15" t="str">
        <f t="shared" si="376"/>
        <v>Kim Marie</v>
      </c>
      <c r="E1138" s="15" t="str">
        <f t="shared" si="377"/>
        <v>42 Singh Drive</v>
      </c>
      <c r="F1138" s="15" t="str">
        <f t="shared" si="378"/>
        <v>Caliph</v>
      </c>
      <c r="G1138" s="15" t="str">
        <f t="shared" si="379"/>
        <v>SA</v>
      </c>
      <c r="H1138" s="15">
        <f t="shared" si="380"/>
        <v>5310</v>
      </c>
      <c r="I1138" s="15">
        <f t="shared" si="391"/>
        <v>1720</v>
      </c>
      <c r="J1138" s="15">
        <f>OrdersTable!B1138</f>
        <v>583</v>
      </c>
      <c r="K1138" s="15" t="str">
        <f t="shared" si="381"/>
        <v>iPhone Skins</v>
      </c>
      <c r="L1138" s="15" t="str">
        <f t="shared" si="382"/>
        <v>Doctor Who: iPhone Skin: Cyberman Delete</v>
      </c>
      <c r="M1138" s="15" t="str">
        <f t="shared" si="383"/>
        <v>-</v>
      </c>
      <c r="N1138" s="15">
        <f t="shared" si="384"/>
        <v>0.3</v>
      </c>
      <c r="O1138" s="15" t="str">
        <f t="shared" si="385"/>
        <v>A50</v>
      </c>
      <c r="P1138" s="15" t="str">
        <f t="shared" si="386"/>
        <v>Rassilon Ltd.</v>
      </c>
      <c r="Q1138" s="15" t="str">
        <f t="shared" si="387"/>
        <v>82 Richard Mathews Road</v>
      </c>
      <c r="R1138" s="3">
        <f>OrdersTable!C1138</f>
        <v>44642</v>
      </c>
      <c r="S1138" s="15">
        <f>OrdersTable!E1138</f>
        <v>6</v>
      </c>
      <c r="T1138" s="15">
        <f t="shared" si="388"/>
        <v>5.99</v>
      </c>
      <c r="U1138" s="15">
        <f t="shared" si="389"/>
        <v>8.23</v>
      </c>
      <c r="V1138" s="15">
        <f t="shared" si="390"/>
        <v>9.6999999999999993</v>
      </c>
      <c r="W1138" s="15">
        <f>IF(MarkupType="Store Markup",ROUND(V1138+V1138*StoreMarkup,2),IF(MarkupType="Supplier Markup",V1138+V1138*SupplierMarkup,"Error at finding value"))</f>
        <v>15.28</v>
      </c>
      <c r="X1138" s="32" t="str">
        <f t="shared" si="392"/>
        <v>0.00</v>
      </c>
      <c r="Y1138" s="15">
        <f t="shared" si="393"/>
        <v>58.2</v>
      </c>
      <c r="Z1138" s="15">
        <f t="shared" si="394"/>
        <v>91.68</v>
      </c>
      <c r="AA1138" s="15">
        <f>IF(FreightType="Lethbridge-Stewart Freight ",ROUND(2.99+IF(N1138&gt;0.75,(N1138-0.75)*2.25,0)*S1138,2),IF(MarkupType="Supplier Markup",V1138+V1138*SupplierMarkup,"Error at finding value"))</f>
        <v>2.99</v>
      </c>
      <c r="AB1138" s="15">
        <f t="shared" si="395"/>
        <v>0</v>
      </c>
    </row>
    <row r="1139" spans="1:28" x14ac:dyDescent="0.25">
      <c r="A1139" s="16">
        <f>OrdersTable!A1139</f>
        <v>158</v>
      </c>
      <c r="B1139" s="15" t="str">
        <f t="shared" si="375"/>
        <v>Mr</v>
      </c>
      <c r="C1139" s="15" t="str">
        <f t="shared" si="396"/>
        <v>Fowler</v>
      </c>
      <c r="D1139" s="15" t="str">
        <f t="shared" si="376"/>
        <v>James</v>
      </c>
      <c r="E1139" s="15" t="str">
        <f t="shared" si="377"/>
        <v>30 Virk Court</v>
      </c>
      <c r="F1139" s="15" t="str">
        <f t="shared" si="378"/>
        <v>Black Hills</v>
      </c>
      <c r="G1139" s="15" t="str">
        <f t="shared" si="379"/>
        <v>TAS</v>
      </c>
      <c r="H1139" s="15">
        <f t="shared" si="380"/>
        <v>7140</v>
      </c>
      <c r="I1139" s="15">
        <f t="shared" si="391"/>
        <v>2191</v>
      </c>
      <c r="J1139" s="15">
        <f>OrdersTable!B1139</f>
        <v>464</v>
      </c>
      <c r="K1139" s="15" t="str">
        <f t="shared" si="381"/>
        <v>Giftware</v>
      </c>
      <c r="L1139" s="15" t="str">
        <f t="shared" si="382"/>
        <v>Doctor Who: Collectable License Plate: My Other Car Is A TARDIS</v>
      </c>
      <c r="M1139" s="15" t="str">
        <f t="shared" si="383"/>
        <v>-</v>
      </c>
      <c r="N1139" s="15">
        <f t="shared" si="384"/>
        <v>0.6</v>
      </c>
      <c r="O1139" s="15" t="str">
        <f t="shared" si="385"/>
        <v>A50</v>
      </c>
      <c r="P1139" s="15" t="str">
        <f t="shared" si="386"/>
        <v>Rassilon Ltd.</v>
      </c>
      <c r="Q1139" s="15" t="str">
        <f t="shared" si="387"/>
        <v>82 Richard Mathews Road</v>
      </c>
      <c r="R1139" s="3">
        <f>OrdersTable!C1139</f>
        <v>44642</v>
      </c>
      <c r="S1139" s="15">
        <f>OrdersTable!E1139</f>
        <v>4</v>
      </c>
      <c r="T1139" s="15">
        <f t="shared" si="388"/>
        <v>11.99</v>
      </c>
      <c r="U1139" s="15">
        <f t="shared" si="389"/>
        <v>16.579999999999998</v>
      </c>
      <c r="V1139" s="15">
        <f t="shared" si="390"/>
        <v>19.420000000000002</v>
      </c>
      <c r="W1139" s="15">
        <f>IF(MarkupType="Store Markup",ROUND(V1139+V1139*StoreMarkup,2),IF(MarkupType="Supplier Markup",V1139+V1139*SupplierMarkup,"Error at finding value"))</f>
        <v>30.59</v>
      </c>
      <c r="X1139" s="32" t="str">
        <f t="shared" si="392"/>
        <v>0.00</v>
      </c>
      <c r="Y1139" s="15">
        <f t="shared" si="393"/>
        <v>77.680000000000007</v>
      </c>
      <c r="Z1139" s="15">
        <f t="shared" si="394"/>
        <v>122.36</v>
      </c>
      <c r="AA1139" s="15">
        <f>IF(FreightType="Lethbridge-Stewart Freight ",ROUND(2.99+IF(N1139&gt;0.75,(N1139-0.75)*2.25,0)*S1139,2),IF(MarkupType="Supplier Markup",V1139+V1139*SupplierMarkup,"Error at finding value"))</f>
        <v>2.99</v>
      </c>
      <c r="AB1139" s="15">
        <f t="shared" si="395"/>
        <v>0</v>
      </c>
    </row>
    <row r="1140" spans="1:28" x14ac:dyDescent="0.25">
      <c r="A1140" s="16">
        <f>OrdersTable!A1140</f>
        <v>249</v>
      </c>
      <c r="B1140" s="15" t="str">
        <f t="shared" si="375"/>
        <v>Mr</v>
      </c>
      <c r="C1140" s="15" t="str">
        <f t="shared" si="396"/>
        <v>Sinclair</v>
      </c>
      <c r="D1140" s="15" t="str">
        <f t="shared" si="376"/>
        <v>Travis James Foord</v>
      </c>
      <c r="E1140" s="15" t="str">
        <f t="shared" si="377"/>
        <v>25 Leunen Avenue</v>
      </c>
      <c r="F1140" s="15" t="str">
        <f t="shared" si="378"/>
        <v>Batlow</v>
      </c>
      <c r="G1140" s="15" t="str">
        <f t="shared" si="379"/>
        <v>NSW</v>
      </c>
      <c r="H1140" s="15">
        <f t="shared" si="380"/>
        <v>2730</v>
      </c>
      <c r="I1140" s="15">
        <f t="shared" si="391"/>
        <v>1138</v>
      </c>
      <c r="J1140" s="15">
        <f>OrdersTable!B1140</f>
        <v>177</v>
      </c>
      <c r="K1140" s="15" t="str">
        <f t="shared" si="381"/>
        <v>Bobbleheads</v>
      </c>
      <c r="L1140" s="15" t="str">
        <f t="shared" si="382"/>
        <v>Doctor Who: Bobblehead: TARDIS (With Sound)</v>
      </c>
      <c r="M1140" s="15" t="str">
        <f t="shared" si="383"/>
        <v>-</v>
      </c>
      <c r="N1140" s="15">
        <f t="shared" si="384"/>
        <v>1</v>
      </c>
      <c r="O1140" s="15" t="str">
        <f t="shared" si="385"/>
        <v>A30</v>
      </c>
      <c r="P1140" s="15" t="str">
        <f t="shared" si="386"/>
        <v>Chesterton Enterprises</v>
      </c>
      <c r="Q1140" s="15" t="str">
        <f t="shared" si="387"/>
        <v>41 William Russell Road</v>
      </c>
      <c r="R1140" s="3">
        <f>OrdersTable!C1140</f>
        <v>44642</v>
      </c>
      <c r="S1140" s="15">
        <f>OrdersTable!E1140</f>
        <v>8</v>
      </c>
      <c r="T1140" s="15">
        <f t="shared" si="388"/>
        <v>19.989999999999998</v>
      </c>
      <c r="U1140" s="15">
        <f t="shared" si="389"/>
        <v>27.6</v>
      </c>
      <c r="V1140" s="15">
        <f t="shared" si="390"/>
        <v>32.380000000000003</v>
      </c>
      <c r="W1140" s="15">
        <f>IF(MarkupType="Store Markup",ROUND(V1140+V1140*StoreMarkup,2),IF(MarkupType="Supplier Markup",V1140+V1140*SupplierMarkup,"Error at finding value"))</f>
        <v>51</v>
      </c>
      <c r="X1140" s="32" t="str">
        <f t="shared" si="392"/>
        <v>0.00</v>
      </c>
      <c r="Y1140" s="15">
        <f t="shared" si="393"/>
        <v>259.04000000000002</v>
      </c>
      <c r="Z1140" s="15">
        <f t="shared" si="394"/>
        <v>408</v>
      </c>
      <c r="AA1140" s="15">
        <f>IF(FreightType="Lethbridge-Stewart Freight ",ROUND(2.99+IF(N1140&gt;0.75,(N1140-0.75)*2.25,0)*S1140,2),IF(MarkupType="Supplier Markup",V1140+V1140*SupplierMarkup,"Error at finding value"))</f>
        <v>7.49</v>
      </c>
      <c r="AB1140" s="15">
        <f t="shared" si="395"/>
        <v>0</v>
      </c>
    </row>
    <row r="1141" spans="1:28" x14ac:dyDescent="0.25">
      <c r="A1141" s="16">
        <f>OrdersTable!A1141</f>
        <v>362</v>
      </c>
      <c r="B1141" s="15" t="str">
        <f t="shared" si="375"/>
        <v>Mr</v>
      </c>
      <c r="C1141" s="15" t="str">
        <f t="shared" si="396"/>
        <v>Hurst</v>
      </c>
      <c r="D1141" s="15" t="str">
        <f t="shared" si="376"/>
        <v>Ralph Gregory</v>
      </c>
      <c r="E1141" s="15" t="str">
        <f t="shared" si="377"/>
        <v>45 Blakeney Road</v>
      </c>
      <c r="F1141" s="15" t="str">
        <f t="shared" si="378"/>
        <v>Iluka</v>
      </c>
      <c r="G1141" s="15" t="str">
        <f t="shared" si="379"/>
        <v>NSW</v>
      </c>
      <c r="H1141" s="15">
        <f t="shared" si="380"/>
        <v>2466</v>
      </c>
      <c r="I1141" s="15">
        <f t="shared" si="391"/>
        <v>347</v>
      </c>
      <c r="J1141" s="15">
        <f>OrdersTable!B1141</f>
        <v>196</v>
      </c>
      <c r="K1141" s="15" t="str">
        <f t="shared" si="381"/>
        <v>Clothing and Apparel</v>
      </c>
      <c r="L1141" s="15" t="str">
        <f t="shared" si="382"/>
        <v>Doctor Who: 12 Foot Tom Baker Scarf</v>
      </c>
      <c r="M1141" s="15" t="str">
        <f t="shared" si="383"/>
        <v>-</v>
      </c>
      <c r="N1141" s="15">
        <f t="shared" si="384"/>
        <v>2.5</v>
      </c>
      <c r="O1141" s="15" t="str">
        <f t="shared" si="385"/>
        <v>A40</v>
      </c>
      <c r="P1141" s="15" t="str">
        <f t="shared" si="386"/>
        <v>Romana Imports</v>
      </c>
      <c r="Q1141" s="15" t="str">
        <f t="shared" si="387"/>
        <v>17 Lalla Ward Road</v>
      </c>
      <c r="R1141" s="3">
        <f>OrdersTable!C1141</f>
        <v>44642</v>
      </c>
      <c r="S1141" s="15">
        <f>OrdersTable!E1141</f>
        <v>6</v>
      </c>
      <c r="T1141" s="15">
        <f t="shared" si="388"/>
        <v>49.99</v>
      </c>
      <c r="U1141" s="15">
        <f t="shared" si="389"/>
        <v>68.28</v>
      </c>
      <c r="V1141" s="15">
        <f t="shared" si="390"/>
        <v>80.98</v>
      </c>
      <c r="W1141" s="15">
        <f>IF(MarkupType="Store Markup",ROUND(V1141+V1141*StoreMarkup,2),IF(MarkupType="Supplier Markup",V1141+V1141*SupplierMarkup,"Error at finding value"))</f>
        <v>127.54</v>
      </c>
      <c r="X1141" s="32">
        <f t="shared" si="392"/>
        <v>9.09</v>
      </c>
      <c r="Y1141" s="15">
        <f t="shared" si="393"/>
        <v>485.88</v>
      </c>
      <c r="Z1141" s="15">
        <f t="shared" si="394"/>
        <v>710.7</v>
      </c>
      <c r="AA1141" s="15">
        <f>IF(FreightType="Lethbridge-Stewart Freight ",ROUND(2.99+IF(N1141&gt;0.75,(N1141-0.75)*2.25,0)*S1141,2),IF(MarkupType="Supplier Markup",V1141+V1141*SupplierMarkup,"Error at finding value"))</f>
        <v>26.62</v>
      </c>
      <c r="AB1141" s="15">
        <f t="shared" si="395"/>
        <v>54.54</v>
      </c>
    </row>
    <row r="1142" spans="1:28" x14ac:dyDescent="0.25">
      <c r="A1142" s="16">
        <f>OrdersTable!A1142</f>
        <v>370</v>
      </c>
      <c r="B1142" s="15" t="str">
        <f t="shared" si="375"/>
        <v>Mr</v>
      </c>
      <c r="C1142" s="15" t="str">
        <f t="shared" si="396"/>
        <v>Kennedy</v>
      </c>
      <c r="D1142" s="15" t="str">
        <f t="shared" si="376"/>
        <v>Joseph Dominic</v>
      </c>
      <c r="E1142" s="15" t="str">
        <f t="shared" si="377"/>
        <v>43 Barton Road</v>
      </c>
      <c r="F1142" s="15" t="str">
        <f t="shared" si="378"/>
        <v>Boston</v>
      </c>
      <c r="G1142" s="15" t="str">
        <f t="shared" si="379"/>
        <v>SA</v>
      </c>
      <c r="H1142" s="15">
        <f t="shared" si="380"/>
        <v>5607</v>
      </c>
      <c r="I1142" s="15">
        <f t="shared" si="391"/>
        <v>2076</v>
      </c>
      <c r="J1142" s="15">
        <f>OrdersTable!B1142</f>
        <v>374</v>
      </c>
      <c r="K1142" s="15" t="str">
        <f t="shared" si="381"/>
        <v>Clothing and Apparel</v>
      </c>
      <c r="L1142" s="15" t="str">
        <f t="shared" si="382"/>
        <v xml:space="preserve">Doctor Who: T-Shirts: 5th Doctor Costume </v>
      </c>
      <c r="M1142" s="15" t="str">
        <f t="shared" si="383"/>
        <v>XL</v>
      </c>
      <c r="N1142" s="15">
        <f t="shared" si="384"/>
        <v>0.8</v>
      </c>
      <c r="O1142" s="15" t="str">
        <f t="shared" si="385"/>
        <v>A50</v>
      </c>
      <c r="P1142" s="15" t="str">
        <f t="shared" si="386"/>
        <v>Rassilon Ltd.</v>
      </c>
      <c r="Q1142" s="15" t="str">
        <f t="shared" si="387"/>
        <v>82 Richard Mathews Road</v>
      </c>
      <c r="R1142" s="3">
        <f>OrdersTable!C1142</f>
        <v>44642</v>
      </c>
      <c r="S1142" s="15">
        <f>OrdersTable!E1142</f>
        <v>2</v>
      </c>
      <c r="T1142" s="15">
        <f t="shared" si="388"/>
        <v>15.99</v>
      </c>
      <c r="U1142" s="15">
        <f t="shared" si="389"/>
        <v>21.97</v>
      </c>
      <c r="V1142" s="15">
        <f t="shared" si="390"/>
        <v>25.9</v>
      </c>
      <c r="W1142" s="15">
        <f>IF(MarkupType="Store Markup",ROUND(V1142+V1142*StoreMarkup,2),IF(MarkupType="Supplier Markup",V1142+V1142*SupplierMarkup,"Error at finding value"))</f>
        <v>40.79</v>
      </c>
      <c r="X1142" s="32" t="str">
        <f t="shared" si="392"/>
        <v>0.00</v>
      </c>
      <c r="Y1142" s="15">
        <f t="shared" si="393"/>
        <v>51.8</v>
      </c>
      <c r="Z1142" s="15">
        <f t="shared" si="394"/>
        <v>81.58</v>
      </c>
      <c r="AA1142" s="15">
        <f>IF(FreightType="Lethbridge-Stewart Freight ",ROUND(2.99+IF(N1142&gt;0.75,(N1142-0.75)*2.25,0)*S1142,2),IF(MarkupType="Supplier Markup",V1142+V1142*SupplierMarkup,"Error at finding value"))</f>
        <v>3.22</v>
      </c>
      <c r="AB1142" s="15">
        <f t="shared" si="395"/>
        <v>0</v>
      </c>
    </row>
    <row r="1143" spans="1:28" x14ac:dyDescent="0.25">
      <c r="A1143" s="16">
        <f>OrdersTable!A1143</f>
        <v>370</v>
      </c>
      <c r="B1143" s="15" t="str">
        <f t="shared" si="375"/>
        <v>Mr</v>
      </c>
      <c r="C1143" s="15" t="str">
        <f t="shared" si="396"/>
        <v>Kennedy</v>
      </c>
      <c r="D1143" s="15" t="str">
        <f t="shared" si="376"/>
        <v>Joseph Dominic</v>
      </c>
      <c r="E1143" s="15" t="str">
        <f t="shared" si="377"/>
        <v>43 Barton Road</v>
      </c>
      <c r="F1143" s="15" t="str">
        <f t="shared" si="378"/>
        <v>Boston</v>
      </c>
      <c r="G1143" s="15" t="str">
        <f t="shared" si="379"/>
        <v>SA</v>
      </c>
      <c r="H1143" s="15">
        <f t="shared" si="380"/>
        <v>5607</v>
      </c>
      <c r="I1143" s="15">
        <f t="shared" si="391"/>
        <v>2076</v>
      </c>
      <c r="J1143" s="15">
        <f>OrdersTable!B1143</f>
        <v>543</v>
      </c>
      <c r="K1143" s="15" t="str">
        <f t="shared" si="381"/>
        <v>Giftware</v>
      </c>
      <c r="L1143" s="15" t="str">
        <f t="shared" si="382"/>
        <v>Doctor Who: Sonic Screwdriver Pen</v>
      </c>
      <c r="M1143" s="15" t="str">
        <f t="shared" si="383"/>
        <v>-</v>
      </c>
      <c r="N1143" s="15">
        <f t="shared" si="384"/>
        <v>0.65</v>
      </c>
      <c r="O1143" s="15" t="str">
        <f t="shared" si="385"/>
        <v>A20</v>
      </c>
      <c r="P1143" s="15" t="str">
        <f t="shared" si="386"/>
        <v>Morbius Inc.</v>
      </c>
      <c r="Q1143" s="15" t="str">
        <f t="shared" si="387"/>
        <v>56 Michael Spice Hwy</v>
      </c>
      <c r="R1143" s="3">
        <f>OrdersTable!C1143</f>
        <v>44642</v>
      </c>
      <c r="S1143" s="15">
        <f>OrdersTable!E1143</f>
        <v>8</v>
      </c>
      <c r="T1143" s="15">
        <f t="shared" si="388"/>
        <v>12.99</v>
      </c>
      <c r="U1143" s="15">
        <f t="shared" si="389"/>
        <v>18.02</v>
      </c>
      <c r="V1143" s="15">
        <f t="shared" si="390"/>
        <v>21.04</v>
      </c>
      <c r="W1143" s="15">
        <f>IF(MarkupType="Store Markup",ROUND(V1143+V1143*StoreMarkup,2),IF(MarkupType="Supplier Markup",V1143+V1143*SupplierMarkup,"Error at finding value"))</f>
        <v>33.14</v>
      </c>
      <c r="X1143" s="32" t="str">
        <f t="shared" si="392"/>
        <v>0.00</v>
      </c>
      <c r="Y1143" s="15">
        <f t="shared" si="393"/>
        <v>168.32</v>
      </c>
      <c r="Z1143" s="15">
        <f t="shared" si="394"/>
        <v>265.12</v>
      </c>
      <c r="AA1143" s="15">
        <f>IF(FreightType="Lethbridge-Stewart Freight ",ROUND(2.99+IF(N1143&gt;0.75,(N1143-0.75)*2.25,0)*S1143,2),IF(MarkupType="Supplier Markup",V1143+V1143*SupplierMarkup,"Error at finding value"))</f>
        <v>2.99</v>
      </c>
      <c r="AB1143" s="15">
        <f t="shared" si="395"/>
        <v>0</v>
      </c>
    </row>
    <row r="1144" spans="1:28" x14ac:dyDescent="0.25">
      <c r="A1144" s="16">
        <f>OrdersTable!A1144</f>
        <v>370</v>
      </c>
      <c r="B1144" s="15" t="str">
        <f t="shared" si="375"/>
        <v>Mr</v>
      </c>
      <c r="C1144" s="15" t="str">
        <f t="shared" si="396"/>
        <v>Kennedy</v>
      </c>
      <c r="D1144" s="15" t="str">
        <f t="shared" si="376"/>
        <v>Joseph Dominic</v>
      </c>
      <c r="E1144" s="15" t="str">
        <f t="shared" si="377"/>
        <v>43 Barton Road</v>
      </c>
      <c r="F1144" s="15" t="str">
        <f t="shared" si="378"/>
        <v>Boston</v>
      </c>
      <c r="G1144" s="15" t="str">
        <f t="shared" si="379"/>
        <v>SA</v>
      </c>
      <c r="H1144" s="15">
        <f t="shared" si="380"/>
        <v>5607</v>
      </c>
      <c r="I1144" s="15">
        <f t="shared" si="391"/>
        <v>2076</v>
      </c>
      <c r="J1144" s="15">
        <f>OrdersTable!B1144</f>
        <v>607</v>
      </c>
      <c r="K1144" s="15" t="str">
        <f t="shared" si="381"/>
        <v>iPhone Skins</v>
      </c>
      <c r="L1144" s="15" t="str">
        <f t="shared" si="382"/>
        <v>Doctor Who: iPhone Skin: Keep Calm I'm The Doctor</v>
      </c>
      <c r="M1144" s="15" t="str">
        <f t="shared" si="383"/>
        <v>-</v>
      </c>
      <c r="N1144" s="15">
        <f t="shared" si="384"/>
        <v>0.5</v>
      </c>
      <c r="O1144" s="15" t="str">
        <f t="shared" si="385"/>
        <v>A40</v>
      </c>
      <c r="P1144" s="15" t="str">
        <f t="shared" si="386"/>
        <v>Romana Imports</v>
      </c>
      <c r="Q1144" s="15" t="str">
        <f t="shared" si="387"/>
        <v>17 Lalla Ward Road</v>
      </c>
      <c r="R1144" s="3">
        <f>OrdersTable!C1144</f>
        <v>44642</v>
      </c>
      <c r="S1144" s="15">
        <f>OrdersTable!E1144</f>
        <v>7</v>
      </c>
      <c r="T1144" s="15">
        <f t="shared" si="388"/>
        <v>9.99</v>
      </c>
      <c r="U1144" s="15">
        <f t="shared" si="389"/>
        <v>13.81</v>
      </c>
      <c r="V1144" s="15">
        <f t="shared" si="390"/>
        <v>16.18</v>
      </c>
      <c r="W1144" s="15">
        <f>IF(MarkupType="Store Markup",ROUND(V1144+V1144*StoreMarkup,2),IF(MarkupType="Supplier Markup",V1144+V1144*SupplierMarkup,"Error at finding value"))</f>
        <v>25.48</v>
      </c>
      <c r="X1144" s="32" t="str">
        <f t="shared" si="392"/>
        <v>0.00</v>
      </c>
      <c r="Y1144" s="15">
        <f t="shared" si="393"/>
        <v>113.26</v>
      </c>
      <c r="Z1144" s="15">
        <f t="shared" si="394"/>
        <v>178.36</v>
      </c>
      <c r="AA1144" s="15">
        <f>IF(FreightType="Lethbridge-Stewart Freight ",ROUND(2.99+IF(N1144&gt;0.75,(N1144-0.75)*2.25,0)*S1144,2),IF(MarkupType="Supplier Markup",V1144+V1144*SupplierMarkup,"Error at finding value"))</f>
        <v>2.99</v>
      </c>
      <c r="AB1144" s="15">
        <f t="shared" si="395"/>
        <v>0</v>
      </c>
    </row>
    <row r="1145" spans="1:28" x14ac:dyDescent="0.25">
      <c r="A1145" s="16">
        <f>OrdersTable!A1145</f>
        <v>390</v>
      </c>
      <c r="B1145" s="15" t="str">
        <f t="shared" si="375"/>
        <v>Ms</v>
      </c>
      <c r="C1145" s="15" t="str">
        <f t="shared" si="396"/>
        <v>Queen</v>
      </c>
      <c r="D1145" s="15" t="str">
        <f t="shared" si="376"/>
        <v>Joanne</v>
      </c>
      <c r="E1145" s="15" t="str">
        <f t="shared" si="377"/>
        <v>30 Hall Drive</v>
      </c>
      <c r="F1145" s="15" t="str">
        <f t="shared" si="378"/>
        <v>Belconnen</v>
      </c>
      <c r="G1145" s="15" t="str">
        <f t="shared" si="379"/>
        <v>ACT</v>
      </c>
      <c r="H1145" s="15">
        <f t="shared" si="380"/>
        <v>2617</v>
      </c>
      <c r="I1145" s="15">
        <f t="shared" si="391"/>
        <v>1194</v>
      </c>
      <c r="J1145" s="15">
        <f>OrdersTable!B1145</f>
        <v>685</v>
      </c>
      <c r="K1145" s="15" t="str">
        <f t="shared" si="381"/>
        <v>Mugs</v>
      </c>
      <c r="L1145" s="15" t="str">
        <f t="shared" si="382"/>
        <v>Doctor Who: Teapot: Sliver TARDIS</v>
      </c>
      <c r="M1145" s="15" t="str">
        <f t="shared" si="383"/>
        <v>-</v>
      </c>
      <c r="N1145" s="15">
        <f t="shared" si="384"/>
        <v>1.35</v>
      </c>
      <c r="O1145" s="15" t="str">
        <f t="shared" si="385"/>
        <v>A30</v>
      </c>
      <c r="P1145" s="15" t="str">
        <f t="shared" si="386"/>
        <v>Chesterton Enterprises</v>
      </c>
      <c r="Q1145" s="15" t="str">
        <f t="shared" si="387"/>
        <v>41 William Russell Road</v>
      </c>
      <c r="R1145" s="3">
        <f>OrdersTable!C1145</f>
        <v>44642</v>
      </c>
      <c r="S1145" s="15">
        <f>OrdersTable!E1145</f>
        <v>3</v>
      </c>
      <c r="T1145" s="15">
        <f t="shared" si="388"/>
        <v>26.99</v>
      </c>
      <c r="U1145" s="15">
        <f t="shared" si="389"/>
        <v>36.869999999999997</v>
      </c>
      <c r="V1145" s="15">
        <f t="shared" si="390"/>
        <v>43.72</v>
      </c>
      <c r="W1145" s="15">
        <f>IF(MarkupType="Store Markup",ROUND(V1145+V1145*StoreMarkup,2),IF(MarkupType="Supplier Markup",V1145+V1145*SupplierMarkup,"Error at finding value"))</f>
        <v>68.86</v>
      </c>
      <c r="X1145" s="32" t="str">
        <f t="shared" si="392"/>
        <v>0.00</v>
      </c>
      <c r="Y1145" s="15">
        <f t="shared" si="393"/>
        <v>131.16</v>
      </c>
      <c r="Z1145" s="15">
        <f t="shared" si="394"/>
        <v>206.58</v>
      </c>
      <c r="AA1145" s="15">
        <f>IF(FreightType="Lethbridge-Stewart Freight ",ROUND(2.99+IF(N1145&gt;0.75,(N1145-0.75)*2.25,0)*S1145,2),IF(MarkupType="Supplier Markup",V1145+V1145*SupplierMarkup,"Error at finding value"))</f>
        <v>7.04</v>
      </c>
      <c r="AB1145" s="15">
        <f t="shared" si="395"/>
        <v>0</v>
      </c>
    </row>
    <row r="1146" spans="1:28" x14ac:dyDescent="0.25">
      <c r="A1146" s="16">
        <f>OrdersTable!A1146</f>
        <v>412</v>
      </c>
      <c r="B1146" s="15" t="str">
        <f t="shared" si="375"/>
        <v>Miss</v>
      </c>
      <c r="C1146" s="15" t="str">
        <f t="shared" si="396"/>
        <v>Moraitis</v>
      </c>
      <c r="D1146" s="15" t="str">
        <f t="shared" si="376"/>
        <v>Vikki Sue</v>
      </c>
      <c r="E1146" s="15" t="str">
        <f t="shared" si="377"/>
        <v>11 Stuckings Boulevard</v>
      </c>
      <c r="F1146" s="15" t="str">
        <f t="shared" si="378"/>
        <v>Airly</v>
      </c>
      <c r="G1146" s="15" t="str">
        <f t="shared" si="379"/>
        <v>VIC</v>
      </c>
      <c r="H1146" s="15">
        <f t="shared" si="380"/>
        <v>3851</v>
      </c>
      <c r="I1146" s="15">
        <f t="shared" si="391"/>
        <v>1583</v>
      </c>
      <c r="J1146" s="15">
        <f>OrdersTable!B1146</f>
        <v>515</v>
      </c>
      <c r="K1146" s="15" t="str">
        <f t="shared" si="381"/>
        <v>Giftware</v>
      </c>
      <c r="L1146" s="15" t="str">
        <f t="shared" si="382"/>
        <v>Doctor Who: Keyring K9</v>
      </c>
      <c r="M1146" s="15" t="str">
        <f t="shared" si="383"/>
        <v>-</v>
      </c>
      <c r="N1146" s="15">
        <f t="shared" si="384"/>
        <v>0.25</v>
      </c>
      <c r="O1146" s="15" t="str">
        <f t="shared" si="385"/>
        <v>A50</v>
      </c>
      <c r="P1146" s="15" t="str">
        <f t="shared" si="386"/>
        <v>Rassilon Ltd.</v>
      </c>
      <c r="Q1146" s="15" t="str">
        <f t="shared" si="387"/>
        <v>82 Richard Mathews Road</v>
      </c>
      <c r="R1146" s="3">
        <f>OrdersTable!C1146</f>
        <v>44642</v>
      </c>
      <c r="S1146" s="15">
        <f>OrdersTable!E1146</f>
        <v>2</v>
      </c>
      <c r="T1146" s="15">
        <f t="shared" si="388"/>
        <v>4.99</v>
      </c>
      <c r="U1146" s="15">
        <f t="shared" si="389"/>
        <v>6.91</v>
      </c>
      <c r="V1146" s="15">
        <f t="shared" si="390"/>
        <v>8.08</v>
      </c>
      <c r="W1146" s="15">
        <f>IF(MarkupType="Store Markup",ROUND(V1146+V1146*StoreMarkup,2),IF(MarkupType="Supplier Markup",V1146+V1146*SupplierMarkup,"Error at finding value"))</f>
        <v>12.73</v>
      </c>
      <c r="X1146" s="32" t="str">
        <f t="shared" si="392"/>
        <v>0.00</v>
      </c>
      <c r="Y1146" s="15">
        <f t="shared" si="393"/>
        <v>16.16</v>
      </c>
      <c r="Z1146" s="15">
        <f t="shared" si="394"/>
        <v>25.46</v>
      </c>
      <c r="AA1146" s="15">
        <f>IF(FreightType="Lethbridge-Stewart Freight ",ROUND(2.99+IF(N1146&gt;0.75,(N1146-0.75)*2.25,0)*S1146,2),IF(MarkupType="Supplier Markup",V1146+V1146*SupplierMarkup,"Error at finding value"))</f>
        <v>2.99</v>
      </c>
      <c r="AB1146" s="15">
        <f t="shared" si="395"/>
        <v>0</v>
      </c>
    </row>
    <row r="1147" spans="1:28" x14ac:dyDescent="0.25">
      <c r="A1147" s="16">
        <f>OrdersTable!A1147</f>
        <v>568</v>
      </c>
      <c r="B1147" s="15" t="str">
        <f t="shared" si="375"/>
        <v>Mr</v>
      </c>
      <c r="C1147" s="15" t="str">
        <f t="shared" si="396"/>
        <v>Byrne</v>
      </c>
      <c r="D1147" s="15" t="str">
        <f t="shared" si="376"/>
        <v>Gregory James</v>
      </c>
      <c r="E1147" s="15" t="str">
        <f t="shared" si="377"/>
        <v>18 Doroshenko Crescent</v>
      </c>
      <c r="F1147" s="15" t="str">
        <f t="shared" si="378"/>
        <v>Abington</v>
      </c>
      <c r="G1147" s="15" t="str">
        <f t="shared" si="379"/>
        <v>QLD</v>
      </c>
      <c r="H1147" s="15">
        <f t="shared" si="380"/>
        <v>4660</v>
      </c>
      <c r="I1147" s="15">
        <f t="shared" si="391"/>
        <v>336</v>
      </c>
      <c r="J1147" s="15">
        <f>OrdersTable!B1147</f>
        <v>711</v>
      </c>
      <c r="K1147" s="15" t="str">
        <f t="shared" si="381"/>
        <v>Posters, Prints and Standees</v>
      </c>
      <c r="L1147" s="15" t="str">
        <f t="shared" si="382"/>
        <v>Doctor Who: Poster: TARDIS Door Poster</v>
      </c>
      <c r="M1147" s="15" t="str">
        <f t="shared" si="383"/>
        <v>-</v>
      </c>
      <c r="N1147" s="15">
        <f t="shared" si="384"/>
        <v>0.3</v>
      </c>
      <c r="O1147" s="15" t="str">
        <f t="shared" si="385"/>
        <v>A20</v>
      </c>
      <c r="P1147" s="15" t="str">
        <f t="shared" si="386"/>
        <v>Morbius Inc.</v>
      </c>
      <c r="Q1147" s="15" t="str">
        <f t="shared" si="387"/>
        <v>56 Michael Spice Hwy</v>
      </c>
      <c r="R1147" s="3">
        <f>OrdersTable!C1147</f>
        <v>44642</v>
      </c>
      <c r="S1147" s="15">
        <f>OrdersTable!E1147</f>
        <v>4</v>
      </c>
      <c r="T1147" s="15">
        <f t="shared" si="388"/>
        <v>5.99</v>
      </c>
      <c r="U1147" s="15">
        <f t="shared" si="389"/>
        <v>8.41</v>
      </c>
      <c r="V1147" s="15">
        <f t="shared" si="390"/>
        <v>9.6999999999999993</v>
      </c>
      <c r="W1147" s="15">
        <f>IF(MarkupType="Store Markup",ROUND(V1147+V1147*StoreMarkup,2),IF(MarkupType="Supplier Markup",V1147+V1147*SupplierMarkup,"Error at finding value"))</f>
        <v>15.28</v>
      </c>
      <c r="X1147" s="32" t="str">
        <f t="shared" si="392"/>
        <v>0.00</v>
      </c>
      <c r="Y1147" s="15">
        <f t="shared" si="393"/>
        <v>38.799999999999997</v>
      </c>
      <c r="Z1147" s="15">
        <f t="shared" si="394"/>
        <v>61.12</v>
      </c>
      <c r="AA1147" s="15">
        <f>IF(FreightType="Lethbridge-Stewart Freight ",ROUND(2.99+IF(N1147&gt;0.75,(N1147-0.75)*2.25,0)*S1147,2),IF(MarkupType="Supplier Markup",V1147+V1147*SupplierMarkup,"Error at finding value"))</f>
        <v>2.99</v>
      </c>
      <c r="AB1147" s="15">
        <f t="shared" si="395"/>
        <v>0</v>
      </c>
    </row>
    <row r="1148" spans="1:28" x14ac:dyDescent="0.25">
      <c r="A1148" s="16">
        <f>OrdersTable!A1148</f>
        <v>568</v>
      </c>
      <c r="B1148" s="15" t="str">
        <f t="shared" si="375"/>
        <v>Mr</v>
      </c>
      <c r="C1148" s="15" t="str">
        <f t="shared" si="396"/>
        <v>Byrne</v>
      </c>
      <c r="D1148" s="15" t="str">
        <f t="shared" si="376"/>
        <v>Gregory James</v>
      </c>
      <c r="E1148" s="15" t="str">
        <f t="shared" si="377"/>
        <v>18 Doroshenko Crescent</v>
      </c>
      <c r="F1148" s="15" t="str">
        <f t="shared" si="378"/>
        <v>Abington</v>
      </c>
      <c r="G1148" s="15" t="str">
        <f t="shared" si="379"/>
        <v>QLD</v>
      </c>
      <c r="H1148" s="15">
        <f t="shared" si="380"/>
        <v>4660</v>
      </c>
      <c r="I1148" s="15">
        <f t="shared" si="391"/>
        <v>336</v>
      </c>
      <c r="J1148" s="15">
        <f>OrdersTable!B1148</f>
        <v>724</v>
      </c>
      <c r="K1148" s="15" t="str">
        <f t="shared" si="381"/>
        <v>Posters, Prints and Standees</v>
      </c>
      <c r="L1148" s="15" t="str">
        <f t="shared" si="382"/>
        <v>Doctor Who: Standee: The 10th Doctor</v>
      </c>
      <c r="M1148" s="15" t="str">
        <f t="shared" si="383"/>
        <v>-</v>
      </c>
      <c r="N1148" s="15">
        <f t="shared" si="384"/>
        <v>1.125</v>
      </c>
      <c r="O1148" s="15" t="str">
        <f t="shared" si="385"/>
        <v>A50</v>
      </c>
      <c r="P1148" s="15" t="str">
        <f t="shared" si="386"/>
        <v>Rassilon Ltd.</v>
      </c>
      <c r="Q1148" s="15" t="str">
        <f t="shared" si="387"/>
        <v>82 Richard Mathews Road</v>
      </c>
      <c r="R1148" s="3">
        <f>OrdersTable!C1148</f>
        <v>44642</v>
      </c>
      <c r="S1148" s="15">
        <f>OrdersTable!E1148</f>
        <v>3</v>
      </c>
      <c r="T1148" s="15">
        <f t="shared" si="388"/>
        <v>22.49</v>
      </c>
      <c r="U1148" s="15">
        <f t="shared" si="389"/>
        <v>30.77</v>
      </c>
      <c r="V1148" s="15">
        <f t="shared" si="390"/>
        <v>36.43</v>
      </c>
      <c r="W1148" s="15">
        <f>IF(MarkupType="Store Markup",ROUND(V1148+V1148*StoreMarkup,2),IF(MarkupType="Supplier Markup",V1148+V1148*SupplierMarkup,"Error at finding value"))</f>
        <v>57.38</v>
      </c>
      <c r="X1148" s="32" t="str">
        <f t="shared" si="392"/>
        <v>0.00</v>
      </c>
      <c r="Y1148" s="15">
        <f t="shared" si="393"/>
        <v>109.29</v>
      </c>
      <c r="Z1148" s="15">
        <f t="shared" si="394"/>
        <v>172.14</v>
      </c>
      <c r="AA1148" s="15">
        <f>IF(FreightType="Lethbridge-Stewart Freight ",ROUND(2.99+IF(N1148&gt;0.75,(N1148-0.75)*2.25,0)*S1148,2),IF(MarkupType="Supplier Markup",V1148+V1148*SupplierMarkup,"Error at finding value"))</f>
        <v>5.52</v>
      </c>
      <c r="AB1148" s="15">
        <f t="shared" si="395"/>
        <v>0</v>
      </c>
    </row>
    <row r="1149" spans="1:28" x14ac:dyDescent="0.25">
      <c r="A1149" s="16">
        <f>OrdersTable!A1149</f>
        <v>580</v>
      </c>
      <c r="B1149" s="15" t="str">
        <f t="shared" si="375"/>
        <v>Mr</v>
      </c>
      <c r="C1149" s="15" t="str">
        <f t="shared" si="396"/>
        <v>Faatoafe</v>
      </c>
      <c r="D1149" s="15" t="str">
        <f t="shared" si="376"/>
        <v>Jasson Iosefa</v>
      </c>
      <c r="E1149" s="15" t="str">
        <f t="shared" si="377"/>
        <v>29 Schaffer Boulevard</v>
      </c>
      <c r="F1149" s="15" t="str">
        <f t="shared" si="378"/>
        <v>Binduli</v>
      </c>
      <c r="G1149" s="15" t="str">
        <f t="shared" si="379"/>
        <v>WA</v>
      </c>
      <c r="H1149" s="15">
        <f t="shared" si="380"/>
        <v>6430</v>
      </c>
      <c r="I1149" s="15">
        <f t="shared" si="391"/>
        <v>3543</v>
      </c>
      <c r="J1149" s="15">
        <f>OrdersTable!B1149</f>
        <v>563</v>
      </c>
      <c r="K1149" s="15" t="str">
        <f t="shared" si="381"/>
        <v>Giftware</v>
      </c>
      <c r="L1149" s="15" t="str">
        <f t="shared" si="382"/>
        <v>Doctor Who: TARDIS Jewellery Box</v>
      </c>
      <c r="M1149" s="15" t="str">
        <f t="shared" si="383"/>
        <v>-</v>
      </c>
      <c r="N1149" s="15">
        <f t="shared" si="384"/>
        <v>1.1499999999999999</v>
      </c>
      <c r="O1149" s="15" t="str">
        <f t="shared" si="385"/>
        <v>A50</v>
      </c>
      <c r="P1149" s="15" t="str">
        <f t="shared" si="386"/>
        <v>Rassilon Ltd.</v>
      </c>
      <c r="Q1149" s="15" t="str">
        <f t="shared" si="387"/>
        <v>82 Richard Mathews Road</v>
      </c>
      <c r="R1149" s="3">
        <f>OrdersTable!C1149</f>
        <v>44642</v>
      </c>
      <c r="S1149" s="15">
        <f>OrdersTable!E1149</f>
        <v>6</v>
      </c>
      <c r="T1149" s="15">
        <f t="shared" si="388"/>
        <v>22.99</v>
      </c>
      <c r="U1149" s="15">
        <f t="shared" si="389"/>
        <v>31.63</v>
      </c>
      <c r="V1149" s="15">
        <f t="shared" si="390"/>
        <v>37.24</v>
      </c>
      <c r="W1149" s="15">
        <f>IF(MarkupType="Store Markup",ROUND(V1149+V1149*StoreMarkup,2),IF(MarkupType="Supplier Markup",V1149+V1149*SupplierMarkup,"Error at finding value"))</f>
        <v>58.65</v>
      </c>
      <c r="X1149" s="32" t="str">
        <f t="shared" si="392"/>
        <v>0.00</v>
      </c>
      <c r="Y1149" s="15">
        <f t="shared" si="393"/>
        <v>223.44</v>
      </c>
      <c r="Z1149" s="15">
        <f t="shared" si="394"/>
        <v>351.9</v>
      </c>
      <c r="AA1149" s="15">
        <f>IF(FreightType="Lethbridge-Stewart Freight ",ROUND(2.99+IF(N1149&gt;0.75,(N1149-0.75)*2.25,0)*S1149,2),IF(MarkupType="Supplier Markup",V1149+V1149*SupplierMarkup,"Error at finding value"))</f>
        <v>8.39</v>
      </c>
      <c r="AB1149" s="15">
        <f t="shared" si="395"/>
        <v>0</v>
      </c>
    </row>
    <row r="1150" spans="1:28" x14ac:dyDescent="0.25">
      <c r="A1150" s="16">
        <f>OrdersTable!A1150</f>
        <v>611</v>
      </c>
      <c r="B1150" s="15" t="str">
        <f t="shared" si="375"/>
        <v>Mr</v>
      </c>
      <c r="C1150" s="15" t="str">
        <f t="shared" si="396"/>
        <v>Wittman</v>
      </c>
      <c r="D1150" s="15" t="str">
        <f t="shared" si="376"/>
        <v>Nicholas Jackson</v>
      </c>
      <c r="E1150" s="15" t="str">
        <f t="shared" si="377"/>
        <v>48 Sheppard-Kadel Way</v>
      </c>
      <c r="F1150" s="15" t="str">
        <f t="shared" si="378"/>
        <v>Nayook</v>
      </c>
      <c r="G1150" s="15" t="str">
        <f t="shared" si="379"/>
        <v>VIC</v>
      </c>
      <c r="H1150" s="15">
        <f t="shared" si="380"/>
        <v>3832</v>
      </c>
      <c r="I1150" s="15">
        <f t="shared" si="391"/>
        <v>1552</v>
      </c>
      <c r="J1150" s="15">
        <f>OrdersTable!B1150</f>
        <v>719</v>
      </c>
      <c r="K1150" s="15" t="str">
        <f t="shared" si="381"/>
        <v>Posters, Prints and Standees</v>
      </c>
      <c r="L1150" s="15" t="str">
        <f t="shared" si="382"/>
        <v>Doctor Who: Standee: Supreme Dalek</v>
      </c>
      <c r="M1150" s="15" t="str">
        <f t="shared" si="383"/>
        <v>-</v>
      </c>
      <c r="N1150" s="15">
        <f t="shared" si="384"/>
        <v>1.125</v>
      </c>
      <c r="O1150" s="15" t="str">
        <f t="shared" si="385"/>
        <v>A50</v>
      </c>
      <c r="P1150" s="15" t="str">
        <f t="shared" si="386"/>
        <v>Rassilon Ltd.</v>
      </c>
      <c r="Q1150" s="15" t="str">
        <f t="shared" si="387"/>
        <v>82 Richard Mathews Road</v>
      </c>
      <c r="R1150" s="3">
        <f>OrdersTable!C1150</f>
        <v>44642</v>
      </c>
      <c r="S1150" s="15">
        <f>OrdersTable!E1150</f>
        <v>6</v>
      </c>
      <c r="T1150" s="15">
        <f t="shared" si="388"/>
        <v>22.49</v>
      </c>
      <c r="U1150" s="15">
        <f t="shared" si="389"/>
        <v>30.76</v>
      </c>
      <c r="V1150" s="15">
        <f t="shared" si="390"/>
        <v>36.43</v>
      </c>
      <c r="W1150" s="15">
        <f>IF(MarkupType="Store Markup",ROUND(V1150+V1150*StoreMarkup,2),IF(MarkupType="Supplier Markup",V1150+V1150*SupplierMarkup,"Error at finding value"))</f>
        <v>57.38</v>
      </c>
      <c r="X1150" s="32" t="str">
        <f t="shared" si="392"/>
        <v>0.00</v>
      </c>
      <c r="Y1150" s="15">
        <f t="shared" si="393"/>
        <v>218.58</v>
      </c>
      <c r="Z1150" s="15">
        <f t="shared" si="394"/>
        <v>344.28</v>
      </c>
      <c r="AA1150" s="15">
        <f>IF(FreightType="Lethbridge-Stewart Freight ",ROUND(2.99+IF(N1150&gt;0.75,(N1150-0.75)*2.25,0)*S1150,2),IF(MarkupType="Supplier Markup",V1150+V1150*SupplierMarkup,"Error at finding value"))</f>
        <v>8.0500000000000007</v>
      </c>
      <c r="AB1150" s="15">
        <f t="shared" si="395"/>
        <v>0</v>
      </c>
    </row>
    <row r="1151" spans="1:28" x14ac:dyDescent="0.25">
      <c r="A1151" s="16">
        <f>OrdersTable!A1151</f>
        <v>972</v>
      </c>
      <c r="B1151" s="15" t="str">
        <f t="shared" si="375"/>
        <v>Miss</v>
      </c>
      <c r="C1151" s="15" t="str">
        <f t="shared" si="396"/>
        <v>Walsh</v>
      </c>
      <c r="D1151" s="15" t="str">
        <f t="shared" si="376"/>
        <v>Alana Jane</v>
      </c>
      <c r="E1151" s="15" t="str">
        <f t="shared" si="377"/>
        <v>40 Betts Crescent</v>
      </c>
      <c r="F1151" s="15" t="str">
        <f t="shared" si="378"/>
        <v>Alleena</v>
      </c>
      <c r="G1151" s="15" t="str">
        <f t="shared" si="379"/>
        <v>NSW</v>
      </c>
      <c r="H1151" s="15">
        <f t="shared" si="380"/>
        <v>2671</v>
      </c>
      <c r="I1151" s="15">
        <f t="shared" si="391"/>
        <v>988</v>
      </c>
      <c r="J1151" s="15">
        <f>OrdersTable!B1151</f>
        <v>530</v>
      </c>
      <c r="K1151" s="15" t="str">
        <f t="shared" si="381"/>
        <v>Giftware</v>
      </c>
      <c r="L1151" s="15" t="str">
        <f t="shared" si="382"/>
        <v>Doctor Who: Keyring TARDIS</v>
      </c>
      <c r="M1151" s="15" t="str">
        <f t="shared" si="383"/>
        <v>-</v>
      </c>
      <c r="N1151" s="15">
        <f t="shared" si="384"/>
        <v>0.25</v>
      </c>
      <c r="O1151" s="15" t="str">
        <f t="shared" si="385"/>
        <v>A20</v>
      </c>
      <c r="P1151" s="15" t="str">
        <f t="shared" si="386"/>
        <v>Morbius Inc.</v>
      </c>
      <c r="Q1151" s="15" t="str">
        <f t="shared" si="387"/>
        <v>56 Michael Spice Hwy</v>
      </c>
      <c r="R1151" s="3">
        <f>OrdersTable!C1151</f>
        <v>44642</v>
      </c>
      <c r="S1151" s="15">
        <f>OrdersTable!E1151</f>
        <v>9</v>
      </c>
      <c r="T1151" s="15">
        <f t="shared" si="388"/>
        <v>4.99</v>
      </c>
      <c r="U1151" s="15">
        <f t="shared" si="389"/>
        <v>7.1</v>
      </c>
      <c r="V1151" s="15">
        <f t="shared" si="390"/>
        <v>8.08</v>
      </c>
      <c r="W1151" s="15">
        <f>IF(MarkupType="Store Markup",ROUND(V1151+V1151*StoreMarkup,2),IF(MarkupType="Supplier Markup",V1151+V1151*SupplierMarkup,"Error at finding value"))</f>
        <v>12.73</v>
      </c>
      <c r="X1151" s="32" t="str">
        <f t="shared" si="392"/>
        <v>0.00</v>
      </c>
      <c r="Y1151" s="15">
        <f t="shared" si="393"/>
        <v>72.72</v>
      </c>
      <c r="Z1151" s="15">
        <f t="shared" si="394"/>
        <v>114.57</v>
      </c>
      <c r="AA1151" s="15">
        <f>IF(FreightType="Lethbridge-Stewart Freight ",ROUND(2.99+IF(N1151&gt;0.75,(N1151-0.75)*2.25,0)*S1151,2),IF(MarkupType="Supplier Markup",V1151+V1151*SupplierMarkup,"Error at finding value"))</f>
        <v>2.99</v>
      </c>
      <c r="AB1151" s="15">
        <f t="shared" si="395"/>
        <v>0</v>
      </c>
    </row>
    <row r="1152" spans="1:28" x14ac:dyDescent="0.25">
      <c r="A1152" s="16">
        <f>OrdersTable!A1152</f>
        <v>972</v>
      </c>
      <c r="B1152" s="15" t="str">
        <f t="shared" si="375"/>
        <v>Miss</v>
      </c>
      <c r="C1152" s="15" t="str">
        <f t="shared" si="396"/>
        <v>Walsh</v>
      </c>
      <c r="D1152" s="15" t="str">
        <f t="shared" si="376"/>
        <v>Alana Jane</v>
      </c>
      <c r="E1152" s="15" t="str">
        <f t="shared" si="377"/>
        <v>40 Betts Crescent</v>
      </c>
      <c r="F1152" s="15" t="str">
        <f t="shared" si="378"/>
        <v>Alleena</v>
      </c>
      <c r="G1152" s="15" t="str">
        <f t="shared" si="379"/>
        <v>NSW</v>
      </c>
      <c r="H1152" s="15">
        <f t="shared" si="380"/>
        <v>2671</v>
      </c>
      <c r="I1152" s="15">
        <f t="shared" si="391"/>
        <v>988</v>
      </c>
      <c r="J1152" s="15">
        <f>OrdersTable!B1152</f>
        <v>805</v>
      </c>
      <c r="K1152" s="15" t="str">
        <f t="shared" si="381"/>
        <v>Statues and Busts</v>
      </c>
      <c r="L1152" s="15" t="str">
        <f t="shared" si="382"/>
        <v>Doctor Who: Masterpiece Collection Maxi Bust: 5th Doctor</v>
      </c>
      <c r="M1152" s="15" t="str">
        <f t="shared" si="383"/>
        <v>-</v>
      </c>
      <c r="N1152" s="15">
        <f t="shared" si="384"/>
        <v>2.5</v>
      </c>
      <c r="O1152" s="15" t="str">
        <f t="shared" si="385"/>
        <v>A20</v>
      </c>
      <c r="P1152" s="15" t="str">
        <f t="shared" si="386"/>
        <v>Morbius Inc.</v>
      </c>
      <c r="Q1152" s="15" t="str">
        <f t="shared" si="387"/>
        <v>56 Michael Spice Hwy</v>
      </c>
      <c r="R1152" s="3">
        <f>OrdersTable!C1152</f>
        <v>44642</v>
      </c>
      <c r="S1152" s="15">
        <f>OrdersTable!E1152</f>
        <v>4</v>
      </c>
      <c r="T1152" s="15">
        <f t="shared" si="388"/>
        <v>49.99</v>
      </c>
      <c r="U1152" s="15">
        <f t="shared" si="389"/>
        <v>68.42</v>
      </c>
      <c r="V1152" s="15">
        <f t="shared" si="390"/>
        <v>80.98</v>
      </c>
      <c r="W1152" s="15">
        <f>IF(MarkupType="Store Markup",ROUND(V1152+V1152*StoreMarkup,2),IF(MarkupType="Supplier Markup",V1152+V1152*SupplierMarkup,"Error at finding value"))</f>
        <v>127.54</v>
      </c>
      <c r="X1152" s="32">
        <f t="shared" si="392"/>
        <v>9.09</v>
      </c>
      <c r="Y1152" s="15">
        <f t="shared" si="393"/>
        <v>323.92</v>
      </c>
      <c r="Z1152" s="15">
        <f t="shared" si="394"/>
        <v>473.8</v>
      </c>
      <c r="AA1152" s="15">
        <f>IF(FreightType="Lethbridge-Stewart Freight ",ROUND(2.99+IF(N1152&gt;0.75,(N1152-0.75)*2.25,0)*S1152,2),IF(MarkupType="Supplier Markup",V1152+V1152*SupplierMarkup,"Error at finding value"))</f>
        <v>18.739999999999998</v>
      </c>
      <c r="AB1152" s="15">
        <f t="shared" si="395"/>
        <v>36.36</v>
      </c>
    </row>
    <row r="1153" spans="1:28" x14ac:dyDescent="0.25">
      <c r="A1153" s="16">
        <f>OrdersTable!A1153</f>
        <v>22</v>
      </c>
      <c r="B1153" s="15" t="str">
        <f t="shared" si="375"/>
        <v>Mr</v>
      </c>
      <c r="C1153" s="15" t="str">
        <f t="shared" si="396"/>
        <v>Tyrrell</v>
      </c>
      <c r="D1153" s="15" t="str">
        <f t="shared" si="376"/>
        <v>Timothy James</v>
      </c>
      <c r="E1153" s="15" t="str">
        <f t="shared" si="377"/>
        <v>48 Lambourne Crescent</v>
      </c>
      <c r="F1153" s="15" t="str">
        <f t="shared" si="378"/>
        <v>Belford</v>
      </c>
      <c r="G1153" s="15" t="str">
        <f t="shared" si="379"/>
        <v>NSW</v>
      </c>
      <c r="H1153" s="15">
        <f t="shared" si="380"/>
        <v>2335</v>
      </c>
      <c r="I1153" s="15">
        <f t="shared" si="391"/>
        <v>716</v>
      </c>
      <c r="J1153" s="15">
        <f>OrdersTable!B1153</f>
        <v>398</v>
      </c>
      <c r="K1153" s="15" t="str">
        <f t="shared" si="381"/>
        <v>Clothing and Apparel</v>
      </c>
      <c r="L1153" s="15" t="str">
        <f t="shared" si="382"/>
        <v>Doctor Who: Women's Winter Pyjamas</v>
      </c>
      <c r="M1153" s="15" t="str">
        <f t="shared" si="383"/>
        <v>S</v>
      </c>
      <c r="N1153" s="15">
        <f t="shared" si="384"/>
        <v>1.5</v>
      </c>
      <c r="O1153" s="15" t="str">
        <f t="shared" si="385"/>
        <v>A40</v>
      </c>
      <c r="P1153" s="15" t="str">
        <f t="shared" si="386"/>
        <v>Romana Imports</v>
      </c>
      <c r="Q1153" s="15" t="str">
        <f t="shared" si="387"/>
        <v>17 Lalla Ward Road</v>
      </c>
      <c r="R1153" s="3">
        <f>OrdersTable!C1153</f>
        <v>44643</v>
      </c>
      <c r="S1153" s="15">
        <f>OrdersTable!E1153</f>
        <v>7</v>
      </c>
      <c r="T1153" s="15">
        <f t="shared" si="388"/>
        <v>29.99</v>
      </c>
      <c r="U1153" s="15">
        <f t="shared" si="389"/>
        <v>41.07</v>
      </c>
      <c r="V1153" s="15">
        <f t="shared" si="390"/>
        <v>48.58</v>
      </c>
      <c r="W1153" s="15">
        <f>IF(MarkupType="Store Markup",ROUND(V1153+V1153*StoreMarkup,2),IF(MarkupType="Supplier Markup",V1153+V1153*SupplierMarkup,"Error at finding value"))</f>
        <v>76.510000000000005</v>
      </c>
      <c r="X1153" s="32" t="str">
        <f t="shared" si="392"/>
        <v>0.00</v>
      </c>
      <c r="Y1153" s="15">
        <f t="shared" si="393"/>
        <v>340.06</v>
      </c>
      <c r="Z1153" s="15">
        <f t="shared" si="394"/>
        <v>535.57000000000005</v>
      </c>
      <c r="AA1153" s="15">
        <f>IF(FreightType="Lethbridge-Stewart Freight ",ROUND(2.99+IF(N1153&gt;0.75,(N1153-0.75)*2.25,0)*S1153,2),IF(MarkupType="Supplier Markup",V1153+V1153*SupplierMarkup,"Error at finding value"))</f>
        <v>14.8</v>
      </c>
      <c r="AB1153" s="15">
        <f t="shared" si="395"/>
        <v>0</v>
      </c>
    </row>
    <row r="1154" spans="1:28" x14ac:dyDescent="0.25">
      <c r="A1154" s="16">
        <f>OrdersTable!A1154</f>
        <v>112</v>
      </c>
      <c r="B1154" s="15" t="str">
        <f t="shared" si="375"/>
        <v>Mr</v>
      </c>
      <c r="C1154" s="15" t="str">
        <f t="shared" si="396"/>
        <v>Dahal</v>
      </c>
      <c r="D1154" s="15" t="str">
        <f t="shared" si="376"/>
        <v>Subash</v>
      </c>
      <c r="E1154" s="15" t="str">
        <f t="shared" si="377"/>
        <v>121-127 Railway Pde, Granville, NSW 2142</v>
      </c>
      <c r="F1154" s="15" t="str">
        <f t="shared" si="378"/>
        <v>Granville</v>
      </c>
      <c r="G1154" s="15" t="str">
        <f t="shared" si="379"/>
        <v>NSW</v>
      </c>
      <c r="H1154" s="15">
        <f t="shared" si="380"/>
        <v>2142</v>
      </c>
      <c r="I1154" s="15">
        <f t="shared" si="391"/>
        <v>907</v>
      </c>
      <c r="J1154" s="15">
        <f>OrdersTable!B1154</f>
        <v>683</v>
      </c>
      <c r="K1154" s="15" t="str">
        <f t="shared" si="381"/>
        <v>Mugs</v>
      </c>
      <c r="L1154" s="15" t="str">
        <f t="shared" si="382"/>
        <v>Doctor Who: Mug: The Tenth Doctor</v>
      </c>
      <c r="M1154" s="15" t="str">
        <f t="shared" si="383"/>
        <v>-</v>
      </c>
      <c r="N1154" s="15">
        <f t="shared" si="384"/>
        <v>0.45</v>
      </c>
      <c r="O1154" s="15" t="str">
        <f t="shared" si="385"/>
        <v>A20</v>
      </c>
      <c r="P1154" s="15" t="str">
        <f t="shared" si="386"/>
        <v>Morbius Inc.</v>
      </c>
      <c r="Q1154" s="15" t="str">
        <f t="shared" si="387"/>
        <v>56 Michael Spice Hwy</v>
      </c>
      <c r="R1154" s="3">
        <f>OrdersTable!C1154</f>
        <v>44643</v>
      </c>
      <c r="S1154" s="15">
        <f>OrdersTable!E1154</f>
        <v>5</v>
      </c>
      <c r="T1154" s="15">
        <f t="shared" si="388"/>
        <v>8.99</v>
      </c>
      <c r="U1154" s="15">
        <f t="shared" si="389"/>
        <v>12.54</v>
      </c>
      <c r="V1154" s="15">
        <f t="shared" si="390"/>
        <v>14.56</v>
      </c>
      <c r="W1154" s="15">
        <f>IF(MarkupType="Store Markup",ROUND(V1154+V1154*StoreMarkup,2),IF(MarkupType="Supplier Markup",V1154+V1154*SupplierMarkup,"Error at finding value"))</f>
        <v>22.93</v>
      </c>
      <c r="X1154" s="32" t="str">
        <f t="shared" si="392"/>
        <v>0.00</v>
      </c>
      <c r="Y1154" s="15">
        <f t="shared" si="393"/>
        <v>72.8</v>
      </c>
      <c r="Z1154" s="15">
        <f t="shared" si="394"/>
        <v>114.65</v>
      </c>
      <c r="AA1154" s="15">
        <f>IF(FreightType="Lethbridge-Stewart Freight ",ROUND(2.99+IF(N1154&gt;0.75,(N1154-0.75)*2.25,0)*S1154,2),IF(MarkupType="Supplier Markup",V1154+V1154*SupplierMarkup,"Error at finding value"))</f>
        <v>2.99</v>
      </c>
      <c r="AB1154" s="15">
        <f t="shared" si="395"/>
        <v>0</v>
      </c>
    </row>
    <row r="1155" spans="1:28" x14ac:dyDescent="0.25">
      <c r="A1155" s="16">
        <f>OrdersTable!A1155</f>
        <v>141</v>
      </c>
      <c r="B1155" s="15" t="str">
        <f t="shared" si="375"/>
        <v>Mr</v>
      </c>
      <c r="C1155" s="15" t="str">
        <f t="shared" si="396"/>
        <v>Bergmann</v>
      </c>
      <c r="D1155" s="15" t="str">
        <f t="shared" si="376"/>
        <v>Beau Jay</v>
      </c>
      <c r="E1155" s="15" t="str">
        <f t="shared" si="377"/>
        <v>47 McCullough Circuit</v>
      </c>
      <c r="F1155" s="15" t="str">
        <f t="shared" si="378"/>
        <v>Breakwater</v>
      </c>
      <c r="G1155" s="15" t="str">
        <f t="shared" si="379"/>
        <v>VIC</v>
      </c>
      <c r="H1155" s="15">
        <f t="shared" si="380"/>
        <v>3219</v>
      </c>
      <c r="I1155" s="15">
        <f t="shared" si="391"/>
        <v>1596</v>
      </c>
      <c r="J1155" s="15">
        <f>OrdersTable!B1155</f>
        <v>594</v>
      </c>
      <c r="K1155" s="15" t="str">
        <f t="shared" si="381"/>
        <v>iPhone Skins</v>
      </c>
      <c r="L1155" s="15" t="str">
        <f t="shared" si="382"/>
        <v>Doctor Who: iPhone Skin: Keep Calm And Don't Blink</v>
      </c>
      <c r="M1155" s="15" t="str">
        <f t="shared" si="383"/>
        <v>-</v>
      </c>
      <c r="N1155" s="15">
        <f t="shared" si="384"/>
        <v>0.5</v>
      </c>
      <c r="O1155" s="15" t="str">
        <f t="shared" si="385"/>
        <v>A20</v>
      </c>
      <c r="P1155" s="15" t="str">
        <f t="shared" si="386"/>
        <v>Morbius Inc.</v>
      </c>
      <c r="Q1155" s="15" t="str">
        <f t="shared" si="387"/>
        <v>56 Michael Spice Hwy</v>
      </c>
      <c r="R1155" s="3">
        <f>OrdersTable!C1155</f>
        <v>44643</v>
      </c>
      <c r="S1155" s="15">
        <f>OrdersTable!E1155</f>
        <v>9</v>
      </c>
      <c r="T1155" s="15">
        <f t="shared" si="388"/>
        <v>9.99</v>
      </c>
      <c r="U1155" s="15">
        <f t="shared" si="389"/>
        <v>13.88</v>
      </c>
      <c r="V1155" s="15">
        <f t="shared" si="390"/>
        <v>16.18</v>
      </c>
      <c r="W1155" s="15">
        <f>IF(MarkupType="Store Markup",ROUND(V1155+V1155*StoreMarkup,2),IF(MarkupType="Supplier Markup",V1155+V1155*SupplierMarkup,"Error at finding value"))</f>
        <v>25.48</v>
      </c>
      <c r="X1155" s="32" t="str">
        <f t="shared" si="392"/>
        <v>0.00</v>
      </c>
      <c r="Y1155" s="15">
        <f t="shared" si="393"/>
        <v>145.62</v>
      </c>
      <c r="Z1155" s="15">
        <f t="shared" si="394"/>
        <v>229.32</v>
      </c>
      <c r="AA1155" s="15">
        <f>IF(FreightType="Lethbridge-Stewart Freight ",ROUND(2.99+IF(N1155&gt;0.75,(N1155-0.75)*2.25,0)*S1155,2),IF(MarkupType="Supplier Markup",V1155+V1155*SupplierMarkup,"Error at finding value"))</f>
        <v>2.99</v>
      </c>
      <c r="AB1155" s="15">
        <f t="shared" si="395"/>
        <v>0</v>
      </c>
    </row>
    <row r="1156" spans="1:28" x14ac:dyDescent="0.25">
      <c r="A1156" s="16">
        <f>OrdersTable!A1156</f>
        <v>142</v>
      </c>
      <c r="B1156" s="15" t="str">
        <f t="shared" ref="B1156:B1219" si="397">VLOOKUP($A1156,Cust,2,0)</f>
        <v>Miss</v>
      </c>
      <c r="C1156" s="15" t="str">
        <f t="shared" si="396"/>
        <v>Western</v>
      </c>
      <c r="D1156" s="15" t="str">
        <f t="shared" ref="D1156:D1219" si="398">VLOOKUP($A1156,Cust,4,0)</f>
        <v>Lee Reuben</v>
      </c>
      <c r="E1156" s="15" t="str">
        <f t="shared" ref="E1156:E1219" si="399">VLOOKUP($A1156,Cust,6,0)</f>
        <v>14 Fields Road</v>
      </c>
      <c r="F1156" s="15" t="str">
        <f t="shared" ref="F1156:F1219" si="400">VLOOKUP($A1156,Cust,7,0)</f>
        <v>Airly</v>
      </c>
      <c r="G1156" s="15" t="str">
        <f t="shared" ref="G1156:G1219" si="401">VLOOKUP($A1156,Cust,8,0)</f>
        <v>VIC</v>
      </c>
      <c r="H1156" s="15">
        <f t="shared" ref="H1156:H1219" si="402">VLOOKUP($A1156,Cust,9,0)</f>
        <v>3851</v>
      </c>
      <c r="I1156" s="15">
        <f t="shared" si="391"/>
        <v>1583</v>
      </c>
      <c r="J1156" s="15">
        <f>OrdersTable!B1156</f>
        <v>780</v>
      </c>
      <c r="K1156" s="15" t="str">
        <f t="shared" ref="K1156:K1219" si="403">VLOOKUP($J1156,Itms,2,0)</f>
        <v>Statues and Busts</v>
      </c>
      <c r="L1156" s="15" t="str">
        <f t="shared" ref="L1156:L1219" si="404">VLOOKUP($J1156,Itms,3,0)</f>
        <v>Doctor Who: Masterpiece Collection Dalek: Genesis Of The Daleks</v>
      </c>
      <c r="M1156" s="15" t="str">
        <f t="shared" ref="M1156:M1219" si="405">VLOOKUP($J1156,Itms,4,0)</f>
        <v>-</v>
      </c>
      <c r="N1156" s="15">
        <f t="shared" ref="N1156:N1219" si="406">VLOOKUP($J1156,Itms,5,0)</f>
        <v>2.5</v>
      </c>
      <c r="O1156" s="15" t="str">
        <f t="shared" ref="O1156:O1219" si="407">VLOOKUP($J1156,Itms,6,0)</f>
        <v>A30</v>
      </c>
      <c r="P1156" s="15" t="str">
        <f t="shared" ref="P1156:P1219" si="408">VLOOKUP($O1156,Supp,2,0)</f>
        <v>Chesterton Enterprises</v>
      </c>
      <c r="Q1156" s="15" t="str">
        <f t="shared" ref="Q1156:Q1219" si="409">VLOOKUP($O1156,Supp,3,0)</f>
        <v>41 William Russell Road</v>
      </c>
      <c r="R1156" s="3">
        <f>OrdersTable!C1156</f>
        <v>44643</v>
      </c>
      <c r="S1156" s="15">
        <f>OrdersTable!E1156</f>
        <v>10</v>
      </c>
      <c r="T1156" s="15">
        <f t="shared" ref="T1156:T1219" si="410">VLOOKUP($J1156,Itms,9,0)</f>
        <v>49.99</v>
      </c>
      <c r="U1156" s="15">
        <f t="shared" ref="U1156:U1219" si="411">VLOOKUP($J1156,Itms,10,0)</f>
        <v>68.23</v>
      </c>
      <c r="V1156" s="15">
        <f t="shared" ref="V1156:V1219" si="412">IF(ExchRateType="IR",ROUND(T1156*ExchRateIR,2),IF(ExchRateType="CA",ROUND(U1156*ExchRateCA,2),"Error at finding value"))</f>
        <v>80.98</v>
      </c>
      <c r="W1156" s="15">
        <f>IF(MarkupType="Store Markup",ROUND(V1156+V1156*StoreMarkup,2),IF(MarkupType="Supplier Markup",V1156+V1156*SupplierMarkup,"Error at finding value"))</f>
        <v>127.54</v>
      </c>
      <c r="X1156" s="32">
        <f t="shared" si="392"/>
        <v>9.09</v>
      </c>
      <c r="Y1156" s="15">
        <f t="shared" si="393"/>
        <v>809.8</v>
      </c>
      <c r="Z1156" s="15">
        <f t="shared" si="394"/>
        <v>1184.5</v>
      </c>
      <c r="AA1156" s="15">
        <f>IF(FreightType="Lethbridge-Stewart Freight ",ROUND(2.99+IF(N1156&gt;0.75,(N1156-0.75)*2.25,0)*S1156,2),IF(MarkupType="Supplier Markup",V1156+V1156*SupplierMarkup,"Error at finding value"))</f>
        <v>42.37</v>
      </c>
      <c r="AB1156" s="15">
        <f t="shared" si="395"/>
        <v>90.9</v>
      </c>
    </row>
    <row r="1157" spans="1:28" x14ac:dyDescent="0.25">
      <c r="A1157" s="16">
        <f>OrdersTable!A1157</f>
        <v>544</v>
      </c>
      <c r="B1157" s="15" t="str">
        <f t="shared" si="397"/>
        <v>Mr</v>
      </c>
      <c r="C1157" s="15" t="str">
        <f t="shared" si="396"/>
        <v>Sullivan</v>
      </c>
      <c r="D1157" s="15" t="str">
        <f t="shared" si="398"/>
        <v>Lawrence Bernard</v>
      </c>
      <c r="E1157" s="15" t="str">
        <f t="shared" si="399"/>
        <v>11 Haydon Boulevard</v>
      </c>
      <c r="F1157" s="15" t="str">
        <f t="shared" si="400"/>
        <v>Breakwater</v>
      </c>
      <c r="G1157" s="15" t="str">
        <f t="shared" si="401"/>
        <v>VIC</v>
      </c>
      <c r="H1157" s="15">
        <f t="shared" si="402"/>
        <v>3219</v>
      </c>
      <c r="I1157" s="15">
        <f t="shared" ref="I1157:I1220" si="413">VLOOKUP($A1157,Cust,10,0)</f>
        <v>1596</v>
      </c>
      <c r="J1157" s="15">
        <f>OrdersTable!B1157</f>
        <v>853</v>
      </c>
      <c r="K1157" s="15" t="str">
        <f t="shared" si="403"/>
        <v>Statues and Busts</v>
      </c>
      <c r="L1157" s="15" t="str">
        <f t="shared" si="404"/>
        <v>Doctor Who: Statue: The Master And Auton</v>
      </c>
      <c r="M1157" s="15" t="str">
        <f t="shared" si="405"/>
        <v>-</v>
      </c>
      <c r="N1157" s="15">
        <f t="shared" si="406"/>
        <v>3.5</v>
      </c>
      <c r="O1157" s="15" t="str">
        <f t="shared" si="407"/>
        <v>A50</v>
      </c>
      <c r="P1157" s="15" t="str">
        <f t="shared" si="408"/>
        <v>Rassilon Ltd.</v>
      </c>
      <c r="Q1157" s="15" t="str">
        <f t="shared" si="409"/>
        <v>82 Richard Mathews Road</v>
      </c>
      <c r="R1157" s="3">
        <f>OrdersTable!C1157</f>
        <v>44643</v>
      </c>
      <c r="S1157" s="15">
        <f>OrdersTable!E1157</f>
        <v>3</v>
      </c>
      <c r="T1157" s="15">
        <f t="shared" si="410"/>
        <v>69.989999999999995</v>
      </c>
      <c r="U1157" s="15">
        <f t="shared" si="411"/>
        <v>95.51</v>
      </c>
      <c r="V1157" s="15">
        <f t="shared" si="412"/>
        <v>113.38</v>
      </c>
      <c r="W1157" s="15">
        <f>IF(MarkupType="Store Markup",ROUND(V1157+V1157*StoreMarkup,2),IF(MarkupType="Supplier Markup",V1157+V1157*SupplierMarkup,"Error at finding value"))</f>
        <v>178.57</v>
      </c>
      <c r="X1157" s="32">
        <f t="shared" ref="X1157:X1220" si="414">IF(AND(W1157&gt;100,S1157&gt;=3),ROUND(0.07125*W1157,2),"0.00")</f>
        <v>12.72</v>
      </c>
      <c r="Y1157" s="15">
        <f t="shared" ref="Y1157:Y1220" si="415">ROUND(V1157*S1157,2)</f>
        <v>340.14</v>
      </c>
      <c r="Z1157" s="15">
        <f t="shared" ref="Z1157:Z1220" si="416">ROUND((W1157-X1157)*S1157,2)</f>
        <v>497.55</v>
      </c>
      <c r="AA1157" s="15">
        <f>IF(FreightType="Lethbridge-Stewart Freight ",ROUND(2.99+IF(N1157&gt;0.75,(N1157-0.75)*2.25,0)*S1157,2),IF(MarkupType="Supplier Markup",V1157+V1157*SupplierMarkup,"Error at finding value"))</f>
        <v>21.55</v>
      </c>
      <c r="AB1157" s="15">
        <f t="shared" ref="AB1157:AB1220" si="417">ROUND(X1157*S1157,2)</f>
        <v>38.159999999999997</v>
      </c>
    </row>
    <row r="1158" spans="1:28" x14ac:dyDescent="0.25">
      <c r="A1158" s="16">
        <f>OrdersTable!A1158</f>
        <v>567</v>
      </c>
      <c r="B1158" s="15" t="str">
        <f t="shared" si="397"/>
        <v>Ms</v>
      </c>
      <c r="C1158" s="15" t="str">
        <f t="shared" si="396"/>
        <v>Perkins</v>
      </c>
      <c r="D1158" s="15" t="str">
        <f t="shared" si="398"/>
        <v>Sarah</v>
      </c>
      <c r="E1158" s="15" t="str">
        <f t="shared" si="399"/>
        <v>7 Tengdahl Road</v>
      </c>
      <c r="F1158" s="15" t="str">
        <f t="shared" si="400"/>
        <v>Areegra</v>
      </c>
      <c r="G1158" s="15" t="str">
        <f t="shared" si="401"/>
        <v>VIC</v>
      </c>
      <c r="H1158" s="15">
        <f t="shared" si="402"/>
        <v>3480</v>
      </c>
      <c r="I1158" s="15">
        <f t="shared" si="413"/>
        <v>1559</v>
      </c>
      <c r="J1158" s="15">
        <f>OrdersTable!B1158</f>
        <v>778</v>
      </c>
      <c r="K1158" s="15" t="str">
        <f t="shared" si="403"/>
        <v>Statues and Busts</v>
      </c>
      <c r="L1158" s="15" t="str">
        <f t="shared" si="404"/>
        <v>Doctor Who: Legends Forever Bust: William Hartnell</v>
      </c>
      <c r="M1158" s="15" t="str">
        <f t="shared" si="405"/>
        <v>-</v>
      </c>
      <c r="N1158" s="15">
        <f t="shared" si="406"/>
        <v>1.375</v>
      </c>
      <c r="O1158" s="15" t="str">
        <f t="shared" si="407"/>
        <v>A40</v>
      </c>
      <c r="P1158" s="15" t="str">
        <f t="shared" si="408"/>
        <v>Romana Imports</v>
      </c>
      <c r="Q1158" s="15" t="str">
        <f t="shared" si="409"/>
        <v>17 Lalla Ward Road</v>
      </c>
      <c r="R1158" s="3">
        <f>OrdersTable!C1158</f>
        <v>44643</v>
      </c>
      <c r="S1158" s="15">
        <f>OrdersTable!E1158</f>
        <v>5</v>
      </c>
      <c r="T1158" s="15">
        <f t="shared" si="410"/>
        <v>27.5</v>
      </c>
      <c r="U1158" s="15">
        <f t="shared" si="411"/>
        <v>37.520000000000003</v>
      </c>
      <c r="V1158" s="15">
        <f t="shared" si="412"/>
        <v>44.55</v>
      </c>
      <c r="W1158" s="15">
        <f>IF(MarkupType="Store Markup",ROUND(V1158+V1158*StoreMarkup,2),IF(MarkupType="Supplier Markup",V1158+V1158*SupplierMarkup,"Error at finding value"))</f>
        <v>70.17</v>
      </c>
      <c r="X1158" s="32" t="str">
        <f t="shared" si="414"/>
        <v>0.00</v>
      </c>
      <c r="Y1158" s="15">
        <f t="shared" si="415"/>
        <v>222.75</v>
      </c>
      <c r="Z1158" s="15">
        <f t="shared" si="416"/>
        <v>350.85</v>
      </c>
      <c r="AA1158" s="15">
        <f>IF(FreightType="Lethbridge-Stewart Freight ",ROUND(2.99+IF(N1158&gt;0.75,(N1158-0.75)*2.25,0)*S1158,2),IF(MarkupType="Supplier Markup",V1158+V1158*SupplierMarkup,"Error at finding value"))</f>
        <v>10.02</v>
      </c>
      <c r="AB1158" s="15">
        <f t="shared" si="417"/>
        <v>0</v>
      </c>
    </row>
    <row r="1159" spans="1:28" x14ac:dyDescent="0.25">
      <c r="A1159" s="16">
        <f>OrdersTable!A1159</f>
        <v>580</v>
      </c>
      <c r="B1159" s="15" t="str">
        <f t="shared" si="397"/>
        <v>Mr</v>
      </c>
      <c r="C1159" s="15" t="str">
        <f t="shared" si="396"/>
        <v>Faatoafe</v>
      </c>
      <c r="D1159" s="15" t="str">
        <f t="shared" si="398"/>
        <v>Jasson Iosefa</v>
      </c>
      <c r="E1159" s="15" t="str">
        <f t="shared" si="399"/>
        <v>29 Schaffer Boulevard</v>
      </c>
      <c r="F1159" s="15" t="str">
        <f t="shared" si="400"/>
        <v>Binduli</v>
      </c>
      <c r="G1159" s="15" t="str">
        <f t="shared" si="401"/>
        <v>WA</v>
      </c>
      <c r="H1159" s="15">
        <f t="shared" si="402"/>
        <v>6430</v>
      </c>
      <c r="I1159" s="15">
        <f t="shared" si="413"/>
        <v>3543</v>
      </c>
      <c r="J1159" s="15">
        <f>OrdersTable!B1159</f>
        <v>259</v>
      </c>
      <c r="K1159" s="15" t="str">
        <f t="shared" si="403"/>
        <v>Clothing and Apparel</v>
      </c>
      <c r="L1159" s="15" t="str">
        <f t="shared" si="404"/>
        <v>Doctor Who: Men's Winter Pyjamas</v>
      </c>
      <c r="M1159" s="15" t="str">
        <f t="shared" si="405"/>
        <v>XL</v>
      </c>
      <c r="N1159" s="15">
        <f t="shared" si="406"/>
        <v>1.5</v>
      </c>
      <c r="O1159" s="15" t="str">
        <f t="shared" si="407"/>
        <v>A50</v>
      </c>
      <c r="P1159" s="15" t="str">
        <f t="shared" si="408"/>
        <v>Rassilon Ltd.</v>
      </c>
      <c r="Q1159" s="15" t="str">
        <f t="shared" si="409"/>
        <v>82 Richard Mathews Road</v>
      </c>
      <c r="R1159" s="3">
        <f>OrdersTable!C1159</f>
        <v>44643</v>
      </c>
      <c r="S1159" s="15">
        <f>OrdersTable!E1159</f>
        <v>10</v>
      </c>
      <c r="T1159" s="15">
        <f t="shared" si="410"/>
        <v>29.99</v>
      </c>
      <c r="U1159" s="15">
        <f t="shared" si="411"/>
        <v>41.15</v>
      </c>
      <c r="V1159" s="15">
        <f t="shared" si="412"/>
        <v>48.58</v>
      </c>
      <c r="W1159" s="15">
        <f>IF(MarkupType="Store Markup",ROUND(V1159+V1159*StoreMarkup,2),IF(MarkupType="Supplier Markup",V1159+V1159*SupplierMarkup,"Error at finding value"))</f>
        <v>76.510000000000005</v>
      </c>
      <c r="X1159" s="32" t="str">
        <f t="shared" si="414"/>
        <v>0.00</v>
      </c>
      <c r="Y1159" s="15">
        <f t="shared" si="415"/>
        <v>485.8</v>
      </c>
      <c r="Z1159" s="15">
        <f t="shared" si="416"/>
        <v>765.1</v>
      </c>
      <c r="AA1159" s="15">
        <f>IF(FreightType="Lethbridge-Stewart Freight ",ROUND(2.99+IF(N1159&gt;0.75,(N1159-0.75)*2.25,0)*S1159,2),IF(MarkupType="Supplier Markup",V1159+V1159*SupplierMarkup,"Error at finding value"))</f>
        <v>19.87</v>
      </c>
      <c r="AB1159" s="15">
        <f t="shared" si="417"/>
        <v>0</v>
      </c>
    </row>
    <row r="1160" spans="1:28" x14ac:dyDescent="0.25">
      <c r="A1160" s="16">
        <f>OrdersTable!A1160</f>
        <v>611</v>
      </c>
      <c r="B1160" s="15" t="str">
        <f t="shared" si="397"/>
        <v>Mr</v>
      </c>
      <c r="C1160" s="15" t="str">
        <f t="shared" si="396"/>
        <v>Wittman</v>
      </c>
      <c r="D1160" s="15" t="str">
        <f t="shared" si="398"/>
        <v>Nicholas Jackson</v>
      </c>
      <c r="E1160" s="15" t="str">
        <f t="shared" si="399"/>
        <v>48 Sheppard-Kadel Way</v>
      </c>
      <c r="F1160" s="15" t="str">
        <f t="shared" si="400"/>
        <v>Nayook</v>
      </c>
      <c r="G1160" s="15" t="str">
        <f t="shared" si="401"/>
        <v>VIC</v>
      </c>
      <c r="H1160" s="15">
        <f t="shared" si="402"/>
        <v>3832</v>
      </c>
      <c r="I1160" s="15">
        <f t="shared" si="413"/>
        <v>1552</v>
      </c>
      <c r="J1160" s="15">
        <f>OrdersTable!B1160</f>
        <v>711</v>
      </c>
      <c r="K1160" s="15" t="str">
        <f t="shared" si="403"/>
        <v>Posters, Prints and Standees</v>
      </c>
      <c r="L1160" s="15" t="str">
        <f t="shared" si="404"/>
        <v>Doctor Who: Poster: TARDIS Door Poster</v>
      </c>
      <c r="M1160" s="15" t="str">
        <f t="shared" si="405"/>
        <v>-</v>
      </c>
      <c r="N1160" s="15">
        <f t="shared" si="406"/>
        <v>0.3</v>
      </c>
      <c r="O1160" s="15" t="str">
        <f t="shared" si="407"/>
        <v>A20</v>
      </c>
      <c r="P1160" s="15" t="str">
        <f t="shared" si="408"/>
        <v>Morbius Inc.</v>
      </c>
      <c r="Q1160" s="15" t="str">
        <f t="shared" si="409"/>
        <v>56 Michael Spice Hwy</v>
      </c>
      <c r="R1160" s="3">
        <f>OrdersTable!C1160</f>
        <v>44643</v>
      </c>
      <c r="S1160" s="15">
        <f>OrdersTable!E1160</f>
        <v>5</v>
      </c>
      <c r="T1160" s="15">
        <f t="shared" si="410"/>
        <v>5.99</v>
      </c>
      <c r="U1160" s="15">
        <f t="shared" si="411"/>
        <v>8.41</v>
      </c>
      <c r="V1160" s="15">
        <f t="shared" si="412"/>
        <v>9.6999999999999993</v>
      </c>
      <c r="W1160" s="15">
        <f>IF(MarkupType="Store Markup",ROUND(V1160+V1160*StoreMarkup,2),IF(MarkupType="Supplier Markup",V1160+V1160*SupplierMarkup,"Error at finding value"))</f>
        <v>15.28</v>
      </c>
      <c r="X1160" s="32" t="str">
        <f t="shared" si="414"/>
        <v>0.00</v>
      </c>
      <c r="Y1160" s="15">
        <f t="shared" si="415"/>
        <v>48.5</v>
      </c>
      <c r="Z1160" s="15">
        <f t="shared" si="416"/>
        <v>76.400000000000006</v>
      </c>
      <c r="AA1160" s="15">
        <f>IF(FreightType="Lethbridge-Stewart Freight ",ROUND(2.99+IF(N1160&gt;0.75,(N1160-0.75)*2.25,0)*S1160,2),IF(MarkupType="Supplier Markup",V1160+V1160*SupplierMarkup,"Error at finding value"))</f>
        <v>2.99</v>
      </c>
      <c r="AB1160" s="15">
        <f t="shared" si="417"/>
        <v>0</v>
      </c>
    </row>
    <row r="1161" spans="1:28" x14ac:dyDescent="0.25">
      <c r="A1161" s="16">
        <f>OrdersTable!A1161</f>
        <v>802</v>
      </c>
      <c r="B1161" s="15" t="str">
        <f t="shared" si="397"/>
        <v>Mr</v>
      </c>
      <c r="C1161" s="15" t="str">
        <f t="shared" si="396"/>
        <v>Carlton</v>
      </c>
      <c r="D1161" s="15" t="str">
        <f t="shared" si="398"/>
        <v>Lawrence</v>
      </c>
      <c r="E1161" s="15" t="str">
        <f t="shared" si="399"/>
        <v>39 Walsh Way</v>
      </c>
      <c r="F1161" s="15" t="str">
        <f t="shared" si="400"/>
        <v>Breakwater</v>
      </c>
      <c r="G1161" s="15" t="str">
        <f t="shared" si="401"/>
        <v>VIC</v>
      </c>
      <c r="H1161" s="15">
        <f t="shared" si="402"/>
        <v>3219</v>
      </c>
      <c r="I1161" s="15">
        <f t="shared" si="413"/>
        <v>1596</v>
      </c>
      <c r="J1161" s="15">
        <f>OrdersTable!B1161</f>
        <v>830</v>
      </c>
      <c r="K1161" s="15" t="str">
        <f t="shared" si="403"/>
        <v>Statues and Busts</v>
      </c>
      <c r="L1161" s="15" t="str">
        <f t="shared" si="404"/>
        <v>Doctor Who: Mini Bust: Weeping Angel</v>
      </c>
      <c r="M1161" s="15" t="str">
        <f t="shared" si="405"/>
        <v>-</v>
      </c>
      <c r="N1161" s="15">
        <f t="shared" si="406"/>
        <v>1.8</v>
      </c>
      <c r="O1161" s="15" t="str">
        <f t="shared" si="407"/>
        <v>A50</v>
      </c>
      <c r="P1161" s="15" t="str">
        <f t="shared" si="408"/>
        <v>Rassilon Ltd.</v>
      </c>
      <c r="Q1161" s="15" t="str">
        <f t="shared" si="409"/>
        <v>82 Richard Mathews Road</v>
      </c>
      <c r="R1161" s="3">
        <f>OrdersTable!C1161</f>
        <v>44643</v>
      </c>
      <c r="S1161" s="15">
        <f>OrdersTable!E1161</f>
        <v>9</v>
      </c>
      <c r="T1161" s="15">
        <f t="shared" si="410"/>
        <v>35.99</v>
      </c>
      <c r="U1161" s="15">
        <f t="shared" si="411"/>
        <v>49.35</v>
      </c>
      <c r="V1161" s="15">
        <f t="shared" si="412"/>
        <v>58.3</v>
      </c>
      <c r="W1161" s="15">
        <f>IF(MarkupType="Store Markup",ROUND(V1161+V1161*StoreMarkup,2),IF(MarkupType="Supplier Markup",V1161+V1161*SupplierMarkup,"Error at finding value"))</f>
        <v>91.82</v>
      </c>
      <c r="X1161" s="32" t="str">
        <f t="shared" si="414"/>
        <v>0.00</v>
      </c>
      <c r="Y1161" s="15">
        <f t="shared" si="415"/>
        <v>524.70000000000005</v>
      </c>
      <c r="Z1161" s="15">
        <f t="shared" si="416"/>
        <v>826.38</v>
      </c>
      <c r="AA1161" s="15">
        <f>IF(FreightType="Lethbridge-Stewart Freight ",ROUND(2.99+IF(N1161&gt;0.75,(N1161-0.75)*2.25,0)*S1161,2),IF(MarkupType="Supplier Markup",V1161+V1161*SupplierMarkup,"Error at finding value"))</f>
        <v>24.25</v>
      </c>
      <c r="AB1161" s="15">
        <f t="shared" si="417"/>
        <v>0</v>
      </c>
    </row>
    <row r="1162" spans="1:28" x14ac:dyDescent="0.25">
      <c r="A1162" s="16">
        <f>OrdersTable!A1162</f>
        <v>823</v>
      </c>
      <c r="B1162" s="15" t="str">
        <f t="shared" si="397"/>
        <v>Mrs</v>
      </c>
      <c r="C1162" s="15" t="str">
        <f t="shared" si="396"/>
        <v>Riordan</v>
      </c>
      <c r="D1162" s="15" t="str">
        <f t="shared" si="398"/>
        <v>Brianna Leigh</v>
      </c>
      <c r="E1162" s="15" t="str">
        <f t="shared" si="399"/>
        <v>7 Boyd Crescent</v>
      </c>
      <c r="F1162" s="15" t="str">
        <f t="shared" si="400"/>
        <v>Bamboo</v>
      </c>
      <c r="G1162" s="15" t="str">
        <f t="shared" si="401"/>
        <v>QLD</v>
      </c>
      <c r="H1162" s="15">
        <f t="shared" si="402"/>
        <v>4873</v>
      </c>
      <c r="I1162" s="15">
        <f t="shared" si="413"/>
        <v>1741</v>
      </c>
      <c r="J1162" s="15">
        <f>OrdersTable!B1162</f>
        <v>762</v>
      </c>
      <c r="K1162" s="15" t="str">
        <f t="shared" si="403"/>
        <v>Statues and Busts</v>
      </c>
      <c r="L1162" s="15" t="str">
        <f t="shared" si="404"/>
        <v>Doctor Who: Legends Forever Bust: Patrick Troughton</v>
      </c>
      <c r="M1162" s="15" t="str">
        <f t="shared" si="405"/>
        <v>-</v>
      </c>
      <c r="N1162" s="15">
        <f t="shared" si="406"/>
        <v>1.375</v>
      </c>
      <c r="O1162" s="15" t="str">
        <f t="shared" si="407"/>
        <v>A40</v>
      </c>
      <c r="P1162" s="15" t="str">
        <f t="shared" si="408"/>
        <v>Romana Imports</v>
      </c>
      <c r="Q1162" s="15" t="str">
        <f t="shared" si="409"/>
        <v>17 Lalla Ward Road</v>
      </c>
      <c r="R1162" s="3">
        <f>OrdersTable!C1162</f>
        <v>44643</v>
      </c>
      <c r="S1162" s="15">
        <f>OrdersTable!E1162</f>
        <v>6</v>
      </c>
      <c r="T1162" s="15">
        <f t="shared" si="410"/>
        <v>27.5</v>
      </c>
      <c r="U1162" s="15">
        <f t="shared" si="411"/>
        <v>37.799999999999997</v>
      </c>
      <c r="V1162" s="15">
        <f t="shared" si="412"/>
        <v>44.55</v>
      </c>
      <c r="W1162" s="15">
        <f>IF(MarkupType="Store Markup",ROUND(V1162+V1162*StoreMarkup,2),IF(MarkupType="Supplier Markup",V1162+V1162*SupplierMarkup,"Error at finding value"))</f>
        <v>70.17</v>
      </c>
      <c r="X1162" s="32" t="str">
        <f t="shared" si="414"/>
        <v>0.00</v>
      </c>
      <c r="Y1162" s="15">
        <f t="shared" si="415"/>
        <v>267.3</v>
      </c>
      <c r="Z1162" s="15">
        <f t="shared" si="416"/>
        <v>421.02</v>
      </c>
      <c r="AA1162" s="15">
        <f>IF(FreightType="Lethbridge-Stewart Freight ",ROUND(2.99+IF(N1162&gt;0.75,(N1162-0.75)*2.25,0)*S1162,2),IF(MarkupType="Supplier Markup",V1162+V1162*SupplierMarkup,"Error at finding value"))</f>
        <v>11.43</v>
      </c>
      <c r="AB1162" s="15">
        <f t="shared" si="417"/>
        <v>0</v>
      </c>
    </row>
    <row r="1163" spans="1:28" x14ac:dyDescent="0.25">
      <c r="A1163" s="16">
        <f>OrdersTable!A1163</f>
        <v>42</v>
      </c>
      <c r="B1163" s="15" t="str">
        <f t="shared" si="397"/>
        <v>Mr</v>
      </c>
      <c r="C1163" s="15" t="str">
        <f t="shared" ref="C1163:C1226" si="418">VLOOKUP($A1163,Cust,3,0)</f>
        <v>Ballantyne</v>
      </c>
      <c r="D1163" s="15" t="str">
        <f t="shared" si="398"/>
        <v>Barry John</v>
      </c>
      <c r="E1163" s="15" t="str">
        <f t="shared" si="399"/>
        <v>14 Bachmann Drive</v>
      </c>
      <c r="F1163" s="15" t="str">
        <f t="shared" si="400"/>
        <v>Alleena</v>
      </c>
      <c r="G1163" s="15" t="str">
        <f t="shared" si="401"/>
        <v>NSW</v>
      </c>
      <c r="H1163" s="15">
        <f t="shared" si="402"/>
        <v>2671</v>
      </c>
      <c r="I1163" s="15">
        <f t="shared" si="413"/>
        <v>988</v>
      </c>
      <c r="J1163" s="15">
        <f>OrdersTable!B1163</f>
        <v>316</v>
      </c>
      <c r="K1163" s="15" t="str">
        <f t="shared" si="403"/>
        <v>Clothing and Apparel</v>
      </c>
      <c r="L1163" s="15" t="str">
        <f t="shared" si="404"/>
        <v xml:space="preserve">Doctor Who: T-Shirts: 4th Doctor Costume </v>
      </c>
      <c r="M1163" s="15" t="str">
        <f t="shared" si="405"/>
        <v>S</v>
      </c>
      <c r="N1163" s="15">
        <f t="shared" si="406"/>
        <v>0.8</v>
      </c>
      <c r="O1163" s="15" t="str">
        <f t="shared" si="407"/>
        <v>A30</v>
      </c>
      <c r="P1163" s="15" t="str">
        <f t="shared" si="408"/>
        <v>Chesterton Enterprises</v>
      </c>
      <c r="Q1163" s="15" t="str">
        <f t="shared" si="409"/>
        <v>41 William Russell Road</v>
      </c>
      <c r="R1163" s="3">
        <f>OrdersTable!C1163</f>
        <v>44644</v>
      </c>
      <c r="S1163" s="15">
        <f>OrdersTable!E1163</f>
        <v>10</v>
      </c>
      <c r="T1163" s="15">
        <f t="shared" si="410"/>
        <v>15.99</v>
      </c>
      <c r="U1163" s="15">
        <f t="shared" si="411"/>
        <v>21.94</v>
      </c>
      <c r="V1163" s="15">
        <f t="shared" si="412"/>
        <v>25.9</v>
      </c>
      <c r="W1163" s="15">
        <f>IF(MarkupType="Store Markup",ROUND(V1163+V1163*StoreMarkup,2),IF(MarkupType="Supplier Markup",V1163+V1163*SupplierMarkup,"Error at finding value"))</f>
        <v>40.79</v>
      </c>
      <c r="X1163" s="32" t="str">
        <f t="shared" si="414"/>
        <v>0.00</v>
      </c>
      <c r="Y1163" s="15">
        <f t="shared" si="415"/>
        <v>259</v>
      </c>
      <c r="Z1163" s="15">
        <f t="shared" si="416"/>
        <v>407.9</v>
      </c>
      <c r="AA1163" s="15">
        <f>IF(FreightType="Lethbridge-Stewart Freight ",ROUND(2.99+IF(N1163&gt;0.75,(N1163-0.75)*2.25,0)*S1163,2),IF(MarkupType="Supplier Markup",V1163+V1163*SupplierMarkup,"Error at finding value"))</f>
        <v>4.12</v>
      </c>
      <c r="AB1163" s="15">
        <f t="shared" si="417"/>
        <v>0</v>
      </c>
    </row>
    <row r="1164" spans="1:28" x14ac:dyDescent="0.25">
      <c r="A1164" s="16">
        <f>OrdersTable!A1164</f>
        <v>42</v>
      </c>
      <c r="B1164" s="15" t="str">
        <f t="shared" si="397"/>
        <v>Mr</v>
      </c>
      <c r="C1164" s="15" t="str">
        <f t="shared" si="418"/>
        <v>Ballantyne</v>
      </c>
      <c r="D1164" s="15" t="str">
        <f t="shared" si="398"/>
        <v>Barry John</v>
      </c>
      <c r="E1164" s="15" t="str">
        <f t="shared" si="399"/>
        <v>14 Bachmann Drive</v>
      </c>
      <c r="F1164" s="15" t="str">
        <f t="shared" si="400"/>
        <v>Alleena</v>
      </c>
      <c r="G1164" s="15" t="str">
        <f t="shared" si="401"/>
        <v>NSW</v>
      </c>
      <c r="H1164" s="15">
        <f t="shared" si="402"/>
        <v>2671</v>
      </c>
      <c r="I1164" s="15">
        <f t="shared" si="413"/>
        <v>988</v>
      </c>
      <c r="J1164" s="15">
        <f>OrdersTable!B1164</f>
        <v>330</v>
      </c>
      <c r="K1164" s="15" t="str">
        <f t="shared" si="403"/>
        <v>Clothing and Apparel</v>
      </c>
      <c r="L1164" s="15" t="str">
        <f t="shared" si="404"/>
        <v xml:space="preserve">Doctor Who: T-Shirts: 4th Doctor Costume </v>
      </c>
      <c r="M1164" s="15" t="str">
        <f t="shared" si="405"/>
        <v>M</v>
      </c>
      <c r="N1164" s="15">
        <f t="shared" si="406"/>
        <v>0.8</v>
      </c>
      <c r="O1164" s="15" t="str">
        <f t="shared" si="407"/>
        <v>A20</v>
      </c>
      <c r="P1164" s="15" t="str">
        <f t="shared" si="408"/>
        <v>Morbius Inc.</v>
      </c>
      <c r="Q1164" s="15" t="str">
        <f t="shared" si="409"/>
        <v>56 Michael Spice Hwy</v>
      </c>
      <c r="R1164" s="3">
        <f>OrdersTable!C1164</f>
        <v>44644</v>
      </c>
      <c r="S1164" s="15">
        <f>OrdersTable!E1164</f>
        <v>10</v>
      </c>
      <c r="T1164" s="15">
        <f t="shared" si="410"/>
        <v>15.99</v>
      </c>
      <c r="U1164" s="15">
        <f t="shared" si="411"/>
        <v>22.03</v>
      </c>
      <c r="V1164" s="15">
        <f t="shared" si="412"/>
        <v>25.9</v>
      </c>
      <c r="W1164" s="15">
        <f>IF(MarkupType="Store Markup",ROUND(V1164+V1164*StoreMarkup,2),IF(MarkupType="Supplier Markup",V1164+V1164*SupplierMarkup,"Error at finding value"))</f>
        <v>40.79</v>
      </c>
      <c r="X1164" s="32" t="str">
        <f t="shared" si="414"/>
        <v>0.00</v>
      </c>
      <c r="Y1164" s="15">
        <f t="shared" si="415"/>
        <v>259</v>
      </c>
      <c r="Z1164" s="15">
        <f t="shared" si="416"/>
        <v>407.9</v>
      </c>
      <c r="AA1164" s="15">
        <f>IF(FreightType="Lethbridge-Stewart Freight ",ROUND(2.99+IF(N1164&gt;0.75,(N1164-0.75)*2.25,0)*S1164,2),IF(MarkupType="Supplier Markup",V1164+V1164*SupplierMarkup,"Error at finding value"))</f>
        <v>4.12</v>
      </c>
      <c r="AB1164" s="15">
        <f t="shared" si="417"/>
        <v>0</v>
      </c>
    </row>
    <row r="1165" spans="1:28" x14ac:dyDescent="0.25">
      <c r="A1165" s="16">
        <f>OrdersTable!A1165</f>
        <v>66</v>
      </c>
      <c r="B1165" s="15" t="str">
        <f t="shared" si="397"/>
        <v>Mr</v>
      </c>
      <c r="C1165" s="15" t="str">
        <f t="shared" si="418"/>
        <v>Bachmann</v>
      </c>
      <c r="D1165" s="15" t="str">
        <f t="shared" si="398"/>
        <v>Aaron</v>
      </c>
      <c r="E1165" s="15" t="str">
        <f t="shared" si="399"/>
        <v>3 Csabai Avenue</v>
      </c>
      <c r="F1165" s="15" t="str">
        <f t="shared" si="400"/>
        <v>Bridgewater</v>
      </c>
      <c r="G1165" s="15" t="str">
        <f t="shared" si="401"/>
        <v>VIC</v>
      </c>
      <c r="H1165" s="15">
        <f t="shared" si="402"/>
        <v>3516</v>
      </c>
      <c r="I1165" s="15">
        <f t="shared" si="413"/>
        <v>1486</v>
      </c>
      <c r="J1165" s="15">
        <f>OrdersTable!B1165</f>
        <v>679</v>
      </c>
      <c r="K1165" s="15" t="str">
        <f t="shared" si="403"/>
        <v>Mugs</v>
      </c>
      <c r="L1165" s="15" t="str">
        <f t="shared" si="404"/>
        <v>Doctor Who: Mug: The Fifth Doctor</v>
      </c>
      <c r="M1165" s="15" t="str">
        <f t="shared" si="405"/>
        <v>-</v>
      </c>
      <c r="N1165" s="15">
        <f t="shared" si="406"/>
        <v>0.45</v>
      </c>
      <c r="O1165" s="15" t="str">
        <f t="shared" si="407"/>
        <v>A40</v>
      </c>
      <c r="P1165" s="15" t="str">
        <f t="shared" si="408"/>
        <v>Romana Imports</v>
      </c>
      <c r="Q1165" s="15" t="str">
        <f t="shared" si="409"/>
        <v>17 Lalla Ward Road</v>
      </c>
      <c r="R1165" s="3">
        <f>OrdersTable!C1165</f>
        <v>44644</v>
      </c>
      <c r="S1165" s="15">
        <f>OrdersTable!E1165</f>
        <v>1</v>
      </c>
      <c r="T1165" s="15">
        <f t="shared" si="410"/>
        <v>8.99</v>
      </c>
      <c r="U1165" s="15">
        <f t="shared" si="411"/>
        <v>12.28</v>
      </c>
      <c r="V1165" s="15">
        <f t="shared" si="412"/>
        <v>14.56</v>
      </c>
      <c r="W1165" s="15">
        <f>IF(MarkupType="Store Markup",ROUND(V1165+V1165*StoreMarkup,2),IF(MarkupType="Supplier Markup",V1165+V1165*SupplierMarkup,"Error at finding value"))</f>
        <v>22.93</v>
      </c>
      <c r="X1165" s="32" t="str">
        <f t="shared" si="414"/>
        <v>0.00</v>
      </c>
      <c r="Y1165" s="15">
        <f t="shared" si="415"/>
        <v>14.56</v>
      </c>
      <c r="Z1165" s="15">
        <f t="shared" si="416"/>
        <v>22.93</v>
      </c>
      <c r="AA1165" s="15">
        <f>IF(FreightType="Lethbridge-Stewart Freight ",ROUND(2.99+IF(N1165&gt;0.75,(N1165-0.75)*2.25,0)*S1165,2),IF(MarkupType="Supplier Markup",V1165+V1165*SupplierMarkup,"Error at finding value"))</f>
        <v>2.99</v>
      </c>
      <c r="AB1165" s="15">
        <f t="shared" si="417"/>
        <v>0</v>
      </c>
    </row>
    <row r="1166" spans="1:28" x14ac:dyDescent="0.25">
      <c r="A1166" s="16">
        <f>OrdersTable!A1166</f>
        <v>141</v>
      </c>
      <c r="B1166" s="15" t="str">
        <f t="shared" si="397"/>
        <v>Mr</v>
      </c>
      <c r="C1166" s="15" t="str">
        <f t="shared" si="418"/>
        <v>Bergmann</v>
      </c>
      <c r="D1166" s="15" t="str">
        <f t="shared" si="398"/>
        <v>Beau Jay</v>
      </c>
      <c r="E1166" s="15" t="str">
        <f t="shared" si="399"/>
        <v>47 McCullough Circuit</v>
      </c>
      <c r="F1166" s="15" t="str">
        <f t="shared" si="400"/>
        <v>Breakwater</v>
      </c>
      <c r="G1166" s="15" t="str">
        <f t="shared" si="401"/>
        <v>VIC</v>
      </c>
      <c r="H1166" s="15">
        <f t="shared" si="402"/>
        <v>3219</v>
      </c>
      <c r="I1166" s="15">
        <f t="shared" si="413"/>
        <v>1596</v>
      </c>
      <c r="J1166" s="15">
        <f>OrdersTable!B1166</f>
        <v>694</v>
      </c>
      <c r="K1166" s="15" t="str">
        <f t="shared" si="403"/>
        <v>Posters, Prints and Standees</v>
      </c>
      <c r="L1166" s="15" t="str">
        <f t="shared" si="404"/>
        <v>Doctor Who: 16'x12' Framed Print: Hide</v>
      </c>
      <c r="M1166" s="15" t="str">
        <f t="shared" si="405"/>
        <v>-</v>
      </c>
      <c r="N1166" s="15">
        <f t="shared" si="406"/>
        <v>0.75</v>
      </c>
      <c r="O1166" s="15" t="str">
        <f t="shared" si="407"/>
        <v>A40</v>
      </c>
      <c r="P1166" s="15" t="str">
        <f t="shared" si="408"/>
        <v>Romana Imports</v>
      </c>
      <c r="Q1166" s="15" t="str">
        <f t="shared" si="409"/>
        <v>17 Lalla Ward Road</v>
      </c>
      <c r="R1166" s="3">
        <f>OrdersTable!C1166</f>
        <v>44644</v>
      </c>
      <c r="S1166" s="15">
        <f>OrdersTable!E1166</f>
        <v>8</v>
      </c>
      <c r="T1166" s="15">
        <f t="shared" si="410"/>
        <v>14.99</v>
      </c>
      <c r="U1166" s="15">
        <f t="shared" si="411"/>
        <v>20.49</v>
      </c>
      <c r="V1166" s="15">
        <f t="shared" si="412"/>
        <v>24.28</v>
      </c>
      <c r="W1166" s="15">
        <f>IF(MarkupType="Store Markup",ROUND(V1166+V1166*StoreMarkup,2),IF(MarkupType="Supplier Markup",V1166+V1166*SupplierMarkup,"Error at finding value"))</f>
        <v>38.24</v>
      </c>
      <c r="X1166" s="32" t="str">
        <f t="shared" si="414"/>
        <v>0.00</v>
      </c>
      <c r="Y1166" s="15">
        <f t="shared" si="415"/>
        <v>194.24</v>
      </c>
      <c r="Z1166" s="15">
        <f t="shared" si="416"/>
        <v>305.92</v>
      </c>
      <c r="AA1166" s="15">
        <f>IF(FreightType="Lethbridge-Stewart Freight ",ROUND(2.99+IF(N1166&gt;0.75,(N1166-0.75)*2.25,0)*S1166,2),IF(MarkupType="Supplier Markup",V1166+V1166*SupplierMarkup,"Error at finding value"))</f>
        <v>2.99</v>
      </c>
      <c r="AB1166" s="15">
        <f t="shared" si="417"/>
        <v>0</v>
      </c>
    </row>
    <row r="1167" spans="1:28" x14ac:dyDescent="0.25">
      <c r="A1167" s="16">
        <f>OrdersTable!A1167</f>
        <v>146</v>
      </c>
      <c r="B1167" s="15" t="str">
        <f t="shared" si="397"/>
        <v>Miss</v>
      </c>
      <c r="C1167" s="15" t="str">
        <f t="shared" si="418"/>
        <v>Brown</v>
      </c>
      <c r="D1167" s="15" t="str">
        <f t="shared" si="398"/>
        <v>Sarah Danielle</v>
      </c>
      <c r="E1167" s="15" t="str">
        <f t="shared" si="399"/>
        <v>50 Brieschke Court</v>
      </c>
      <c r="F1167" s="15" t="str">
        <f t="shared" si="400"/>
        <v>Bray Park</v>
      </c>
      <c r="G1167" s="15" t="str">
        <f t="shared" si="401"/>
        <v>QLD</v>
      </c>
      <c r="H1167" s="15">
        <f t="shared" si="402"/>
        <v>4500</v>
      </c>
      <c r="I1167" s="15">
        <f t="shared" si="413"/>
        <v>139</v>
      </c>
      <c r="J1167" s="15">
        <f>OrdersTable!B1167</f>
        <v>725</v>
      </c>
      <c r="K1167" s="15" t="str">
        <f t="shared" si="403"/>
        <v>Props and Replicas</v>
      </c>
      <c r="L1167" s="15" t="str">
        <f t="shared" si="404"/>
        <v>Doctor Who: Captain Jack Sonic Blaster</v>
      </c>
      <c r="M1167" s="15" t="str">
        <f t="shared" si="405"/>
        <v>-</v>
      </c>
      <c r="N1167" s="15">
        <f t="shared" si="406"/>
        <v>14.8</v>
      </c>
      <c r="O1167" s="15" t="str">
        <f t="shared" si="407"/>
        <v>A30</v>
      </c>
      <c r="P1167" s="15" t="str">
        <f t="shared" si="408"/>
        <v>Chesterton Enterprises</v>
      </c>
      <c r="Q1167" s="15" t="str">
        <f t="shared" si="409"/>
        <v>41 William Russell Road</v>
      </c>
      <c r="R1167" s="3">
        <f>OrdersTable!C1167</f>
        <v>44644</v>
      </c>
      <c r="S1167" s="15">
        <f>OrdersTable!E1167</f>
        <v>9</v>
      </c>
      <c r="T1167" s="15">
        <f t="shared" si="410"/>
        <v>295.99</v>
      </c>
      <c r="U1167" s="15">
        <f t="shared" si="411"/>
        <v>403.88</v>
      </c>
      <c r="V1167" s="15">
        <f t="shared" si="412"/>
        <v>479.5</v>
      </c>
      <c r="W1167" s="15">
        <f>IF(MarkupType="Store Markup",ROUND(V1167+V1167*StoreMarkup,2),IF(MarkupType="Supplier Markup",V1167+V1167*SupplierMarkup,"Error at finding value"))</f>
        <v>755.21</v>
      </c>
      <c r="X1167" s="32">
        <f t="shared" si="414"/>
        <v>53.81</v>
      </c>
      <c r="Y1167" s="15">
        <f t="shared" si="415"/>
        <v>4315.5</v>
      </c>
      <c r="Z1167" s="15">
        <f t="shared" si="416"/>
        <v>6312.6</v>
      </c>
      <c r="AA1167" s="15">
        <f>IF(FreightType="Lethbridge-Stewart Freight ",ROUND(2.99+IF(N1167&gt;0.75,(N1167-0.75)*2.25,0)*S1167,2),IF(MarkupType="Supplier Markup",V1167+V1167*SupplierMarkup,"Error at finding value"))</f>
        <v>287.5</v>
      </c>
      <c r="AB1167" s="15">
        <f t="shared" si="417"/>
        <v>484.29</v>
      </c>
    </row>
    <row r="1168" spans="1:28" x14ac:dyDescent="0.25">
      <c r="A1168" s="16">
        <f>OrdersTable!A1168</f>
        <v>282</v>
      </c>
      <c r="B1168" s="15" t="str">
        <f t="shared" si="397"/>
        <v>Dr</v>
      </c>
      <c r="C1168" s="15" t="str">
        <f t="shared" si="418"/>
        <v>Johnson</v>
      </c>
      <c r="D1168" s="15" t="str">
        <f t="shared" si="398"/>
        <v>Samantha Emily Louise</v>
      </c>
      <c r="E1168" s="15" t="str">
        <f t="shared" si="399"/>
        <v>2 Wiggan Avenue</v>
      </c>
      <c r="F1168" s="15" t="str">
        <f t="shared" si="400"/>
        <v>Boston</v>
      </c>
      <c r="G1168" s="15" t="str">
        <f t="shared" si="401"/>
        <v>SA</v>
      </c>
      <c r="H1168" s="15">
        <f t="shared" si="402"/>
        <v>5607</v>
      </c>
      <c r="I1168" s="15">
        <f t="shared" si="413"/>
        <v>2076</v>
      </c>
      <c r="J1168" s="15">
        <f>OrdersTable!B1168</f>
        <v>643</v>
      </c>
      <c r="K1168" s="15" t="str">
        <f t="shared" si="403"/>
        <v>Mugs</v>
      </c>
      <c r="L1168" s="15" t="str">
        <f t="shared" si="404"/>
        <v>Doctor Who: Giant Mug: Logo</v>
      </c>
      <c r="M1168" s="15" t="str">
        <f t="shared" si="405"/>
        <v>-</v>
      </c>
      <c r="N1168" s="15">
        <f t="shared" si="406"/>
        <v>0.44500000000000001</v>
      </c>
      <c r="O1168" s="15" t="str">
        <f t="shared" si="407"/>
        <v>A10</v>
      </c>
      <c r="P1168" s="15" t="str">
        <f t="shared" si="408"/>
        <v>Gallifrey International</v>
      </c>
      <c r="Q1168" s="15" t="str">
        <f t="shared" si="409"/>
        <v>181 Arcadia Street</v>
      </c>
      <c r="R1168" s="3">
        <f>OrdersTable!C1168</f>
        <v>44644</v>
      </c>
      <c r="S1168" s="15">
        <f>OrdersTable!E1168</f>
        <v>6</v>
      </c>
      <c r="T1168" s="15">
        <f t="shared" si="410"/>
        <v>8.89</v>
      </c>
      <c r="U1168" s="15">
        <f t="shared" si="411"/>
        <v>12.19</v>
      </c>
      <c r="V1168" s="15">
        <f t="shared" si="412"/>
        <v>14.4</v>
      </c>
      <c r="W1168" s="15">
        <f>IF(MarkupType="Store Markup",ROUND(V1168+V1168*StoreMarkup,2),IF(MarkupType="Supplier Markup",V1168+V1168*SupplierMarkup,"Error at finding value"))</f>
        <v>22.68</v>
      </c>
      <c r="X1168" s="32" t="str">
        <f t="shared" si="414"/>
        <v>0.00</v>
      </c>
      <c r="Y1168" s="15">
        <f t="shared" si="415"/>
        <v>86.4</v>
      </c>
      <c r="Z1168" s="15">
        <f t="shared" si="416"/>
        <v>136.08000000000001</v>
      </c>
      <c r="AA1168" s="15">
        <f>IF(FreightType="Lethbridge-Stewart Freight ",ROUND(2.99+IF(N1168&gt;0.75,(N1168-0.75)*2.25,0)*S1168,2),IF(MarkupType="Supplier Markup",V1168+V1168*SupplierMarkup,"Error at finding value"))</f>
        <v>2.99</v>
      </c>
      <c r="AB1168" s="15">
        <f t="shared" si="417"/>
        <v>0</v>
      </c>
    </row>
    <row r="1169" spans="1:28" x14ac:dyDescent="0.25">
      <c r="A1169" s="16">
        <f>OrdersTable!A1169</f>
        <v>284</v>
      </c>
      <c r="B1169" s="15" t="str">
        <f t="shared" si="397"/>
        <v>Mr</v>
      </c>
      <c r="C1169" s="15" t="str">
        <f t="shared" si="418"/>
        <v>Aitcheson</v>
      </c>
      <c r="D1169" s="15" t="str">
        <f t="shared" si="398"/>
        <v>Ben James</v>
      </c>
      <c r="E1169" s="15" t="str">
        <f t="shared" si="399"/>
        <v>32 Evans Avenue</v>
      </c>
      <c r="F1169" s="15" t="str">
        <f t="shared" si="400"/>
        <v>Batlow</v>
      </c>
      <c r="G1169" s="15" t="str">
        <f t="shared" si="401"/>
        <v>NSW</v>
      </c>
      <c r="H1169" s="15">
        <f t="shared" si="402"/>
        <v>2730</v>
      </c>
      <c r="I1169" s="15">
        <f t="shared" si="413"/>
        <v>1138</v>
      </c>
      <c r="J1169" s="15">
        <f>OrdersTable!B1169</f>
        <v>769</v>
      </c>
      <c r="K1169" s="15" t="str">
        <f t="shared" si="403"/>
        <v>Statues and Busts</v>
      </c>
      <c r="L1169" s="15" t="str">
        <f t="shared" si="404"/>
        <v>Doctor Who: Legends Forever Bust: Tom Baker</v>
      </c>
      <c r="M1169" s="15" t="str">
        <f t="shared" si="405"/>
        <v>-</v>
      </c>
      <c r="N1169" s="15">
        <f t="shared" si="406"/>
        <v>1.375</v>
      </c>
      <c r="O1169" s="15" t="str">
        <f t="shared" si="407"/>
        <v>A30</v>
      </c>
      <c r="P1169" s="15" t="str">
        <f t="shared" si="408"/>
        <v>Chesterton Enterprises</v>
      </c>
      <c r="Q1169" s="15" t="str">
        <f t="shared" si="409"/>
        <v>41 William Russell Road</v>
      </c>
      <c r="R1169" s="3">
        <f>OrdersTable!C1169</f>
        <v>44644</v>
      </c>
      <c r="S1169" s="15">
        <f>OrdersTable!E1169</f>
        <v>3</v>
      </c>
      <c r="T1169" s="15">
        <f t="shared" si="410"/>
        <v>27.5</v>
      </c>
      <c r="U1169" s="15">
        <f t="shared" si="411"/>
        <v>37.76</v>
      </c>
      <c r="V1169" s="15">
        <f t="shared" si="412"/>
        <v>44.55</v>
      </c>
      <c r="W1169" s="15">
        <f>IF(MarkupType="Store Markup",ROUND(V1169+V1169*StoreMarkup,2),IF(MarkupType="Supplier Markup",V1169+V1169*SupplierMarkup,"Error at finding value"))</f>
        <v>70.17</v>
      </c>
      <c r="X1169" s="32" t="str">
        <f t="shared" si="414"/>
        <v>0.00</v>
      </c>
      <c r="Y1169" s="15">
        <f t="shared" si="415"/>
        <v>133.65</v>
      </c>
      <c r="Z1169" s="15">
        <f t="shared" si="416"/>
        <v>210.51</v>
      </c>
      <c r="AA1169" s="15">
        <f>IF(FreightType="Lethbridge-Stewart Freight ",ROUND(2.99+IF(N1169&gt;0.75,(N1169-0.75)*2.25,0)*S1169,2),IF(MarkupType="Supplier Markup",V1169+V1169*SupplierMarkup,"Error at finding value"))</f>
        <v>7.21</v>
      </c>
      <c r="AB1169" s="15">
        <f t="shared" si="417"/>
        <v>0</v>
      </c>
    </row>
    <row r="1170" spans="1:28" x14ac:dyDescent="0.25">
      <c r="A1170" s="16">
        <f>OrdersTable!A1170</f>
        <v>296</v>
      </c>
      <c r="B1170" s="15" t="str">
        <f t="shared" si="397"/>
        <v>Miss</v>
      </c>
      <c r="C1170" s="15" t="str">
        <f t="shared" si="418"/>
        <v>Kussrow</v>
      </c>
      <c r="D1170" s="15" t="str">
        <f t="shared" si="398"/>
        <v>Katherine Anne</v>
      </c>
      <c r="E1170" s="15" t="str">
        <f t="shared" si="399"/>
        <v>10 Downes Street</v>
      </c>
      <c r="F1170" s="15" t="str">
        <f t="shared" si="400"/>
        <v>Breakwater</v>
      </c>
      <c r="G1170" s="15" t="str">
        <f t="shared" si="401"/>
        <v>VIC</v>
      </c>
      <c r="H1170" s="15">
        <f t="shared" si="402"/>
        <v>3219</v>
      </c>
      <c r="I1170" s="15">
        <f t="shared" si="413"/>
        <v>1596</v>
      </c>
      <c r="J1170" s="15">
        <f>OrdersTable!B1170</f>
        <v>453</v>
      </c>
      <c r="K1170" s="15" t="str">
        <f t="shared" si="403"/>
        <v>Giftware</v>
      </c>
      <c r="L1170" s="15" t="str">
        <f t="shared" si="404"/>
        <v>Doctor Who: Ceramic Cookie Jar: TARDIS</v>
      </c>
      <c r="M1170" s="15" t="str">
        <f t="shared" si="405"/>
        <v>-</v>
      </c>
      <c r="N1170" s="15">
        <f t="shared" si="406"/>
        <v>1.35</v>
      </c>
      <c r="O1170" s="15" t="str">
        <f t="shared" si="407"/>
        <v>A40</v>
      </c>
      <c r="P1170" s="15" t="str">
        <f t="shared" si="408"/>
        <v>Romana Imports</v>
      </c>
      <c r="Q1170" s="15" t="str">
        <f t="shared" si="409"/>
        <v>17 Lalla Ward Road</v>
      </c>
      <c r="R1170" s="3">
        <f>OrdersTable!C1170</f>
        <v>44644</v>
      </c>
      <c r="S1170" s="15">
        <f>OrdersTable!E1170</f>
        <v>5</v>
      </c>
      <c r="T1170" s="15">
        <f t="shared" si="410"/>
        <v>26.99</v>
      </c>
      <c r="U1170" s="15">
        <f t="shared" si="411"/>
        <v>37.119999999999997</v>
      </c>
      <c r="V1170" s="15">
        <f t="shared" si="412"/>
        <v>43.72</v>
      </c>
      <c r="W1170" s="15">
        <f>IF(MarkupType="Store Markup",ROUND(V1170+V1170*StoreMarkup,2),IF(MarkupType="Supplier Markup",V1170+V1170*SupplierMarkup,"Error at finding value"))</f>
        <v>68.86</v>
      </c>
      <c r="X1170" s="32" t="str">
        <f t="shared" si="414"/>
        <v>0.00</v>
      </c>
      <c r="Y1170" s="15">
        <f t="shared" si="415"/>
        <v>218.6</v>
      </c>
      <c r="Z1170" s="15">
        <f t="shared" si="416"/>
        <v>344.3</v>
      </c>
      <c r="AA1170" s="15">
        <f>IF(FreightType="Lethbridge-Stewart Freight ",ROUND(2.99+IF(N1170&gt;0.75,(N1170-0.75)*2.25,0)*S1170,2),IF(MarkupType="Supplier Markup",V1170+V1170*SupplierMarkup,"Error at finding value"))</f>
        <v>9.74</v>
      </c>
      <c r="AB1170" s="15">
        <f t="shared" si="417"/>
        <v>0</v>
      </c>
    </row>
    <row r="1171" spans="1:28" x14ac:dyDescent="0.25">
      <c r="A1171" s="16">
        <f>OrdersTable!A1171</f>
        <v>332</v>
      </c>
      <c r="B1171" s="15" t="str">
        <f t="shared" si="397"/>
        <v>Mr</v>
      </c>
      <c r="C1171" s="15" t="str">
        <f t="shared" si="418"/>
        <v>Selman</v>
      </c>
      <c r="D1171" s="15" t="str">
        <f t="shared" si="398"/>
        <v>Jack Ryan</v>
      </c>
      <c r="E1171" s="15" t="str">
        <f t="shared" si="399"/>
        <v>17 Van Essen Street</v>
      </c>
      <c r="F1171" s="15" t="str">
        <f t="shared" si="400"/>
        <v>Airly</v>
      </c>
      <c r="G1171" s="15" t="str">
        <f t="shared" si="401"/>
        <v>VIC</v>
      </c>
      <c r="H1171" s="15">
        <f t="shared" si="402"/>
        <v>3851</v>
      </c>
      <c r="I1171" s="15">
        <f t="shared" si="413"/>
        <v>1583</v>
      </c>
      <c r="J1171" s="15">
        <f>OrdersTable!B1171</f>
        <v>843</v>
      </c>
      <c r="K1171" s="15" t="str">
        <f t="shared" si="403"/>
        <v>Statues and Busts</v>
      </c>
      <c r="L1171" s="15" t="str">
        <f t="shared" si="404"/>
        <v>Doctor Who: Signature Edition Statue: Gallifrey Edition: Tom Baker</v>
      </c>
      <c r="M1171" s="15" t="str">
        <f t="shared" si="405"/>
        <v>-</v>
      </c>
      <c r="N1171" s="15">
        <f t="shared" si="406"/>
        <v>2.5</v>
      </c>
      <c r="O1171" s="15" t="str">
        <f t="shared" si="407"/>
        <v>A20</v>
      </c>
      <c r="P1171" s="15" t="str">
        <f t="shared" si="408"/>
        <v>Morbius Inc.</v>
      </c>
      <c r="Q1171" s="15" t="str">
        <f t="shared" si="409"/>
        <v>56 Michael Spice Hwy</v>
      </c>
      <c r="R1171" s="3">
        <f>OrdersTable!C1171</f>
        <v>44644</v>
      </c>
      <c r="S1171" s="15">
        <f>OrdersTable!E1171</f>
        <v>10</v>
      </c>
      <c r="T1171" s="15">
        <f t="shared" si="410"/>
        <v>49.99</v>
      </c>
      <c r="U1171" s="15">
        <f t="shared" si="411"/>
        <v>68.33</v>
      </c>
      <c r="V1171" s="15">
        <f t="shared" si="412"/>
        <v>80.98</v>
      </c>
      <c r="W1171" s="15">
        <f>IF(MarkupType="Store Markup",ROUND(V1171+V1171*StoreMarkup,2),IF(MarkupType="Supplier Markup",V1171+V1171*SupplierMarkup,"Error at finding value"))</f>
        <v>127.54</v>
      </c>
      <c r="X1171" s="32">
        <f t="shared" si="414"/>
        <v>9.09</v>
      </c>
      <c r="Y1171" s="15">
        <f t="shared" si="415"/>
        <v>809.8</v>
      </c>
      <c r="Z1171" s="15">
        <f t="shared" si="416"/>
        <v>1184.5</v>
      </c>
      <c r="AA1171" s="15">
        <f>IF(FreightType="Lethbridge-Stewart Freight ",ROUND(2.99+IF(N1171&gt;0.75,(N1171-0.75)*2.25,0)*S1171,2),IF(MarkupType="Supplier Markup",V1171+V1171*SupplierMarkup,"Error at finding value"))</f>
        <v>42.37</v>
      </c>
      <c r="AB1171" s="15">
        <f t="shared" si="417"/>
        <v>90.9</v>
      </c>
    </row>
    <row r="1172" spans="1:28" x14ac:dyDescent="0.25">
      <c r="A1172" s="16">
        <f>OrdersTable!A1172</f>
        <v>334</v>
      </c>
      <c r="B1172" s="15" t="str">
        <f t="shared" si="397"/>
        <v>Mrs</v>
      </c>
      <c r="C1172" s="15" t="str">
        <f t="shared" si="418"/>
        <v>Wilson</v>
      </c>
      <c r="D1172" s="15" t="str">
        <f t="shared" si="398"/>
        <v>Hayley Lauren</v>
      </c>
      <c r="E1172" s="15" t="str">
        <f t="shared" si="399"/>
        <v>3 Ashley Crescent</v>
      </c>
      <c r="F1172" s="15" t="str">
        <f t="shared" si="400"/>
        <v>Black Hills</v>
      </c>
      <c r="G1172" s="15" t="str">
        <f t="shared" si="401"/>
        <v>TAS</v>
      </c>
      <c r="H1172" s="15">
        <f t="shared" si="402"/>
        <v>7140</v>
      </c>
      <c r="I1172" s="15">
        <f t="shared" si="413"/>
        <v>2191</v>
      </c>
      <c r="J1172" s="15">
        <f>OrdersTable!B1172</f>
        <v>681</v>
      </c>
      <c r="K1172" s="15" t="str">
        <f t="shared" si="403"/>
        <v>Mugs</v>
      </c>
      <c r="L1172" s="15" t="str">
        <f t="shared" si="404"/>
        <v>Doctor Who: Mug: The First Doctor</v>
      </c>
      <c r="M1172" s="15" t="str">
        <f t="shared" si="405"/>
        <v>-</v>
      </c>
      <c r="N1172" s="15">
        <f t="shared" si="406"/>
        <v>0.45</v>
      </c>
      <c r="O1172" s="15" t="str">
        <f t="shared" si="407"/>
        <v>A20</v>
      </c>
      <c r="P1172" s="15" t="str">
        <f t="shared" si="408"/>
        <v>Morbius Inc.</v>
      </c>
      <c r="Q1172" s="15" t="str">
        <f t="shared" si="409"/>
        <v>56 Michael Spice Hwy</v>
      </c>
      <c r="R1172" s="3">
        <f>OrdersTable!C1172</f>
        <v>44644</v>
      </c>
      <c r="S1172" s="15">
        <f>OrdersTable!E1172</f>
        <v>8</v>
      </c>
      <c r="T1172" s="15">
        <f t="shared" si="410"/>
        <v>8.99</v>
      </c>
      <c r="U1172" s="15">
        <f t="shared" si="411"/>
        <v>12.51</v>
      </c>
      <c r="V1172" s="15">
        <f t="shared" si="412"/>
        <v>14.56</v>
      </c>
      <c r="W1172" s="15">
        <f>IF(MarkupType="Store Markup",ROUND(V1172+V1172*StoreMarkup,2),IF(MarkupType="Supplier Markup",V1172+V1172*SupplierMarkup,"Error at finding value"))</f>
        <v>22.93</v>
      </c>
      <c r="X1172" s="32" t="str">
        <f t="shared" si="414"/>
        <v>0.00</v>
      </c>
      <c r="Y1172" s="15">
        <f t="shared" si="415"/>
        <v>116.48</v>
      </c>
      <c r="Z1172" s="15">
        <f t="shared" si="416"/>
        <v>183.44</v>
      </c>
      <c r="AA1172" s="15">
        <f>IF(FreightType="Lethbridge-Stewart Freight ",ROUND(2.99+IF(N1172&gt;0.75,(N1172-0.75)*2.25,0)*S1172,2),IF(MarkupType="Supplier Markup",V1172+V1172*SupplierMarkup,"Error at finding value"))</f>
        <v>2.99</v>
      </c>
      <c r="AB1172" s="15">
        <f t="shared" si="417"/>
        <v>0</v>
      </c>
    </row>
    <row r="1173" spans="1:28" x14ac:dyDescent="0.25">
      <c r="A1173" s="16">
        <f>OrdersTable!A1173</f>
        <v>360</v>
      </c>
      <c r="B1173" s="15" t="str">
        <f t="shared" si="397"/>
        <v>Ms</v>
      </c>
      <c r="C1173" s="15" t="str">
        <f t="shared" si="418"/>
        <v>Bobonica</v>
      </c>
      <c r="D1173" s="15" t="str">
        <f t="shared" si="398"/>
        <v>Claudia</v>
      </c>
      <c r="E1173" s="15" t="str">
        <f t="shared" si="399"/>
        <v>47 Klein Way</v>
      </c>
      <c r="F1173" s="15" t="str">
        <f t="shared" si="400"/>
        <v>Avon Plains</v>
      </c>
      <c r="G1173" s="15" t="str">
        <f t="shared" si="401"/>
        <v>VIC</v>
      </c>
      <c r="H1173" s="15">
        <f t="shared" si="402"/>
        <v>3477</v>
      </c>
      <c r="I1173" s="15">
        <f t="shared" si="413"/>
        <v>1565</v>
      </c>
      <c r="J1173" s="15">
        <f>OrdersTable!B1173</f>
        <v>679</v>
      </c>
      <c r="K1173" s="15" t="str">
        <f t="shared" si="403"/>
        <v>Mugs</v>
      </c>
      <c r="L1173" s="15" t="str">
        <f t="shared" si="404"/>
        <v>Doctor Who: Mug: The Fifth Doctor</v>
      </c>
      <c r="M1173" s="15" t="str">
        <f t="shared" si="405"/>
        <v>-</v>
      </c>
      <c r="N1173" s="15">
        <f t="shared" si="406"/>
        <v>0.45</v>
      </c>
      <c r="O1173" s="15" t="str">
        <f t="shared" si="407"/>
        <v>A40</v>
      </c>
      <c r="P1173" s="15" t="str">
        <f t="shared" si="408"/>
        <v>Romana Imports</v>
      </c>
      <c r="Q1173" s="15" t="str">
        <f t="shared" si="409"/>
        <v>17 Lalla Ward Road</v>
      </c>
      <c r="R1173" s="3">
        <f>OrdersTable!C1173</f>
        <v>44644</v>
      </c>
      <c r="S1173" s="15">
        <f>OrdersTable!E1173</f>
        <v>2</v>
      </c>
      <c r="T1173" s="15">
        <f t="shared" si="410"/>
        <v>8.99</v>
      </c>
      <c r="U1173" s="15">
        <f t="shared" si="411"/>
        <v>12.28</v>
      </c>
      <c r="V1173" s="15">
        <f t="shared" si="412"/>
        <v>14.56</v>
      </c>
      <c r="W1173" s="15">
        <f>IF(MarkupType="Store Markup",ROUND(V1173+V1173*StoreMarkup,2),IF(MarkupType="Supplier Markup",V1173+V1173*SupplierMarkup,"Error at finding value"))</f>
        <v>22.93</v>
      </c>
      <c r="X1173" s="32" t="str">
        <f t="shared" si="414"/>
        <v>0.00</v>
      </c>
      <c r="Y1173" s="15">
        <f t="shared" si="415"/>
        <v>29.12</v>
      </c>
      <c r="Z1173" s="15">
        <f t="shared" si="416"/>
        <v>45.86</v>
      </c>
      <c r="AA1173" s="15">
        <f>IF(FreightType="Lethbridge-Stewart Freight ",ROUND(2.99+IF(N1173&gt;0.75,(N1173-0.75)*2.25,0)*S1173,2),IF(MarkupType="Supplier Markup",V1173+V1173*SupplierMarkup,"Error at finding value"))</f>
        <v>2.99</v>
      </c>
      <c r="AB1173" s="15">
        <f t="shared" si="417"/>
        <v>0</v>
      </c>
    </row>
    <row r="1174" spans="1:28" x14ac:dyDescent="0.25">
      <c r="A1174" s="16">
        <f>OrdersTable!A1174</f>
        <v>501</v>
      </c>
      <c r="B1174" s="15" t="str">
        <f t="shared" si="397"/>
        <v>Miss</v>
      </c>
      <c r="C1174" s="15" t="str">
        <f t="shared" si="418"/>
        <v>Tharenou</v>
      </c>
      <c r="D1174" s="15" t="str">
        <f t="shared" si="398"/>
        <v>Kimberley Jacinta</v>
      </c>
      <c r="E1174" s="15" t="str">
        <f t="shared" si="399"/>
        <v>49 Moncada Circuit</v>
      </c>
      <c r="F1174" s="15" t="str">
        <f t="shared" si="400"/>
        <v>Belford</v>
      </c>
      <c r="G1174" s="15" t="str">
        <f t="shared" si="401"/>
        <v>NSW</v>
      </c>
      <c r="H1174" s="15">
        <f t="shared" si="402"/>
        <v>2335</v>
      </c>
      <c r="I1174" s="15">
        <f t="shared" si="413"/>
        <v>716</v>
      </c>
      <c r="J1174" s="15">
        <f>OrdersTable!B1174</f>
        <v>583</v>
      </c>
      <c r="K1174" s="15" t="str">
        <f t="shared" si="403"/>
        <v>iPhone Skins</v>
      </c>
      <c r="L1174" s="15" t="str">
        <f t="shared" si="404"/>
        <v>Doctor Who: iPhone Skin: Cyberman Delete</v>
      </c>
      <c r="M1174" s="15" t="str">
        <f t="shared" si="405"/>
        <v>-</v>
      </c>
      <c r="N1174" s="15">
        <f t="shared" si="406"/>
        <v>0.3</v>
      </c>
      <c r="O1174" s="15" t="str">
        <f t="shared" si="407"/>
        <v>A50</v>
      </c>
      <c r="P1174" s="15" t="str">
        <f t="shared" si="408"/>
        <v>Rassilon Ltd.</v>
      </c>
      <c r="Q1174" s="15" t="str">
        <f t="shared" si="409"/>
        <v>82 Richard Mathews Road</v>
      </c>
      <c r="R1174" s="3">
        <f>OrdersTable!C1174</f>
        <v>44644</v>
      </c>
      <c r="S1174" s="15">
        <f>OrdersTable!E1174</f>
        <v>7</v>
      </c>
      <c r="T1174" s="15">
        <f t="shared" si="410"/>
        <v>5.99</v>
      </c>
      <c r="U1174" s="15">
        <f t="shared" si="411"/>
        <v>8.23</v>
      </c>
      <c r="V1174" s="15">
        <f t="shared" si="412"/>
        <v>9.6999999999999993</v>
      </c>
      <c r="W1174" s="15">
        <f>IF(MarkupType="Store Markup",ROUND(V1174+V1174*StoreMarkup,2),IF(MarkupType="Supplier Markup",V1174+V1174*SupplierMarkup,"Error at finding value"))</f>
        <v>15.28</v>
      </c>
      <c r="X1174" s="32" t="str">
        <f t="shared" si="414"/>
        <v>0.00</v>
      </c>
      <c r="Y1174" s="15">
        <f t="shared" si="415"/>
        <v>67.900000000000006</v>
      </c>
      <c r="Z1174" s="15">
        <f t="shared" si="416"/>
        <v>106.96</v>
      </c>
      <c r="AA1174" s="15">
        <f>IF(FreightType="Lethbridge-Stewart Freight ",ROUND(2.99+IF(N1174&gt;0.75,(N1174-0.75)*2.25,0)*S1174,2),IF(MarkupType="Supplier Markup",V1174+V1174*SupplierMarkup,"Error at finding value"))</f>
        <v>2.99</v>
      </c>
      <c r="AB1174" s="15">
        <f t="shared" si="417"/>
        <v>0</v>
      </c>
    </row>
    <row r="1175" spans="1:28" x14ac:dyDescent="0.25">
      <c r="A1175" s="16">
        <f>OrdersTable!A1175</f>
        <v>540</v>
      </c>
      <c r="B1175" s="15" t="str">
        <f t="shared" si="397"/>
        <v>Dr</v>
      </c>
      <c r="C1175" s="15" t="str">
        <f t="shared" si="418"/>
        <v>Hackett</v>
      </c>
      <c r="D1175" s="15" t="str">
        <f t="shared" si="398"/>
        <v>Patrick</v>
      </c>
      <c r="E1175" s="15" t="str">
        <f t="shared" si="399"/>
        <v>25 Sweet Drive</v>
      </c>
      <c r="F1175" s="15" t="str">
        <f t="shared" si="400"/>
        <v>Bridgewater</v>
      </c>
      <c r="G1175" s="15" t="str">
        <f t="shared" si="401"/>
        <v>VIC</v>
      </c>
      <c r="H1175" s="15">
        <f t="shared" si="402"/>
        <v>3516</v>
      </c>
      <c r="I1175" s="15">
        <f t="shared" si="413"/>
        <v>1486</v>
      </c>
      <c r="J1175" s="15">
        <f>OrdersTable!B1175</f>
        <v>259</v>
      </c>
      <c r="K1175" s="15" t="str">
        <f t="shared" si="403"/>
        <v>Clothing and Apparel</v>
      </c>
      <c r="L1175" s="15" t="str">
        <f t="shared" si="404"/>
        <v>Doctor Who: Men's Winter Pyjamas</v>
      </c>
      <c r="M1175" s="15" t="str">
        <f t="shared" si="405"/>
        <v>XL</v>
      </c>
      <c r="N1175" s="15">
        <f t="shared" si="406"/>
        <v>1.5</v>
      </c>
      <c r="O1175" s="15" t="str">
        <f t="shared" si="407"/>
        <v>A50</v>
      </c>
      <c r="P1175" s="15" t="str">
        <f t="shared" si="408"/>
        <v>Rassilon Ltd.</v>
      </c>
      <c r="Q1175" s="15" t="str">
        <f t="shared" si="409"/>
        <v>82 Richard Mathews Road</v>
      </c>
      <c r="R1175" s="3">
        <f>OrdersTable!C1175</f>
        <v>44644</v>
      </c>
      <c r="S1175" s="15">
        <f>OrdersTable!E1175</f>
        <v>2</v>
      </c>
      <c r="T1175" s="15">
        <f t="shared" si="410"/>
        <v>29.99</v>
      </c>
      <c r="U1175" s="15">
        <f t="shared" si="411"/>
        <v>41.15</v>
      </c>
      <c r="V1175" s="15">
        <f t="shared" si="412"/>
        <v>48.58</v>
      </c>
      <c r="W1175" s="15">
        <f>IF(MarkupType="Store Markup",ROUND(V1175+V1175*StoreMarkup,2),IF(MarkupType="Supplier Markup",V1175+V1175*SupplierMarkup,"Error at finding value"))</f>
        <v>76.510000000000005</v>
      </c>
      <c r="X1175" s="32" t="str">
        <f t="shared" si="414"/>
        <v>0.00</v>
      </c>
      <c r="Y1175" s="15">
        <f t="shared" si="415"/>
        <v>97.16</v>
      </c>
      <c r="Z1175" s="15">
        <f t="shared" si="416"/>
        <v>153.02000000000001</v>
      </c>
      <c r="AA1175" s="15">
        <f>IF(FreightType="Lethbridge-Stewart Freight ",ROUND(2.99+IF(N1175&gt;0.75,(N1175-0.75)*2.25,0)*S1175,2),IF(MarkupType="Supplier Markup",V1175+V1175*SupplierMarkup,"Error at finding value"))</f>
        <v>6.37</v>
      </c>
      <c r="AB1175" s="15">
        <f t="shared" si="417"/>
        <v>0</v>
      </c>
    </row>
    <row r="1176" spans="1:28" x14ac:dyDescent="0.25">
      <c r="A1176" s="16">
        <f>OrdersTable!A1176</f>
        <v>651</v>
      </c>
      <c r="B1176" s="15" t="str">
        <f t="shared" si="397"/>
        <v>Mr</v>
      </c>
      <c r="C1176" s="15" t="str">
        <f t="shared" si="418"/>
        <v>Wilkes</v>
      </c>
      <c r="D1176" s="15" t="str">
        <f t="shared" si="398"/>
        <v>Harley</v>
      </c>
      <c r="E1176" s="15" t="str">
        <f t="shared" si="399"/>
        <v>12 Locke Circuit</v>
      </c>
      <c r="F1176" s="15" t="str">
        <f t="shared" si="400"/>
        <v>Bray Park</v>
      </c>
      <c r="G1176" s="15" t="str">
        <f t="shared" si="401"/>
        <v>QLD</v>
      </c>
      <c r="H1176" s="15">
        <f t="shared" si="402"/>
        <v>4500</v>
      </c>
      <c r="I1176" s="15">
        <f t="shared" si="413"/>
        <v>139</v>
      </c>
      <c r="J1176" s="15">
        <f>OrdersTable!B1176</f>
        <v>643</v>
      </c>
      <c r="K1176" s="15" t="str">
        <f t="shared" si="403"/>
        <v>Mugs</v>
      </c>
      <c r="L1176" s="15" t="str">
        <f t="shared" si="404"/>
        <v>Doctor Who: Giant Mug: Logo</v>
      </c>
      <c r="M1176" s="15" t="str">
        <f t="shared" si="405"/>
        <v>-</v>
      </c>
      <c r="N1176" s="15">
        <f t="shared" si="406"/>
        <v>0.44500000000000001</v>
      </c>
      <c r="O1176" s="15" t="str">
        <f t="shared" si="407"/>
        <v>A10</v>
      </c>
      <c r="P1176" s="15" t="str">
        <f t="shared" si="408"/>
        <v>Gallifrey International</v>
      </c>
      <c r="Q1176" s="15" t="str">
        <f t="shared" si="409"/>
        <v>181 Arcadia Street</v>
      </c>
      <c r="R1176" s="3">
        <f>OrdersTable!C1176</f>
        <v>44644</v>
      </c>
      <c r="S1176" s="15">
        <f>OrdersTable!E1176</f>
        <v>3</v>
      </c>
      <c r="T1176" s="15">
        <f t="shared" si="410"/>
        <v>8.89</v>
      </c>
      <c r="U1176" s="15">
        <f t="shared" si="411"/>
        <v>12.19</v>
      </c>
      <c r="V1176" s="15">
        <f t="shared" si="412"/>
        <v>14.4</v>
      </c>
      <c r="W1176" s="15">
        <f>IF(MarkupType="Store Markup",ROUND(V1176+V1176*StoreMarkup,2),IF(MarkupType="Supplier Markup",V1176+V1176*SupplierMarkup,"Error at finding value"))</f>
        <v>22.68</v>
      </c>
      <c r="X1176" s="32" t="str">
        <f t="shared" si="414"/>
        <v>0.00</v>
      </c>
      <c r="Y1176" s="15">
        <f t="shared" si="415"/>
        <v>43.2</v>
      </c>
      <c r="Z1176" s="15">
        <f t="shared" si="416"/>
        <v>68.040000000000006</v>
      </c>
      <c r="AA1176" s="15">
        <f>IF(FreightType="Lethbridge-Stewart Freight ",ROUND(2.99+IF(N1176&gt;0.75,(N1176-0.75)*2.25,0)*S1176,2),IF(MarkupType="Supplier Markup",V1176+V1176*SupplierMarkup,"Error at finding value"))</f>
        <v>2.99</v>
      </c>
      <c r="AB1176" s="15">
        <f t="shared" si="417"/>
        <v>0</v>
      </c>
    </row>
    <row r="1177" spans="1:28" x14ac:dyDescent="0.25">
      <c r="A1177" s="16">
        <f>OrdersTable!A1177</f>
        <v>802</v>
      </c>
      <c r="B1177" s="15" t="str">
        <f t="shared" si="397"/>
        <v>Mr</v>
      </c>
      <c r="C1177" s="15" t="str">
        <f t="shared" si="418"/>
        <v>Carlton</v>
      </c>
      <c r="D1177" s="15" t="str">
        <f t="shared" si="398"/>
        <v>Lawrence</v>
      </c>
      <c r="E1177" s="15" t="str">
        <f t="shared" si="399"/>
        <v>39 Walsh Way</v>
      </c>
      <c r="F1177" s="15" t="str">
        <f t="shared" si="400"/>
        <v>Breakwater</v>
      </c>
      <c r="G1177" s="15" t="str">
        <f t="shared" si="401"/>
        <v>VIC</v>
      </c>
      <c r="H1177" s="15">
        <f t="shared" si="402"/>
        <v>3219</v>
      </c>
      <c r="I1177" s="15">
        <f t="shared" si="413"/>
        <v>1596</v>
      </c>
      <c r="J1177" s="15">
        <f>OrdersTable!B1177</f>
        <v>177</v>
      </c>
      <c r="K1177" s="15" t="str">
        <f t="shared" si="403"/>
        <v>Bobbleheads</v>
      </c>
      <c r="L1177" s="15" t="str">
        <f t="shared" si="404"/>
        <v>Doctor Who: Bobblehead: TARDIS (With Sound)</v>
      </c>
      <c r="M1177" s="15" t="str">
        <f t="shared" si="405"/>
        <v>-</v>
      </c>
      <c r="N1177" s="15">
        <f t="shared" si="406"/>
        <v>1</v>
      </c>
      <c r="O1177" s="15" t="str">
        <f t="shared" si="407"/>
        <v>A30</v>
      </c>
      <c r="P1177" s="15" t="str">
        <f t="shared" si="408"/>
        <v>Chesterton Enterprises</v>
      </c>
      <c r="Q1177" s="15" t="str">
        <f t="shared" si="409"/>
        <v>41 William Russell Road</v>
      </c>
      <c r="R1177" s="3">
        <f>OrdersTable!C1177</f>
        <v>44644</v>
      </c>
      <c r="S1177" s="15">
        <f>OrdersTable!E1177</f>
        <v>8</v>
      </c>
      <c r="T1177" s="15">
        <f t="shared" si="410"/>
        <v>19.989999999999998</v>
      </c>
      <c r="U1177" s="15">
        <f t="shared" si="411"/>
        <v>27.6</v>
      </c>
      <c r="V1177" s="15">
        <f t="shared" si="412"/>
        <v>32.380000000000003</v>
      </c>
      <c r="W1177" s="15">
        <f>IF(MarkupType="Store Markup",ROUND(V1177+V1177*StoreMarkup,2),IF(MarkupType="Supplier Markup",V1177+V1177*SupplierMarkup,"Error at finding value"))</f>
        <v>51</v>
      </c>
      <c r="X1177" s="32" t="str">
        <f t="shared" si="414"/>
        <v>0.00</v>
      </c>
      <c r="Y1177" s="15">
        <f t="shared" si="415"/>
        <v>259.04000000000002</v>
      </c>
      <c r="Z1177" s="15">
        <f t="shared" si="416"/>
        <v>408</v>
      </c>
      <c r="AA1177" s="15">
        <f>IF(FreightType="Lethbridge-Stewart Freight ",ROUND(2.99+IF(N1177&gt;0.75,(N1177-0.75)*2.25,0)*S1177,2),IF(MarkupType="Supplier Markup",V1177+V1177*SupplierMarkup,"Error at finding value"))</f>
        <v>7.49</v>
      </c>
      <c r="AB1177" s="15">
        <f t="shared" si="417"/>
        <v>0</v>
      </c>
    </row>
    <row r="1178" spans="1:28" x14ac:dyDescent="0.25">
      <c r="A1178" s="16">
        <f>OrdersTable!A1178</f>
        <v>112</v>
      </c>
      <c r="B1178" s="15" t="str">
        <f t="shared" si="397"/>
        <v>Mr</v>
      </c>
      <c r="C1178" s="15" t="str">
        <f t="shared" si="418"/>
        <v>Dahal</v>
      </c>
      <c r="D1178" s="15" t="str">
        <f t="shared" si="398"/>
        <v>Subash</v>
      </c>
      <c r="E1178" s="15" t="str">
        <f t="shared" si="399"/>
        <v>121-127 Railway Pde, Granville, NSW 2142</v>
      </c>
      <c r="F1178" s="15" t="str">
        <f t="shared" si="400"/>
        <v>Granville</v>
      </c>
      <c r="G1178" s="15" t="str">
        <f t="shared" si="401"/>
        <v>NSW</v>
      </c>
      <c r="H1178" s="15">
        <f t="shared" si="402"/>
        <v>2142</v>
      </c>
      <c r="I1178" s="15">
        <f t="shared" si="413"/>
        <v>907</v>
      </c>
      <c r="J1178" s="15">
        <f>OrdersTable!B1178</f>
        <v>725</v>
      </c>
      <c r="K1178" s="15" t="str">
        <f t="shared" si="403"/>
        <v>Props and Replicas</v>
      </c>
      <c r="L1178" s="15" t="str">
        <f t="shared" si="404"/>
        <v>Doctor Who: Captain Jack Sonic Blaster</v>
      </c>
      <c r="M1178" s="15" t="str">
        <f t="shared" si="405"/>
        <v>-</v>
      </c>
      <c r="N1178" s="15">
        <f t="shared" si="406"/>
        <v>14.8</v>
      </c>
      <c r="O1178" s="15" t="str">
        <f t="shared" si="407"/>
        <v>A30</v>
      </c>
      <c r="P1178" s="15" t="str">
        <f t="shared" si="408"/>
        <v>Chesterton Enterprises</v>
      </c>
      <c r="Q1178" s="15" t="str">
        <f t="shared" si="409"/>
        <v>41 William Russell Road</v>
      </c>
      <c r="R1178" s="3">
        <f>OrdersTable!C1178</f>
        <v>44645</v>
      </c>
      <c r="S1178" s="15">
        <f>OrdersTable!E1178</f>
        <v>1</v>
      </c>
      <c r="T1178" s="15">
        <f t="shared" si="410"/>
        <v>295.99</v>
      </c>
      <c r="U1178" s="15">
        <f t="shared" si="411"/>
        <v>403.88</v>
      </c>
      <c r="V1178" s="15">
        <f t="shared" si="412"/>
        <v>479.5</v>
      </c>
      <c r="W1178" s="15">
        <f>IF(MarkupType="Store Markup",ROUND(V1178+V1178*StoreMarkup,2),IF(MarkupType="Supplier Markup",V1178+V1178*SupplierMarkup,"Error at finding value"))</f>
        <v>755.21</v>
      </c>
      <c r="X1178" s="32" t="str">
        <f t="shared" si="414"/>
        <v>0.00</v>
      </c>
      <c r="Y1178" s="15">
        <f t="shared" si="415"/>
        <v>479.5</v>
      </c>
      <c r="Z1178" s="15">
        <f t="shared" si="416"/>
        <v>755.21</v>
      </c>
      <c r="AA1178" s="15">
        <f>IF(FreightType="Lethbridge-Stewart Freight ",ROUND(2.99+IF(N1178&gt;0.75,(N1178-0.75)*2.25,0)*S1178,2),IF(MarkupType="Supplier Markup",V1178+V1178*SupplierMarkup,"Error at finding value"))</f>
        <v>34.6</v>
      </c>
      <c r="AB1178" s="15">
        <f t="shared" si="417"/>
        <v>0</v>
      </c>
    </row>
    <row r="1179" spans="1:28" x14ac:dyDescent="0.25">
      <c r="A1179" s="16">
        <f>OrdersTable!A1179</f>
        <v>158</v>
      </c>
      <c r="B1179" s="15" t="str">
        <f t="shared" si="397"/>
        <v>Mr</v>
      </c>
      <c r="C1179" s="15" t="str">
        <f t="shared" si="418"/>
        <v>Fowler</v>
      </c>
      <c r="D1179" s="15" t="str">
        <f t="shared" si="398"/>
        <v>James</v>
      </c>
      <c r="E1179" s="15" t="str">
        <f t="shared" si="399"/>
        <v>30 Virk Court</v>
      </c>
      <c r="F1179" s="15" t="str">
        <f t="shared" si="400"/>
        <v>Black Hills</v>
      </c>
      <c r="G1179" s="15" t="str">
        <f t="shared" si="401"/>
        <v>TAS</v>
      </c>
      <c r="H1179" s="15">
        <f t="shared" si="402"/>
        <v>7140</v>
      </c>
      <c r="I1179" s="15">
        <f t="shared" si="413"/>
        <v>2191</v>
      </c>
      <c r="J1179" s="15">
        <f>OrdersTable!B1179</f>
        <v>671</v>
      </c>
      <c r="K1179" s="15" t="str">
        <f t="shared" si="403"/>
        <v>Mugs</v>
      </c>
      <c r="L1179" s="15" t="str">
        <f t="shared" si="404"/>
        <v>Doctor Who: Mug: TARDIS Inside</v>
      </c>
      <c r="M1179" s="15" t="str">
        <f t="shared" si="405"/>
        <v>-</v>
      </c>
      <c r="N1179" s="15">
        <f t="shared" si="406"/>
        <v>0.6</v>
      </c>
      <c r="O1179" s="15" t="str">
        <f t="shared" si="407"/>
        <v>A30</v>
      </c>
      <c r="P1179" s="15" t="str">
        <f t="shared" si="408"/>
        <v>Chesterton Enterprises</v>
      </c>
      <c r="Q1179" s="15" t="str">
        <f t="shared" si="409"/>
        <v>41 William Russell Road</v>
      </c>
      <c r="R1179" s="3">
        <f>OrdersTable!C1179</f>
        <v>44645</v>
      </c>
      <c r="S1179" s="15">
        <f>OrdersTable!E1179</f>
        <v>7</v>
      </c>
      <c r="T1179" s="15">
        <f t="shared" si="410"/>
        <v>11.99</v>
      </c>
      <c r="U1179" s="15">
        <f t="shared" si="411"/>
        <v>16.690000000000001</v>
      </c>
      <c r="V1179" s="15">
        <f t="shared" si="412"/>
        <v>19.420000000000002</v>
      </c>
      <c r="W1179" s="15">
        <f>IF(MarkupType="Store Markup",ROUND(V1179+V1179*StoreMarkup,2),IF(MarkupType="Supplier Markup",V1179+V1179*SupplierMarkup,"Error at finding value"))</f>
        <v>30.59</v>
      </c>
      <c r="X1179" s="32" t="str">
        <f t="shared" si="414"/>
        <v>0.00</v>
      </c>
      <c r="Y1179" s="15">
        <f t="shared" si="415"/>
        <v>135.94</v>
      </c>
      <c r="Z1179" s="15">
        <f t="shared" si="416"/>
        <v>214.13</v>
      </c>
      <c r="AA1179" s="15">
        <f>IF(FreightType="Lethbridge-Stewart Freight ",ROUND(2.99+IF(N1179&gt;0.75,(N1179-0.75)*2.25,0)*S1179,2),IF(MarkupType="Supplier Markup",V1179+V1179*SupplierMarkup,"Error at finding value"))</f>
        <v>2.99</v>
      </c>
      <c r="AB1179" s="15">
        <f t="shared" si="417"/>
        <v>0</v>
      </c>
    </row>
    <row r="1180" spans="1:28" x14ac:dyDescent="0.25">
      <c r="A1180" s="16">
        <f>OrdersTable!A1180</f>
        <v>330</v>
      </c>
      <c r="B1180" s="15" t="str">
        <f t="shared" si="397"/>
        <v>Mr</v>
      </c>
      <c r="C1180" s="15" t="str">
        <f t="shared" si="418"/>
        <v>Liesegang</v>
      </c>
      <c r="D1180" s="15" t="str">
        <f t="shared" si="398"/>
        <v>Darcey Michelle</v>
      </c>
      <c r="E1180" s="15" t="str">
        <f t="shared" si="399"/>
        <v>50 McCann Drive</v>
      </c>
      <c r="F1180" s="15" t="str">
        <f t="shared" si="400"/>
        <v>Binduli</v>
      </c>
      <c r="G1180" s="15" t="str">
        <f t="shared" si="401"/>
        <v>WA</v>
      </c>
      <c r="H1180" s="15">
        <f t="shared" si="402"/>
        <v>6430</v>
      </c>
      <c r="I1180" s="15">
        <f t="shared" si="413"/>
        <v>3543</v>
      </c>
      <c r="J1180" s="15">
        <f>OrdersTable!B1180</f>
        <v>757</v>
      </c>
      <c r="K1180" s="15" t="str">
        <f t="shared" si="403"/>
        <v>Statues and Busts</v>
      </c>
      <c r="L1180" s="15" t="str">
        <f t="shared" si="404"/>
        <v>Doctor Who: Helmet: Ice Warrior</v>
      </c>
      <c r="M1180" s="15" t="str">
        <f t="shared" si="405"/>
        <v>-</v>
      </c>
      <c r="N1180" s="15">
        <f t="shared" si="406"/>
        <v>1.75</v>
      </c>
      <c r="O1180" s="15" t="str">
        <f t="shared" si="407"/>
        <v>A20</v>
      </c>
      <c r="P1180" s="15" t="str">
        <f t="shared" si="408"/>
        <v>Morbius Inc.</v>
      </c>
      <c r="Q1180" s="15" t="str">
        <f t="shared" si="409"/>
        <v>56 Michael Spice Hwy</v>
      </c>
      <c r="R1180" s="3">
        <f>OrdersTable!C1180</f>
        <v>44645</v>
      </c>
      <c r="S1180" s="15">
        <f>OrdersTable!E1180</f>
        <v>8</v>
      </c>
      <c r="T1180" s="15">
        <f t="shared" si="410"/>
        <v>34.99</v>
      </c>
      <c r="U1180" s="15">
        <f t="shared" si="411"/>
        <v>47.88</v>
      </c>
      <c r="V1180" s="15">
        <f t="shared" si="412"/>
        <v>56.68</v>
      </c>
      <c r="W1180" s="15">
        <f>IF(MarkupType="Store Markup",ROUND(V1180+V1180*StoreMarkup,2),IF(MarkupType="Supplier Markup",V1180+V1180*SupplierMarkup,"Error at finding value"))</f>
        <v>89.27</v>
      </c>
      <c r="X1180" s="32" t="str">
        <f t="shared" si="414"/>
        <v>0.00</v>
      </c>
      <c r="Y1180" s="15">
        <f t="shared" si="415"/>
        <v>453.44</v>
      </c>
      <c r="Z1180" s="15">
        <f t="shared" si="416"/>
        <v>714.16</v>
      </c>
      <c r="AA1180" s="15">
        <f>IF(FreightType="Lethbridge-Stewart Freight ",ROUND(2.99+IF(N1180&gt;0.75,(N1180-0.75)*2.25,0)*S1180,2),IF(MarkupType="Supplier Markup",V1180+V1180*SupplierMarkup,"Error at finding value"))</f>
        <v>20.99</v>
      </c>
      <c r="AB1180" s="15">
        <f t="shared" si="417"/>
        <v>0</v>
      </c>
    </row>
    <row r="1181" spans="1:28" x14ac:dyDescent="0.25">
      <c r="A1181" s="16">
        <f>OrdersTable!A1181</f>
        <v>491</v>
      </c>
      <c r="B1181" s="15" t="str">
        <f t="shared" si="397"/>
        <v>Miss</v>
      </c>
      <c r="C1181" s="15" t="str">
        <f t="shared" si="418"/>
        <v>Winks</v>
      </c>
      <c r="D1181" s="15" t="str">
        <f t="shared" si="398"/>
        <v>Lori-Ann</v>
      </c>
      <c r="E1181" s="15" t="str">
        <f t="shared" si="399"/>
        <v>40 Lyne Street</v>
      </c>
      <c r="F1181" s="15" t="str">
        <f t="shared" si="400"/>
        <v>Bray Park</v>
      </c>
      <c r="G1181" s="15" t="str">
        <f t="shared" si="401"/>
        <v>QLD</v>
      </c>
      <c r="H1181" s="15">
        <f t="shared" si="402"/>
        <v>4500</v>
      </c>
      <c r="I1181" s="15">
        <f t="shared" si="413"/>
        <v>139</v>
      </c>
      <c r="J1181" s="15">
        <f>OrdersTable!B1181</f>
        <v>436</v>
      </c>
      <c r="K1181" s="15" t="str">
        <f t="shared" si="403"/>
        <v>Giftware</v>
      </c>
      <c r="L1181" s="15" t="str">
        <f t="shared" si="404"/>
        <v>Doctor Who: Adult Watch: TARDIS</v>
      </c>
      <c r="M1181" s="15" t="str">
        <f t="shared" si="405"/>
        <v>-</v>
      </c>
      <c r="N1181" s="15">
        <f t="shared" si="406"/>
        <v>1.5</v>
      </c>
      <c r="O1181" s="15" t="str">
        <f t="shared" si="407"/>
        <v>A20</v>
      </c>
      <c r="P1181" s="15" t="str">
        <f t="shared" si="408"/>
        <v>Morbius Inc.</v>
      </c>
      <c r="Q1181" s="15" t="str">
        <f t="shared" si="409"/>
        <v>56 Michael Spice Hwy</v>
      </c>
      <c r="R1181" s="3">
        <f>OrdersTable!C1181</f>
        <v>44645</v>
      </c>
      <c r="S1181" s="15">
        <f>OrdersTable!E1181</f>
        <v>7</v>
      </c>
      <c r="T1181" s="15">
        <f t="shared" si="410"/>
        <v>29.99</v>
      </c>
      <c r="U1181" s="15">
        <f t="shared" si="411"/>
        <v>40.96</v>
      </c>
      <c r="V1181" s="15">
        <f t="shared" si="412"/>
        <v>48.58</v>
      </c>
      <c r="W1181" s="15">
        <f>IF(MarkupType="Store Markup",ROUND(V1181+V1181*StoreMarkup,2),IF(MarkupType="Supplier Markup",V1181+V1181*SupplierMarkup,"Error at finding value"))</f>
        <v>76.510000000000005</v>
      </c>
      <c r="X1181" s="32" t="str">
        <f t="shared" si="414"/>
        <v>0.00</v>
      </c>
      <c r="Y1181" s="15">
        <f t="shared" si="415"/>
        <v>340.06</v>
      </c>
      <c r="Z1181" s="15">
        <f t="shared" si="416"/>
        <v>535.57000000000005</v>
      </c>
      <c r="AA1181" s="15">
        <f>IF(FreightType="Lethbridge-Stewart Freight ",ROUND(2.99+IF(N1181&gt;0.75,(N1181-0.75)*2.25,0)*S1181,2),IF(MarkupType="Supplier Markup",V1181+V1181*SupplierMarkup,"Error at finding value"))</f>
        <v>14.8</v>
      </c>
      <c r="AB1181" s="15">
        <f t="shared" si="417"/>
        <v>0</v>
      </c>
    </row>
    <row r="1182" spans="1:28" x14ac:dyDescent="0.25">
      <c r="A1182" s="16">
        <f>OrdersTable!A1182</f>
        <v>501</v>
      </c>
      <c r="B1182" s="15" t="str">
        <f t="shared" si="397"/>
        <v>Miss</v>
      </c>
      <c r="C1182" s="15" t="str">
        <f t="shared" si="418"/>
        <v>Tharenou</v>
      </c>
      <c r="D1182" s="15" t="str">
        <f t="shared" si="398"/>
        <v>Kimberley Jacinta</v>
      </c>
      <c r="E1182" s="15" t="str">
        <f t="shared" si="399"/>
        <v>49 Moncada Circuit</v>
      </c>
      <c r="F1182" s="15" t="str">
        <f t="shared" si="400"/>
        <v>Belford</v>
      </c>
      <c r="G1182" s="15" t="str">
        <f t="shared" si="401"/>
        <v>NSW</v>
      </c>
      <c r="H1182" s="15">
        <f t="shared" si="402"/>
        <v>2335</v>
      </c>
      <c r="I1182" s="15">
        <f t="shared" si="413"/>
        <v>716</v>
      </c>
      <c r="J1182" s="15">
        <f>OrdersTable!B1182</f>
        <v>689</v>
      </c>
      <c r="K1182" s="15" t="str">
        <f t="shared" si="403"/>
        <v>Posters, Prints and Standees</v>
      </c>
      <c r="L1182" s="15" t="str">
        <f t="shared" si="404"/>
        <v>Doctor Who: 16'x12' Framed Print: Cold War</v>
      </c>
      <c r="M1182" s="15" t="str">
        <f t="shared" si="405"/>
        <v>-</v>
      </c>
      <c r="N1182" s="15">
        <f t="shared" si="406"/>
        <v>0.75</v>
      </c>
      <c r="O1182" s="15" t="str">
        <f t="shared" si="407"/>
        <v>A50</v>
      </c>
      <c r="P1182" s="15" t="str">
        <f t="shared" si="408"/>
        <v>Rassilon Ltd.</v>
      </c>
      <c r="Q1182" s="15" t="str">
        <f t="shared" si="409"/>
        <v>82 Richard Mathews Road</v>
      </c>
      <c r="R1182" s="3">
        <f>OrdersTable!C1182</f>
        <v>44645</v>
      </c>
      <c r="S1182" s="15">
        <f>OrdersTable!E1182</f>
        <v>10</v>
      </c>
      <c r="T1182" s="15">
        <f t="shared" si="410"/>
        <v>14.99</v>
      </c>
      <c r="U1182" s="15">
        <f t="shared" si="411"/>
        <v>20.77</v>
      </c>
      <c r="V1182" s="15">
        <f t="shared" si="412"/>
        <v>24.28</v>
      </c>
      <c r="W1182" s="15">
        <f>IF(MarkupType="Store Markup",ROUND(V1182+V1182*StoreMarkup,2),IF(MarkupType="Supplier Markup",V1182+V1182*SupplierMarkup,"Error at finding value"))</f>
        <v>38.24</v>
      </c>
      <c r="X1182" s="32" t="str">
        <f t="shared" si="414"/>
        <v>0.00</v>
      </c>
      <c r="Y1182" s="15">
        <f t="shared" si="415"/>
        <v>242.8</v>
      </c>
      <c r="Z1182" s="15">
        <f t="shared" si="416"/>
        <v>382.4</v>
      </c>
      <c r="AA1182" s="15">
        <f>IF(FreightType="Lethbridge-Stewart Freight ",ROUND(2.99+IF(N1182&gt;0.75,(N1182-0.75)*2.25,0)*S1182,2),IF(MarkupType="Supplier Markup",V1182+V1182*SupplierMarkup,"Error at finding value"))</f>
        <v>2.99</v>
      </c>
      <c r="AB1182" s="15">
        <f t="shared" si="417"/>
        <v>0</v>
      </c>
    </row>
    <row r="1183" spans="1:28" x14ac:dyDescent="0.25">
      <c r="A1183" s="16">
        <f>OrdersTable!A1183</f>
        <v>557</v>
      </c>
      <c r="B1183" s="15" t="str">
        <f t="shared" si="397"/>
        <v>Mrs</v>
      </c>
      <c r="C1183" s="15" t="str">
        <f t="shared" si="418"/>
        <v>Allen</v>
      </c>
      <c r="D1183" s="15" t="str">
        <f t="shared" si="398"/>
        <v>Morgan</v>
      </c>
      <c r="E1183" s="15" t="str">
        <f t="shared" si="399"/>
        <v>15 Winsor Street</v>
      </c>
      <c r="F1183" s="15" t="str">
        <f t="shared" si="400"/>
        <v>Appletree Flat</v>
      </c>
      <c r="G1183" s="15" t="str">
        <f t="shared" si="401"/>
        <v>NSW</v>
      </c>
      <c r="H1183" s="15">
        <f t="shared" si="402"/>
        <v>2330</v>
      </c>
      <c r="I1183" s="15">
        <f t="shared" si="413"/>
        <v>691</v>
      </c>
      <c r="J1183" s="15">
        <f>OrdersTable!B1183</f>
        <v>667</v>
      </c>
      <c r="K1183" s="15" t="str">
        <f t="shared" si="403"/>
        <v>Mugs</v>
      </c>
      <c r="L1183" s="15" t="str">
        <f t="shared" si="404"/>
        <v>Doctor Who: Mug: Keep Calm And Don't Blink</v>
      </c>
      <c r="M1183" s="15" t="str">
        <f t="shared" si="405"/>
        <v>-</v>
      </c>
      <c r="N1183" s="15">
        <f t="shared" si="406"/>
        <v>0.35</v>
      </c>
      <c r="O1183" s="15" t="str">
        <f t="shared" si="407"/>
        <v>A10</v>
      </c>
      <c r="P1183" s="15" t="str">
        <f t="shared" si="408"/>
        <v>Gallifrey International</v>
      </c>
      <c r="Q1183" s="15" t="str">
        <f t="shared" si="409"/>
        <v>181 Arcadia Street</v>
      </c>
      <c r="R1183" s="3">
        <f>OrdersTable!C1183</f>
        <v>44645</v>
      </c>
      <c r="S1183" s="15">
        <f>OrdersTable!E1183</f>
        <v>7</v>
      </c>
      <c r="T1183" s="15">
        <f t="shared" si="410"/>
        <v>6.99</v>
      </c>
      <c r="U1183" s="15">
        <f t="shared" si="411"/>
        <v>9.84</v>
      </c>
      <c r="V1183" s="15">
        <f t="shared" si="412"/>
        <v>11.32</v>
      </c>
      <c r="W1183" s="15">
        <f>IF(MarkupType="Store Markup",ROUND(V1183+V1183*StoreMarkup,2),IF(MarkupType="Supplier Markup",V1183+V1183*SupplierMarkup,"Error at finding value"))</f>
        <v>17.829999999999998</v>
      </c>
      <c r="X1183" s="32" t="str">
        <f t="shared" si="414"/>
        <v>0.00</v>
      </c>
      <c r="Y1183" s="15">
        <f t="shared" si="415"/>
        <v>79.239999999999995</v>
      </c>
      <c r="Z1183" s="15">
        <f t="shared" si="416"/>
        <v>124.81</v>
      </c>
      <c r="AA1183" s="15">
        <f>IF(FreightType="Lethbridge-Stewart Freight ",ROUND(2.99+IF(N1183&gt;0.75,(N1183-0.75)*2.25,0)*S1183,2),IF(MarkupType="Supplier Markup",V1183+V1183*SupplierMarkup,"Error at finding value"))</f>
        <v>2.99</v>
      </c>
      <c r="AB1183" s="15">
        <f t="shared" si="417"/>
        <v>0</v>
      </c>
    </row>
    <row r="1184" spans="1:28" x14ac:dyDescent="0.25">
      <c r="A1184" s="16">
        <f>OrdersTable!A1184</f>
        <v>586</v>
      </c>
      <c r="B1184" s="15" t="str">
        <f t="shared" si="397"/>
        <v>Dr</v>
      </c>
      <c r="C1184" s="15" t="str">
        <f t="shared" si="418"/>
        <v>Coetzee</v>
      </c>
      <c r="D1184" s="15" t="str">
        <f t="shared" si="398"/>
        <v>Riekert</v>
      </c>
      <c r="E1184" s="15" t="str">
        <f t="shared" si="399"/>
        <v>5 Western Road</v>
      </c>
      <c r="F1184" s="15" t="str">
        <f t="shared" si="400"/>
        <v>Alfredtown</v>
      </c>
      <c r="G1184" s="15" t="str">
        <f t="shared" si="401"/>
        <v>NSW</v>
      </c>
      <c r="H1184" s="15">
        <f t="shared" si="402"/>
        <v>2650</v>
      </c>
      <c r="I1184" s="15">
        <f t="shared" si="413"/>
        <v>1124</v>
      </c>
      <c r="J1184" s="15">
        <f>OrdersTable!B1184</f>
        <v>186</v>
      </c>
      <c r="K1184" s="15" t="str">
        <f t="shared" si="403"/>
        <v>Bobbleheads</v>
      </c>
      <c r="L1184" s="15" t="str">
        <f t="shared" si="404"/>
        <v>Doctor Who: Monitor Mate: 50th Anniversary Original TARDIS</v>
      </c>
      <c r="M1184" s="15" t="str">
        <f t="shared" si="405"/>
        <v>-</v>
      </c>
      <c r="N1184" s="15">
        <f t="shared" si="406"/>
        <v>0.45</v>
      </c>
      <c r="O1184" s="15" t="str">
        <f t="shared" si="407"/>
        <v>A20</v>
      </c>
      <c r="P1184" s="15" t="str">
        <f t="shared" si="408"/>
        <v>Morbius Inc.</v>
      </c>
      <c r="Q1184" s="15" t="str">
        <f t="shared" si="409"/>
        <v>56 Michael Spice Hwy</v>
      </c>
      <c r="R1184" s="3">
        <f>OrdersTable!C1184</f>
        <v>44645</v>
      </c>
      <c r="S1184" s="15">
        <f>OrdersTable!E1184</f>
        <v>4</v>
      </c>
      <c r="T1184" s="15">
        <f t="shared" si="410"/>
        <v>8.99</v>
      </c>
      <c r="U1184" s="15">
        <f t="shared" si="411"/>
        <v>12.46</v>
      </c>
      <c r="V1184" s="15">
        <f t="shared" si="412"/>
        <v>14.56</v>
      </c>
      <c r="W1184" s="15">
        <f>IF(MarkupType="Store Markup",ROUND(V1184+V1184*StoreMarkup,2),IF(MarkupType="Supplier Markup",V1184+V1184*SupplierMarkup,"Error at finding value"))</f>
        <v>22.93</v>
      </c>
      <c r="X1184" s="32" t="str">
        <f t="shared" si="414"/>
        <v>0.00</v>
      </c>
      <c r="Y1184" s="15">
        <f t="shared" si="415"/>
        <v>58.24</v>
      </c>
      <c r="Z1184" s="15">
        <f t="shared" si="416"/>
        <v>91.72</v>
      </c>
      <c r="AA1184" s="15">
        <f>IF(FreightType="Lethbridge-Stewart Freight ",ROUND(2.99+IF(N1184&gt;0.75,(N1184-0.75)*2.25,0)*S1184,2),IF(MarkupType="Supplier Markup",V1184+V1184*SupplierMarkup,"Error at finding value"))</f>
        <v>2.99</v>
      </c>
      <c r="AB1184" s="15">
        <f t="shared" si="417"/>
        <v>0</v>
      </c>
    </row>
    <row r="1185" spans="1:28" x14ac:dyDescent="0.25">
      <c r="A1185" s="16">
        <f>OrdersTable!A1185</f>
        <v>600</v>
      </c>
      <c r="B1185" s="15" t="str">
        <f t="shared" si="397"/>
        <v>Dr</v>
      </c>
      <c r="C1185" s="15" t="str">
        <f t="shared" si="418"/>
        <v>McConnell</v>
      </c>
      <c r="D1185" s="15" t="str">
        <f t="shared" si="398"/>
        <v>Hannah Clair</v>
      </c>
      <c r="E1185" s="15" t="str">
        <f t="shared" si="399"/>
        <v>27 Mccarthy Circuit</v>
      </c>
      <c r="F1185" s="15" t="str">
        <f t="shared" si="400"/>
        <v>Ashford</v>
      </c>
      <c r="G1185" s="15" t="str">
        <f t="shared" si="401"/>
        <v>SA</v>
      </c>
      <c r="H1185" s="15">
        <f t="shared" si="402"/>
        <v>5035</v>
      </c>
      <c r="I1185" s="15">
        <f t="shared" si="413"/>
        <v>1877</v>
      </c>
      <c r="J1185" s="15">
        <f>OrdersTable!B1185</f>
        <v>719</v>
      </c>
      <c r="K1185" s="15" t="str">
        <f t="shared" si="403"/>
        <v>Posters, Prints and Standees</v>
      </c>
      <c r="L1185" s="15" t="str">
        <f t="shared" si="404"/>
        <v>Doctor Who: Standee: Supreme Dalek</v>
      </c>
      <c r="M1185" s="15" t="str">
        <f t="shared" si="405"/>
        <v>-</v>
      </c>
      <c r="N1185" s="15">
        <f t="shared" si="406"/>
        <v>1.125</v>
      </c>
      <c r="O1185" s="15" t="str">
        <f t="shared" si="407"/>
        <v>A50</v>
      </c>
      <c r="P1185" s="15" t="str">
        <f t="shared" si="408"/>
        <v>Rassilon Ltd.</v>
      </c>
      <c r="Q1185" s="15" t="str">
        <f t="shared" si="409"/>
        <v>82 Richard Mathews Road</v>
      </c>
      <c r="R1185" s="3">
        <f>OrdersTable!C1185</f>
        <v>44645</v>
      </c>
      <c r="S1185" s="15">
        <f>OrdersTable!E1185</f>
        <v>7</v>
      </c>
      <c r="T1185" s="15">
        <f t="shared" si="410"/>
        <v>22.49</v>
      </c>
      <c r="U1185" s="15">
        <f t="shared" si="411"/>
        <v>30.76</v>
      </c>
      <c r="V1185" s="15">
        <f t="shared" si="412"/>
        <v>36.43</v>
      </c>
      <c r="W1185" s="15">
        <f>IF(MarkupType="Store Markup",ROUND(V1185+V1185*StoreMarkup,2),IF(MarkupType="Supplier Markup",V1185+V1185*SupplierMarkup,"Error at finding value"))</f>
        <v>57.38</v>
      </c>
      <c r="X1185" s="32" t="str">
        <f t="shared" si="414"/>
        <v>0.00</v>
      </c>
      <c r="Y1185" s="15">
        <f t="shared" si="415"/>
        <v>255.01</v>
      </c>
      <c r="Z1185" s="15">
        <f t="shared" si="416"/>
        <v>401.66</v>
      </c>
      <c r="AA1185" s="15">
        <f>IF(FreightType="Lethbridge-Stewart Freight ",ROUND(2.99+IF(N1185&gt;0.75,(N1185-0.75)*2.25,0)*S1185,2),IF(MarkupType="Supplier Markup",V1185+V1185*SupplierMarkup,"Error at finding value"))</f>
        <v>8.9</v>
      </c>
      <c r="AB1185" s="15">
        <f t="shared" si="417"/>
        <v>0</v>
      </c>
    </row>
    <row r="1186" spans="1:28" x14ac:dyDescent="0.25">
      <c r="A1186" s="16">
        <f>OrdersTable!A1186</f>
        <v>657</v>
      </c>
      <c r="B1186" s="15" t="str">
        <f t="shared" si="397"/>
        <v>Mr</v>
      </c>
      <c r="C1186" s="15" t="str">
        <f t="shared" si="418"/>
        <v>Poljak</v>
      </c>
      <c r="D1186" s="15" t="str">
        <f t="shared" si="398"/>
        <v>Anthony</v>
      </c>
      <c r="E1186" s="15" t="str">
        <f t="shared" si="399"/>
        <v>45 Robertson Boulevard</v>
      </c>
      <c r="F1186" s="15" t="str">
        <f t="shared" si="400"/>
        <v>Iluka</v>
      </c>
      <c r="G1186" s="15" t="str">
        <f t="shared" si="401"/>
        <v>NSW</v>
      </c>
      <c r="H1186" s="15">
        <f t="shared" si="402"/>
        <v>2466</v>
      </c>
      <c r="I1186" s="15">
        <f t="shared" si="413"/>
        <v>347</v>
      </c>
      <c r="J1186" s="15">
        <f>OrdersTable!B1186</f>
        <v>752</v>
      </c>
      <c r="K1186" s="15" t="str">
        <f t="shared" si="403"/>
        <v>Statues and Busts</v>
      </c>
      <c r="L1186" s="15" t="str">
        <f t="shared" si="404"/>
        <v>Doctor Who: Helmet: Cyberman Leader</v>
      </c>
      <c r="M1186" s="15" t="str">
        <f t="shared" si="405"/>
        <v>-</v>
      </c>
      <c r="N1186" s="15">
        <f t="shared" si="406"/>
        <v>2</v>
      </c>
      <c r="O1186" s="15" t="str">
        <f t="shared" si="407"/>
        <v>A30</v>
      </c>
      <c r="P1186" s="15" t="str">
        <f t="shared" si="408"/>
        <v>Chesterton Enterprises</v>
      </c>
      <c r="Q1186" s="15" t="str">
        <f t="shared" si="409"/>
        <v>41 William Russell Road</v>
      </c>
      <c r="R1186" s="3">
        <f>OrdersTable!C1186</f>
        <v>44645</v>
      </c>
      <c r="S1186" s="15">
        <f>OrdersTable!E1186</f>
        <v>1</v>
      </c>
      <c r="T1186" s="15">
        <f t="shared" si="410"/>
        <v>39.99</v>
      </c>
      <c r="U1186" s="15">
        <f t="shared" si="411"/>
        <v>54.85</v>
      </c>
      <c r="V1186" s="15">
        <f t="shared" si="412"/>
        <v>64.78</v>
      </c>
      <c r="W1186" s="15">
        <f>IF(MarkupType="Store Markup",ROUND(V1186+V1186*StoreMarkup,2),IF(MarkupType="Supplier Markup",V1186+V1186*SupplierMarkup,"Error at finding value"))</f>
        <v>102.03</v>
      </c>
      <c r="X1186" s="32" t="str">
        <f t="shared" si="414"/>
        <v>0.00</v>
      </c>
      <c r="Y1186" s="15">
        <f t="shared" si="415"/>
        <v>64.78</v>
      </c>
      <c r="Z1186" s="15">
        <f t="shared" si="416"/>
        <v>102.03</v>
      </c>
      <c r="AA1186" s="15">
        <f>IF(FreightType="Lethbridge-Stewart Freight ",ROUND(2.99+IF(N1186&gt;0.75,(N1186-0.75)*2.25,0)*S1186,2),IF(MarkupType="Supplier Markup",V1186+V1186*SupplierMarkup,"Error at finding value"))</f>
        <v>5.8</v>
      </c>
      <c r="AB1186" s="15">
        <f t="shared" si="417"/>
        <v>0</v>
      </c>
    </row>
    <row r="1187" spans="1:28" x14ac:dyDescent="0.25">
      <c r="A1187" s="16">
        <f>OrdersTable!A1187</f>
        <v>657</v>
      </c>
      <c r="B1187" s="15" t="str">
        <f t="shared" si="397"/>
        <v>Mr</v>
      </c>
      <c r="C1187" s="15" t="str">
        <f t="shared" si="418"/>
        <v>Poljak</v>
      </c>
      <c r="D1187" s="15" t="str">
        <f t="shared" si="398"/>
        <v>Anthony</v>
      </c>
      <c r="E1187" s="15" t="str">
        <f t="shared" si="399"/>
        <v>45 Robertson Boulevard</v>
      </c>
      <c r="F1187" s="15" t="str">
        <f t="shared" si="400"/>
        <v>Iluka</v>
      </c>
      <c r="G1187" s="15" t="str">
        <f t="shared" si="401"/>
        <v>NSW</v>
      </c>
      <c r="H1187" s="15">
        <f t="shared" si="402"/>
        <v>2466</v>
      </c>
      <c r="I1187" s="15">
        <f t="shared" si="413"/>
        <v>347</v>
      </c>
      <c r="J1187" s="15">
        <f>OrdersTable!B1187</f>
        <v>787</v>
      </c>
      <c r="K1187" s="15" t="str">
        <f t="shared" si="403"/>
        <v>Statues and Busts</v>
      </c>
      <c r="L1187" s="15" t="str">
        <f t="shared" si="404"/>
        <v>Doctor Who: Masterpiece Collection Maxi Bust: 1st Doctor</v>
      </c>
      <c r="M1187" s="15" t="str">
        <f t="shared" si="405"/>
        <v>-</v>
      </c>
      <c r="N1187" s="15">
        <f t="shared" si="406"/>
        <v>2.5</v>
      </c>
      <c r="O1187" s="15" t="str">
        <f t="shared" si="407"/>
        <v>A10</v>
      </c>
      <c r="P1187" s="15" t="str">
        <f t="shared" si="408"/>
        <v>Gallifrey International</v>
      </c>
      <c r="Q1187" s="15" t="str">
        <f t="shared" si="409"/>
        <v>181 Arcadia Street</v>
      </c>
      <c r="R1187" s="3">
        <f>OrdersTable!C1187</f>
        <v>44645</v>
      </c>
      <c r="S1187" s="15">
        <f>OrdersTable!E1187</f>
        <v>7</v>
      </c>
      <c r="T1187" s="15">
        <f t="shared" si="410"/>
        <v>49.99</v>
      </c>
      <c r="U1187" s="15">
        <f t="shared" si="411"/>
        <v>68.290000000000006</v>
      </c>
      <c r="V1187" s="15">
        <f t="shared" si="412"/>
        <v>80.98</v>
      </c>
      <c r="W1187" s="15">
        <f>IF(MarkupType="Store Markup",ROUND(V1187+V1187*StoreMarkup,2),IF(MarkupType="Supplier Markup",V1187+V1187*SupplierMarkup,"Error at finding value"))</f>
        <v>127.54</v>
      </c>
      <c r="X1187" s="32">
        <f t="shared" si="414"/>
        <v>9.09</v>
      </c>
      <c r="Y1187" s="15">
        <f t="shared" si="415"/>
        <v>566.86</v>
      </c>
      <c r="Z1187" s="15">
        <f t="shared" si="416"/>
        <v>829.15</v>
      </c>
      <c r="AA1187" s="15">
        <f>IF(FreightType="Lethbridge-Stewart Freight ",ROUND(2.99+IF(N1187&gt;0.75,(N1187-0.75)*2.25,0)*S1187,2),IF(MarkupType="Supplier Markup",V1187+V1187*SupplierMarkup,"Error at finding value"))</f>
        <v>30.55</v>
      </c>
      <c r="AB1187" s="15">
        <f t="shared" si="417"/>
        <v>63.63</v>
      </c>
    </row>
    <row r="1188" spans="1:28" x14ac:dyDescent="0.25">
      <c r="A1188" s="16">
        <f>OrdersTable!A1188</f>
        <v>843</v>
      </c>
      <c r="B1188" s="15" t="str">
        <f t="shared" si="397"/>
        <v>Mr</v>
      </c>
      <c r="C1188" s="15" t="str">
        <f t="shared" si="418"/>
        <v>Goodwin</v>
      </c>
      <c r="D1188" s="15" t="str">
        <f t="shared" si="398"/>
        <v>Damon Joel</v>
      </c>
      <c r="E1188" s="15" t="str">
        <f t="shared" si="399"/>
        <v>40 Powell Boulevard</v>
      </c>
      <c r="F1188" s="15" t="str">
        <f t="shared" si="400"/>
        <v>Abington</v>
      </c>
      <c r="G1188" s="15" t="str">
        <f t="shared" si="401"/>
        <v>QLD</v>
      </c>
      <c r="H1188" s="15">
        <f t="shared" si="402"/>
        <v>4660</v>
      </c>
      <c r="I1188" s="15">
        <f t="shared" si="413"/>
        <v>336</v>
      </c>
      <c r="J1188" s="15">
        <f>OrdersTable!B1188</f>
        <v>652</v>
      </c>
      <c r="K1188" s="15" t="str">
        <f t="shared" si="403"/>
        <v>Mugs</v>
      </c>
      <c r="L1188" s="15" t="str">
        <f t="shared" si="404"/>
        <v>Doctor Who: Mug: Dalek 2D</v>
      </c>
      <c r="M1188" s="15" t="str">
        <f t="shared" si="405"/>
        <v>-</v>
      </c>
      <c r="N1188" s="15">
        <f t="shared" si="406"/>
        <v>0.35</v>
      </c>
      <c r="O1188" s="15" t="str">
        <f t="shared" si="407"/>
        <v>A10</v>
      </c>
      <c r="P1188" s="15" t="str">
        <f t="shared" si="408"/>
        <v>Gallifrey International</v>
      </c>
      <c r="Q1188" s="15" t="str">
        <f t="shared" si="409"/>
        <v>181 Arcadia Street</v>
      </c>
      <c r="R1188" s="3">
        <f>OrdersTable!C1188</f>
        <v>44645</v>
      </c>
      <c r="S1188" s="15">
        <f>OrdersTable!E1188</f>
        <v>6</v>
      </c>
      <c r="T1188" s="15">
        <f t="shared" si="410"/>
        <v>6.99</v>
      </c>
      <c r="U1188" s="15">
        <f t="shared" si="411"/>
        <v>9.8800000000000008</v>
      </c>
      <c r="V1188" s="15">
        <f t="shared" si="412"/>
        <v>11.32</v>
      </c>
      <c r="W1188" s="15">
        <f>IF(MarkupType="Store Markup",ROUND(V1188+V1188*StoreMarkup,2),IF(MarkupType="Supplier Markup",V1188+V1188*SupplierMarkup,"Error at finding value"))</f>
        <v>17.829999999999998</v>
      </c>
      <c r="X1188" s="32" t="str">
        <f t="shared" si="414"/>
        <v>0.00</v>
      </c>
      <c r="Y1188" s="15">
        <f t="shared" si="415"/>
        <v>67.92</v>
      </c>
      <c r="Z1188" s="15">
        <f t="shared" si="416"/>
        <v>106.98</v>
      </c>
      <c r="AA1188" s="15">
        <f>IF(FreightType="Lethbridge-Stewart Freight ",ROUND(2.99+IF(N1188&gt;0.75,(N1188-0.75)*2.25,0)*S1188,2),IF(MarkupType="Supplier Markup",V1188+V1188*SupplierMarkup,"Error at finding value"))</f>
        <v>2.99</v>
      </c>
      <c r="AB1188" s="15">
        <f t="shared" si="417"/>
        <v>0</v>
      </c>
    </row>
    <row r="1189" spans="1:28" x14ac:dyDescent="0.25">
      <c r="A1189" s="16">
        <f>OrdersTable!A1189</f>
        <v>923</v>
      </c>
      <c r="B1189" s="15" t="str">
        <f t="shared" si="397"/>
        <v>Ms</v>
      </c>
      <c r="C1189" s="15" t="str">
        <f t="shared" si="418"/>
        <v>Savage</v>
      </c>
      <c r="D1189" s="15" t="str">
        <f t="shared" si="398"/>
        <v>Eliza Margaret</v>
      </c>
      <c r="E1189" s="15" t="str">
        <f t="shared" si="399"/>
        <v>28 Whisson Crescent</v>
      </c>
      <c r="F1189" s="15" t="str">
        <f t="shared" si="400"/>
        <v>Belconnen</v>
      </c>
      <c r="G1189" s="15" t="str">
        <f t="shared" si="401"/>
        <v>ACT</v>
      </c>
      <c r="H1189" s="15">
        <f t="shared" si="402"/>
        <v>2617</v>
      </c>
      <c r="I1189" s="15">
        <f t="shared" si="413"/>
        <v>1194</v>
      </c>
      <c r="J1189" s="15">
        <f>OrdersTable!B1189</f>
        <v>341</v>
      </c>
      <c r="K1189" s="15" t="str">
        <f t="shared" si="403"/>
        <v>Clothing and Apparel</v>
      </c>
      <c r="L1189" s="15" t="str">
        <f t="shared" si="404"/>
        <v xml:space="preserve">Doctor Who: T-Shirts: 4th Doctor Costume </v>
      </c>
      <c r="M1189" s="15" t="str">
        <f t="shared" si="405"/>
        <v>XL</v>
      </c>
      <c r="N1189" s="15">
        <f t="shared" si="406"/>
        <v>0.8</v>
      </c>
      <c r="O1189" s="15" t="str">
        <f t="shared" si="407"/>
        <v>A20</v>
      </c>
      <c r="P1189" s="15" t="str">
        <f t="shared" si="408"/>
        <v>Morbius Inc.</v>
      </c>
      <c r="Q1189" s="15" t="str">
        <f t="shared" si="409"/>
        <v>56 Michael Spice Hwy</v>
      </c>
      <c r="R1189" s="3">
        <f>OrdersTable!C1189</f>
        <v>44645</v>
      </c>
      <c r="S1189" s="15">
        <f>OrdersTable!E1189</f>
        <v>1</v>
      </c>
      <c r="T1189" s="15">
        <f t="shared" si="410"/>
        <v>15.99</v>
      </c>
      <c r="U1189" s="15">
        <f t="shared" si="411"/>
        <v>22.05</v>
      </c>
      <c r="V1189" s="15">
        <f t="shared" si="412"/>
        <v>25.9</v>
      </c>
      <c r="W1189" s="15">
        <f>IF(MarkupType="Store Markup",ROUND(V1189+V1189*StoreMarkup,2),IF(MarkupType="Supplier Markup",V1189+V1189*SupplierMarkup,"Error at finding value"))</f>
        <v>40.79</v>
      </c>
      <c r="X1189" s="32" t="str">
        <f t="shared" si="414"/>
        <v>0.00</v>
      </c>
      <c r="Y1189" s="15">
        <f t="shared" si="415"/>
        <v>25.9</v>
      </c>
      <c r="Z1189" s="15">
        <f t="shared" si="416"/>
        <v>40.79</v>
      </c>
      <c r="AA1189" s="15">
        <f>IF(FreightType="Lethbridge-Stewart Freight ",ROUND(2.99+IF(N1189&gt;0.75,(N1189-0.75)*2.25,0)*S1189,2),IF(MarkupType="Supplier Markup",V1189+V1189*SupplierMarkup,"Error at finding value"))</f>
        <v>3.1</v>
      </c>
      <c r="AB1189" s="15">
        <f t="shared" si="417"/>
        <v>0</v>
      </c>
    </row>
    <row r="1190" spans="1:28" x14ac:dyDescent="0.25">
      <c r="A1190" s="16">
        <f>OrdersTable!A1190</f>
        <v>81</v>
      </c>
      <c r="B1190" s="15" t="str">
        <f t="shared" si="397"/>
        <v>Ms</v>
      </c>
      <c r="C1190" s="15" t="str">
        <f t="shared" si="418"/>
        <v>Madsen</v>
      </c>
      <c r="D1190" s="15" t="str">
        <f t="shared" si="398"/>
        <v>Kim Marie</v>
      </c>
      <c r="E1190" s="15" t="str">
        <f t="shared" si="399"/>
        <v>42 Singh Drive</v>
      </c>
      <c r="F1190" s="15" t="str">
        <f t="shared" si="400"/>
        <v>Caliph</v>
      </c>
      <c r="G1190" s="15" t="str">
        <f t="shared" si="401"/>
        <v>SA</v>
      </c>
      <c r="H1190" s="15">
        <f t="shared" si="402"/>
        <v>5310</v>
      </c>
      <c r="I1190" s="15">
        <f t="shared" si="413"/>
        <v>1720</v>
      </c>
      <c r="J1190" s="15">
        <f>OrdersTable!B1190</f>
        <v>177</v>
      </c>
      <c r="K1190" s="15" t="str">
        <f t="shared" si="403"/>
        <v>Bobbleheads</v>
      </c>
      <c r="L1190" s="15" t="str">
        <f t="shared" si="404"/>
        <v>Doctor Who: Bobblehead: TARDIS (With Sound)</v>
      </c>
      <c r="M1190" s="15" t="str">
        <f t="shared" si="405"/>
        <v>-</v>
      </c>
      <c r="N1190" s="15">
        <f t="shared" si="406"/>
        <v>1</v>
      </c>
      <c r="O1190" s="15" t="str">
        <f t="shared" si="407"/>
        <v>A30</v>
      </c>
      <c r="P1190" s="15" t="str">
        <f t="shared" si="408"/>
        <v>Chesterton Enterprises</v>
      </c>
      <c r="Q1190" s="15" t="str">
        <f t="shared" si="409"/>
        <v>41 William Russell Road</v>
      </c>
      <c r="R1190" s="3">
        <f>OrdersTable!C1190</f>
        <v>44646</v>
      </c>
      <c r="S1190" s="15">
        <f>OrdersTable!E1190</f>
        <v>8</v>
      </c>
      <c r="T1190" s="15">
        <f t="shared" si="410"/>
        <v>19.989999999999998</v>
      </c>
      <c r="U1190" s="15">
        <f t="shared" si="411"/>
        <v>27.6</v>
      </c>
      <c r="V1190" s="15">
        <f t="shared" si="412"/>
        <v>32.380000000000003</v>
      </c>
      <c r="W1190" s="15">
        <f>IF(MarkupType="Store Markup",ROUND(V1190+V1190*StoreMarkup,2),IF(MarkupType="Supplier Markup",V1190+V1190*SupplierMarkup,"Error at finding value"))</f>
        <v>51</v>
      </c>
      <c r="X1190" s="32" t="str">
        <f t="shared" si="414"/>
        <v>0.00</v>
      </c>
      <c r="Y1190" s="15">
        <f t="shared" si="415"/>
        <v>259.04000000000002</v>
      </c>
      <c r="Z1190" s="15">
        <f t="shared" si="416"/>
        <v>408</v>
      </c>
      <c r="AA1190" s="15">
        <f>IF(FreightType="Lethbridge-Stewart Freight ",ROUND(2.99+IF(N1190&gt;0.75,(N1190-0.75)*2.25,0)*S1190,2),IF(MarkupType="Supplier Markup",V1190+V1190*SupplierMarkup,"Error at finding value"))</f>
        <v>7.49</v>
      </c>
      <c r="AB1190" s="15">
        <f t="shared" si="417"/>
        <v>0</v>
      </c>
    </row>
    <row r="1191" spans="1:28" x14ac:dyDescent="0.25">
      <c r="A1191" s="16">
        <f>OrdersTable!A1191</f>
        <v>150</v>
      </c>
      <c r="B1191" s="15" t="str">
        <f t="shared" si="397"/>
        <v>Dr</v>
      </c>
      <c r="C1191" s="15" t="str">
        <f t="shared" si="418"/>
        <v>Taumalolo</v>
      </c>
      <c r="D1191" s="15" t="str">
        <f t="shared" si="398"/>
        <v>Latai Fono-Ki-Moana</v>
      </c>
      <c r="E1191" s="15" t="str">
        <f t="shared" si="399"/>
        <v>13 Taylor Way</v>
      </c>
      <c r="F1191" s="15" t="str">
        <f t="shared" si="400"/>
        <v>Bamboo</v>
      </c>
      <c r="G1191" s="15" t="str">
        <f t="shared" si="401"/>
        <v>QLD</v>
      </c>
      <c r="H1191" s="15">
        <f t="shared" si="402"/>
        <v>4873</v>
      </c>
      <c r="I1191" s="15">
        <f t="shared" si="413"/>
        <v>1741</v>
      </c>
      <c r="J1191" s="15">
        <f>OrdersTable!B1191</f>
        <v>792</v>
      </c>
      <c r="K1191" s="15" t="str">
        <f t="shared" si="403"/>
        <v>Statues and Busts</v>
      </c>
      <c r="L1191" s="15" t="str">
        <f t="shared" si="404"/>
        <v>Doctor Who: Masterpiece Collection Maxi Bust: 3rd Doctor</v>
      </c>
      <c r="M1191" s="15" t="str">
        <f t="shared" si="405"/>
        <v>-</v>
      </c>
      <c r="N1191" s="15">
        <f t="shared" si="406"/>
        <v>2.5</v>
      </c>
      <c r="O1191" s="15" t="str">
        <f t="shared" si="407"/>
        <v>A20</v>
      </c>
      <c r="P1191" s="15" t="str">
        <f t="shared" si="408"/>
        <v>Morbius Inc.</v>
      </c>
      <c r="Q1191" s="15" t="str">
        <f t="shared" si="409"/>
        <v>56 Michael Spice Hwy</v>
      </c>
      <c r="R1191" s="3">
        <f>OrdersTable!C1191</f>
        <v>44646</v>
      </c>
      <c r="S1191" s="15">
        <f>OrdersTable!E1191</f>
        <v>4</v>
      </c>
      <c r="T1191" s="15">
        <f t="shared" si="410"/>
        <v>49.99</v>
      </c>
      <c r="U1191" s="15">
        <f t="shared" si="411"/>
        <v>68.39</v>
      </c>
      <c r="V1191" s="15">
        <f t="shared" si="412"/>
        <v>80.98</v>
      </c>
      <c r="W1191" s="15">
        <f>IF(MarkupType="Store Markup",ROUND(V1191+V1191*StoreMarkup,2),IF(MarkupType="Supplier Markup",V1191+V1191*SupplierMarkup,"Error at finding value"))</f>
        <v>127.54</v>
      </c>
      <c r="X1191" s="32">
        <f t="shared" si="414"/>
        <v>9.09</v>
      </c>
      <c r="Y1191" s="15">
        <f t="shared" si="415"/>
        <v>323.92</v>
      </c>
      <c r="Z1191" s="15">
        <f t="shared" si="416"/>
        <v>473.8</v>
      </c>
      <c r="AA1191" s="15">
        <f>IF(FreightType="Lethbridge-Stewart Freight ",ROUND(2.99+IF(N1191&gt;0.75,(N1191-0.75)*2.25,0)*S1191,2),IF(MarkupType="Supplier Markup",V1191+V1191*SupplierMarkup,"Error at finding value"))</f>
        <v>18.739999999999998</v>
      </c>
      <c r="AB1191" s="15">
        <f t="shared" si="417"/>
        <v>36.36</v>
      </c>
    </row>
    <row r="1192" spans="1:28" x14ac:dyDescent="0.25">
      <c r="A1192" s="16">
        <f>OrdersTable!A1192</f>
        <v>180</v>
      </c>
      <c r="B1192" s="15" t="str">
        <f t="shared" si="397"/>
        <v>Mrs</v>
      </c>
      <c r="C1192" s="15" t="str">
        <f t="shared" si="418"/>
        <v>Feeney</v>
      </c>
      <c r="D1192" s="15" t="str">
        <f t="shared" si="398"/>
        <v>Jennifer Ruth</v>
      </c>
      <c r="E1192" s="15" t="str">
        <f t="shared" si="399"/>
        <v>18 Cook Avenue</v>
      </c>
      <c r="F1192" s="15" t="str">
        <f t="shared" si="400"/>
        <v>Nayook</v>
      </c>
      <c r="G1192" s="15" t="str">
        <f t="shared" si="401"/>
        <v>VIC</v>
      </c>
      <c r="H1192" s="15">
        <f t="shared" si="402"/>
        <v>3832</v>
      </c>
      <c r="I1192" s="15">
        <f t="shared" si="413"/>
        <v>1552</v>
      </c>
      <c r="J1192" s="15">
        <f>OrdersTable!B1192</f>
        <v>667</v>
      </c>
      <c r="K1192" s="15" t="str">
        <f t="shared" si="403"/>
        <v>Mugs</v>
      </c>
      <c r="L1192" s="15" t="str">
        <f t="shared" si="404"/>
        <v>Doctor Who: Mug: Keep Calm And Don't Blink</v>
      </c>
      <c r="M1192" s="15" t="str">
        <f t="shared" si="405"/>
        <v>-</v>
      </c>
      <c r="N1192" s="15">
        <f t="shared" si="406"/>
        <v>0.35</v>
      </c>
      <c r="O1192" s="15" t="str">
        <f t="shared" si="407"/>
        <v>A10</v>
      </c>
      <c r="P1192" s="15" t="str">
        <f t="shared" si="408"/>
        <v>Gallifrey International</v>
      </c>
      <c r="Q1192" s="15" t="str">
        <f t="shared" si="409"/>
        <v>181 Arcadia Street</v>
      </c>
      <c r="R1192" s="3">
        <f>OrdersTable!C1192</f>
        <v>44646</v>
      </c>
      <c r="S1192" s="15">
        <f>OrdersTable!E1192</f>
        <v>8</v>
      </c>
      <c r="T1192" s="15">
        <f t="shared" si="410"/>
        <v>6.99</v>
      </c>
      <c r="U1192" s="15">
        <f t="shared" si="411"/>
        <v>9.84</v>
      </c>
      <c r="V1192" s="15">
        <f t="shared" si="412"/>
        <v>11.32</v>
      </c>
      <c r="W1192" s="15">
        <f>IF(MarkupType="Store Markup",ROUND(V1192+V1192*StoreMarkup,2),IF(MarkupType="Supplier Markup",V1192+V1192*SupplierMarkup,"Error at finding value"))</f>
        <v>17.829999999999998</v>
      </c>
      <c r="X1192" s="32" t="str">
        <f t="shared" si="414"/>
        <v>0.00</v>
      </c>
      <c r="Y1192" s="15">
        <f t="shared" si="415"/>
        <v>90.56</v>
      </c>
      <c r="Z1192" s="15">
        <f t="shared" si="416"/>
        <v>142.63999999999999</v>
      </c>
      <c r="AA1192" s="15">
        <f>IF(FreightType="Lethbridge-Stewart Freight ",ROUND(2.99+IF(N1192&gt;0.75,(N1192-0.75)*2.25,0)*S1192,2),IF(MarkupType="Supplier Markup",V1192+V1192*SupplierMarkup,"Error at finding value"))</f>
        <v>2.99</v>
      </c>
      <c r="AB1192" s="15">
        <f t="shared" si="417"/>
        <v>0</v>
      </c>
    </row>
    <row r="1193" spans="1:28" x14ac:dyDescent="0.25">
      <c r="A1193" s="16">
        <f>OrdersTable!A1193</f>
        <v>302</v>
      </c>
      <c r="B1193" s="15" t="str">
        <f t="shared" si="397"/>
        <v>Ms</v>
      </c>
      <c r="C1193" s="15" t="str">
        <f t="shared" si="418"/>
        <v>Lamshed</v>
      </c>
      <c r="D1193" s="15" t="str">
        <f t="shared" si="398"/>
        <v>Laura Clare</v>
      </c>
      <c r="E1193" s="15" t="str">
        <f t="shared" si="399"/>
        <v>22 Edser Drive</v>
      </c>
      <c r="F1193" s="15" t="str">
        <f t="shared" si="400"/>
        <v>Caliph</v>
      </c>
      <c r="G1193" s="15" t="str">
        <f t="shared" si="401"/>
        <v>SA</v>
      </c>
      <c r="H1193" s="15">
        <f t="shared" si="402"/>
        <v>5310</v>
      </c>
      <c r="I1193" s="15">
        <f t="shared" si="413"/>
        <v>1720</v>
      </c>
      <c r="J1193" s="15">
        <f>OrdersTable!B1193</f>
        <v>762</v>
      </c>
      <c r="K1193" s="15" t="str">
        <f t="shared" si="403"/>
        <v>Statues and Busts</v>
      </c>
      <c r="L1193" s="15" t="str">
        <f t="shared" si="404"/>
        <v>Doctor Who: Legends Forever Bust: Patrick Troughton</v>
      </c>
      <c r="M1193" s="15" t="str">
        <f t="shared" si="405"/>
        <v>-</v>
      </c>
      <c r="N1193" s="15">
        <f t="shared" si="406"/>
        <v>1.375</v>
      </c>
      <c r="O1193" s="15" t="str">
        <f t="shared" si="407"/>
        <v>A40</v>
      </c>
      <c r="P1193" s="15" t="str">
        <f t="shared" si="408"/>
        <v>Romana Imports</v>
      </c>
      <c r="Q1193" s="15" t="str">
        <f t="shared" si="409"/>
        <v>17 Lalla Ward Road</v>
      </c>
      <c r="R1193" s="3">
        <f>OrdersTable!C1193</f>
        <v>44646</v>
      </c>
      <c r="S1193" s="15">
        <f>OrdersTable!E1193</f>
        <v>1</v>
      </c>
      <c r="T1193" s="15">
        <f t="shared" si="410"/>
        <v>27.5</v>
      </c>
      <c r="U1193" s="15">
        <f t="shared" si="411"/>
        <v>37.799999999999997</v>
      </c>
      <c r="V1193" s="15">
        <f t="shared" si="412"/>
        <v>44.55</v>
      </c>
      <c r="W1193" s="15">
        <f>IF(MarkupType="Store Markup",ROUND(V1193+V1193*StoreMarkup,2),IF(MarkupType="Supplier Markup",V1193+V1193*SupplierMarkup,"Error at finding value"))</f>
        <v>70.17</v>
      </c>
      <c r="X1193" s="32" t="str">
        <f t="shared" si="414"/>
        <v>0.00</v>
      </c>
      <c r="Y1193" s="15">
        <f t="shared" si="415"/>
        <v>44.55</v>
      </c>
      <c r="Z1193" s="15">
        <f t="shared" si="416"/>
        <v>70.17</v>
      </c>
      <c r="AA1193" s="15">
        <f>IF(FreightType="Lethbridge-Stewart Freight ",ROUND(2.99+IF(N1193&gt;0.75,(N1193-0.75)*2.25,0)*S1193,2),IF(MarkupType="Supplier Markup",V1193+V1193*SupplierMarkup,"Error at finding value"))</f>
        <v>4.4000000000000004</v>
      </c>
      <c r="AB1193" s="15">
        <f t="shared" si="417"/>
        <v>0</v>
      </c>
    </row>
    <row r="1194" spans="1:28" x14ac:dyDescent="0.25">
      <c r="A1194" s="16">
        <f>OrdersTable!A1194</f>
        <v>328</v>
      </c>
      <c r="B1194" s="15" t="str">
        <f t="shared" si="397"/>
        <v>Dr</v>
      </c>
      <c r="C1194" s="15" t="str">
        <f t="shared" si="418"/>
        <v>Ward</v>
      </c>
      <c r="D1194" s="15" t="str">
        <f t="shared" si="398"/>
        <v>Keiren Nicholas</v>
      </c>
      <c r="E1194" s="15" t="str">
        <f t="shared" si="399"/>
        <v>13 Green Crescent</v>
      </c>
      <c r="F1194" s="15" t="str">
        <f t="shared" si="400"/>
        <v>Breakwater</v>
      </c>
      <c r="G1194" s="15" t="str">
        <f t="shared" si="401"/>
        <v>VIC</v>
      </c>
      <c r="H1194" s="15">
        <f t="shared" si="402"/>
        <v>3219</v>
      </c>
      <c r="I1194" s="15">
        <f t="shared" si="413"/>
        <v>1596</v>
      </c>
      <c r="J1194" s="15">
        <f>OrdersTable!B1194</f>
        <v>395</v>
      </c>
      <c r="K1194" s="15" t="str">
        <f t="shared" si="403"/>
        <v>Clothing and Apparel</v>
      </c>
      <c r="L1194" s="15" t="str">
        <f t="shared" si="404"/>
        <v xml:space="preserve">Doctor Who: T-Shirts: 7th Doctor Costume </v>
      </c>
      <c r="M1194" s="15" t="str">
        <f t="shared" si="405"/>
        <v>L</v>
      </c>
      <c r="N1194" s="15">
        <f t="shared" si="406"/>
        <v>0.8</v>
      </c>
      <c r="O1194" s="15" t="str">
        <f t="shared" si="407"/>
        <v>A10</v>
      </c>
      <c r="P1194" s="15" t="str">
        <f t="shared" si="408"/>
        <v>Gallifrey International</v>
      </c>
      <c r="Q1194" s="15" t="str">
        <f t="shared" si="409"/>
        <v>181 Arcadia Street</v>
      </c>
      <c r="R1194" s="3">
        <f>OrdersTable!C1194</f>
        <v>44646</v>
      </c>
      <c r="S1194" s="15">
        <f>OrdersTable!E1194</f>
        <v>5</v>
      </c>
      <c r="T1194" s="15">
        <f t="shared" si="410"/>
        <v>15.99</v>
      </c>
      <c r="U1194" s="15">
        <f t="shared" si="411"/>
        <v>22.07</v>
      </c>
      <c r="V1194" s="15">
        <f t="shared" si="412"/>
        <v>25.9</v>
      </c>
      <c r="W1194" s="15">
        <f>IF(MarkupType="Store Markup",ROUND(V1194+V1194*StoreMarkup,2),IF(MarkupType="Supplier Markup",V1194+V1194*SupplierMarkup,"Error at finding value"))</f>
        <v>40.79</v>
      </c>
      <c r="X1194" s="32" t="str">
        <f t="shared" si="414"/>
        <v>0.00</v>
      </c>
      <c r="Y1194" s="15">
        <f t="shared" si="415"/>
        <v>129.5</v>
      </c>
      <c r="Z1194" s="15">
        <f t="shared" si="416"/>
        <v>203.95</v>
      </c>
      <c r="AA1194" s="15">
        <f>IF(FreightType="Lethbridge-Stewart Freight ",ROUND(2.99+IF(N1194&gt;0.75,(N1194-0.75)*2.25,0)*S1194,2),IF(MarkupType="Supplier Markup",V1194+V1194*SupplierMarkup,"Error at finding value"))</f>
        <v>3.55</v>
      </c>
      <c r="AB1194" s="15">
        <f t="shared" si="417"/>
        <v>0</v>
      </c>
    </row>
    <row r="1195" spans="1:28" x14ac:dyDescent="0.25">
      <c r="A1195" s="16">
        <f>OrdersTable!A1195</f>
        <v>328</v>
      </c>
      <c r="B1195" s="15" t="str">
        <f t="shared" si="397"/>
        <v>Dr</v>
      </c>
      <c r="C1195" s="15" t="str">
        <f t="shared" si="418"/>
        <v>Ward</v>
      </c>
      <c r="D1195" s="15" t="str">
        <f t="shared" si="398"/>
        <v>Keiren Nicholas</v>
      </c>
      <c r="E1195" s="15" t="str">
        <f t="shared" si="399"/>
        <v>13 Green Crescent</v>
      </c>
      <c r="F1195" s="15" t="str">
        <f t="shared" si="400"/>
        <v>Breakwater</v>
      </c>
      <c r="G1195" s="15" t="str">
        <f t="shared" si="401"/>
        <v>VIC</v>
      </c>
      <c r="H1195" s="15">
        <f t="shared" si="402"/>
        <v>3219</v>
      </c>
      <c r="I1195" s="15">
        <f t="shared" si="413"/>
        <v>1596</v>
      </c>
      <c r="J1195" s="15">
        <f>OrdersTable!B1195</f>
        <v>585</v>
      </c>
      <c r="K1195" s="15" t="str">
        <f t="shared" si="403"/>
        <v>iPhone Skins</v>
      </c>
      <c r="L1195" s="15" t="str">
        <f t="shared" si="404"/>
        <v>Doctor Who: iPhone Skin: Dalek To Victory</v>
      </c>
      <c r="M1195" s="15" t="str">
        <f t="shared" si="405"/>
        <v>-</v>
      </c>
      <c r="N1195" s="15">
        <f t="shared" si="406"/>
        <v>0.5</v>
      </c>
      <c r="O1195" s="15" t="str">
        <f t="shared" si="407"/>
        <v>A10</v>
      </c>
      <c r="P1195" s="15" t="str">
        <f t="shared" si="408"/>
        <v>Gallifrey International</v>
      </c>
      <c r="Q1195" s="15" t="str">
        <f t="shared" si="409"/>
        <v>181 Arcadia Street</v>
      </c>
      <c r="R1195" s="3">
        <f>OrdersTable!C1195</f>
        <v>44646</v>
      </c>
      <c r="S1195" s="15">
        <f>OrdersTable!E1195</f>
        <v>10</v>
      </c>
      <c r="T1195" s="15">
        <f t="shared" si="410"/>
        <v>9.99</v>
      </c>
      <c r="U1195" s="15">
        <f t="shared" si="411"/>
        <v>13.7</v>
      </c>
      <c r="V1195" s="15">
        <f t="shared" si="412"/>
        <v>16.18</v>
      </c>
      <c r="W1195" s="15">
        <f>IF(MarkupType="Store Markup",ROUND(V1195+V1195*StoreMarkup,2),IF(MarkupType="Supplier Markup",V1195+V1195*SupplierMarkup,"Error at finding value"))</f>
        <v>25.48</v>
      </c>
      <c r="X1195" s="32" t="str">
        <f t="shared" si="414"/>
        <v>0.00</v>
      </c>
      <c r="Y1195" s="15">
        <f t="shared" si="415"/>
        <v>161.80000000000001</v>
      </c>
      <c r="Z1195" s="15">
        <f t="shared" si="416"/>
        <v>254.8</v>
      </c>
      <c r="AA1195" s="15">
        <f>IF(FreightType="Lethbridge-Stewart Freight ",ROUND(2.99+IF(N1195&gt;0.75,(N1195-0.75)*2.25,0)*S1195,2),IF(MarkupType="Supplier Markup",V1195+V1195*SupplierMarkup,"Error at finding value"))</f>
        <v>2.99</v>
      </c>
      <c r="AB1195" s="15">
        <f t="shared" si="417"/>
        <v>0</v>
      </c>
    </row>
    <row r="1196" spans="1:28" x14ac:dyDescent="0.25">
      <c r="A1196" s="16">
        <f>OrdersTable!A1196</f>
        <v>333</v>
      </c>
      <c r="B1196" s="15" t="str">
        <f t="shared" si="397"/>
        <v>Mr</v>
      </c>
      <c r="C1196" s="15" t="str">
        <f t="shared" si="418"/>
        <v>Martin</v>
      </c>
      <c r="D1196" s="15" t="str">
        <f t="shared" si="398"/>
        <v>Damien Roger</v>
      </c>
      <c r="E1196" s="15" t="str">
        <f t="shared" si="399"/>
        <v>23 Quennell Way</v>
      </c>
      <c r="F1196" s="15" t="str">
        <f t="shared" si="400"/>
        <v>Aberfoyle</v>
      </c>
      <c r="G1196" s="15" t="str">
        <f t="shared" si="401"/>
        <v>NSW</v>
      </c>
      <c r="H1196" s="15">
        <f t="shared" si="402"/>
        <v>2350</v>
      </c>
      <c r="I1196" s="15">
        <f t="shared" si="413"/>
        <v>363</v>
      </c>
      <c r="J1196" s="15">
        <f>OrdersTable!B1196</f>
        <v>852</v>
      </c>
      <c r="K1196" s="15" t="str">
        <f t="shared" si="403"/>
        <v>Statues and Busts</v>
      </c>
      <c r="L1196" s="15" t="str">
        <f t="shared" si="404"/>
        <v>Doctor Who: Statue: Revenge Of The Cybermen Cyberleader</v>
      </c>
      <c r="M1196" s="15" t="str">
        <f t="shared" si="405"/>
        <v>-</v>
      </c>
      <c r="N1196" s="15">
        <f t="shared" si="406"/>
        <v>5.4</v>
      </c>
      <c r="O1196" s="15" t="str">
        <f t="shared" si="407"/>
        <v>A50</v>
      </c>
      <c r="P1196" s="15" t="str">
        <f t="shared" si="408"/>
        <v>Rassilon Ltd.</v>
      </c>
      <c r="Q1196" s="15" t="str">
        <f t="shared" si="409"/>
        <v>82 Richard Mathews Road</v>
      </c>
      <c r="R1196" s="3">
        <f>OrdersTable!C1196</f>
        <v>44646</v>
      </c>
      <c r="S1196" s="15">
        <f>OrdersTable!E1196</f>
        <v>6</v>
      </c>
      <c r="T1196" s="15">
        <f t="shared" si="410"/>
        <v>108</v>
      </c>
      <c r="U1196" s="15">
        <f t="shared" si="411"/>
        <v>147.29</v>
      </c>
      <c r="V1196" s="15">
        <f t="shared" si="412"/>
        <v>174.96</v>
      </c>
      <c r="W1196" s="15">
        <f>IF(MarkupType="Store Markup",ROUND(V1196+V1196*StoreMarkup,2),IF(MarkupType="Supplier Markup",V1196+V1196*SupplierMarkup,"Error at finding value"))</f>
        <v>275.56</v>
      </c>
      <c r="X1196" s="32">
        <f t="shared" si="414"/>
        <v>19.63</v>
      </c>
      <c r="Y1196" s="15">
        <f t="shared" si="415"/>
        <v>1049.76</v>
      </c>
      <c r="Z1196" s="15">
        <f t="shared" si="416"/>
        <v>1535.58</v>
      </c>
      <c r="AA1196" s="15">
        <f>IF(FreightType="Lethbridge-Stewart Freight ",ROUND(2.99+IF(N1196&gt;0.75,(N1196-0.75)*2.25,0)*S1196,2),IF(MarkupType="Supplier Markup",V1196+V1196*SupplierMarkup,"Error at finding value"))</f>
        <v>65.77</v>
      </c>
      <c r="AB1196" s="15">
        <f t="shared" si="417"/>
        <v>117.78</v>
      </c>
    </row>
    <row r="1197" spans="1:28" x14ac:dyDescent="0.25">
      <c r="A1197" s="16">
        <f>OrdersTable!A1197</f>
        <v>467</v>
      </c>
      <c r="B1197" s="15" t="str">
        <f t="shared" si="397"/>
        <v>Mrs</v>
      </c>
      <c r="C1197" s="15" t="str">
        <f t="shared" si="418"/>
        <v>Daniell</v>
      </c>
      <c r="D1197" s="15" t="str">
        <f t="shared" si="398"/>
        <v>Bronte Eliza</v>
      </c>
      <c r="E1197" s="15" t="str">
        <f t="shared" si="399"/>
        <v>41 Wilson Boulevard</v>
      </c>
      <c r="F1197" s="15" t="str">
        <f t="shared" si="400"/>
        <v>Aberfoyle</v>
      </c>
      <c r="G1197" s="15" t="str">
        <f t="shared" si="401"/>
        <v>NSW</v>
      </c>
      <c r="H1197" s="15">
        <f t="shared" si="402"/>
        <v>2350</v>
      </c>
      <c r="I1197" s="15">
        <f t="shared" si="413"/>
        <v>363</v>
      </c>
      <c r="J1197" s="15">
        <f>OrdersTable!B1197</f>
        <v>826</v>
      </c>
      <c r="K1197" s="15" t="str">
        <f t="shared" si="403"/>
        <v>Statues and Busts</v>
      </c>
      <c r="L1197" s="15" t="str">
        <f t="shared" si="404"/>
        <v>Doctor Who: Mini Bust: Cyberman</v>
      </c>
      <c r="M1197" s="15" t="str">
        <f t="shared" si="405"/>
        <v>-</v>
      </c>
      <c r="N1197" s="15">
        <f t="shared" si="406"/>
        <v>1.8</v>
      </c>
      <c r="O1197" s="15" t="str">
        <f t="shared" si="407"/>
        <v>A40</v>
      </c>
      <c r="P1197" s="15" t="str">
        <f t="shared" si="408"/>
        <v>Romana Imports</v>
      </c>
      <c r="Q1197" s="15" t="str">
        <f t="shared" si="409"/>
        <v>17 Lalla Ward Road</v>
      </c>
      <c r="R1197" s="3">
        <f>OrdersTable!C1197</f>
        <v>44646</v>
      </c>
      <c r="S1197" s="15">
        <f>OrdersTable!E1197</f>
        <v>10</v>
      </c>
      <c r="T1197" s="15">
        <f t="shared" si="410"/>
        <v>35.99</v>
      </c>
      <c r="U1197" s="15">
        <f t="shared" si="411"/>
        <v>49.13</v>
      </c>
      <c r="V1197" s="15">
        <f t="shared" si="412"/>
        <v>58.3</v>
      </c>
      <c r="W1197" s="15">
        <f>IF(MarkupType="Store Markup",ROUND(V1197+V1197*StoreMarkup,2),IF(MarkupType="Supplier Markup",V1197+V1197*SupplierMarkup,"Error at finding value"))</f>
        <v>91.82</v>
      </c>
      <c r="X1197" s="32" t="str">
        <f t="shared" si="414"/>
        <v>0.00</v>
      </c>
      <c r="Y1197" s="15">
        <f t="shared" si="415"/>
        <v>583</v>
      </c>
      <c r="Z1197" s="15">
        <f t="shared" si="416"/>
        <v>918.2</v>
      </c>
      <c r="AA1197" s="15">
        <f>IF(FreightType="Lethbridge-Stewart Freight ",ROUND(2.99+IF(N1197&gt;0.75,(N1197-0.75)*2.25,0)*S1197,2),IF(MarkupType="Supplier Markup",V1197+V1197*SupplierMarkup,"Error at finding value"))</f>
        <v>26.62</v>
      </c>
      <c r="AB1197" s="15">
        <f t="shared" si="417"/>
        <v>0</v>
      </c>
    </row>
    <row r="1198" spans="1:28" x14ac:dyDescent="0.25">
      <c r="A1198" s="16">
        <f>OrdersTable!A1198</f>
        <v>501</v>
      </c>
      <c r="B1198" s="15" t="str">
        <f t="shared" si="397"/>
        <v>Miss</v>
      </c>
      <c r="C1198" s="15" t="str">
        <f t="shared" si="418"/>
        <v>Tharenou</v>
      </c>
      <c r="D1198" s="15" t="str">
        <f t="shared" si="398"/>
        <v>Kimberley Jacinta</v>
      </c>
      <c r="E1198" s="15" t="str">
        <f t="shared" si="399"/>
        <v>49 Moncada Circuit</v>
      </c>
      <c r="F1198" s="15" t="str">
        <f t="shared" si="400"/>
        <v>Belford</v>
      </c>
      <c r="G1198" s="15" t="str">
        <f t="shared" si="401"/>
        <v>NSW</v>
      </c>
      <c r="H1198" s="15">
        <f t="shared" si="402"/>
        <v>2335</v>
      </c>
      <c r="I1198" s="15">
        <f t="shared" si="413"/>
        <v>716</v>
      </c>
      <c r="J1198" s="15">
        <f>OrdersTable!B1198</f>
        <v>711</v>
      </c>
      <c r="K1198" s="15" t="str">
        <f t="shared" si="403"/>
        <v>Posters, Prints and Standees</v>
      </c>
      <c r="L1198" s="15" t="str">
        <f t="shared" si="404"/>
        <v>Doctor Who: Poster: TARDIS Door Poster</v>
      </c>
      <c r="M1198" s="15" t="str">
        <f t="shared" si="405"/>
        <v>-</v>
      </c>
      <c r="N1198" s="15">
        <f t="shared" si="406"/>
        <v>0.3</v>
      </c>
      <c r="O1198" s="15" t="str">
        <f t="shared" si="407"/>
        <v>A20</v>
      </c>
      <c r="P1198" s="15" t="str">
        <f t="shared" si="408"/>
        <v>Morbius Inc.</v>
      </c>
      <c r="Q1198" s="15" t="str">
        <f t="shared" si="409"/>
        <v>56 Michael Spice Hwy</v>
      </c>
      <c r="R1198" s="3">
        <f>OrdersTable!C1198</f>
        <v>44646</v>
      </c>
      <c r="S1198" s="15">
        <f>OrdersTable!E1198</f>
        <v>1</v>
      </c>
      <c r="T1198" s="15">
        <f t="shared" si="410"/>
        <v>5.99</v>
      </c>
      <c r="U1198" s="15">
        <f t="shared" si="411"/>
        <v>8.41</v>
      </c>
      <c r="V1198" s="15">
        <f t="shared" si="412"/>
        <v>9.6999999999999993</v>
      </c>
      <c r="W1198" s="15">
        <f>IF(MarkupType="Store Markup",ROUND(V1198+V1198*StoreMarkup,2),IF(MarkupType="Supplier Markup",V1198+V1198*SupplierMarkup,"Error at finding value"))</f>
        <v>15.28</v>
      </c>
      <c r="X1198" s="32" t="str">
        <f t="shared" si="414"/>
        <v>0.00</v>
      </c>
      <c r="Y1198" s="15">
        <f t="shared" si="415"/>
        <v>9.6999999999999993</v>
      </c>
      <c r="Z1198" s="15">
        <f t="shared" si="416"/>
        <v>15.28</v>
      </c>
      <c r="AA1198" s="15">
        <f>IF(FreightType="Lethbridge-Stewart Freight ",ROUND(2.99+IF(N1198&gt;0.75,(N1198-0.75)*2.25,0)*S1198,2),IF(MarkupType="Supplier Markup",V1198+V1198*SupplierMarkup,"Error at finding value"))</f>
        <v>2.99</v>
      </c>
      <c r="AB1198" s="15">
        <f t="shared" si="417"/>
        <v>0</v>
      </c>
    </row>
    <row r="1199" spans="1:28" x14ac:dyDescent="0.25">
      <c r="A1199" s="16">
        <f>OrdersTable!A1199</f>
        <v>526</v>
      </c>
      <c r="B1199" s="15" t="str">
        <f t="shared" si="397"/>
        <v>Mrs</v>
      </c>
      <c r="C1199" s="15" t="str">
        <f t="shared" si="418"/>
        <v>Bradford</v>
      </c>
      <c r="D1199" s="15" t="str">
        <f t="shared" si="398"/>
        <v>Haleigh Renae Ann</v>
      </c>
      <c r="E1199" s="15" t="str">
        <f t="shared" si="399"/>
        <v>31 Johnston Road</v>
      </c>
      <c r="F1199" s="15" t="str">
        <f t="shared" si="400"/>
        <v>Ashford</v>
      </c>
      <c r="G1199" s="15" t="str">
        <f t="shared" si="401"/>
        <v>SA</v>
      </c>
      <c r="H1199" s="15">
        <f t="shared" si="402"/>
        <v>5035</v>
      </c>
      <c r="I1199" s="15">
        <f t="shared" si="413"/>
        <v>1877</v>
      </c>
      <c r="J1199" s="15">
        <f>OrdersTable!B1199</f>
        <v>769</v>
      </c>
      <c r="K1199" s="15" t="str">
        <f t="shared" si="403"/>
        <v>Statues and Busts</v>
      </c>
      <c r="L1199" s="15" t="str">
        <f t="shared" si="404"/>
        <v>Doctor Who: Legends Forever Bust: Tom Baker</v>
      </c>
      <c r="M1199" s="15" t="str">
        <f t="shared" si="405"/>
        <v>-</v>
      </c>
      <c r="N1199" s="15">
        <f t="shared" si="406"/>
        <v>1.375</v>
      </c>
      <c r="O1199" s="15" t="str">
        <f t="shared" si="407"/>
        <v>A30</v>
      </c>
      <c r="P1199" s="15" t="str">
        <f t="shared" si="408"/>
        <v>Chesterton Enterprises</v>
      </c>
      <c r="Q1199" s="15" t="str">
        <f t="shared" si="409"/>
        <v>41 William Russell Road</v>
      </c>
      <c r="R1199" s="3">
        <f>OrdersTable!C1199</f>
        <v>44646</v>
      </c>
      <c r="S1199" s="15">
        <f>OrdersTable!E1199</f>
        <v>4</v>
      </c>
      <c r="T1199" s="15">
        <f t="shared" si="410"/>
        <v>27.5</v>
      </c>
      <c r="U1199" s="15">
        <f t="shared" si="411"/>
        <v>37.76</v>
      </c>
      <c r="V1199" s="15">
        <f t="shared" si="412"/>
        <v>44.55</v>
      </c>
      <c r="W1199" s="15">
        <f>IF(MarkupType="Store Markup",ROUND(V1199+V1199*StoreMarkup,2),IF(MarkupType="Supplier Markup",V1199+V1199*SupplierMarkup,"Error at finding value"))</f>
        <v>70.17</v>
      </c>
      <c r="X1199" s="32" t="str">
        <f t="shared" si="414"/>
        <v>0.00</v>
      </c>
      <c r="Y1199" s="15">
        <f t="shared" si="415"/>
        <v>178.2</v>
      </c>
      <c r="Z1199" s="15">
        <f t="shared" si="416"/>
        <v>280.68</v>
      </c>
      <c r="AA1199" s="15">
        <f>IF(FreightType="Lethbridge-Stewart Freight ",ROUND(2.99+IF(N1199&gt;0.75,(N1199-0.75)*2.25,0)*S1199,2),IF(MarkupType="Supplier Markup",V1199+V1199*SupplierMarkup,"Error at finding value"))</f>
        <v>8.6199999999999992</v>
      </c>
      <c r="AB1199" s="15">
        <f t="shared" si="417"/>
        <v>0</v>
      </c>
    </row>
    <row r="1200" spans="1:28" x14ac:dyDescent="0.25">
      <c r="A1200" s="16">
        <f>OrdersTable!A1200</f>
        <v>557</v>
      </c>
      <c r="B1200" s="15" t="str">
        <f t="shared" si="397"/>
        <v>Mrs</v>
      </c>
      <c r="C1200" s="15" t="str">
        <f t="shared" si="418"/>
        <v>Allen</v>
      </c>
      <c r="D1200" s="15" t="str">
        <f t="shared" si="398"/>
        <v>Morgan</v>
      </c>
      <c r="E1200" s="15" t="str">
        <f t="shared" si="399"/>
        <v>15 Winsor Street</v>
      </c>
      <c r="F1200" s="15" t="str">
        <f t="shared" si="400"/>
        <v>Appletree Flat</v>
      </c>
      <c r="G1200" s="15" t="str">
        <f t="shared" si="401"/>
        <v>NSW</v>
      </c>
      <c r="H1200" s="15">
        <f t="shared" si="402"/>
        <v>2330</v>
      </c>
      <c r="I1200" s="15">
        <f t="shared" si="413"/>
        <v>691</v>
      </c>
      <c r="J1200" s="15">
        <f>OrdersTable!B1200</f>
        <v>643</v>
      </c>
      <c r="K1200" s="15" t="str">
        <f t="shared" si="403"/>
        <v>Mugs</v>
      </c>
      <c r="L1200" s="15" t="str">
        <f t="shared" si="404"/>
        <v>Doctor Who: Giant Mug: Logo</v>
      </c>
      <c r="M1200" s="15" t="str">
        <f t="shared" si="405"/>
        <v>-</v>
      </c>
      <c r="N1200" s="15">
        <f t="shared" si="406"/>
        <v>0.44500000000000001</v>
      </c>
      <c r="O1200" s="15" t="str">
        <f t="shared" si="407"/>
        <v>A10</v>
      </c>
      <c r="P1200" s="15" t="str">
        <f t="shared" si="408"/>
        <v>Gallifrey International</v>
      </c>
      <c r="Q1200" s="15" t="str">
        <f t="shared" si="409"/>
        <v>181 Arcadia Street</v>
      </c>
      <c r="R1200" s="3">
        <f>OrdersTable!C1200</f>
        <v>44646</v>
      </c>
      <c r="S1200" s="15">
        <f>OrdersTable!E1200</f>
        <v>6</v>
      </c>
      <c r="T1200" s="15">
        <f t="shared" si="410"/>
        <v>8.89</v>
      </c>
      <c r="U1200" s="15">
        <f t="shared" si="411"/>
        <v>12.19</v>
      </c>
      <c r="V1200" s="15">
        <f t="shared" si="412"/>
        <v>14.4</v>
      </c>
      <c r="W1200" s="15">
        <f>IF(MarkupType="Store Markup",ROUND(V1200+V1200*StoreMarkup,2),IF(MarkupType="Supplier Markup",V1200+V1200*SupplierMarkup,"Error at finding value"))</f>
        <v>22.68</v>
      </c>
      <c r="X1200" s="32" t="str">
        <f t="shared" si="414"/>
        <v>0.00</v>
      </c>
      <c r="Y1200" s="15">
        <f t="shared" si="415"/>
        <v>86.4</v>
      </c>
      <c r="Z1200" s="15">
        <f t="shared" si="416"/>
        <v>136.08000000000001</v>
      </c>
      <c r="AA1200" s="15">
        <f>IF(FreightType="Lethbridge-Stewart Freight ",ROUND(2.99+IF(N1200&gt;0.75,(N1200-0.75)*2.25,0)*S1200,2),IF(MarkupType="Supplier Markup",V1200+V1200*SupplierMarkup,"Error at finding value"))</f>
        <v>2.99</v>
      </c>
      <c r="AB1200" s="15">
        <f t="shared" si="417"/>
        <v>0</v>
      </c>
    </row>
    <row r="1201" spans="1:28" x14ac:dyDescent="0.25">
      <c r="A1201" s="16">
        <f>OrdersTable!A1201</f>
        <v>657</v>
      </c>
      <c r="B1201" s="15" t="str">
        <f t="shared" si="397"/>
        <v>Mr</v>
      </c>
      <c r="C1201" s="15" t="str">
        <f t="shared" si="418"/>
        <v>Poljak</v>
      </c>
      <c r="D1201" s="15" t="str">
        <f t="shared" si="398"/>
        <v>Anthony</v>
      </c>
      <c r="E1201" s="15" t="str">
        <f t="shared" si="399"/>
        <v>45 Robertson Boulevard</v>
      </c>
      <c r="F1201" s="15" t="str">
        <f t="shared" si="400"/>
        <v>Iluka</v>
      </c>
      <c r="G1201" s="15" t="str">
        <f t="shared" si="401"/>
        <v>NSW</v>
      </c>
      <c r="H1201" s="15">
        <f t="shared" si="402"/>
        <v>2466</v>
      </c>
      <c r="I1201" s="15">
        <f t="shared" si="413"/>
        <v>347</v>
      </c>
      <c r="J1201" s="15">
        <f>OrdersTable!B1201</f>
        <v>620</v>
      </c>
      <c r="K1201" s="15" t="str">
        <f t="shared" si="403"/>
        <v>iPhone Skins</v>
      </c>
      <c r="L1201" s="15" t="str">
        <f t="shared" si="404"/>
        <v>Doctor Who: iPhone Skin: TARDIS Water Colour</v>
      </c>
      <c r="M1201" s="15" t="str">
        <f t="shared" si="405"/>
        <v>-</v>
      </c>
      <c r="N1201" s="15">
        <f t="shared" si="406"/>
        <v>0.5</v>
      </c>
      <c r="O1201" s="15" t="str">
        <f t="shared" si="407"/>
        <v>A30</v>
      </c>
      <c r="P1201" s="15" t="str">
        <f t="shared" si="408"/>
        <v>Chesterton Enterprises</v>
      </c>
      <c r="Q1201" s="15" t="str">
        <f t="shared" si="409"/>
        <v>41 William Russell Road</v>
      </c>
      <c r="R1201" s="3">
        <f>OrdersTable!C1201</f>
        <v>44646</v>
      </c>
      <c r="S1201" s="15">
        <f>OrdersTable!E1201</f>
        <v>10</v>
      </c>
      <c r="T1201" s="15">
        <f t="shared" si="410"/>
        <v>9.99</v>
      </c>
      <c r="U1201" s="15">
        <f t="shared" si="411"/>
        <v>13.81</v>
      </c>
      <c r="V1201" s="15">
        <f t="shared" si="412"/>
        <v>16.18</v>
      </c>
      <c r="W1201" s="15">
        <f>IF(MarkupType="Store Markup",ROUND(V1201+V1201*StoreMarkup,2),IF(MarkupType="Supplier Markup",V1201+V1201*SupplierMarkup,"Error at finding value"))</f>
        <v>25.48</v>
      </c>
      <c r="X1201" s="32" t="str">
        <f t="shared" si="414"/>
        <v>0.00</v>
      </c>
      <c r="Y1201" s="15">
        <f t="shared" si="415"/>
        <v>161.80000000000001</v>
      </c>
      <c r="Z1201" s="15">
        <f t="shared" si="416"/>
        <v>254.8</v>
      </c>
      <c r="AA1201" s="15">
        <f>IF(FreightType="Lethbridge-Stewart Freight ",ROUND(2.99+IF(N1201&gt;0.75,(N1201-0.75)*2.25,0)*S1201,2),IF(MarkupType="Supplier Markup",V1201+V1201*SupplierMarkup,"Error at finding value"))</f>
        <v>2.99</v>
      </c>
      <c r="AB1201" s="15">
        <f t="shared" si="417"/>
        <v>0</v>
      </c>
    </row>
    <row r="1202" spans="1:28" x14ac:dyDescent="0.25">
      <c r="A1202" s="16">
        <f>OrdersTable!A1202</f>
        <v>659</v>
      </c>
      <c r="B1202" s="15" t="str">
        <f t="shared" si="397"/>
        <v>Mr</v>
      </c>
      <c r="C1202" s="15" t="str">
        <f t="shared" si="418"/>
        <v>Douglas</v>
      </c>
      <c r="D1202" s="15" t="str">
        <f t="shared" si="398"/>
        <v>Jason Richard</v>
      </c>
      <c r="E1202" s="15" t="str">
        <f t="shared" si="399"/>
        <v>14 Young Crescent</v>
      </c>
      <c r="F1202" s="15" t="str">
        <f t="shared" si="400"/>
        <v>Caliph</v>
      </c>
      <c r="G1202" s="15" t="str">
        <f t="shared" si="401"/>
        <v>SA</v>
      </c>
      <c r="H1202" s="15">
        <f t="shared" si="402"/>
        <v>5310</v>
      </c>
      <c r="I1202" s="15">
        <f t="shared" si="413"/>
        <v>1720</v>
      </c>
      <c r="J1202" s="15">
        <f>OrdersTable!B1202</f>
        <v>464</v>
      </c>
      <c r="K1202" s="15" t="str">
        <f t="shared" si="403"/>
        <v>Giftware</v>
      </c>
      <c r="L1202" s="15" t="str">
        <f t="shared" si="404"/>
        <v>Doctor Who: Collectable License Plate: My Other Car Is A TARDIS</v>
      </c>
      <c r="M1202" s="15" t="str">
        <f t="shared" si="405"/>
        <v>-</v>
      </c>
      <c r="N1202" s="15">
        <f t="shared" si="406"/>
        <v>0.6</v>
      </c>
      <c r="O1202" s="15" t="str">
        <f t="shared" si="407"/>
        <v>A50</v>
      </c>
      <c r="P1202" s="15" t="str">
        <f t="shared" si="408"/>
        <v>Rassilon Ltd.</v>
      </c>
      <c r="Q1202" s="15" t="str">
        <f t="shared" si="409"/>
        <v>82 Richard Mathews Road</v>
      </c>
      <c r="R1202" s="3">
        <f>OrdersTable!C1202</f>
        <v>44646</v>
      </c>
      <c r="S1202" s="15">
        <f>OrdersTable!E1202</f>
        <v>8</v>
      </c>
      <c r="T1202" s="15">
        <f t="shared" si="410"/>
        <v>11.99</v>
      </c>
      <c r="U1202" s="15">
        <f t="shared" si="411"/>
        <v>16.579999999999998</v>
      </c>
      <c r="V1202" s="15">
        <f t="shared" si="412"/>
        <v>19.420000000000002</v>
      </c>
      <c r="W1202" s="15">
        <f>IF(MarkupType="Store Markup",ROUND(V1202+V1202*StoreMarkup,2),IF(MarkupType="Supplier Markup",V1202+V1202*SupplierMarkup,"Error at finding value"))</f>
        <v>30.59</v>
      </c>
      <c r="X1202" s="32" t="str">
        <f t="shared" si="414"/>
        <v>0.00</v>
      </c>
      <c r="Y1202" s="15">
        <f t="shared" si="415"/>
        <v>155.36000000000001</v>
      </c>
      <c r="Z1202" s="15">
        <f t="shared" si="416"/>
        <v>244.72</v>
      </c>
      <c r="AA1202" s="15">
        <f>IF(FreightType="Lethbridge-Stewart Freight ",ROUND(2.99+IF(N1202&gt;0.75,(N1202-0.75)*2.25,0)*S1202,2),IF(MarkupType="Supplier Markup",V1202+V1202*SupplierMarkup,"Error at finding value"))</f>
        <v>2.99</v>
      </c>
      <c r="AB1202" s="15">
        <f t="shared" si="417"/>
        <v>0</v>
      </c>
    </row>
    <row r="1203" spans="1:28" x14ac:dyDescent="0.25">
      <c r="A1203" s="16">
        <f>OrdersTable!A1203</f>
        <v>669</v>
      </c>
      <c r="B1203" s="15" t="str">
        <f t="shared" si="397"/>
        <v>Dr</v>
      </c>
      <c r="C1203" s="15" t="str">
        <f t="shared" si="418"/>
        <v>Ferjani</v>
      </c>
      <c r="D1203" s="15" t="str">
        <f t="shared" si="398"/>
        <v>Rabah</v>
      </c>
      <c r="E1203" s="15" t="str">
        <f t="shared" si="399"/>
        <v>2 Codrington Street</v>
      </c>
      <c r="F1203" s="15" t="str">
        <f t="shared" si="400"/>
        <v>Belford</v>
      </c>
      <c r="G1203" s="15" t="str">
        <f t="shared" si="401"/>
        <v>NSW</v>
      </c>
      <c r="H1203" s="15">
        <f t="shared" si="402"/>
        <v>2335</v>
      </c>
      <c r="I1203" s="15">
        <f t="shared" si="413"/>
        <v>716</v>
      </c>
      <c r="J1203" s="15">
        <f>OrdersTable!B1203</f>
        <v>704</v>
      </c>
      <c r="K1203" s="15" t="str">
        <f t="shared" si="403"/>
        <v>Posters, Prints and Standees</v>
      </c>
      <c r="L1203" s="15" t="str">
        <f t="shared" si="404"/>
        <v>Doctor Who: Poster: Doctor's Enemies</v>
      </c>
      <c r="M1203" s="15" t="str">
        <f t="shared" si="405"/>
        <v>-</v>
      </c>
      <c r="N1203" s="15">
        <f t="shared" si="406"/>
        <v>0.2</v>
      </c>
      <c r="O1203" s="15" t="str">
        <f t="shared" si="407"/>
        <v>A30</v>
      </c>
      <c r="P1203" s="15" t="str">
        <f t="shared" si="408"/>
        <v>Chesterton Enterprises</v>
      </c>
      <c r="Q1203" s="15" t="str">
        <f t="shared" si="409"/>
        <v>41 William Russell Road</v>
      </c>
      <c r="R1203" s="3">
        <f>OrdersTable!C1203</f>
        <v>44646</v>
      </c>
      <c r="S1203" s="15">
        <f>OrdersTable!E1203</f>
        <v>1</v>
      </c>
      <c r="T1203" s="15">
        <f t="shared" si="410"/>
        <v>3.99</v>
      </c>
      <c r="U1203" s="15">
        <f t="shared" si="411"/>
        <v>5.52</v>
      </c>
      <c r="V1203" s="15">
        <f t="shared" si="412"/>
        <v>6.46</v>
      </c>
      <c r="W1203" s="15">
        <f>IF(MarkupType="Store Markup",ROUND(V1203+V1203*StoreMarkup,2),IF(MarkupType="Supplier Markup",V1203+V1203*SupplierMarkup,"Error at finding value"))</f>
        <v>10.17</v>
      </c>
      <c r="X1203" s="32" t="str">
        <f t="shared" si="414"/>
        <v>0.00</v>
      </c>
      <c r="Y1203" s="15">
        <f t="shared" si="415"/>
        <v>6.46</v>
      </c>
      <c r="Z1203" s="15">
        <f t="shared" si="416"/>
        <v>10.17</v>
      </c>
      <c r="AA1203" s="15">
        <f>IF(FreightType="Lethbridge-Stewart Freight ",ROUND(2.99+IF(N1203&gt;0.75,(N1203-0.75)*2.25,0)*S1203,2),IF(MarkupType="Supplier Markup",V1203+V1203*SupplierMarkup,"Error at finding value"))</f>
        <v>2.99</v>
      </c>
      <c r="AB1203" s="15">
        <f t="shared" si="417"/>
        <v>0</v>
      </c>
    </row>
    <row r="1204" spans="1:28" x14ac:dyDescent="0.25">
      <c r="A1204" s="16">
        <f>OrdersTable!A1204</f>
        <v>758</v>
      </c>
      <c r="B1204" s="15" t="str">
        <f t="shared" si="397"/>
        <v>Mr</v>
      </c>
      <c r="C1204" s="15" t="str">
        <f t="shared" si="418"/>
        <v>Whitehorn</v>
      </c>
      <c r="D1204" s="15" t="str">
        <f t="shared" si="398"/>
        <v>James</v>
      </c>
      <c r="E1204" s="15" t="str">
        <f t="shared" si="399"/>
        <v>32 Raubenheimer Circuit</v>
      </c>
      <c r="F1204" s="15" t="str">
        <f t="shared" si="400"/>
        <v>Belconnen</v>
      </c>
      <c r="G1204" s="15" t="str">
        <f t="shared" si="401"/>
        <v>ACT</v>
      </c>
      <c r="H1204" s="15">
        <f t="shared" si="402"/>
        <v>2617</v>
      </c>
      <c r="I1204" s="15">
        <f t="shared" si="413"/>
        <v>1194</v>
      </c>
      <c r="J1204" s="15">
        <f>OrdersTable!B1204</f>
        <v>186</v>
      </c>
      <c r="K1204" s="15" t="str">
        <f t="shared" si="403"/>
        <v>Bobbleheads</v>
      </c>
      <c r="L1204" s="15" t="str">
        <f t="shared" si="404"/>
        <v>Doctor Who: Monitor Mate: 50th Anniversary Original TARDIS</v>
      </c>
      <c r="M1204" s="15" t="str">
        <f t="shared" si="405"/>
        <v>-</v>
      </c>
      <c r="N1204" s="15">
        <f t="shared" si="406"/>
        <v>0.45</v>
      </c>
      <c r="O1204" s="15" t="str">
        <f t="shared" si="407"/>
        <v>A20</v>
      </c>
      <c r="P1204" s="15" t="str">
        <f t="shared" si="408"/>
        <v>Morbius Inc.</v>
      </c>
      <c r="Q1204" s="15" t="str">
        <f t="shared" si="409"/>
        <v>56 Michael Spice Hwy</v>
      </c>
      <c r="R1204" s="3">
        <f>OrdersTable!C1204</f>
        <v>44646</v>
      </c>
      <c r="S1204" s="15">
        <f>OrdersTable!E1204</f>
        <v>3</v>
      </c>
      <c r="T1204" s="15">
        <f t="shared" si="410"/>
        <v>8.99</v>
      </c>
      <c r="U1204" s="15">
        <f t="shared" si="411"/>
        <v>12.46</v>
      </c>
      <c r="V1204" s="15">
        <f t="shared" si="412"/>
        <v>14.56</v>
      </c>
      <c r="W1204" s="15">
        <f>IF(MarkupType="Store Markup",ROUND(V1204+V1204*StoreMarkup,2),IF(MarkupType="Supplier Markup",V1204+V1204*SupplierMarkup,"Error at finding value"))</f>
        <v>22.93</v>
      </c>
      <c r="X1204" s="32" t="str">
        <f t="shared" si="414"/>
        <v>0.00</v>
      </c>
      <c r="Y1204" s="15">
        <f t="shared" si="415"/>
        <v>43.68</v>
      </c>
      <c r="Z1204" s="15">
        <f t="shared" si="416"/>
        <v>68.790000000000006</v>
      </c>
      <c r="AA1204" s="15">
        <f>IF(FreightType="Lethbridge-Stewart Freight ",ROUND(2.99+IF(N1204&gt;0.75,(N1204-0.75)*2.25,0)*S1204,2),IF(MarkupType="Supplier Markup",V1204+V1204*SupplierMarkup,"Error at finding value"))</f>
        <v>2.99</v>
      </c>
      <c r="AB1204" s="15">
        <f t="shared" si="417"/>
        <v>0</v>
      </c>
    </row>
    <row r="1205" spans="1:28" x14ac:dyDescent="0.25">
      <c r="A1205" s="16">
        <f>OrdersTable!A1205</f>
        <v>841</v>
      </c>
      <c r="B1205" s="15" t="str">
        <f t="shared" si="397"/>
        <v>Miss</v>
      </c>
      <c r="C1205" s="15" t="str">
        <f t="shared" si="418"/>
        <v>Donaghy</v>
      </c>
      <c r="D1205" s="15" t="str">
        <f t="shared" si="398"/>
        <v>Elizabeth Mathilde Jane</v>
      </c>
      <c r="E1205" s="15" t="str">
        <f t="shared" si="399"/>
        <v>31 Johnson Boulevard</v>
      </c>
      <c r="F1205" s="15" t="str">
        <f t="shared" si="400"/>
        <v>Belford</v>
      </c>
      <c r="G1205" s="15" t="str">
        <f t="shared" si="401"/>
        <v>NSW</v>
      </c>
      <c r="H1205" s="15">
        <f t="shared" si="402"/>
        <v>2335</v>
      </c>
      <c r="I1205" s="15">
        <f t="shared" si="413"/>
        <v>716</v>
      </c>
      <c r="J1205" s="15">
        <f>OrdersTable!B1205</f>
        <v>377</v>
      </c>
      <c r="K1205" s="15" t="str">
        <f t="shared" si="403"/>
        <v>Clothing and Apparel</v>
      </c>
      <c r="L1205" s="15" t="str">
        <f t="shared" si="404"/>
        <v xml:space="preserve">Doctor Who: T-Shirts: 7th Doctor Costume </v>
      </c>
      <c r="M1205" s="15" t="str">
        <f t="shared" si="405"/>
        <v>M</v>
      </c>
      <c r="N1205" s="15">
        <f t="shared" si="406"/>
        <v>0.8</v>
      </c>
      <c r="O1205" s="15" t="str">
        <f t="shared" si="407"/>
        <v>A40</v>
      </c>
      <c r="P1205" s="15" t="str">
        <f t="shared" si="408"/>
        <v>Romana Imports</v>
      </c>
      <c r="Q1205" s="15" t="str">
        <f t="shared" si="409"/>
        <v>17 Lalla Ward Road</v>
      </c>
      <c r="R1205" s="3">
        <f>OrdersTable!C1205</f>
        <v>44646</v>
      </c>
      <c r="S1205" s="15">
        <f>OrdersTable!E1205</f>
        <v>10</v>
      </c>
      <c r="T1205" s="15">
        <f t="shared" si="410"/>
        <v>15.99</v>
      </c>
      <c r="U1205" s="15">
        <f t="shared" si="411"/>
        <v>21.95</v>
      </c>
      <c r="V1205" s="15">
        <f t="shared" si="412"/>
        <v>25.9</v>
      </c>
      <c r="W1205" s="15">
        <f>IF(MarkupType="Store Markup",ROUND(V1205+V1205*StoreMarkup,2),IF(MarkupType="Supplier Markup",V1205+V1205*SupplierMarkup,"Error at finding value"))</f>
        <v>40.79</v>
      </c>
      <c r="X1205" s="32" t="str">
        <f t="shared" si="414"/>
        <v>0.00</v>
      </c>
      <c r="Y1205" s="15">
        <f t="shared" si="415"/>
        <v>259</v>
      </c>
      <c r="Z1205" s="15">
        <f t="shared" si="416"/>
        <v>407.9</v>
      </c>
      <c r="AA1205" s="15">
        <f>IF(FreightType="Lethbridge-Stewart Freight ",ROUND(2.99+IF(N1205&gt;0.75,(N1205-0.75)*2.25,0)*S1205,2),IF(MarkupType="Supplier Markup",V1205+V1205*SupplierMarkup,"Error at finding value"))</f>
        <v>4.12</v>
      </c>
      <c r="AB1205" s="15">
        <f t="shared" si="417"/>
        <v>0</v>
      </c>
    </row>
    <row r="1206" spans="1:28" x14ac:dyDescent="0.25">
      <c r="A1206" s="16">
        <f>OrdersTable!A1206</f>
        <v>983</v>
      </c>
      <c r="B1206" s="15" t="str">
        <f t="shared" si="397"/>
        <v>Mrs</v>
      </c>
      <c r="C1206" s="15" t="str">
        <f t="shared" si="418"/>
        <v>Bennett</v>
      </c>
      <c r="D1206" s="15" t="str">
        <f t="shared" si="398"/>
        <v>Mikayla Elizabeth</v>
      </c>
      <c r="E1206" s="15" t="str">
        <f t="shared" si="399"/>
        <v>35 Khanal Crescent</v>
      </c>
      <c r="F1206" s="15" t="str">
        <f t="shared" si="400"/>
        <v>Bamboo</v>
      </c>
      <c r="G1206" s="15" t="str">
        <f t="shared" si="401"/>
        <v>QLD</v>
      </c>
      <c r="H1206" s="15">
        <f t="shared" si="402"/>
        <v>4873</v>
      </c>
      <c r="I1206" s="15">
        <f t="shared" si="413"/>
        <v>1741</v>
      </c>
      <c r="J1206" s="15">
        <f>OrdersTable!B1206</f>
        <v>186</v>
      </c>
      <c r="K1206" s="15" t="str">
        <f t="shared" si="403"/>
        <v>Bobbleheads</v>
      </c>
      <c r="L1206" s="15" t="str">
        <f t="shared" si="404"/>
        <v>Doctor Who: Monitor Mate: 50th Anniversary Original TARDIS</v>
      </c>
      <c r="M1206" s="15" t="str">
        <f t="shared" si="405"/>
        <v>-</v>
      </c>
      <c r="N1206" s="15">
        <f t="shared" si="406"/>
        <v>0.45</v>
      </c>
      <c r="O1206" s="15" t="str">
        <f t="shared" si="407"/>
        <v>A20</v>
      </c>
      <c r="P1206" s="15" t="str">
        <f t="shared" si="408"/>
        <v>Morbius Inc.</v>
      </c>
      <c r="Q1206" s="15" t="str">
        <f t="shared" si="409"/>
        <v>56 Michael Spice Hwy</v>
      </c>
      <c r="R1206" s="3">
        <f>OrdersTable!C1206</f>
        <v>44646</v>
      </c>
      <c r="S1206" s="15">
        <f>OrdersTable!E1206</f>
        <v>3</v>
      </c>
      <c r="T1206" s="15">
        <f t="shared" si="410"/>
        <v>8.99</v>
      </c>
      <c r="U1206" s="15">
        <f t="shared" si="411"/>
        <v>12.46</v>
      </c>
      <c r="V1206" s="15">
        <f t="shared" si="412"/>
        <v>14.56</v>
      </c>
      <c r="W1206" s="15">
        <f>IF(MarkupType="Store Markup",ROUND(V1206+V1206*StoreMarkup,2),IF(MarkupType="Supplier Markup",V1206+V1206*SupplierMarkup,"Error at finding value"))</f>
        <v>22.93</v>
      </c>
      <c r="X1206" s="32" t="str">
        <f t="shared" si="414"/>
        <v>0.00</v>
      </c>
      <c r="Y1206" s="15">
        <f t="shared" si="415"/>
        <v>43.68</v>
      </c>
      <c r="Z1206" s="15">
        <f t="shared" si="416"/>
        <v>68.790000000000006</v>
      </c>
      <c r="AA1206" s="15">
        <f>IF(FreightType="Lethbridge-Stewart Freight ",ROUND(2.99+IF(N1206&gt;0.75,(N1206-0.75)*2.25,0)*S1206,2),IF(MarkupType="Supplier Markup",V1206+V1206*SupplierMarkup,"Error at finding value"))</f>
        <v>2.99</v>
      </c>
      <c r="AB1206" s="15">
        <f t="shared" si="417"/>
        <v>0</v>
      </c>
    </row>
    <row r="1207" spans="1:28" x14ac:dyDescent="0.25">
      <c r="A1207" s="16">
        <f>OrdersTable!A1207</f>
        <v>983</v>
      </c>
      <c r="B1207" s="15" t="str">
        <f t="shared" si="397"/>
        <v>Mrs</v>
      </c>
      <c r="C1207" s="15" t="str">
        <f t="shared" si="418"/>
        <v>Bennett</v>
      </c>
      <c r="D1207" s="15" t="str">
        <f t="shared" si="398"/>
        <v>Mikayla Elizabeth</v>
      </c>
      <c r="E1207" s="15" t="str">
        <f t="shared" si="399"/>
        <v>35 Khanal Crescent</v>
      </c>
      <c r="F1207" s="15" t="str">
        <f t="shared" si="400"/>
        <v>Bamboo</v>
      </c>
      <c r="G1207" s="15" t="str">
        <f t="shared" si="401"/>
        <v>QLD</v>
      </c>
      <c r="H1207" s="15">
        <f t="shared" si="402"/>
        <v>4873</v>
      </c>
      <c r="I1207" s="15">
        <f t="shared" si="413"/>
        <v>1741</v>
      </c>
      <c r="J1207" s="15">
        <f>OrdersTable!B1207</f>
        <v>580</v>
      </c>
      <c r="K1207" s="15" t="str">
        <f t="shared" si="403"/>
        <v>Giftware</v>
      </c>
      <c r="L1207" s="15" t="str">
        <f t="shared" si="404"/>
        <v>Doctor Who: Wallpaper: Classic TARDIS Columns</v>
      </c>
      <c r="M1207" s="15" t="str">
        <f t="shared" si="405"/>
        <v>-</v>
      </c>
      <c r="N1207" s="15">
        <f t="shared" si="406"/>
        <v>0.65500000000000003</v>
      </c>
      <c r="O1207" s="15" t="str">
        <f t="shared" si="407"/>
        <v>A50</v>
      </c>
      <c r="P1207" s="15" t="str">
        <f t="shared" si="408"/>
        <v>Rassilon Ltd.</v>
      </c>
      <c r="Q1207" s="15" t="str">
        <f t="shared" si="409"/>
        <v>82 Richard Mathews Road</v>
      </c>
      <c r="R1207" s="3">
        <f>OrdersTable!C1207</f>
        <v>44646</v>
      </c>
      <c r="S1207" s="15">
        <f>OrdersTable!E1207</f>
        <v>1</v>
      </c>
      <c r="T1207" s="15">
        <f t="shared" si="410"/>
        <v>13.11</v>
      </c>
      <c r="U1207" s="15">
        <f t="shared" si="411"/>
        <v>18.18</v>
      </c>
      <c r="V1207" s="15">
        <f t="shared" si="412"/>
        <v>21.24</v>
      </c>
      <c r="W1207" s="15">
        <f>IF(MarkupType="Store Markup",ROUND(V1207+V1207*StoreMarkup,2),IF(MarkupType="Supplier Markup",V1207+V1207*SupplierMarkup,"Error at finding value"))</f>
        <v>33.450000000000003</v>
      </c>
      <c r="X1207" s="32" t="str">
        <f t="shared" si="414"/>
        <v>0.00</v>
      </c>
      <c r="Y1207" s="15">
        <f t="shared" si="415"/>
        <v>21.24</v>
      </c>
      <c r="Z1207" s="15">
        <f t="shared" si="416"/>
        <v>33.450000000000003</v>
      </c>
      <c r="AA1207" s="15">
        <f>IF(FreightType="Lethbridge-Stewart Freight ",ROUND(2.99+IF(N1207&gt;0.75,(N1207-0.75)*2.25,0)*S1207,2),IF(MarkupType="Supplier Markup",V1207+V1207*SupplierMarkup,"Error at finding value"))</f>
        <v>2.99</v>
      </c>
      <c r="AB1207" s="15">
        <f t="shared" si="417"/>
        <v>0</v>
      </c>
    </row>
    <row r="1208" spans="1:28" x14ac:dyDescent="0.25">
      <c r="A1208" s="16">
        <f>OrdersTable!A1208</f>
        <v>81</v>
      </c>
      <c r="B1208" s="15" t="str">
        <f t="shared" si="397"/>
        <v>Ms</v>
      </c>
      <c r="C1208" s="15" t="str">
        <f t="shared" si="418"/>
        <v>Madsen</v>
      </c>
      <c r="D1208" s="15" t="str">
        <f t="shared" si="398"/>
        <v>Kim Marie</v>
      </c>
      <c r="E1208" s="15" t="str">
        <f t="shared" si="399"/>
        <v>42 Singh Drive</v>
      </c>
      <c r="F1208" s="15" t="str">
        <f t="shared" si="400"/>
        <v>Caliph</v>
      </c>
      <c r="G1208" s="15" t="str">
        <f t="shared" si="401"/>
        <v>SA</v>
      </c>
      <c r="H1208" s="15">
        <f t="shared" si="402"/>
        <v>5310</v>
      </c>
      <c r="I1208" s="15">
        <f t="shared" si="413"/>
        <v>1720</v>
      </c>
      <c r="J1208" s="15">
        <f>OrdersTable!B1208</f>
        <v>826</v>
      </c>
      <c r="K1208" s="15" t="str">
        <f t="shared" si="403"/>
        <v>Statues and Busts</v>
      </c>
      <c r="L1208" s="15" t="str">
        <f t="shared" si="404"/>
        <v>Doctor Who: Mini Bust: Cyberman</v>
      </c>
      <c r="M1208" s="15" t="str">
        <f t="shared" si="405"/>
        <v>-</v>
      </c>
      <c r="N1208" s="15">
        <f t="shared" si="406"/>
        <v>1.8</v>
      </c>
      <c r="O1208" s="15" t="str">
        <f t="shared" si="407"/>
        <v>A40</v>
      </c>
      <c r="P1208" s="15" t="str">
        <f t="shared" si="408"/>
        <v>Romana Imports</v>
      </c>
      <c r="Q1208" s="15" t="str">
        <f t="shared" si="409"/>
        <v>17 Lalla Ward Road</v>
      </c>
      <c r="R1208" s="3">
        <f>OrdersTable!C1208</f>
        <v>44647</v>
      </c>
      <c r="S1208" s="15">
        <f>OrdersTable!E1208</f>
        <v>1</v>
      </c>
      <c r="T1208" s="15">
        <f t="shared" si="410"/>
        <v>35.99</v>
      </c>
      <c r="U1208" s="15">
        <f t="shared" si="411"/>
        <v>49.13</v>
      </c>
      <c r="V1208" s="15">
        <f t="shared" si="412"/>
        <v>58.3</v>
      </c>
      <c r="W1208" s="15">
        <f>IF(MarkupType="Store Markup",ROUND(V1208+V1208*StoreMarkup,2),IF(MarkupType="Supplier Markup",V1208+V1208*SupplierMarkup,"Error at finding value"))</f>
        <v>91.82</v>
      </c>
      <c r="X1208" s="32" t="str">
        <f t="shared" si="414"/>
        <v>0.00</v>
      </c>
      <c r="Y1208" s="15">
        <f t="shared" si="415"/>
        <v>58.3</v>
      </c>
      <c r="Z1208" s="15">
        <f t="shared" si="416"/>
        <v>91.82</v>
      </c>
      <c r="AA1208" s="15">
        <f>IF(FreightType="Lethbridge-Stewart Freight ",ROUND(2.99+IF(N1208&gt;0.75,(N1208-0.75)*2.25,0)*S1208,2),IF(MarkupType="Supplier Markup",V1208+V1208*SupplierMarkup,"Error at finding value"))</f>
        <v>5.35</v>
      </c>
      <c r="AB1208" s="15">
        <f t="shared" si="417"/>
        <v>0</v>
      </c>
    </row>
    <row r="1209" spans="1:28" x14ac:dyDescent="0.25">
      <c r="A1209" s="16">
        <f>OrdersTable!A1209</f>
        <v>139</v>
      </c>
      <c r="B1209" s="15" t="str">
        <f t="shared" si="397"/>
        <v>Mrs</v>
      </c>
      <c r="C1209" s="15" t="str">
        <f t="shared" si="418"/>
        <v>Atkinson</v>
      </c>
      <c r="D1209" s="15" t="str">
        <f t="shared" si="398"/>
        <v>Leanne</v>
      </c>
      <c r="E1209" s="15" t="str">
        <f t="shared" si="399"/>
        <v>45 Maloney Boulevard</v>
      </c>
      <c r="F1209" s="15" t="str">
        <f t="shared" si="400"/>
        <v>Avon Plains</v>
      </c>
      <c r="G1209" s="15" t="str">
        <f t="shared" si="401"/>
        <v>VIC</v>
      </c>
      <c r="H1209" s="15">
        <f t="shared" si="402"/>
        <v>3477</v>
      </c>
      <c r="I1209" s="15">
        <f t="shared" si="413"/>
        <v>1565</v>
      </c>
      <c r="J1209" s="15">
        <f>OrdersTable!B1209</f>
        <v>358</v>
      </c>
      <c r="K1209" s="15" t="str">
        <f t="shared" si="403"/>
        <v>Clothing and Apparel</v>
      </c>
      <c r="L1209" s="15" t="str">
        <f t="shared" si="404"/>
        <v xml:space="preserve">Doctor Who: T-Shirts: 5th Doctor Costume </v>
      </c>
      <c r="M1209" s="15" t="str">
        <f t="shared" si="405"/>
        <v>M</v>
      </c>
      <c r="N1209" s="15">
        <f t="shared" si="406"/>
        <v>0.8</v>
      </c>
      <c r="O1209" s="15" t="str">
        <f t="shared" si="407"/>
        <v>A30</v>
      </c>
      <c r="P1209" s="15" t="str">
        <f t="shared" si="408"/>
        <v>Chesterton Enterprises</v>
      </c>
      <c r="Q1209" s="15" t="str">
        <f t="shared" si="409"/>
        <v>41 William Russell Road</v>
      </c>
      <c r="R1209" s="3">
        <f>OrdersTable!C1209</f>
        <v>44647</v>
      </c>
      <c r="S1209" s="15">
        <f>OrdersTable!E1209</f>
        <v>8</v>
      </c>
      <c r="T1209" s="15">
        <f t="shared" si="410"/>
        <v>15.99</v>
      </c>
      <c r="U1209" s="15">
        <f t="shared" si="411"/>
        <v>21.96</v>
      </c>
      <c r="V1209" s="15">
        <f t="shared" si="412"/>
        <v>25.9</v>
      </c>
      <c r="W1209" s="15">
        <f>IF(MarkupType="Store Markup",ROUND(V1209+V1209*StoreMarkup,2),IF(MarkupType="Supplier Markup",V1209+V1209*SupplierMarkup,"Error at finding value"))</f>
        <v>40.79</v>
      </c>
      <c r="X1209" s="32" t="str">
        <f t="shared" si="414"/>
        <v>0.00</v>
      </c>
      <c r="Y1209" s="15">
        <f t="shared" si="415"/>
        <v>207.2</v>
      </c>
      <c r="Z1209" s="15">
        <f t="shared" si="416"/>
        <v>326.32</v>
      </c>
      <c r="AA1209" s="15">
        <f>IF(FreightType="Lethbridge-Stewart Freight ",ROUND(2.99+IF(N1209&gt;0.75,(N1209-0.75)*2.25,0)*S1209,2),IF(MarkupType="Supplier Markup",V1209+V1209*SupplierMarkup,"Error at finding value"))</f>
        <v>3.89</v>
      </c>
      <c r="AB1209" s="15">
        <f t="shared" si="417"/>
        <v>0</v>
      </c>
    </row>
    <row r="1210" spans="1:28" x14ac:dyDescent="0.25">
      <c r="A1210" s="16">
        <f>OrdersTable!A1210</f>
        <v>312</v>
      </c>
      <c r="B1210" s="15" t="str">
        <f t="shared" si="397"/>
        <v>Mr</v>
      </c>
      <c r="C1210" s="15" t="str">
        <f t="shared" si="418"/>
        <v>Lloyd</v>
      </c>
      <c r="D1210" s="15" t="str">
        <f t="shared" si="398"/>
        <v>Ben</v>
      </c>
      <c r="E1210" s="15" t="str">
        <f t="shared" si="399"/>
        <v>13 Stark Avenue</v>
      </c>
      <c r="F1210" s="15" t="str">
        <f t="shared" si="400"/>
        <v>Iluka</v>
      </c>
      <c r="G1210" s="15" t="str">
        <f t="shared" si="401"/>
        <v>NSW</v>
      </c>
      <c r="H1210" s="15">
        <f t="shared" si="402"/>
        <v>2466</v>
      </c>
      <c r="I1210" s="15">
        <f t="shared" si="413"/>
        <v>347</v>
      </c>
      <c r="J1210" s="15">
        <f>OrdersTable!B1210</f>
        <v>685</v>
      </c>
      <c r="K1210" s="15" t="str">
        <f t="shared" si="403"/>
        <v>Mugs</v>
      </c>
      <c r="L1210" s="15" t="str">
        <f t="shared" si="404"/>
        <v>Doctor Who: Teapot: Sliver TARDIS</v>
      </c>
      <c r="M1210" s="15" t="str">
        <f t="shared" si="405"/>
        <v>-</v>
      </c>
      <c r="N1210" s="15">
        <f t="shared" si="406"/>
        <v>1.35</v>
      </c>
      <c r="O1210" s="15" t="str">
        <f t="shared" si="407"/>
        <v>A30</v>
      </c>
      <c r="P1210" s="15" t="str">
        <f t="shared" si="408"/>
        <v>Chesterton Enterprises</v>
      </c>
      <c r="Q1210" s="15" t="str">
        <f t="shared" si="409"/>
        <v>41 William Russell Road</v>
      </c>
      <c r="R1210" s="3">
        <f>OrdersTable!C1210</f>
        <v>44647</v>
      </c>
      <c r="S1210" s="15">
        <f>OrdersTable!E1210</f>
        <v>5</v>
      </c>
      <c r="T1210" s="15">
        <f t="shared" si="410"/>
        <v>26.99</v>
      </c>
      <c r="U1210" s="15">
        <f t="shared" si="411"/>
        <v>36.869999999999997</v>
      </c>
      <c r="V1210" s="15">
        <f t="shared" si="412"/>
        <v>43.72</v>
      </c>
      <c r="W1210" s="15">
        <f>IF(MarkupType="Store Markup",ROUND(V1210+V1210*StoreMarkup,2),IF(MarkupType="Supplier Markup",V1210+V1210*SupplierMarkup,"Error at finding value"))</f>
        <v>68.86</v>
      </c>
      <c r="X1210" s="32" t="str">
        <f t="shared" si="414"/>
        <v>0.00</v>
      </c>
      <c r="Y1210" s="15">
        <f t="shared" si="415"/>
        <v>218.6</v>
      </c>
      <c r="Z1210" s="15">
        <f t="shared" si="416"/>
        <v>344.3</v>
      </c>
      <c r="AA1210" s="15">
        <f>IF(FreightType="Lethbridge-Stewart Freight ",ROUND(2.99+IF(N1210&gt;0.75,(N1210-0.75)*2.25,0)*S1210,2),IF(MarkupType="Supplier Markup",V1210+V1210*SupplierMarkup,"Error at finding value"))</f>
        <v>9.74</v>
      </c>
      <c r="AB1210" s="15">
        <f t="shared" si="417"/>
        <v>0</v>
      </c>
    </row>
    <row r="1211" spans="1:28" x14ac:dyDescent="0.25">
      <c r="A1211" s="16">
        <f>OrdersTable!A1211</f>
        <v>323</v>
      </c>
      <c r="B1211" s="15" t="str">
        <f t="shared" si="397"/>
        <v>Dr</v>
      </c>
      <c r="C1211" s="15" t="str">
        <f t="shared" si="418"/>
        <v>King</v>
      </c>
      <c r="D1211" s="15" t="str">
        <f t="shared" si="398"/>
        <v>Leith</v>
      </c>
      <c r="E1211" s="15" t="str">
        <f t="shared" si="399"/>
        <v>25 Carbone Court</v>
      </c>
      <c r="F1211" s="15" t="str">
        <f t="shared" si="400"/>
        <v>Nayook</v>
      </c>
      <c r="G1211" s="15" t="str">
        <f t="shared" si="401"/>
        <v>VIC</v>
      </c>
      <c r="H1211" s="15">
        <f t="shared" si="402"/>
        <v>3832</v>
      </c>
      <c r="I1211" s="15">
        <f t="shared" si="413"/>
        <v>1552</v>
      </c>
      <c r="J1211" s="15">
        <f>OrdersTable!B1211</f>
        <v>582</v>
      </c>
      <c r="K1211" s="15" t="str">
        <f t="shared" si="403"/>
        <v>Giftware</v>
      </c>
      <c r="L1211" s="15" t="str">
        <f t="shared" si="404"/>
        <v>Doctor Who: Wallpaper: Classic TARDIS Roundels</v>
      </c>
      <c r="M1211" s="15" t="str">
        <f t="shared" si="405"/>
        <v>-</v>
      </c>
      <c r="N1211" s="15">
        <f t="shared" si="406"/>
        <v>1.75</v>
      </c>
      <c r="O1211" s="15" t="str">
        <f t="shared" si="407"/>
        <v>A40</v>
      </c>
      <c r="P1211" s="15" t="str">
        <f t="shared" si="408"/>
        <v>Romana Imports</v>
      </c>
      <c r="Q1211" s="15" t="str">
        <f t="shared" si="409"/>
        <v>17 Lalla Ward Road</v>
      </c>
      <c r="R1211" s="3">
        <f>OrdersTable!C1211</f>
        <v>44647</v>
      </c>
      <c r="S1211" s="15">
        <f>OrdersTable!E1211</f>
        <v>7</v>
      </c>
      <c r="T1211" s="15">
        <f t="shared" si="410"/>
        <v>34.99</v>
      </c>
      <c r="U1211" s="15">
        <f t="shared" si="411"/>
        <v>47.77</v>
      </c>
      <c r="V1211" s="15">
        <f t="shared" si="412"/>
        <v>56.68</v>
      </c>
      <c r="W1211" s="15">
        <f>IF(MarkupType="Store Markup",ROUND(V1211+V1211*StoreMarkup,2),IF(MarkupType="Supplier Markup",V1211+V1211*SupplierMarkup,"Error at finding value"))</f>
        <v>89.27</v>
      </c>
      <c r="X1211" s="32" t="str">
        <f t="shared" si="414"/>
        <v>0.00</v>
      </c>
      <c r="Y1211" s="15">
        <f t="shared" si="415"/>
        <v>396.76</v>
      </c>
      <c r="Z1211" s="15">
        <f t="shared" si="416"/>
        <v>624.89</v>
      </c>
      <c r="AA1211" s="15">
        <f>IF(FreightType="Lethbridge-Stewart Freight ",ROUND(2.99+IF(N1211&gt;0.75,(N1211-0.75)*2.25,0)*S1211,2),IF(MarkupType="Supplier Markup",V1211+V1211*SupplierMarkup,"Error at finding value"))</f>
        <v>18.739999999999998</v>
      </c>
      <c r="AB1211" s="15">
        <f t="shared" si="417"/>
        <v>0</v>
      </c>
    </row>
    <row r="1212" spans="1:28" x14ac:dyDescent="0.25">
      <c r="A1212" s="16">
        <f>OrdersTable!A1212</f>
        <v>331</v>
      </c>
      <c r="B1212" s="15" t="str">
        <f t="shared" si="397"/>
        <v>Mrs</v>
      </c>
      <c r="C1212" s="15" t="str">
        <f t="shared" si="418"/>
        <v>McKenzie</v>
      </c>
      <c r="D1212" s="15" t="str">
        <f t="shared" si="398"/>
        <v>Melinda Kate</v>
      </c>
      <c r="E1212" s="15" t="str">
        <f t="shared" si="399"/>
        <v>49 McKay Way</v>
      </c>
      <c r="F1212" s="15" t="str">
        <f t="shared" si="400"/>
        <v>Black Hills</v>
      </c>
      <c r="G1212" s="15" t="str">
        <f t="shared" si="401"/>
        <v>TAS</v>
      </c>
      <c r="H1212" s="15">
        <f t="shared" si="402"/>
        <v>7140</v>
      </c>
      <c r="I1212" s="15">
        <f t="shared" si="413"/>
        <v>2191</v>
      </c>
      <c r="J1212" s="15">
        <f>OrdersTable!B1212</f>
        <v>282</v>
      </c>
      <c r="K1212" s="15" t="str">
        <f t="shared" si="403"/>
        <v>Clothing and Apparel</v>
      </c>
      <c r="L1212" s="15" t="str">
        <f t="shared" si="404"/>
        <v>Doctor Who: Tardis Laplander Hat</v>
      </c>
      <c r="M1212" s="15" t="str">
        <f t="shared" si="405"/>
        <v>-</v>
      </c>
      <c r="N1212" s="15">
        <f t="shared" si="406"/>
        <v>0.97499999999999998</v>
      </c>
      <c r="O1212" s="15" t="str">
        <f t="shared" si="407"/>
        <v>A10</v>
      </c>
      <c r="P1212" s="15" t="str">
        <f t="shared" si="408"/>
        <v>Gallifrey International</v>
      </c>
      <c r="Q1212" s="15" t="str">
        <f t="shared" si="409"/>
        <v>181 Arcadia Street</v>
      </c>
      <c r="R1212" s="3">
        <f>OrdersTable!C1212</f>
        <v>44647</v>
      </c>
      <c r="S1212" s="15">
        <f>OrdersTable!E1212</f>
        <v>6</v>
      </c>
      <c r="T1212" s="15">
        <f t="shared" si="410"/>
        <v>19.5</v>
      </c>
      <c r="U1212" s="15">
        <f t="shared" si="411"/>
        <v>26.93</v>
      </c>
      <c r="V1212" s="15">
        <f t="shared" si="412"/>
        <v>31.59</v>
      </c>
      <c r="W1212" s="15">
        <f>IF(MarkupType="Store Markup",ROUND(V1212+V1212*StoreMarkup,2),IF(MarkupType="Supplier Markup",V1212+V1212*SupplierMarkup,"Error at finding value"))</f>
        <v>49.75</v>
      </c>
      <c r="X1212" s="32" t="str">
        <f t="shared" si="414"/>
        <v>0.00</v>
      </c>
      <c r="Y1212" s="15">
        <f t="shared" si="415"/>
        <v>189.54</v>
      </c>
      <c r="Z1212" s="15">
        <f t="shared" si="416"/>
        <v>298.5</v>
      </c>
      <c r="AA1212" s="15">
        <f>IF(FreightType="Lethbridge-Stewart Freight ",ROUND(2.99+IF(N1212&gt;0.75,(N1212-0.75)*2.25,0)*S1212,2),IF(MarkupType="Supplier Markup",V1212+V1212*SupplierMarkup,"Error at finding value"))</f>
        <v>6.03</v>
      </c>
      <c r="AB1212" s="15">
        <f t="shared" si="417"/>
        <v>0</v>
      </c>
    </row>
    <row r="1213" spans="1:28" x14ac:dyDescent="0.25">
      <c r="A1213" s="16">
        <f>OrdersTable!A1213</f>
        <v>331</v>
      </c>
      <c r="B1213" s="15" t="str">
        <f t="shared" si="397"/>
        <v>Mrs</v>
      </c>
      <c r="C1213" s="15" t="str">
        <f t="shared" si="418"/>
        <v>McKenzie</v>
      </c>
      <c r="D1213" s="15" t="str">
        <f t="shared" si="398"/>
        <v>Melinda Kate</v>
      </c>
      <c r="E1213" s="15" t="str">
        <f t="shared" si="399"/>
        <v>49 McKay Way</v>
      </c>
      <c r="F1213" s="15" t="str">
        <f t="shared" si="400"/>
        <v>Black Hills</v>
      </c>
      <c r="G1213" s="15" t="str">
        <f t="shared" si="401"/>
        <v>TAS</v>
      </c>
      <c r="H1213" s="15">
        <f t="shared" si="402"/>
        <v>7140</v>
      </c>
      <c r="I1213" s="15">
        <f t="shared" si="413"/>
        <v>2191</v>
      </c>
      <c r="J1213" s="15">
        <f>OrdersTable!B1213</f>
        <v>464</v>
      </c>
      <c r="K1213" s="15" t="str">
        <f t="shared" si="403"/>
        <v>Giftware</v>
      </c>
      <c r="L1213" s="15" t="str">
        <f t="shared" si="404"/>
        <v>Doctor Who: Collectable License Plate: My Other Car Is A TARDIS</v>
      </c>
      <c r="M1213" s="15" t="str">
        <f t="shared" si="405"/>
        <v>-</v>
      </c>
      <c r="N1213" s="15">
        <f t="shared" si="406"/>
        <v>0.6</v>
      </c>
      <c r="O1213" s="15" t="str">
        <f t="shared" si="407"/>
        <v>A50</v>
      </c>
      <c r="P1213" s="15" t="str">
        <f t="shared" si="408"/>
        <v>Rassilon Ltd.</v>
      </c>
      <c r="Q1213" s="15" t="str">
        <f t="shared" si="409"/>
        <v>82 Richard Mathews Road</v>
      </c>
      <c r="R1213" s="3">
        <f>OrdersTable!C1213</f>
        <v>44647</v>
      </c>
      <c r="S1213" s="15">
        <f>OrdersTable!E1213</f>
        <v>7</v>
      </c>
      <c r="T1213" s="15">
        <f t="shared" si="410"/>
        <v>11.99</v>
      </c>
      <c r="U1213" s="15">
        <f t="shared" si="411"/>
        <v>16.579999999999998</v>
      </c>
      <c r="V1213" s="15">
        <f t="shared" si="412"/>
        <v>19.420000000000002</v>
      </c>
      <c r="W1213" s="15">
        <f>IF(MarkupType="Store Markup",ROUND(V1213+V1213*StoreMarkup,2),IF(MarkupType="Supplier Markup",V1213+V1213*SupplierMarkup,"Error at finding value"))</f>
        <v>30.59</v>
      </c>
      <c r="X1213" s="32" t="str">
        <f t="shared" si="414"/>
        <v>0.00</v>
      </c>
      <c r="Y1213" s="15">
        <f t="shared" si="415"/>
        <v>135.94</v>
      </c>
      <c r="Z1213" s="15">
        <f t="shared" si="416"/>
        <v>214.13</v>
      </c>
      <c r="AA1213" s="15">
        <f>IF(FreightType="Lethbridge-Stewart Freight ",ROUND(2.99+IF(N1213&gt;0.75,(N1213-0.75)*2.25,0)*S1213,2),IF(MarkupType="Supplier Markup",V1213+V1213*SupplierMarkup,"Error at finding value"))</f>
        <v>2.99</v>
      </c>
      <c r="AB1213" s="15">
        <f t="shared" si="417"/>
        <v>0</v>
      </c>
    </row>
    <row r="1214" spans="1:28" x14ac:dyDescent="0.25">
      <c r="A1214" s="16">
        <f>OrdersTable!A1214</f>
        <v>496</v>
      </c>
      <c r="B1214" s="15" t="str">
        <f t="shared" si="397"/>
        <v>Dr</v>
      </c>
      <c r="C1214" s="15" t="str">
        <f t="shared" si="418"/>
        <v>Johnston</v>
      </c>
      <c r="D1214" s="15" t="str">
        <f t="shared" si="398"/>
        <v>Karrina</v>
      </c>
      <c r="E1214" s="15" t="str">
        <f t="shared" si="399"/>
        <v>11 Bishop Drive</v>
      </c>
      <c r="F1214" s="15" t="str">
        <f t="shared" si="400"/>
        <v>Belford</v>
      </c>
      <c r="G1214" s="15" t="str">
        <f t="shared" si="401"/>
        <v>NSW</v>
      </c>
      <c r="H1214" s="15">
        <f t="shared" si="402"/>
        <v>2335</v>
      </c>
      <c r="I1214" s="15">
        <f t="shared" si="413"/>
        <v>716</v>
      </c>
      <c r="J1214" s="15">
        <f>OrdersTable!B1214</f>
        <v>740</v>
      </c>
      <c r="K1214" s="15" t="str">
        <f t="shared" si="403"/>
        <v>Props and Replicas</v>
      </c>
      <c r="L1214" s="15" t="str">
        <f t="shared" si="404"/>
        <v>Doctor Who: River Song Squareness Blaster</v>
      </c>
      <c r="M1214" s="15" t="str">
        <f t="shared" si="405"/>
        <v>-</v>
      </c>
      <c r="N1214" s="15">
        <f t="shared" si="406"/>
        <v>14.8</v>
      </c>
      <c r="O1214" s="15" t="str">
        <f t="shared" si="407"/>
        <v>A40</v>
      </c>
      <c r="P1214" s="15" t="str">
        <f t="shared" si="408"/>
        <v>Romana Imports</v>
      </c>
      <c r="Q1214" s="15" t="str">
        <f t="shared" si="409"/>
        <v>17 Lalla Ward Road</v>
      </c>
      <c r="R1214" s="3">
        <f>OrdersTable!C1214</f>
        <v>44647</v>
      </c>
      <c r="S1214" s="15">
        <f>OrdersTable!E1214</f>
        <v>3</v>
      </c>
      <c r="T1214" s="15">
        <f t="shared" si="410"/>
        <v>295.99</v>
      </c>
      <c r="U1214" s="15">
        <f t="shared" si="411"/>
        <v>403.84</v>
      </c>
      <c r="V1214" s="15">
        <f t="shared" si="412"/>
        <v>479.5</v>
      </c>
      <c r="W1214" s="15">
        <f>IF(MarkupType="Store Markup",ROUND(V1214+V1214*StoreMarkup,2),IF(MarkupType="Supplier Markup",V1214+V1214*SupplierMarkup,"Error at finding value"))</f>
        <v>755.21</v>
      </c>
      <c r="X1214" s="32">
        <f t="shared" si="414"/>
        <v>53.81</v>
      </c>
      <c r="Y1214" s="15">
        <f t="shared" si="415"/>
        <v>1438.5</v>
      </c>
      <c r="Z1214" s="15">
        <f t="shared" si="416"/>
        <v>2104.1999999999998</v>
      </c>
      <c r="AA1214" s="15">
        <f>IF(FreightType="Lethbridge-Stewart Freight ",ROUND(2.99+IF(N1214&gt;0.75,(N1214-0.75)*2.25,0)*S1214,2),IF(MarkupType="Supplier Markup",V1214+V1214*SupplierMarkup,"Error at finding value"))</f>
        <v>97.83</v>
      </c>
      <c r="AB1214" s="15">
        <f t="shared" si="417"/>
        <v>161.43</v>
      </c>
    </row>
    <row r="1215" spans="1:28" x14ac:dyDescent="0.25">
      <c r="A1215" s="16">
        <f>OrdersTable!A1215</f>
        <v>543</v>
      </c>
      <c r="B1215" s="15" t="str">
        <f t="shared" si="397"/>
        <v>Ms</v>
      </c>
      <c r="C1215" s="15" t="str">
        <f t="shared" si="418"/>
        <v>Mendezona</v>
      </c>
      <c r="D1215" s="15" t="str">
        <f t="shared" si="398"/>
        <v>Tara Colleen-Mary</v>
      </c>
      <c r="E1215" s="15" t="str">
        <f t="shared" si="399"/>
        <v>27 Picone Drive</v>
      </c>
      <c r="F1215" s="15" t="str">
        <f t="shared" si="400"/>
        <v>Aberfoyle</v>
      </c>
      <c r="G1215" s="15" t="str">
        <f t="shared" si="401"/>
        <v>NSW</v>
      </c>
      <c r="H1215" s="15">
        <f t="shared" si="402"/>
        <v>2350</v>
      </c>
      <c r="I1215" s="15">
        <f t="shared" si="413"/>
        <v>363</v>
      </c>
      <c r="J1215" s="15">
        <f>OrdersTable!B1215</f>
        <v>594</v>
      </c>
      <c r="K1215" s="15" t="str">
        <f t="shared" si="403"/>
        <v>iPhone Skins</v>
      </c>
      <c r="L1215" s="15" t="str">
        <f t="shared" si="404"/>
        <v>Doctor Who: iPhone Skin: Keep Calm And Don't Blink</v>
      </c>
      <c r="M1215" s="15" t="str">
        <f t="shared" si="405"/>
        <v>-</v>
      </c>
      <c r="N1215" s="15">
        <f t="shared" si="406"/>
        <v>0.5</v>
      </c>
      <c r="O1215" s="15" t="str">
        <f t="shared" si="407"/>
        <v>A20</v>
      </c>
      <c r="P1215" s="15" t="str">
        <f t="shared" si="408"/>
        <v>Morbius Inc.</v>
      </c>
      <c r="Q1215" s="15" t="str">
        <f t="shared" si="409"/>
        <v>56 Michael Spice Hwy</v>
      </c>
      <c r="R1215" s="3">
        <f>OrdersTable!C1215</f>
        <v>44647</v>
      </c>
      <c r="S1215" s="15">
        <f>OrdersTable!E1215</f>
        <v>5</v>
      </c>
      <c r="T1215" s="15">
        <f t="shared" si="410"/>
        <v>9.99</v>
      </c>
      <c r="U1215" s="15">
        <f t="shared" si="411"/>
        <v>13.88</v>
      </c>
      <c r="V1215" s="15">
        <f t="shared" si="412"/>
        <v>16.18</v>
      </c>
      <c r="W1215" s="15">
        <f>IF(MarkupType="Store Markup",ROUND(V1215+V1215*StoreMarkup,2),IF(MarkupType="Supplier Markup",V1215+V1215*SupplierMarkup,"Error at finding value"))</f>
        <v>25.48</v>
      </c>
      <c r="X1215" s="32" t="str">
        <f t="shared" si="414"/>
        <v>0.00</v>
      </c>
      <c r="Y1215" s="15">
        <f t="shared" si="415"/>
        <v>80.900000000000006</v>
      </c>
      <c r="Z1215" s="15">
        <f t="shared" si="416"/>
        <v>127.4</v>
      </c>
      <c r="AA1215" s="15">
        <f>IF(FreightType="Lethbridge-Stewart Freight ",ROUND(2.99+IF(N1215&gt;0.75,(N1215-0.75)*2.25,0)*S1215,2),IF(MarkupType="Supplier Markup",V1215+V1215*SupplierMarkup,"Error at finding value"))</f>
        <v>2.99</v>
      </c>
      <c r="AB1215" s="15">
        <f t="shared" si="417"/>
        <v>0</v>
      </c>
    </row>
    <row r="1216" spans="1:28" x14ac:dyDescent="0.25">
      <c r="A1216" s="16">
        <f>OrdersTable!A1216</f>
        <v>546</v>
      </c>
      <c r="B1216" s="15" t="str">
        <f t="shared" si="397"/>
        <v>Ms</v>
      </c>
      <c r="C1216" s="15" t="str">
        <f t="shared" si="418"/>
        <v>Shortt</v>
      </c>
      <c r="D1216" s="15" t="str">
        <f t="shared" si="398"/>
        <v>Rickylee Sidonia</v>
      </c>
      <c r="E1216" s="15" t="str">
        <f t="shared" si="399"/>
        <v>4 Hughes Road</v>
      </c>
      <c r="F1216" s="15" t="str">
        <f t="shared" si="400"/>
        <v>Glenfern</v>
      </c>
      <c r="G1216" s="15" t="str">
        <f t="shared" si="401"/>
        <v>QLD</v>
      </c>
      <c r="H1216" s="15">
        <f t="shared" si="402"/>
        <v>4515</v>
      </c>
      <c r="I1216" s="15">
        <f t="shared" si="413"/>
        <v>128</v>
      </c>
      <c r="J1216" s="15">
        <f>OrdersTable!B1216</f>
        <v>398</v>
      </c>
      <c r="K1216" s="15" t="str">
        <f t="shared" si="403"/>
        <v>Clothing and Apparel</v>
      </c>
      <c r="L1216" s="15" t="str">
        <f t="shared" si="404"/>
        <v>Doctor Who: Women's Winter Pyjamas</v>
      </c>
      <c r="M1216" s="15" t="str">
        <f t="shared" si="405"/>
        <v>S</v>
      </c>
      <c r="N1216" s="15">
        <f t="shared" si="406"/>
        <v>1.5</v>
      </c>
      <c r="O1216" s="15" t="str">
        <f t="shared" si="407"/>
        <v>A40</v>
      </c>
      <c r="P1216" s="15" t="str">
        <f t="shared" si="408"/>
        <v>Romana Imports</v>
      </c>
      <c r="Q1216" s="15" t="str">
        <f t="shared" si="409"/>
        <v>17 Lalla Ward Road</v>
      </c>
      <c r="R1216" s="3">
        <f>OrdersTable!C1216</f>
        <v>44647</v>
      </c>
      <c r="S1216" s="15">
        <f>OrdersTable!E1216</f>
        <v>5</v>
      </c>
      <c r="T1216" s="15">
        <f t="shared" si="410"/>
        <v>29.99</v>
      </c>
      <c r="U1216" s="15">
        <f t="shared" si="411"/>
        <v>41.07</v>
      </c>
      <c r="V1216" s="15">
        <f t="shared" si="412"/>
        <v>48.58</v>
      </c>
      <c r="W1216" s="15">
        <f>IF(MarkupType="Store Markup",ROUND(V1216+V1216*StoreMarkup,2),IF(MarkupType="Supplier Markup",V1216+V1216*SupplierMarkup,"Error at finding value"))</f>
        <v>76.510000000000005</v>
      </c>
      <c r="X1216" s="32" t="str">
        <f t="shared" si="414"/>
        <v>0.00</v>
      </c>
      <c r="Y1216" s="15">
        <f t="shared" si="415"/>
        <v>242.9</v>
      </c>
      <c r="Z1216" s="15">
        <f t="shared" si="416"/>
        <v>382.55</v>
      </c>
      <c r="AA1216" s="15">
        <f>IF(FreightType="Lethbridge-Stewart Freight ",ROUND(2.99+IF(N1216&gt;0.75,(N1216-0.75)*2.25,0)*S1216,2),IF(MarkupType="Supplier Markup",V1216+V1216*SupplierMarkup,"Error at finding value"))</f>
        <v>11.43</v>
      </c>
      <c r="AB1216" s="15">
        <f t="shared" si="417"/>
        <v>0</v>
      </c>
    </row>
    <row r="1217" spans="1:28" x14ac:dyDescent="0.25">
      <c r="A1217" s="16">
        <f>OrdersTable!A1217</f>
        <v>570</v>
      </c>
      <c r="B1217" s="15" t="str">
        <f t="shared" si="397"/>
        <v>Mr</v>
      </c>
      <c r="C1217" s="15" t="str">
        <f t="shared" si="418"/>
        <v>Adams</v>
      </c>
      <c r="D1217" s="15" t="str">
        <f t="shared" si="398"/>
        <v>Matthew</v>
      </c>
      <c r="E1217" s="15" t="str">
        <f t="shared" si="399"/>
        <v>36 Fenech Avenue</v>
      </c>
      <c r="F1217" s="15" t="str">
        <f t="shared" si="400"/>
        <v>Bray Park</v>
      </c>
      <c r="G1217" s="15" t="str">
        <f t="shared" si="401"/>
        <v>QLD</v>
      </c>
      <c r="H1217" s="15">
        <f t="shared" si="402"/>
        <v>4500</v>
      </c>
      <c r="I1217" s="15">
        <f t="shared" si="413"/>
        <v>139</v>
      </c>
      <c r="J1217" s="15">
        <f>OrdersTable!B1217</f>
        <v>541</v>
      </c>
      <c r="K1217" s="15" t="str">
        <f t="shared" si="403"/>
        <v>Giftware</v>
      </c>
      <c r="L1217" s="15" t="str">
        <f t="shared" si="404"/>
        <v>Doctor Who: Salt and Pepper Shakers: TARDIS</v>
      </c>
      <c r="M1217" s="15" t="str">
        <f t="shared" si="405"/>
        <v>-</v>
      </c>
      <c r="N1217" s="15">
        <f t="shared" si="406"/>
        <v>0.6</v>
      </c>
      <c r="O1217" s="15" t="str">
        <f t="shared" si="407"/>
        <v>A10</v>
      </c>
      <c r="P1217" s="15" t="str">
        <f t="shared" si="408"/>
        <v>Gallifrey International</v>
      </c>
      <c r="Q1217" s="15" t="str">
        <f t="shared" si="409"/>
        <v>181 Arcadia Street</v>
      </c>
      <c r="R1217" s="3">
        <f>OrdersTable!C1217</f>
        <v>44647</v>
      </c>
      <c r="S1217" s="15">
        <f>OrdersTable!E1217</f>
        <v>9</v>
      </c>
      <c r="T1217" s="15">
        <f t="shared" si="410"/>
        <v>11.99</v>
      </c>
      <c r="U1217" s="15">
        <f t="shared" si="411"/>
        <v>16.62</v>
      </c>
      <c r="V1217" s="15">
        <f t="shared" si="412"/>
        <v>19.420000000000002</v>
      </c>
      <c r="W1217" s="15">
        <f>IF(MarkupType="Store Markup",ROUND(V1217+V1217*StoreMarkup,2),IF(MarkupType="Supplier Markup",V1217+V1217*SupplierMarkup,"Error at finding value"))</f>
        <v>30.59</v>
      </c>
      <c r="X1217" s="32" t="str">
        <f t="shared" si="414"/>
        <v>0.00</v>
      </c>
      <c r="Y1217" s="15">
        <f t="shared" si="415"/>
        <v>174.78</v>
      </c>
      <c r="Z1217" s="15">
        <f t="shared" si="416"/>
        <v>275.31</v>
      </c>
      <c r="AA1217" s="15">
        <f>IF(FreightType="Lethbridge-Stewart Freight ",ROUND(2.99+IF(N1217&gt;0.75,(N1217-0.75)*2.25,0)*S1217,2),IF(MarkupType="Supplier Markup",V1217+V1217*SupplierMarkup,"Error at finding value"))</f>
        <v>2.99</v>
      </c>
      <c r="AB1217" s="15">
        <f t="shared" si="417"/>
        <v>0</v>
      </c>
    </row>
    <row r="1218" spans="1:28" x14ac:dyDescent="0.25">
      <c r="A1218" s="16">
        <f>OrdersTable!A1218</f>
        <v>580</v>
      </c>
      <c r="B1218" s="15" t="str">
        <f t="shared" si="397"/>
        <v>Mr</v>
      </c>
      <c r="C1218" s="15" t="str">
        <f t="shared" si="418"/>
        <v>Faatoafe</v>
      </c>
      <c r="D1218" s="15" t="str">
        <f t="shared" si="398"/>
        <v>Jasson Iosefa</v>
      </c>
      <c r="E1218" s="15" t="str">
        <f t="shared" si="399"/>
        <v>29 Schaffer Boulevard</v>
      </c>
      <c r="F1218" s="15" t="str">
        <f t="shared" si="400"/>
        <v>Binduli</v>
      </c>
      <c r="G1218" s="15" t="str">
        <f t="shared" si="401"/>
        <v>WA</v>
      </c>
      <c r="H1218" s="15">
        <f t="shared" si="402"/>
        <v>6430</v>
      </c>
      <c r="I1218" s="15">
        <f t="shared" si="413"/>
        <v>3543</v>
      </c>
      <c r="J1218" s="15">
        <f>OrdersTable!B1218</f>
        <v>453</v>
      </c>
      <c r="K1218" s="15" t="str">
        <f t="shared" si="403"/>
        <v>Giftware</v>
      </c>
      <c r="L1218" s="15" t="str">
        <f t="shared" si="404"/>
        <v>Doctor Who: Ceramic Cookie Jar: TARDIS</v>
      </c>
      <c r="M1218" s="15" t="str">
        <f t="shared" si="405"/>
        <v>-</v>
      </c>
      <c r="N1218" s="15">
        <f t="shared" si="406"/>
        <v>1.35</v>
      </c>
      <c r="O1218" s="15" t="str">
        <f t="shared" si="407"/>
        <v>A40</v>
      </c>
      <c r="P1218" s="15" t="str">
        <f t="shared" si="408"/>
        <v>Romana Imports</v>
      </c>
      <c r="Q1218" s="15" t="str">
        <f t="shared" si="409"/>
        <v>17 Lalla Ward Road</v>
      </c>
      <c r="R1218" s="3">
        <f>OrdersTable!C1218</f>
        <v>44647</v>
      </c>
      <c r="S1218" s="15">
        <f>OrdersTable!E1218</f>
        <v>5</v>
      </c>
      <c r="T1218" s="15">
        <f t="shared" si="410"/>
        <v>26.99</v>
      </c>
      <c r="U1218" s="15">
        <f t="shared" si="411"/>
        <v>37.119999999999997</v>
      </c>
      <c r="V1218" s="15">
        <f t="shared" si="412"/>
        <v>43.72</v>
      </c>
      <c r="W1218" s="15">
        <f>IF(MarkupType="Store Markup",ROUND(V1218+V1218*StoreMarkup,2),IF(MarkupType="Supplier Markup",V1218+V1218*SupplierMarkup,"Error at finding value"))</f>
        <v>68.86</v>
      </c>
      <c r="X1218" s="32" t="str">
        <f t="shared" si="414"/>
        <v>0.00</v>
      </c>
      <c r="Y1218" s="15">
        <f t="shared" si="415"/>
        <v>218.6</v>
      </c>
      <c r="Z1218" s="15">
        <f t="shared" si="416"/>
        <v>344.3</v>
      </c>
      <c r="AA1218" s="15">
        <f>IF(FreightType="Lethbridge-Stewart Freight ",ROUND(2.99+IF(N1218&gt;0.75,(N1218-0.75)*2.25,0)*S1218,2),IF(MarkupType="Supplier Markup",V1218+V1218*SupplierMarkup,"Error at finding value"))</f>
        <v>9.74</v>
      </c>
      <c r="AB1218" s="15">
        <f t="shared" si="417"/>
        <v>0</v>
      </c>
    </row>
    <row r="1219" spans="1:28" x14ac:dyDescent="0.25">
      <c r="A1219" s="16">
        <f>OrdersTable!A1219</f>
        <v>827</v>
      </c>
      <c r="B1219" s="15" t="str">
        <f t="shared" si="397"/>
        <v>Ms</v>
      </c>
      <c r="C1219" s="15" t="str">
        <f t="shared" si="418"/>
        <v>Ottaway</v>
      </c>
      <c r="D1219" s="15" t="str">
        <f t="shared" si="398"/>
        <v>Katherine</v>
      </c>
      <c r="E1219" s="15" t="str">
        <f t="shared" si="399"/>
        <v>7 Morrison Street</v>
      </c>
      <c r="F1219" s="15" t="str">
        <f t="shared" si="400"/>
        <v>Glenfern</v>
      </c>
      <c r="G1219" s="15" t="str">
        <f t="shared" si="401"/>
        <v>QLD</v>
      </c>
      <c r="H1219" s="15">
        <f t="shared" si="402"/>
        <v>4515</v>
      </c>
      <c r="I1219" s="15">
        <f t="shared" si="413"/>
        <v>128</v>
      </c>
      <c r="J1219" s="15">
        <f>OrdersTable!B1219</f>
        <v>810</v>
      </c>
      <c r="K1219" s="15" t="str">
        <f t="shared" si="403"/>
        <v>Statues and Busts</v>
      </c>
      <c r="L1219" s="15" t="str">
        <f t="shared" si="404"/>
        <v>Doctor Who: Masterpiece Collection Maxi Bust: Amy Pond</v>
      </c>
      <c r="M1219" s="15" t="str">
        <f t="shared" si="405"/>
        <v>-</v>
      </c>
      <c r="N1219" s="15">
        <f t="shared" si="406"/>
        <v>2.5</v>
      </c>
      <c r="O1219" s="15" t="str">
        <f t="shared" si="407"/>
        <v>A50</v>
      </c>
      <c r="P1219" s="15" t="str">
        <f t="shared" si="408"/>
        <v>Rassilon Ltd.</v>
      </c>
      <c r="Q1219" s="15" t="str">
        <f t="shared" si="409"/>
        <v>82 Richard Mathews Road</v>
      </c>
      <c r="R1219" s="3">
        <f>OrdersTable!C1219</f>
        <v>44647</v>
      </c>
      <c r="S1219" s="15">
        <f>OrdersTable!E1219</f>
        <v>9</v>
      </c>
      <c r="T1219" s="15">
        <f t="shared" si="410"/>
        <v>49.99</v>
      </c>
      <c r="U1219" s="15">
        <f t="shared" si="411"/>
        <v>68.260000000000005</v>
      </c>
      <c r="V1219" s="15">
        <f t="shared" si="412"/>
        <v>80.98</v>
      </c>
      <c r="W1219" s="15">
        <f>IF(MarkupType="Store Markup",ROUND(V1219+V1219*StoreMarkup,2),IF(MarkupType="Supplier Markup",V1219+V1219*SupplierMarkup,"Error at finding value"))</f>
        <v>127.54</v>
      </c>
      <c r="X1219" s="32">
        <f t="shared" si="414"/>
        <v>9.09</v>
      </c>
      <c r="Y1219" s="15">
        <f t="shared" si="415"/>
        <v>728.82</v>
      </c>
      <c r="Z1219" s="15">
        <f t="shared" si="416"/>
        <v>1066.05</v>
      </c>
      <c r="AA1219" s="15">
        <f>IF(FreightType="Lethbridge-Stewart Freight ",ROUND(2.99+IF(N1219&gt;0.75,(N1219-0.75)*2.25,0)*S1219,2),IF(MarkupType="Supplier Markup",V1219+V1219*SupplierMarkup,"Error at finding value"))</f>
        <v>38.43</v>
      </c>
      <c r="AB1219" s="15">
        <f t="shared" si="417"/>
        <v>81.81</v>
      </c>
    </row>
    <row r="1220" spans="1:28" x14ac:dyDescent="0.25">
      <c r="A1220" s="16">
        <f>OrdersTable!A1220</f>
        <v>906</v>
      </c>
      <c r="B1220" s="15" t="str">
        <f t="shared" ref="B1220:B1283" si="419">VLOOKUP($A1220,Cust,2,0)</f>
        <v>Mrs</v>
      </c>
      <c r="C1220" s="15" t="str">
        <f t="shared" si="418"/>
        <v>Turner</v>
      </c>
      <c r="D1220" s="15" t="str">
        <f t="shared" ref="D1220:D1283" si="420">VLOOKUP($A1220,Cust,4,0)</f>
        <v>Courtney</v>
      </c>
      <c r="E1220" s="15" t="str">
        <f t="shared" ref="E1220:E1283" si="421">VLOOKUP($A1220,Cust,6,0)</f>
        <v>42 Fearon Avenue</v>
      </c>
      <c r="F1220" s="15" t="str">
        <f t="shared" ref="F1220:F1283" si="422">VLOOKUP($A1220,Cust,7,0)</f>
        <v>Breakwater</v>
      </c>
      <c r="G1220" s="15" t="str">
        <f t="shared" ref="G1220:G1283" si="423">VLOOKUP($A1220,Cust,8,0)</f>
        <v>VIC</v>
      </c>
      <c r="H1220" s="15">
        <f t="shared" ref="H1220:H1283" si="424">VLOOKUP($A1220,Cust,9,0)</f>
        <v>3219</v>
      </c>
      <c r="I1220" s="15">
        <f t="shared" si="413"/>
        <v>1596</v>
      </c>
      <c r="J1220" s="15">
        <f>OrdersTable!B1220</f>
        <v>395</v>
      </c>
      <c r="K1220" s="15" t="str">
        <f t="shared" ref="K1220:K1283" si="425">VLOOKUP($J1220,Itms,2,0)</f>
        <v>Clothing and Apparel</v>
      </c>
      <c r="L1220" s="15" t="str">
        <f t="shared" ref="L1220:L1283" si="426">VLOOKUP($J1220,Itms,3,0)</f>
        <v xml:space="preserve">Doctor Who: T-Shirts: 7th Doctor Costume </v>
      </c>
      <c r="M1220" s="15" t="str">
        <f t="shared" ref="M1220:M1283" si="427">VLOOKUP($J1220,Itms,4,0)</f>
        <v>L</v>
      </c>
      <c r="N1220" s="15">
        <f t="shared" ref="N1220:N1283" si="428">VLOOKUP($J1220,Itms,5,0)</f>
        <v>0.8</v>
      </c>
      <c r="O1220" s="15" t="str">
        <f t="shared" ref="O1220:O1283" si="429">VLOOKUP($J1220,Itms,6,0)</f>
        <v>A10</v>
      </c>
      <c r="P1220" s="15" t="str">
        <f t="shared" ref="P1220:P1283" si="430">VLOOKUP($O1220,Supp,2,0)</f>
        <v>Gallifrey International</v>
      </c>
      <c r="Q1220" s="15" t="str">
        <f t="shared" ref="Q1220:Q1283" si="431">VLOOKUP($O1220,Supp,3,0)</f>
        <v>181 Arcadia Street</v>
      </c>
      <c r="R1220" s="3">
        <f>OrdersTable!C1220</f>
        <v>44647</v>
      </c>
      <c r="S1220" s="15">
        <f>OrdersTable!E1220</f>
        <v>6</v>
      </c>
      <c r="T1220" s="15">
        <f t="shared" ref="T1220:T1283" si="432">VLOOKUP($J1220,Itms,9,0)</f>
        <v>15.99</v>
      </c>
      <c r="U1220" s="15">
        <f t="shared" ref="U1220:U1283" si="433">VLOOKUP($J1220,Itms,10,0)</f>
        <v>22.07</v>
      </c>
      <c r="V1220" s="15">
        <f t="shared" ref="V1220:V1283" si="434">IF(ExchRateType="IR",ROUND(T1220*ExchRateIR,2),IF(ExchRateType="CA",ROUND(U1220*ExchRateCA,2),"Error at finding value"))</f>
        <v>25.9</v>
      </c>
      <c r="W1220" s="15">
        <f>IF(MarkupType="Store Markup",ROUND(V1220+V1220*StoreMarkup,2),IF(MarkupType="Supplier Markup",V1220+V1220*SupplierMarkup,"Error at finding value"))</f>
        <v>40.79</v>
      </c>
      <c r="X1220" s="32" t="str">
        <f t="shared" si="414"/>
        <v>0.00</v>
      </c>
      <c r="Y1220" s="15">
        <f t="shared" si="415"/>
        <v>155.4</v>
      </c>
      <c r="Z1220" s="15">
        <f t="shared" si="416"/>
        <v>244.74</v>
      </c>
      <c r="AA1220" s="15">
        <f>IF(FreightType="Lethbridge-Stewart Freight ",ROUND(2.99+IF(N1220&gt;0.75,(N1220-0.75)*2.25,0)*S1220,2),IF(MarkupType="Supplier Markup",V1220+V1220*SupplierMarkup,"Error at finding value"))</f>
        <v>3.67</v>
      </c>
      <c r="AB1220" s="15">
        <f t="shared" si="417"/>
        <v>0</v>
      </c>
    </row>
    <row r="1221" spans="1:28" x14ac:dyDescent="0.25">
      <c r="A1221" s="16">
        <f>OrdersTable!A1221</f>
        <v>906</v>
      </c>
      <c r="B1221" s="15" t="str">
        <f t="shared" si="419"/>
        <v>Mrs</v>
      </c>
      <c r="C1221" s="15" t="str">
        <f t="shared" si="418"/>
        <v>Turner</v>
      </c>
      <c r="D1221" s="15" t="str">
        <f t="shared" si="420"/>
        <v>Courtney</v>
      </c>
      <c r="E1221" s="15" t="str">
        <f t="shared" si="421"/>
        <v>42 Fearon Avenue</v>
      </c>
      <c r="F1221" s="15" t="str">
        <f t="shared" si="422"/>
        <v>Breakwater</v>
      </c>
      <c r="G1221" s="15" t="str">
        <f t="shared" si="423"/>
        <v>VIC</v>
      </c>
      <c r="H1221" s="15">
        <f t="shared" si="424"/>
        <v>3219</v>
      </c>
      <c r="I1221" s="15">
        <f t="shared" ref="I1221:I1284" si="435">VLOOKUP($A1221,Cust,10,0)</f>
        <v>1596</v>
      </c>
      <c r="J1221" s="15">
        <f>OrdersTable!B1221</f>
        <v>782</v>
      </c>
      <c r="K1221" s="15" t="str">
        <f t="shared" si="425"/>
        <v>Statues and Busts</v>
      </c>
      <c r="L1221" s="15" t="str">
        <f t="shared" si="426"/>
        <v>Doctor Who: Masterpiece Collection Maxi Bust: 10th Doctor</v>
      </c>
      <c r="M1221" s="15" t="str">
        <f t="shared" si="427"/>
        <v>-</v>
      </c>
      <c r="N1221" s="15">
        <f t="shared" si="428"/>
        <v>2.5</v>
      </c>
      <c r="O1221" s="15" t="str">
        <f t="shared" si="429"/>
        <v>A30</v>
      </c>
      <c r="P1221" s="15" t="str">
        <f t="shared" si="430"/>
        <v>Chesterton Enterprises</v>
      </c>
      <c r="Q1221" s="15" t="str">
        <f t="shared" si="431"/>
        <v>41 William Russell Road</v>
      </c>
      <c r="R1221" s="3">
        <f>OrdersTable!C1221</f>
        <v>44647</v>
      </c>
      <c r="S1221" s="15">
        <f>OrdersTable!E1221</f>
        <v>2</v>
      </c>
      <c r="T1221" s="15">
        <f t="shared" si="432"/>
        <v>49.99</v>
      </c>
      <c r="U1221" s="15">
        <f t="shared" si="433"/>
        <v>68.5</v>
      </c>
      <c r="V1221" s="15">
        <f t="shared" si="434"/>
        <v>80.98</v>
      </c>
      <c r="W1221" s="15">
        <f>IF(MarkupType="Store Markup",ROUND(V1221+V1221*StoreMarkup,2),IF(MarkupType="Supplier Markup",V1221+V1221*SupplierMarkup,"Error at finding value"))</f>
        <v>127.54</v>
      </c>
      <c r="X1221" s="32" t="str">
        <f t="shared" ref="X1221:X1284" si="436">IF(AND(W1221&gt;100,S1221&gt;=3),ROUND(0.07125*W1221,2),"0.00")</f>
        <v>0.00</v>
      </c>
      <c r="Y1221" s="15">
        <f t="shared" ref="Y1221:Y1284" si="437">ROUND(V1221*S1221,2)</f>
        <v>161.96</v>
      </c>
      <c r="Z1221" s="15">
        <f t="shared" ref="Z1221:Z1284" si="438">ROUND((W1221-X1221)*S1221,2)</f>
        <v>255.08</v>
      </c>
      <c r="AA1221" s="15">
        <f>IF(FreightType="Lethbridge-Stewart Freight ",ROUND(2.99+IF(N1221&gt;0.75,(N1221-0.75)*2.25,0)*S1221,2),IF(MarkupType="Supplier Markup",V1221+V1221*SupplierMarkup,"Error at finding value"))</f>
        <v>10.87</v>
      </c>
      <c r="AB1221" s="15">
        <f t="shared" ref="AB1221:AB1284" si="439">ROUND(X1221*S1221,2)</f>
        <v>0</v>
      </c>
    </row>
    <row r="1222" spans="1:28" x14ac:dyDescent="0.25">
      <c r="A1222" s="16">
        <f>OrdersTable!A1222</f>
        <v>55</v>
      </c>
      <c r="B1222" s="15" t="str">
        <f t="shared" si="419"/>
        <v>Mr</v>
      </c>
      <c r="C1222" s="15" t="str">
        <f t="shared" si="418"/>
        <v>Myers</v>
      </c>
      <c r="D1222" s="15" t="str">
        <f t="shared" si="420"/>
        <v>Luke Charles</v>
      </c>
      <c r="E1222" s="15" t="str">
        <f t="shared" si="421"/>
        <v>25 Penrose Street</v>
      </c>
      <c r="F1222" s="15" t="str">
        <f t="shared" si="422"/>
        <v>Black Hills</v>
      </c>
      <c r="G1222" s="15" t="str">
        <f t="shared" si="423"/>
        <v>TAS</v>
      </c>
      <c r="H1222" s="15">
        <f t="shared" si="424"/>
        <v>7140</v>
      </c>
      <c r="I1222" s="15">
        <f t="shared" si="435"/>
        <v>2191</v>
      </c>
      <c r="J1222" s="15">
        <f>OrdersTable!B1222</f>
        <v>331</v>
      </c>
      <c r="K1222" s="15" t="str">
        <f t="shared" si="425"/>
        <v>Clothing and Apparel</v>
      </c>
      <c r="L1222" s="15" t="str">
        <f t="shared" si="426"/>
        <v xml:space="preserve">Doctor Who: T-Shirts: 4th Doctor Costume </v>
      </c>
      <c r="M1222" s="15" t="str">
        <f t="shared" si="427"/>
        <v>L</v>
      </c>
      <c r="N1222" s="15">
        <f t="shared" si="428"/>
        <v>0.8</v>
      </c>
      <c r="O1222" s="15" t="str">
        <f t="shared" si="429"/>
        <v>A20</v>
      </c>
      <c r="P1222" s="15" t="str">
        <f t="shared" si="430"/>
        <v>Morbius Inc.</v>
      </c>
      <c r="Q1222" s="15" t="str">
        <f t="shared" si="431"/>
        <v>56 Michael Spice Hwy</v>
      </c>
      <c r="R1222" s="3">
        <f>OrdersTable!C1222</f>
        <v>44648</v>
      </c>
      <c r="S1222" s="15">
        <f>OrdersTable!E1222</f>
        <v>4</v>
      </c>
      <c r="T1222" s="15">
        <f t="shared" si="432"/>
        <v>15.99</v>
      </c>
      <c r="U1222" s="15">
        <f t="shared" si="433"/>
        <v>22.08</v>
      </c>
      <c r="V1222" s="15">
        <f t="shared" si="434"/>
        <v>25.9</v>
      </c>
      <c r="W1222" s="15">
        <f>IF(MarkupType="Store Markup",ROUND(V1222+V1222*StoreMarkup,2),IF(MarkupType="Supplier Markup",V1222+V1222*SupplierMarkup,"Error at finding value"))</f>
        <v>40.79</v>
      </c>
      <c r="X1222" s="32" t="str">
        <f t="shared" si="436"/>
        <v>0.00</v>
      </c>
      <c r="Y1222" s="15">
        <f t="shared" si="437"/>
        <v>103.6</v>
      </c>
      <c r="Z1222" s="15">
        <f t="shared" si="438"/>
        <v>163.16</v>
      </c>
      <c r="AA1222" s="15">
        <f>IF(FreightType="Lethbridge-Stewart Freight ",ROUND(2.99+IF(N1222&gt;0.75,(N1222-0.75)*2.25,0)*S1222,2),IF(MarkupType="Supplier Markup",V1222+V1222*SupplierMarkup,"Error at finding value"))</f>
        <v>3.44</v>
      </c>
      <c r="AB1222" s="15">
        <f t="shared" si="439"/>
        <v>0</v>
      </c>
    </row>
    <row r="1223" spans="1:28" x14ac:dyDescent="0.25">
      <c r="A1223" s="16">
        <f>OrdersTable!A1223</f>
        <v>139</v>
      </c>
      <c r="B1223" s="15" t="str">
        <f t="shared" si="419"/>
        <v>Mrs</v>
      </c>
      <c r="C1223" s="15" t="str">
        <f t="shared" si="418"/>
        <v>Atkinson</v>
      </c>
      <c r="D1223" s="15" t="str">
        <f t="shared" si="420"/>
        <v>Leanne</v>
      </c>
      <c r="E1223" s="15" t="str">
        <f t="shared" si="421"/>
        <v>45 Maloney Boulevard</v>
      </c>
      <c r="F1223" s="15" t="str">
        <f t="shared" si="422"/>
        <v>Avon Plains</v>
      </c>
      <c r="G1223" s="15" t="str">
        <f t="shared" si="423"/>
        <v>VIC</v>
      </c>
      <c r="H1223" s="15">
        <f t="shared" si="424"/>
        <v>3477</v>
      </c>
      <c r="I1223" s="15">
        <f t="shared" si="435"/>
        <v>1565</v>
      </c>
      <c r="J1223" s="15">
        <f>OrdersTable!B1223</f>
        <v>583</v>
      </c>
      <c r="K1223" s="15" t="str">
        <f t="shared" si="425"/>
        <v>iPhone Skins</v>
      </c>
      <c r="L1223" s="15" t="str">
        <f t="shared" si="426"/>
        <v>Doctor Who: iPhone Skin: Cyberman Delete</v>
      </c>
      <c r="M1223" s="15" t="str">
        <f t="shared" si="427"/>
        <v>-</v>
      </c>
      <c r="N1223" s="15">
        <f t="shared" si="428"/>
        <v>0.3</v>
      </c>
      <c r="O1223" s="15" t="str">
        <f t="shared" si="429"/>
        <v>A50</v>
      </c>
      <c r="P1223" s="15" t="str">
        <f t="shared" si="430"/>
        <v>Rassilon Ltd.</v>
      </c>
      <c r="Q1223" s="15" t="str">
        <f t="shared" si="431"/>
        <v>82 Richard Mathews Road</v>
      </c>
      <c r="R1223" s="3">
        <f>OrdersTable!C1223</f>
        <v>44648</v>
      </c>
      <c r="S1223" s="15">
        <f>OrdersTable!E1223</f>
        <v>9</v>
      </c>
      <c r="T1223" s="15">
        <f t="shared" si="432"/>
        <v>5.99</v>
      </c>
      <c r="U1223" s="15">
        <f t="shared" si="433"/>
        <v>8.23</v>
      </c>
      <c r="V1223" s="15">
        <f t="shared" si="434"/>
        <v>9.6999999999999993</v>
      </c>
      <c r="W1223" s="15">
        <f>IF(MarkupType="Store Markup",ROUND(V1223+V1223*StoreMarkup,2),IF(MarkupType="Supplier Markup",V1223+V1223*SupplierMarkup,"Error at finding value"))</f>
        <v>15.28</v>
      </c>
      <c r="X1223" s="32" t="str">
        <f t="shared" si="436"/>
        <v>0.00</v>
      </c>
      <c r="Y1223" s="15">
        <f t="shared" si="437"/>
        <v>87.3</v>
      </c>
      <c r="Z1223" s="15">
        <f t="shared" si="438"/>
        <v>137.52000000000001</v>
      </c>
      <c r="AA1223" s="15">
        <f>IF(FreightType="Lethbridge-Stewart Freight ",ROUND(2.99+IF(N1223&gt;0.75,(N1223-0.75)*2.25,0)*S1223,2),IF(MarkupType="Supplier Markup",V1223+V1223*SupplierMarkup,"Error at finding value"))</f>
        <v>2.99</v>
      </c>
      <c r="AB1223" s="15">
        <f t="shared" si="439"/>
        <v>0</v>
      </c>
    </row>
    <row r="1224" spans="1:28" x14ac:dyDescent="0.25">
      <c r="A1224" s="16">
        <f>OrdersTable!A1224</f>
        <v>142</v>
      </c>
      <c r="B1224" s="15" t="str">
        <f t="shared" si="419"/>
        <v>Miss</v>
      </c>
      <c r="C1224" s="15" t="str">
        <f t="shared" si="418"/>
        <v>Western</v>
      </c>
      <c r="D1224" s="15" t="str">
        <f t="shared" si="420"/>
        <v>Lee Reuben</v>
      </c>
      <c r="E1224" s="15" t="str">
        <f t="shared" si="421"/>
        <v>14 Fields Road</v>
      </c>
      <c r="F1224" s="15" t="str">
        <f t="shared" si="422"/>
        <v>Airly</v>
      </c>
      <c r="G1224" s="15" t="str">
        <f t="shared" si="423"/>
        <v>VIC</v>
      </c>
      <c r="H1224" s="15">
        <f t="shared" si="424"/>
        <v>3851</v>
      </c>
      <c r="I1224" s="15">
        <f t="shared" si="435"/>
        <v>1583</v>
      </c>
      <c r="J1224" s="15">
        <f>OrdersTable!B1224</f>
        <v>667</v>
      </c>
      <c r="K1224" s="15" t="str">
        <f t="shared" si="425"/>
        <v>Mugs</v>
      </c>
      <c r="L1224" s="15" t="str">
        <f t="shared" si="426"/>
        <v>Doctor Who: Mug: Keep Calm And Don't Blink</v>
      </c>
      <c r="M1224" s="15" t="str">
        <f t="shared" si="427"/>
        <v>-</v>
      </c>
      <c r="N1224" s="15">
        <f t="shared" si="428"/>
        <v>0.35</v>
      </c>
      <c r="O1224" s="15" t="str">
        <f t="shared" si="429"/>
        <v>A10</v>
      </c>
      <c r="P1224" s="15" t="str">
        <f t="shared" si="430"/>
        <v>Gallifrey International</v>
      </c>
      <c r="Q1224" s="15" t="str">
        <f t="shared" si="431"/>
        <v>181 Arcadia Street</v>
      </c>
      <c r="R1224" s="3">
        <f>OrdersTable!C1224</f>
        <v>44648</v>
      </c>
      <c r="S1224" s="15">
        <f>OrdersTable!E1224</f>
        <v>8</v>
      </c>
      <c r="T1224" s="15">
        <f t="shared" si="432"/>
        <v>6.99</v>
      </c>
      <c r="U1224" s="15">
        <f t="shared" si="433"/>
        <v>9.84</v>
      </c>
      <c r="V1224" s="15">
        <f t="shared" si="434"/>
        <v>11.32</v>
      </c>
      <c r="W1224" s="15">
        <f>IF(MarkupType="Store Markup",ROUND(V1224+V1224*StoreMarkup,2),IF(MarkupType="Supplier Markup",V1224+V1224*SupplierMarkup,"Error at finding value"))</f>
        <v>17.829999999999998</v>
      </c>
      <c r="X1224" s="32" t="str">
        <f t="shared" si="436"/>
        <v>0.00</v>
      </c>
      <c r="Y1224" s="15">
        <f t="shared" si="437"/>
        <v>90.56</v>
      </c>
      <c r="Z1224" s="15">
        <f t="shared" si="438"/>
        <v>142.63999999999999</v>
      </c>
      <c r="AA1224" s="15">
        <f>IF(FreightType="Lethbridge-Stewart Freight ",ROUND(2.99+IF(N1224&gt;0.75,(N1224-0.75)*2.25,0)*S1224,2),IF(MarkupType="Supplier Markup",V1224+V1224*SupplierMarkup,"Error at finding value"))</f>
        <v>2.99</v>
      </c>
      <c r="AB1224" s="15">
        <f t="shared" si="439"/>
        <v>0</v>
      </c>
    </row>
    <row r="1225" spans="1:28" x14ac:dyDescent="0.25">
      <c r="A1225" s="16">
        <f>OrdersTable!A1225</f>
        <v>180</v>
      </c>
      <c r="B1225" s="15" t="str">
        <f t="shared" si="419"/>
        <v>Mrs</v>
      </c>
      <c r="C1225" s="15" t="str">
        <f t="shared" si="418"/>
        <v>Feeney</v>
      </c>
      <c r="D1225" s="15" t="str">
        <f t="shared" si="420"/>
        <v>Jennifer Ruth</v>
      </c>
      <c r="E1225" s="15" t="str">
        <f t="shared" si="421"/>
        <v>18 Cook Avenue</v>
      </c>
      <c r="F1225" s="15" t="str">
        <f t="shared" si="422"/>
        <v>Nayook</v>
      </c>
      <c r="G1225" s="15" t="str">
        <f t="shared" si="423"/>
        <v>VIC</v>
      </c>
      <c r="H1225" s="15">
        <f t="shared" si="424"/>
        <v>3832</v>
      </c>
      <c r="I1225" s="15">
        <f t="shared" si="435"/>
        <v>1552</v>
      </c>
      <c r="J1225" s="15">
        <f>OrdersTable!B1225</f>
        <v>398</v>
      </c>
      <c r="K1225" s="15" t="str">
        <f t="shared" si="425"/>
        <v>Clothing and Apparel</v>
      </c>
      <c r="L1225" s="15" t="str">
        <f t="shared" si="426"/>
        <v>Doctor Who: Women's Winter Pyjamas</v>
      </c>
      <c r="M1225" s="15" t="str">
        <f t="shared" si="427"/>
        <v>S</v>
      </c>
      <c r="N1225" s="15">
        <f t="shared" si="428"/>
        <v>1.5</v>
      </c>
      <c r="O1225" s="15" t="str">
        <f t="shared" si="429"/>
        <v>A40</v>
      </c>
      <c r="P1225" s="15" t="str">
        <f t="shared" si="430"/>
        <v>Romana Imports</v>
      </c>
      <c r="Q1225" s="15" t="str">
        <f t="shared" si="431"/>
        <v>17 Lalla Ward Road</v>
      </c>
      <c r="R1225" s="3">
        <f>OrdersTable!C1225</f>
        <v>44648</v>
      </c>
      <c r="S1225" s="15">
        <f>OrdersTable!E1225</f>
        <v>8</v>
      </c>
      <c r="T1225" s="15">
        <f t="shared" si="432"/>
        <v>29.99</v>
      </c>
      <c r="U1225" s="15">
        <f t="shared" si="433"/>
        <v>41.07</v>
      </c>
      <c r="V1225" s="15">
        <f t="shared" si="434"/>
        <v>48.58</v>
      </c>
      <c r="W1225" s="15">
        <f>IF(MarkupType="Store Markup",ROUND(V1225+V1225*StoreMarkup,2),IF(MarkupType="Supplier Markup",V1225+V1225*SupplierMarkup,"Error at finding value"))</f>
        <v>76.510000000000005</v>
      </c>
      <c r="X1225" s="32" t="str">
        <f t="shared" si="436"/>
        <v>0.00</v>
      </c>
      <c r="Y1225" s="15">
        <f t="shared" si="437"/>
        <v>388.64</v>
      </c>
      <c r="Z1225" s="15">
        <f t="shared" si="438"/>
        <v>612.08000000000004</v>
      </c>
      <c r="AA1225" s="15">
        <f>IF(FreightType="Lethbridge-Stewart Freight ",ROUND(2.99+IF(N1225&gt;0.75,(N1225-0.75)*2.25,0)*S1225,2),IF(MarkupType="Supplier Markup",V1225+V1225*SupplierMarkup,"Error at finding value"))</f>
        <v>16.489999999999998</v>
      </c>
      <c r="AB1225" s="15">
        <f t="shared" si="439"/>
        <v>0</v>
      </c>
    </row>
    <row r="1226" spans="1:28" x14ac:dyDescent="0.25">
      <c r="A1226" s="16">
        <f>OrdersTable!A1226</f>
        <v>610</v>
      </c>
      <c r="B1226" s="15" t="str">
        <f t="shared" si="419"/>
        <v>Ms</v>
      </c>
      <c r="C1226" s="15" t="str">
        <f t="shared" si="418"/>
        <v>Bichel</v>
      </c>
      <c r="D1226" s="15" t="str">
        <f t="shared" si="420"/>
        <v>Abbey Kate</v>
      </c>
      <c r="E1226" s="15" t="str">
        <f t="shared" si="421"/>
        <v>32 Rambau Avenue</v>
      </c>
      <c r="F1226" s="15" t="str">
        <f t="shared" si="422"/>
        <v>Bamboo</v>
      </c>
      <c r="G1226" s="15" t="str">
        <f t="shared" si="423"/>
        <v>QLD</v>
      </c>
      <c r="H1226" s="15">
        <f t="shared" si="424"/>
        <v>4873</v>
      </c>
      <c r="I1226" s="15">
        <f t="shared" si="435"/>
        <v>1741</v>
      </c>
      <c r="J1226" s="15">
        <f>OrdersTable!B1226</f>
        <v>652</v>
      </c>
      <c r="K1226" s="15" t="str">
        <f t="shared" si="425"/>
        <v>Mugs</v>
      </c>
      <c r="L1226" s="15" t="str">
        <f t="shared" si="426"/>
        <v>Doctor Who: Mug: Dalek 2D</v>
      </c>
      <c r="M1226" s="15" t="str">
        <f t="shared" si="427"/>
        <v>-</v>
      </c>
      <c r="N1226" s="15">
        <f t="shared" si="428"/>
        <v>0.35</v>
      </c>
      <c r="O1226" s="15" t="str">
        <f t="shared" si="429"/>
        <v>A10</v>
      </c>
      <c r="P1226" s="15" t="str">
        <f t="shared" si="430"/>
        <v>Gallifrey International</v>
      </c>
      <c r="Q1226" s="15" t="str">
        <f t="shared" si="431"/>
        <v>181 Arcadia Street</v>
      </c>
      <c r="R1226" s="3">
        <f>OrdersTable!C1226</f>
        <v>44648</v>
      </c>
      <c r="S1226" s="15">
        <f>OrdersTable!E1226</f>
        <v>1</v>
      </c>
      <c r="T1226" s="15">
        <f t="shared" si="432"/>
        <v>6.99</v>
      </c>
      <c r="U1226" s="15">
        <f t="shared" si="433"/>
        <v>9.8800000000000008</v>
      </c>
      <c r="V1226" s="15">
        <f t="shared" si="434"/>
        <v>11.32</v>
      </c>
      <c r="W1226" s="15">
        <f>IF(MarkupType="Store Markup",ROUND(V1226+V1226*StoreMarkup,2),IF(MarkupType="Supplier Markup",V1226+V1226*SupplierMarkup,"Error at finding value"))</f>
        <v>17.829999999999998</v>
      </c>
      <c r="X1226" s="32" t="str">
        <f t="shared" si="436"/>
        <v>0.00</v>
      </c>
      <c r="Y1226" s="15">
        <f t="shared" si="437"/>
        <v>11.32</v>
      </c>
      <c r="Z1226" s="15">
        <f t="shared" si="438"/>
        <v>17.829999999999998</v>
      </c>
      <c r="AA1226" s="15">
        <f>IF(FreightType="Lethbridge-Stewart Freight ",ROUND(2.99+IF(N1226&gt;0.75,(N1226-0.75)*2.25,0)*S1226,2),IF(MarkupType="Supplier Markup",V1226+V1226*SupplierMarkup,"Error at finding value"))</f>
        <v>2.99</v>
      </c>
      <c r="AB1226" s="15">
        <f t="shared" si="439"/>
        <v>0</v>
      </c>
    </row>
    <row r="1227" spans="1:28" x14ac:dyDescent="0.25">
      <c r="A1227" s="16">
        <f>OrdersTable!A1227</f>
        <v>643</v>
      </c>
      <c r="B1227" s="15" t="str">
        <f t="shared" si="419"/>
        <v>Ms</v>
      </c>
      <c r="C1227" s="15" t="str">
        <f t="shared" ref="C1227:C1290" si="440">VLOOKUP($A1227,Cust,3,0)</f>
        <v>Crispin-Purcell</v>
      </c>
      <c r="D1227" s="15" t="str">
        <f t="shared" si="420"/>
        <v>Gabriellen Elizabeth</v>
      </c>
      <c r="E1227" s="15" t="str">
        <f t="shared" si="421"/>
        <v>12 Williams Road</v>
      </c>
      <c r="F1227" s="15" t="str">
        <f t="shared" si="422"/>
        <v>Appletree Flat</v>
      </c>
      <c r="G1227" s="15" t="str">
        <f t="shared" si="423"/>
        <v>NSW</v>
      </c>
      <c r="H1227" s="15">
        <f t="shared" si="424"/>
        <v>2330</v>
      </c>
      <c r="I1227" s="15">
        <f t="shared" si="435"/>
        <v>691</v>
      </c>
      <c r="J1227" s="15">
        <f>OrdersTable!B1227</f>
        <v>652</v>
      </c>
      <c r="K1227" s="15" t="str">
        <f t="shared" si="425"/>
        <v>Mugs</v>
      </c>
      <c r="L1227" s="15" t="str">
        <f t="shared" si="426"/>
        <v>Doctor Who: Mug: Dalek 2D</v>
      </c>
      <c r="M1227" s="15" t="str">
        <f t="shared" si="427"/>
        <v>-</v>
      </c>
      <c r="N1227" s="15">
        <f t="shared" si="428"/>
        <v>0.35</v>
      </c>
      <c r="O1227" s="15" t="str">
        <f t="shared" si="429"/>
        <v>A10</v>
      </c>
      <c r="P1227" s="15" t="str">
        <f t="shared" si="430"/>
        <v>Gallifrey International</v>
      </c>
      <c r="Q1227" s="15" t="str">
        <f t="shared" si="431"/>
        <v>181 Arcadia Street</v>
      </c>
      <c r="R1227" s="3">
        <f>OrdersTable!C1227</f>
        <v>44648</v>
      </c>
      <c r="S1227" s="15">
        <f>OrdersTable!E1227</f>
        <v>9</v>
      </c>
      <c r="T1227" s="15">
        <f t="shared" si="432"/>
        <v>6.99</v>
      </c>
      <c r="U1227" s="15">
        <f t="shared" si="433"/>
        <v>9.8800000000000008</v>
      </c>
      <c r="V1227" s="15">
        <f t="shared" si="434"/>
        <v>11.32</v>
      </c>
      <c r="W1227" s="15">
        <f>IF(MarkupType="Store Markup",ROUND(V1227+V1227*StoreMarkup,2),IF(MarkupType="Supplier Markup",V1227+V1227*SupplierMarkup,"Error at finding value"))</f>
        <v>17.829999999999998</v>
      </c>
      <c r="X1227" s="32" t="str">
        <f t="shared" si="436"/>
        <v>0.00</v>
      </c>
      <c r="Y1227" s="15">
        <f t="shared" si="437"/>
        <v>101.88</v>
      </c>
      <c r="Z1227" s="15">
        <f t="shared" si="438"/>
        <v>160.47</v>
      </c>
      <c r="AA1227" s="15">
        <f>IF(FreightType="Lethbridge-Stewart Freight ",ROUND(2.99+IF(N1227&gt;0.75,(N1227-0.75)*2.25,0)*S1227,2),IF(MarkupType="Supplier Markup",V1227+V1227*SupplierMarkup,"Error at finding value"))</f>
        <v>2.99</v>
      </c>
      <c r="AB1227" s="15">
        <f t="shared" si="439"/>
        <v>0</v>
      </c>
    </row>
    <row r="1228" spans="1:28" x14ac:dyDescent="0.25">
      <c r="A1228" s="16">
        <f>OrdersTable!A1228</f>
        <v>771</v>
      </c>
      <c r="B1228" s="15" t="str">
        <f t="shared" si="419"/>
        <v>Dr</v>
      </c>
      <c r="C1228" s="15" t="str">
        <f t="shared" si="440"/>
        <v>Virk</v>
      </c>
      <c r="D1228" s="15" t="str">
        <f t="shared" si="420"/>
        <v>Balraj Singh</v>
      </c>
      <c r="E1228" s="15" t="str">
        <f t="shared" si="421"/>
        <v>39 Napanje Drive</v>
      </c>
      <c r="F1228" s="15" t="str">
        <f t="shared" si="422"/>
        <v>Abington</v>
      </c>
      <c r="G1228" s="15" t="str">
        <f t="shared" si="423"/>
        <v>QLD</v>
      </c>
      <c r="H1228" s="15">
        <f t="shared" si="424"/>
        <v>4660</v>
      </c>
      <c r="I1228" s="15">
        <f t="shared" si="435"/>
        <v>336</v>
      </c>
      <c r="J1228" s="15">
        <f>OrdersTable!B1228</f>
        <v>145</v>
      </c>
      <c r="K1228" s="15" t="str">
        <f t="shared" si="425"/>
        <v>Bobbleheads</v>
      </c>
      <c r="L1228" s="15" t="str">
        <f t="shared" si="426"/>
        <v>Doctor Who: Bobblehead: Eleventh Doctor</v>
      </c>
      <c r="M1228" s="15" t="str">
        <f t="shared" si="427"/>
        <v>-</v>
      </c>
      <c r="N1228" s="15">
        <f t="shared" si="428"/>
        <v>1</v>
      </c>
      <c r="O1228" s="15" t="str">
        <f t="shared" si="429"/>
        <v>A30</v>
      </c>
      <c r="P1228" s="15" t="str">
        <f t="shared" si="430"/>
        <v>Chesterton Enterprises</v>
      </c>
      <c r="Q1228" s="15" t="str">
        <f t="shared" si="431"/>
        <v>41 William Russell Road</v>
      </c>
      <c r="R1228" s="3">
        <f>OrdersTable!C1228</f>
        <v>44648</v>
      </c>
      <c r="S1228" s="15">
        <f>OrdersTable!E1228</f>
        <v>8</v>
      </c>
      <c r="T1228" s="15">
        <f t="shared" si="432"/>
        <v>19.989999999999998</v>
      </c>
      <c r="U1228" s="15">
        <f t="shared" si="433"/>
        <v>27.54</v>
      </c>
      <c r="V1228" s="15">
        <f t="shared" si="434"/>
        <v>32.380000000000003</v>
      </c>
      <c r="W1228" s="15">
        <f>IF(MarkupType="Store Markup",ROUND(V1228+V1228*StoreMarkup,2),IF(MarkupType="Supplier Markup",V1228+V1228*SupplierMarkup,"Error at finding value"))</f>
        <v>51</v>
      </c>
      <c r="X1228" s="32" t="str">
        <f t="shared" si="436"/>
        <v>0.00</v>
      </c>
      <c r="Y1228" s="15">
        <f t="shared" si="437"/>
        <v>259.04000000000002</v>
      </c>
      <c r="Z1228" s="15">
        <f t="shared" si="438"/>
        <v>408</v>
      </c>
      <c r="AA1228" s="15">
        <f>IF(FreightType="Lethbridge-Stewart Freight ",ROUND(2.99+IF(N1228&gt;0.75,(N1228-0.75)*2.25,0)*S1228,2),IF(MarkupType="Supplier Markup",V1228+V1228*SupplierMarkup,"Error at finding value"))</f>
        <v>7.49</v>
      </c>
      <c r="AB1228" s="15">
        <f t="shared" si="439"/>
        <v>0</v>
      </c>
    </row>
    <row r="1229" spans="1:28" x14ac:dyDescent="0.25">
      <c r="A1229" s="16">
        <f>OrdersTable!A1229</f>
        <v>784</v>
      </c>
      <c r="B1229" s="15" t="str">
        <f t="shared" si="419"/>
        <v>Ms</v>
      </c>
      <c r="C1229" s="15" t="str">
        <f t="shared" si="440"/>
        <v>Hansen</v>
      </c>
      <c r="D1229" s="15" t="str">
        <f t="shared" si="420"/>
        <v>Courtney Michelle</v>
      </c>
      <c r="E1229" s="15" t="str">
        <f t="shared" si="421"/>
        <v>22 Elliot Crescent</v>
      </c>
      <c r="F1229" s="15" t="str">
        <f t="shared" si="422"/>
        <v>Alfredtown</v>
      </c>
      <c r="G1229" s="15" t="str">
        <f t="shared" si="423"/>
        <v>NSW</v>
      </c>
      <c r="H1229" s="15">
        <f t="shared" si="424"/>
        <v>2650</v>
      </c>
      <c r="I1229" s="15">
        <f t="shared" si="435"/>
        <v>1124</v>
      </c>
      <c r="J1229" s="15">
        <f>OrdersTable!B1229</f>
        <v>515</v>
      </c>
      <c r="K1229" s="15" t="str">
        <f t="shared" si="425"/>
        <v>Giftware</v>
      </c>
      <c r="L1229" s="15" t="str">
        <f t="shared" si="426"/>
        <v>Doctor Who: Keyring K9</v>
      </c>
      <c r="M1229" s="15" t="str">
        <f t="shared" si="427"/>
        <v>-</v>
      </c>
      <c r="N1229" s="15">
        <f t="shared" si="428"/>
        <v>0.25</v>
      </c>
      <c r="O1229" s="15" t="str">
        <f t="shared" si="429"/>
        <v>A50</v>
      </c>
      <c r="P1229" s="15" t="str">
        <f t="shared" si="430"/>
        <v>Rassilon Ltd.</v>
      </c>
      <c r="Q1229" s="15" t="str">
        <f t="shared" si="431"/>
        <v>82 Richard Mathews Road</v>
      </c>
      <c r="R1229" s="3">
        <f>OrdersTable!C1229</f>
        <v>44648</v>
      </c>
      <c r="S1229" s="15">
        <f>OrdersTable!E1229</f>
        <v>1</v>
      </c>
      <c r="T1229" s="15">
        <f t="shared" si="432"/>
        <v>4.99</v>
      </c>
      <c r="U1229" s="15">
        <f t="shared" si="433"/>
        <v>6.91</v>
      </c>
      <c r="V1229" s="15">
        <f t="shared" si="434"/>
        <v>8.08</v>
      </c>
      <c r="W1229" s="15">
        <f>IF(MarkupType="Store Markup",ROUND(V1229+V1229*StoreMarkup,2),IF(MarkupType="Supplier Markup",V1229+V1229*SupplierMarkup,"Error at finding value"))</f>
        <v>12.73</v>
      </c>
      <c r="X1229" s="32" t="str">
        <f t="shared" si="436"/>
        <v>0.00</v>
      </c>
      <c r="Y1229" s="15">
        <f t="shared" si="437"/>
        <v>8.08</v>
      </c>
      <c r="Z1229" s="15">
        <f t="shared" si="438"/>
        <v>12.73</v>
      </c>
      <c r="AA1229" s="15">
        <f>IF(FreightType="Lethbridge-Stewart Freight ",ROUND(2.99+IF(N1229&gt;0.75,(N1229-0.75)*2.25,0)*S1229,2),IF(MarkupType="Supplier Markup",V1229+V1229*SupplierMarkup,"Error at finding value"))</f>
        <v>2.99</v>
      </c>
      <c r="AB1229" s="15">
        <f t="shared" si="439"/>
        <v>0</v>
      </c>
    </row>
    <row r="1230" spans="1:28" x14ac:dyDescent="0.25">
      <c r="A1230" s="16">
        <f>OrdersTable!A1230</f>
        <v>923</v>
      </c>
      <c r="B1230" s="15" t="str">
        <f t="shared" si="419"/>
        <v>Ms</v>
      </c>
      <c r="C1230" s="15" t="str">
        <f t="shared" si="440"/>
        <v>Savage</v>
      </c>
      <c r="D1230" s="15" t="str">
        <f t="shared" si="420"/>
        <v>Eliza Margaret</v>
      </c>
      <c r="E1230" s="15" t="str">
        <f t="shared" si="421"/>
        <v>28 Whisson Crescent</v>
      </c>
      <c r="F1230" s="15" t="str">
        <f t="shared" si="422"/>
        <v>Belconnen</v>
      </c>
      <c r="G1230" s="15" t="str">
        <f t="shared" si="423"/>
        <v>ACT</v>
      </c>
      <c r="H1230" s="15">
        <f t="shared" si="424"/>
        <v>2617</v>
      </c>
      <c r="I1230" s="15">
        <f t="shared" si="435"/>
        <v>1194</v>
      </c>
      <c r="J1230" s="15">
        <f>OrdersTable!B1230</f>
        <v>719</v>
      </c>
      <c r="K1230" s="15" t="str">
        <f t="shared" si="425"/>
        <v>Posters, Prints and Standees</v>
      </c>
      <c r="L1230" s="15" t="str">
        <f t="shared" si="426"/>
        <v>Doctor Who: Standee: Supreme Dalek</v>
      </c>
      <c r="M1230" s="15" t="str">
        <f t="shared" si="427"/>
        <v>-</v>
      </c>
      <c r="N1230" s="15">
        <f t="shared" si="428"/>
        <v>1.125</v>
      </c>
      <c r="O1230" s="15" t="str">
        <f t="shared" si="429"/>
        <v>A50</v>
      </c>
      <c r="P1230" s="15" t="str">
        <f t="shared" si="430"/>
        <v>Rassilon Ltd.</v>
      </c>
      <c r="Q1230" s="15" t="str">
        <f t="shared" si="431"/>
        <v>82 Richard Mathews Road</v>
      </c>
      <c r="R1230" s="3">
        <f>OrdersTable!C1230</f>
        <v>44648</v>
      </c>
      <c r="S1230" s="15">
        <f>OrdersTable!E1230</f>
        <v>7</v>
      </c>
      <c r="T1230" s="15">
        <f t="shared" si="432"/>
        <v>22.49</v>
      </c>
      <c r="U1230" s="15">
        <f t="shared" si="433"/>
        <v>30.76</v>
      </c>
      <c r="V1230" s="15">
        <f t="shared" si="434"/>
        <v>36.43</v>
      </c>
      <c r="W1230" s="15">
        <f>IF(MarkupType="Store Markup",ROUND(V1230+V1230*StoreMarkup,2),IF(MarkupType="Supplier Markup",V1230+V1230*SupplierMarkup,"Error at finding value"))</f>
        <v>57.38</v>
      </c>
      <c r="X1230" s="32" t="str">
        <f t="shared" si="436"/>
        <v>0.00</v>
      </c>
      <c r="Y1230" s="15">
        <f t="shared" si="437"/>
        <v>255.01</v>
      </c>
      <c r="Z1230" s="15">
        <f t="shared" si="438"/>
        <v>401.66</v>
      </c>
      <c r="AA1230" s="15">
        <f>IF(FreightType="Lethbridge-Stewart Freight ",ROUND(2.99+IF(N1230&gt;0.75,(N1230-0.75)*2.25,0)*S1230,2),IF(MarkupType="Supplier Markup",V1230+V1230*SupplierMarkup,"Error at finding value"))</f>
        <v>8.9</v>
      </c>
      <c r="AB1230" s="15">
        <f t="shared" si="439"/>
        <v>0</v>
      </c>
    </row>
    <row r="1231" spans="1:28" x14ac:dyDescent="0.25">
      <c r="A1231" s="16">
        <f>OrdersTable!A1231</f>
        <v>42</v>
      </c>
      <c r="B1231" s="15" t="str">
        <f t="shared" si="419"/>
        <v>Mr</v>
      </c>
      <c r="C1231" s="15" t="str">
        <f t="shared" si="440"/>
        <v>Ballantyne</v>
      </c>
      <c r="D1231" s="15" t="str">
        <f t="shared" si="420"/>
        <v>Barry John</v>
      </c>
      <c r="E1231" s="15" t="str">
        <f t="shared" si="421"/>
        <v>14 Bachmann Drive</v>
      </c>
      <c r="F1231" s="15" t="str">
        <f t="shared" si="422"/>
        <v>Alleena</v>
      </c>
      <c r="G1231" s="15" t="str">
        <f t="shared" si="423"/>
        <v>NSW</v>
      </c>
      <c r="H1231" s="15">
        <f t="shared" si="424"/>
        <v>2671</v>
      </c>
      <c r="I1231" s="15">
        <f t="shared" si="435"/>
        <v>988</v>
      </c>
      <c r="J1231" s="15">
        <f>OrdersTable!B1231</f>
        <v>418</v>
      </c>
      <c r="K1231" s="15" t="str">
        <f t="shared" si="425"/>
        <v>Clothing and Apparel</v>
      </c>
      <c r="L1231" s="15" t="str">
        <f t="shared" si="426"/>
        <v>Doctor Who: Women's Winter Pyjamas</v>
      </c>
      <c r="M1231" s="15" t="str">
        <f t="shared" si="427"/>
        <v>M</v>
      </c>
      <c r="N1231" s="15">
        <f t="shared" si="428"/>
        <v>1.5</v>
      </c>
      <c r="O1231" s="15" t="str">
        <f t="shared" si="429"/>
        <v>A30</v>
      </c>
      <c r="P1231" s="15" t="str">
        <f t="shared" si="430"/>
        <v>Chesterton Enterprises</v>
      </c>
      <c r="Q1231" s="15" t="str">
        <f t="shared" si="431"/>
        <v>41 William Russell Road</v>
      </c>
      <c r="R1231" s="3">
        <f>OrdersTable!C1231</f>
        <v>44649</v>
      </c>
      <c r="S1231" s="15">
        <f>OrdersTable!E1231</f>
        <v>7</v>
      </c>
      <c r="T1231" s="15">
        <f t="shared" si="432"/>
        <v>29.99</v>
      </c>
      <c r="U1231" s="15">
        <f t="shared" si="433"/>
        <v>40.96</v>
      </c>
      <c r="V1231" s="15">
        <f t="shared" si="434"/>
        <v>48.58</v>
      </c>
      <c r="W1231" s="15">
        <f>IF(MarkupType="Store Markup",ROUND(V1231+V1231*StoreMarkup,2),IF(MarkupType="Supplier Markup",V1231+V1231*SupplierMarkup,"Error at finding value"))</f>
        <v>76.510000000000005</v>
      </c>
      <c r="X1231" s="32" t="str">
        <f t="shared" si="436"/>
        <v>0.00</v>
      </c>
      <c r="Y1231" s="15">
        <f t="shared" si="437"/>
        <v>340.06</v>
      </c>
      <c r="Z1231" s="15">
        <f t="shared" si="438"/>
        <v>535.57000000000005</v>
      </c>
      <c r="AA1231" s="15">
        <f>IF(FreightType="Lethbridge-Stewart Freight ",ROUND(2.99+IF(N1231&gt;0.75,(N1231-0.75)*2.25,0)*S1231,2),IF(MarkupType="Supplier Markup",V1231+V1231*SupplierMarkup,"Error at finding value"))</f>
        <v>14.8</v>
      </c>
      <c r="AB1231" s="15">
        <f t="shared" si="439"/>
        <v>0</v>
      </c>
    </row>
    <row r="1232" spans="1:28" x14ac:dyDescent="0.25">
      <c r="A1232" s="16">
        <f>OrdersTable!A1232</f>
        <v>112</v>
      </c>
      <c r="B1232" s="15" t="str">
        <f t="shared" si="419"/>
        <v>Mr</v>
      </c>
      <c r="C1232" s="15" t="str">
        <f t="shared" si="440"/>
        <v>Dahal</v>
      </c>
      <c r="D1232" s="15" t="str">
        <f t="shared" si="420"/>
        <v>Subash</v>
      </c>
      <c r="E1232" s="15" t="str">
        <f t="shared" si="421"/>
        <v>121-127 Railway Pde, Granville, NSW 2142</v>
      </c>
      <c r="F1232" s="15" t="str">
        <f t="shared" si="422"/>
        <v>Granville</v>
      </c>
      <c r="G1232" s="15" t="str">
        <f t="shared" si="423"/>
        <v>NSW</v>
      </c>
      <c r="H1232" s="15">
        <f t="shared" si="424"/>
        <v>2142</v>
      </c>
      <c r="I1232" s="15">
        <f t="shared" si="435"/>
        <v>907</v>
      </c>
      <c r="J1232" s="15">
        <f>OrdersTable!B1232</f>
        <v>668</v>
      </c>
      <c r="K1232" s="15" t="str">
        <f t="shared" si="425"/>
        <v>Mugs</v>
      </c>
      <c r="L1232" s="15" t="str">
        <f t="shared" si="426"/>
        <v>Doctor Who: Mug: Silver TARDIS</v>
      </c>
      <c r="M1232" s="15" t="str">
        <f t="shared" si="427"/>
        <v>-</v>
      </c>
      <c r="N1232" s="15">
        <f t="shared" si="428"/>
        <v>1.1499999999999999</v>
      </c>
      <c r="O1232" s="15" t="str">
        <f t="shared" si="429"/>
        <v>A50</v>
      </c>
      <c r="P1232" s="15" t="str">
        <f t="shared" si="430"/>
        <v>Rassilon Ltd.</v>
      </c>
      <c r="Q1232" s="15" t="str">
        <f t="shared" si="431"/>
        <v>82 Richard Mathews Road</v>
      </c>
      <c r="R1232" s="3">
        <f>OrdersTable!C1232</f>
        <v>44649</v>
      </c>
      <c r="S1232" s="15">
        <f>OrdersTable!E1232</f>
        <v>2</v>
      </c>
      <c r="T1232" s="15">
        <f t="shared" si="432"/>
        <v>22.99</v>
      </c>
      <c r="U1232" s="15">
        <f t="shared" si="433"/>
        <v>31.53</v>
      </c>
      <c r="V1232" s="15">
        <f t="shared" si="434"/>
        <v>37.24</v>
      </c>
      <c r="W1232" s="15">
        <f>IF(MarkupType="Store Markup",ROUND(V1232+V1232*StoreMarkup,2),IF(MarkupType="Supplier Markup",V1232+V1232*SupplierMarkup,"Error at finding value"))</f>
        <v>58.65</v>
      </c>
      <c r="X1232" s="32" t="str">
        <f t="shared" si="436"/>
        <v>0.00</v>
      </c>
      <c r="Y1232" s="15">
        <f t="shared" si="437"/>
        <v>74.48</v>
      </c>
      <c r="Z1232" s="15">
        <f t="shared" si="438"/>
        <v>117.3</v>
      </c>
      <c r="AA1232" s="15">
        <f>IF(FreightType="Lethbridge-Stewart Freight ",ROUND(2.99+IF(N1232&gt;0.75,(N1232-0.75)*2.25,0)*S1232,2),IF(MarkupType="Supplier Markup",V1232+V1232*SupplierMarkup,"Error at finding value"))</f>
        <v>4.79</v>
      </c>
      <c r="AB1232" s="15">
        <f t="shared" si="439"/>
        <v>0</v>
      </c>
    </row>
    <row r="1233" spans="1:28" x14ac:dyDescent="0.25">
      <c r="A1233" s="16">
        <f>OrdersTable!A1233</f>
        <v>285</v>
      </c>
      <c r="B1233" s="15" t="str">
        <f t="shared" si="419"/>
        <v>Mr</v>
      </c>
      <c r="C1233" s="15" t="str">
        <f t="shared" si="440"/>
        <v>Temple Morgan</v>
      </c>
      <c r="D1233" s="15" t="str">
        <f t="shared" si="420"/>
        <v>Mathew Peter</v>
      </c>
      <c r="E1233" s="15" t="str">
        <f t="shared" si="421"/>
        <v>19 Tansky Court</v>
      </c>
      <c r="F1233" s="15" t="str">
        <f t="shared" si="422"/>
        <v>Belford</v>
      </c>
      <c r="G1233" s="15" t="str">
        <f t="shared" si="423"/>
        <v>NSW</v>
      </c>
      <c r="H1233" s="15">
        <f t="shared" si="424"/>
        <v>2335</v>
      </c>
      <c r="I1233" s="15">
        <f t="shared" si="435"/>
        <v>716</v>
      </c>
      <c r="J1233" s="15">
        <f>OrdersTable!B1233</f>
        <v>541</v>
      </c>
      <c r="K1233" s="15" t="str">
        <f t="shared" si="425"/>
        <v>Giftware</v>
      </c>
      <c r="L1233" s="15" t="str">
        <f t="shared" si="426"/>
        <v>Doctor Who: Salt and Pepper Shakers: TARDIS</v>
      </c>
      <c r="M1233" s="15" t="str">
        <f t="shared" si="427"/>
        <v>-</v>
      </c>
      <c r="N1233" s="15">
        <f t="shared" si="428"/>
        <v>0.6</v>
      </c>
      <c r="O1233" s="15" t="str">
        <f t="shared" si="429"/>
        <v>A10</v>
      </c>
      <c r="P1233" s="15" t="str">
        <f t="shared" si="430"/>
        <v>Gallifrey International</v>
      </c>
      <c r="Q1233" s="15" t="str">
        <f t="shared" si="431"/>
        <v>181 Arcadia Street</v>
      </c>
      <c r="R1233" s="3">
        <f>OrdersTable!C1233</f>
        <v>44649</v>
      </c>
      <c r="S1233" s="15">
        <f>OrdersTable!E1233</f>
        <v>10</v>
      </c>
      <c r="T1233" s="15">
        <f t="shared" si="432"/>
        <v>11.99</v>
      </c>
      <c r="U1233" s="15">
        <f t="shared" si="433"/>
        <v>16.62</v>
      </c>
      <c r="V1233" s="15">
        <f t="shared" si="434"/>
        <v>19.420000000000002</v>
      </c>
      <c r="W1233" s="15">
        <f>IF(MarkupType="Store Markup",ROUND(V1233+V1233*StoreMarkup,2),IF(MarkupType="Supplier Markup",V1233+V1233*SupplierMarkup,"Error at finding value"))</f>
        <v>30.59</v>
      </c>
      <c r="X1233" s="32" t="str">
        <f t="shared" si="436"/>
        <v>0.00</v>
      </c>
      <c r="Y1233" s="15">
        <f t="shared" si="437"/>
        <v>194.2</v>
      </c>
      <c r="Z1233" s="15">
        <f t="shared" si="438"/>
        <v>305.89999999999998</v>
      </c>
      <c r="AA1233" s="15">
        <f>IF(FreightType="Lethbridge-Stewart Freight ",ROUND(2.99+IF(N1233&gt;0.75,(N1233-0.75)*2.25,0)*S1233,2),IF(MarkupType="Supplier Markup",V1233+V1233*SupplierMarkup,"Error at finding value"))</f>
        <v>2.99</v>
      </c>
      <c r="AB1233" s="15">
        <f t="shared" si="439"/>
        <v>0</v>
      </c>
    </row>
    <row r="1234" spans="1:28" x14ac:dyDescent="0.25">
      <c r="A1234" s="16">
        <f>OrdersTable!A1234</f>
        <v>312</v>
      </c>
      <c r="B1234" s="15" t="str">
        <f t="shared" si="419"/>
        <v>Mr</v>
      </c>
      <c r="C1234" s="15" t="str">
        <f t="shared" si="440"/>
        <v>Lloyd</v>
      </c>
      <c r="D1234" s="15" t="str">
        <f t="shared" si="420"/>
        <v>Ben</v>
      </c>
      <c r="E1234" s="15" t="str">
        <f t="shared" si="421"/>
        <v>13 Stark Avenue</v>
      </c>
      <c r="F1234" s="15" t="str">
        <f t="shared" si="422"/>
        <v>Iluka</v>
      </c>
      <c r="G1234" s="15" t="str">
        <f t="shared" si="423"/>
        <v>NSW</v>
      </c>
      <c r="H1234" s="15">
        <f t="shared" si="424"/>
        <v>2466</v>
      </c>
      <c r="I1234" s="15">
        <f t="shared" si="435"/>
        <v>347</v>
      </c>
      <c r="J1234" s="15">
        <f>OrdersTable!B1234</f>
        <v>826</v>
      </c>
      <c r="K1234" s="15" t="str">
        <f t="shared" si="425"/>
        <v>Statues and Busts</v>
      </c>
      <c r="L1234" s="15" t="str">
        <f t="shared" si="426"/>
        <v>Doctor Who: Mini Bust: Cyberman</v>
      </c>
      <c r="M1234" s="15" t="str">
        <f t="shared" si="427"/>
        <v>-</v>
      </c>
      <c r="N1234" s="15">
        <f t="shared" si="428"/>
        <v>1.8</v>
      </c>
      <c r="O1234" s="15" t="str">
        <f t="shared" si="429"/>
        <v>A40</v>
      </c>
      <c r="P1234" s="15" t="str">
        <f t="shared" si="430"/>
        <v>Romana Imports</v>
      </c>
      <c r="Q1234" s="15" t="str">
        <f t="shared" si="431"/>
        <v>17 Lalla Ward Road</v>
      </c>
      <c r="R1234" s="3">
        <f>OrdersTable!C1234</f>
        <v>44649</v>
      </c>
      <c r="S1234" s="15">
        <f>OrdersTable!E1234</f>
        <v>6</v>
      </c>
      <c r="T1234" s="15">
        <f t="shared" si="432"/>
        <v>35.99</v>
      </c>
      <c r="U1234" s="15">
        <f t="shared" si="433"/>
        <v>49.13</v>
      </c>
      <c r="V1234" s="15">
        <f t="shared" si="434"/>
        <v>58.3</v>
      </c>
      <c r="W1234" s="15">
        <f>IF(MarkupType="Store Markup",ROUND(V1234+V1234*StoreMarkup,2),IF(MarkupType="Supplier Markup",V1234+V1234*SupplierMarkup,"Error at finding value"))</f>
        <v>91.82</v>
      </c>
      <c r="X1234" s="32" t="str">
        <f t="shared" si="436"/>
        <v>0.00</v>
      </c>
      <c r="Y1234" s="15">
        <f t="shared" si="437"/>
        <v>349.8</v>
      </c>
      <c r="Z1234" s="15">
        <f t="shared" si="438"/>
        <v>550.91999999999996</v>
      </c>
      <c r="AA1234" s="15">
        <f>IF(FreightType="Lethbridge-Stewart Freight ",ROUND(2.99+IF(N1234&gt;0.75,(N1234-0.75)*2.25,0)*S1234,2),IF(MarkupType="Supplier Markup",V1234+V1234*SupplierMarkup,"Error at finding value"))</f>
        <v>17.170000000000002</v>
      </c>
      <c r="AB1234" s="15">
        <f t="shared" si="439"/>
        <v>0</v>
      </c>
    </row>
    <row r="1235" spans="1:28" x14ac:dyDescent="0.25">
      <c r="A1235" s="16">
        <f>OrdersTable!A1235</f>
        <v>328</v>
      </c>
      <c r="B1235" s="15" t="str">
        <f t="shared" si="419"/>
        <v>Dr</v>
      </c>
      <c r="C1235" s="15" t="str">
        <f t="shared" si="440"/>
        <v>Ward</v>
      </c>
      <c r="D1235" s="15" t="str">
        <f t="shared" si="420"/>
        <v>Keiren Nicholas</v>
      </c>
      <c r="E1235" s="15" t="str">
        <f t="shared" si="421"/>
        <v>13 Green Crescent</v>
      </c>
      <c r="F1235" s="15" t="str">
        <f t="shared" si="422"/>
        <v>Breakwater</v>
      </c>
      <c r="G1235" s="15" t="str">
        <f t="shared" si="423"/>
        <v>VIC</v>
      </c>
      <c r="H1235" s="15">
        <f t="shared" si="424"/>
        <v>3219</v>
      </c>
      <c r="I1235" s="15">
        <f t="shared" si="435"/>
        <v>1596</v>
      </c>
      <c r="J1235" s="15">
        <f>OrdersTable!B1235</f>
        <v>840</v>
      </c>
      <c r="K1235" s="15" t="str">
        <f t="shared" si="425"/>
        <v>Statues and Busts</v>
      </c>
      <c r="L1235" s="15" t="str">
        <f t="shared" si="426"/>
        <v>Doctor Who: Signature Edition Statue: Gallifrey Edition: Patrick Troughton</v>
      </c>
      <c r="M1235" s="15" t="str">
        <f t="shared" si="427"/>
        <v>-</v>
      </c>
      <c r="N1235" s="15">
        <f t="shared" si="428"/>
        <v>2.5</v>
      </c>
      <c r="O1235" s="15" t="str">
        <f t="shared" si="429"/>
        <v>A40</v>
      </c>
      <c r="P1235" s="15" t="str">
        <f t="shared" si="430"/>
        <v>Romana Imports</v>
      </c>
      <c r="Q1235" s="15" t="str">
        <f t="shared" si="431"/>
        <v>17 Lalla Ward Road</v>
      </c>
      <c r="R1235" s="3">
        <f>OrdersTable!C1235</f>
        <v>44649</v>
      </c>
      <c r="S1235" s="15">
        <f>OrdersTable!E1235</f>
        <v>10</v>
      </c>
      <c r="T1235" s="15">
        <f t="shared" si="432"/>
        <v>49.99</v>
      </c>
      <c r="U1235" s="15">
        <f t="shared" si="433"/>
        <v>68.510000000000005</v>
      </c>
      <c r="V1235" s="15">
        <f t="shared" si="434"/>
        <v>80.98</v>
      </c>
      <c r="W1235" s="15">
        <f>IF(MarkupType="Store Markup",ROUND(V1235+V1235*StoreMarkup,2),IF(MarkupType="Supplier Markup",V1235+V1235*SupplierMarkup,"Error at finding value"))</f>
        <v>127.54</v>
      </c>
      <c r="X1235" s="32">
        <f t="shared" si="436"/>
        <v>9.09</v>
      </c>
      <c r="Y1235" s="15">
        <f t="shared" si="437"/>
        <v>809.8</v>
      </c>
      <c r="Z1235" s="15">
        <f t="shared" si="438"/>
        <v>1184.5</v>
      </c>
      <c r="AA1235" s="15">
        <f>IF(FreightType="Lethbridge-Stewart Freight ",ROUND(2.99+IF(N1235&gt;0.75,(N1235-0.75)*2.25,0)*S1235,2),IF(MarkupType="Supplier Markup",V1235+V1235*SupplierMarkup,"Error at finding value"))</f>
        <v>42.37</v>
      </c>
      <c r="AB1235" s="15">
        <f t="shared" si="439"/>
        <v>90.9</v>
      </c>
    </row>
    <row r="1236" spans="1:28" x14ac:dyDescent="0.25">
      <c r="A1236" s="16">
        <f>OrdersTable!A1236</f>
        <v>390</v>
      </c>
      <c r="B1236" s="15" t="str">
        <f t="shared" si="419"/>
        <v>Ms</v>
      </c>
      <c r="C1236" s="15" t="str">
        <f t="shared" si="440"/>
        <v>Queen</v>
      </c>
      <c r="D1236" s="15" t="str">
        <f t="shared" si="420"/>
        <v>Joanne</v>
      </c>
      <c r="E1236" s="15" t="str">
        <f t="shared" si="421"/>
        <v>30 Hall Drive</v>
      </c>
      <c r="F1236" s="15" t="str">
        <f t="shared" si="422"/>
        <v>Belconnen</v>
      </c>
      <c r="G1236" s="15" t="str">
        <f t="shared" si="423"/>
        <v>ACT</v>
      </c>
      <c r="H1236" s="15">
        <f t="shared" si="424"/>
        <v>2617</v>
      </c>
      <c r="I1236" s="15">
        <f t="shared" si="435"/>
        <v>1194</v>
      </c>
      <c r="J1236" s="15">
        <f>OrdersTable!B1236</f>
        <v>724</v>
      </c>
      <c r="K1236" s="15" t="str">
        <f t="shared" si="425"/>
        <v>Posters, Prints and Standees</v>
      </c>
      <c r="L1236" s="15" t="str">
        <f t="shared" si="426"/>
        <v>Doctor Who: Standee: The 10th Doctor</v>
      </c>
      <c r="M1236" s="15" t="str">
        <f t="shared" si="427"/>
        <v>-</v>
      </c>
      <c r="N1236" s="15">
        <f t="shared" si="428"/>
        <v>1.125</v>
      </c>
      <c r="O1236" s="15" t="str">
        <f t="shared" si="429"/>
        <v>A50</v>
      </c>
      <c r="P1236" s="15" t="str">
        <f t="shared" si="430"/>
        <v>Rassilon Ltd.</v>
      </c>
      <c r="Q1236" s="15" t="str">
        <f t="shared" si="431"/>
        <v>82 Richard Mathews Road</v>
      </c>
      <c r="R1236" s="3">
        <f>OrdersTable!C1236</f>
        <v>44649</v>
      </c>
      <c r="S1236" s="15">
        <f>OrdersTable!E1236</f>
        <v>8</v>
      </c>
      <c r="T1236" s="15">
        <f t="shared" si="432"/>
        <v>22.49</v>
      </c>
      <c r="U1236" s="15">
        <f t="shared" si="433"/>
        <v>30.77</v>
      </c>
      <c r="V1236" s="15">
        <f t="shared" si="434"/>
        <v>36.43</v>
      </c>
      <c r="W1236" s="15">
        <f>IF(MarkupType="Store Markup",ROUND(V1236+V1236*StoreMarkup,2),IF(MarkupType="Supplier Markup",V1236+V1236*SupplierMarkup,"Error at finding value"))</f>
        <v>57.38</v>
      </c>
      <c r="X1236" s="32" t="str">
        <f t="shared" si="436"/>
        <v>0.00</v>
      </c>
      <c r="Y1236" s="15">
        <f t="shared" si="437"/>
        <v>291.44</v>
      </c>
      <c r="Z1236" s="15">
        <f t="shared" si="438"/>
        <v>459.04</v>
      </c>
      <c r="AA1236" s="15">
        <f>IF(FreightType="Lethbridge-Stewart Freight ",ROUND(2.99+IF(N1236&gt;0.75,(N1236-0.75)*2.25,0)*S1236,2),IF(MarkupType="Supplier Markup",V1236+V1236*SupplierMarkup,"Error at finding value"))</f>
        <v>9.74</v>
      </c>
      <c r="AB1236" s="15">
        <f t="shared" si="439"/>
        <v>0</v>
      </c>
    </row>
    <row r="1237" spans="1:28" x14ac:dyDescent="0.25">
      <c r="A1237" s="16">
        <f>OrdersTable!A1237</f>
        <v>561</v>
      </c>
      <c r="B1237" s="15" t="str">
        <f t="shared" si="419"/>
        <v>Ms</v>
      </c>
      <c r="C1237" s="15" t="str">
        <f t="shared" si="440"/>
        <v>Mulcahy</v>
      </c>
      <c r="D1237" s="15" t="str">
        <f t="shared" si="420"/>
        <v>Jodie Leigh</v>
      </c>
      <c r="E1237" s="15" t="str">
        <f t="shared" si="421"/>
        <v>32 Scott Crescent</v>
      </c>
      <c r="F1237" s="15" t="str">
        <f t="shared" si="422"/>
        <v>Bray Park</v>
      </c>
      <c r="G1237" s="15" t="str">
        <f t="shared" si="423"/>
        <v>QLD</v>
      </c>
      <c r="H1237" s="15">
        <f t="shared" si="424"/>
        <v>4500</v>
      </c>
      <c r="I1237" s="15">
        <f t="shared" si="435"/>
        <v>139</v>
      </c>
      <c r="J1237" s="15">
        <f>OrdersTable!B1237</f>
        <v>757</v>
      </c>
      <c r="K1237" s="15" t="str">
        <f t="shared" si="425"/>
        <v>Statues and Busts</v>
      </c>
      <c r="L1237" s="15" t="str">
        <f t="shared" si="426"/>
        <v>Doctor Who: Helmet: Ice Warrior</v>
      </c>
      <c r="M1237" s="15" t="str">
        <f t="shared" si="427"/>
        <v>-</v>
      </c>
      <c r="N1237" s="15">
        <f t="shared" si="428"/>
        <v>1.75</v>
      </c>
      <c r="O1237" s="15" t="str">
        <f t="shared" si="429"/>
        <v>A20</v>
      </c>
      <c r="P1237" s="15" t="str">
        <f t="shared" si="430"/>
        <v>Morbius Inc.</v>
      </c>
      <c r="Q1237" s="15" t="str">
        <f t="shared" si="431"/>
        <v>56 Michael Spice Hwy</v>
      </c>
      <c r="R1237" s="3">
        <f>OrdersTable!C1237</f>
        <v>44649</v>
      </c>
      <c r="S1237" s="15">
        <f>OrdersTable!E1237</f>
        <v>7</v>
      </c>
      <c r="T1237" s="15">
        <f t="shared" si="432"/>
        <v>34.99</v>
      </c>
      <c r="U1237" s="15">
        <f t="shared" si="433"/>
        <v>47.88</v>
      </c>
      <c r="V1237" s="15">
        <f t="shared" si="434"/>
        <v>56.68</v>
      </c>
      <c r="W1237" s="15">
        <f>IF(MarkupType="Store Markup",ROUND(V1237+V1237*StoreMarkup,2),IF(MarkupType="Supplier Markup",V1237+V1237*SupplierMarkup,"Error at finding value"))</f>
        <v>89.27</v>
      </c>
      <c r="X1237" s="32" t="str">
        <f t="shared" si="436"/>
        <v>0.00</v>
      </c>
      <c r="Y1237" s="15">
        <f t="shared" si="437"/>
        <v>396.76</v>
      </c>
      <c r="Z1237" s="15">
        <f t="shared" si="438"/>
        <v>624.89</v>
      </c>
      <c r="AA1237" s="15">
        <f>IF(FreightType="Lethbridge-Stewart Freight ",ROUND(2.99+IF(N1237&gt;0.75,(N1237-0.75)*2.25,0)*S1237,2),IF(MarkupType="Supplier Markup",V1237+V1237*SupplierMarkup,"Error at finding value"))</f>
        <v>18.739999999999998</v>
      </c>
      <c r="AB1237" s="15">
        <f t="shared" si="439"/>
        <v>0</v>
      </c>
    </row>
    <row r="1238" spans="1:28" x14ac:dyDescent="0.25">
      <c r="A1238" s="16">
        <f>OrdersTable!A1238</f>
        <v>610</v>
      </c>
      <c r="B1238" s="15" t="str">
        <f t="shared" si="419"/>
        <v>Ms</v>
      </c>
      <c r="C1238" s="15" t="str">
        <f t="shared" si="440"/>
        <v>Bichel</v>
      </c>
      <c r="D1238" s="15" t="str">
        <f t="shared" si="420"/>
        <v>Abbey Kate</v>
      </c>
      <c r="E1238" s="15" t="str">
        <f t="shared" si="421"/>
        <v>32 Rambau Avenue</v>
      </c>
      <c r="F1238" s="15" t="str">
        <f t="shared" si="422"/>
        <v>Bamboo</v>
      </c>
      <c r="G1238" s="15" t="str">
        <f t="shared" si="423"/>
        <v>QLD</v>
      </c>
      <c r="H1238" s="15">
        <f t="shared" si="424"/>
        <v>4873</v>
      </c>
      <c r="I1238" s="15">
        <f t="shared" si="435"/>
        <v>1741</v>
      </c>
      <c r="J1238" s="15">
        <f>OrdersTable!B1238</f>
        <v>676</v>
      </c>
      <c r="K1238" s="15" t="str">
        <f t="shared" si="425"/>
        <v>Mugs</v>
      </c>
      <c r="L1238" s="15" t="str">
        <f t="shared" si="426"/>
        <v>Doctor Who: Mug: The Eleventh Doctor</v>
      </c>
      <c r="M1238" s="15" t="str">
        <f t="shared" si="427"/>
        <v>-</v>
      </c>
      <c r="N1238" s="15">
        <f t="shared" si="428"/>
        <v>0.45</v>
      </c>
      <c r="O1238" s="15" t="str">
        <f t="shared" si="429"/>
        <v>A20</v>
      </c>
      <c r="P1238" s="15" t="str">
        <f t="shared" si="430"/>
        <v>Morbius Inc.</v>
      </c>
      <c r="Q1238" s="15" t="str">
        <f t="shared" si="431"/>
        <v>56 Michael Spice Hwy</v>
      </c>
      <c r="R1238" s="3">
        <f>OrdersTable!C1238</f>
        <v>44649</v>
      </c>
      <c r="S1238" s="15">
        <f>OrdersTable!E1238</f>
        <v>5</v>
      </c>
      <c r="T1238" s="15">
        <f t="shared" si="432"/>
        <v>8.99</v>
      </c>
      <c r="U1238" s="15">
        <f t="shared" si="433"/>
        <v>12.55</v>
      </c>
      <c r="V1238" s="15">
        <f t="shared" si="434"/>
        <v>14.56</v>
      </c>
      <c r="W1238" s="15">
        <f>IF(MarkupType="Store Markup",ROUND(V1238+V1238*StoreMarkup,2),IF(MarkupType="Supplier Markup",V1238+V1238*SupplierMarkup,"Error at finding value"))</f>
        <v>22.93</v>
      </c>
      <c r="X1238" s="32" t="str">
        <f t="shared" si="436"/>
        <v>0.00</v>
      </c>
      <c r="Y1238" s="15">
        <f t="shared" si="437"/>
        <v>72.8</v>
      </c>
      <c r="Z1238" s="15">
        <f t="shared" si="438"/>
        <v>114.65</v>
      </c>
      <c r="AA1238" s="15">
        <f>IF(FreightType="Lethbridge-Stewart Freight ",ROUND(2.99+IF(N1238&gt;0.75,(N1238-0.75)*2.25,0)*S1238,2),IF(MarkupType="Supplier Markup",V1238+V1238*SupplierMarkup,"Error at finding value"))</f>
        <v>2.99</v>
      </c>
      <c r="AB1238" s="15">
        <f t="shared" si="439"/>
        <v>0</v>
      </c>
    </row>
    <row r="1239" spans="1:28" x14ac:dyDescent="0.25">
      <c r="A1239" s="16">
        <f>OrdersTable!A1239</f>
        <v>830</v>
      </c>
      <c r="B1239" s="15" t="str">
        <f t="shared" si="419"/>
        <v>Miss</v>
      </c>
      <c r="C1239" s="15" t="str">
        <f t="shared" si="440"/>
        <v>Blakeney</v>
      </c>
      <c r="D1239" s="15" t="str">
        <f t="shared" si="420"/>
        <v>Hannah</v>
      </c>
      <c r="E1239" s="15" t="str">
        <f t="shared" si="421"/>
        <v>31 Sproule Street</v>
      </c>
      <c r="F1239" s="15" t="str">
        <f t="shared" si="422"/>
        <v>Belford</v>
      </c>
      <c r="G1239" s="15" t="str">
        <f t="shared" si="423"/>
        <v>NSW</v>
      </c>
      <c r="H1239" s="15">
        <f t="shared" si="424"/>
        <v>2335</v>
      </c>
      <c r="I1239" s="15">
        <f t="shared" si="435"/>
        <v>716</v>
      </c>
      <c r="J1239" s="15">
        <f>OrdersTable!B1239</f>
        <v>840</v>
      </c>
      <c r="K1239" s="15" t="str">
        <f t="shared" si="425"/>
        <v>Statues and Busts</v>
      </c>
      <c r="L1239" s="15" t="str">
        <f t="shared" si="426"/>
        <v>Doctor Who: Signature Edition Statue: Gallifrey Edition: Patrick Troughton</v>
      </c>
      <c r="M1239" s="15" t="str">
        <f t="shared" si="427"/>
        <v>-</v>
      </c>
      <c r="N1239" s="15">
        <f t="shared" si="428"/>
        <v>2.5</v>
      </c>
      <c r="O1239" s="15" t="str">
        <f t="shared" si="429"/>
        <v>A40</v>
      </c>
      <c r="P1239" s="15" t="str">
        <f t="shared" si="430"/>
        <v>Romana Imports</v>
      </c>
      <c r="Q1239" s="15" t="str">
        <f t="shared" si="431"/>
        <v>17 Lalla Ward Road</v>
      </c>
      <c r="R1239" s="3">
        <f>OrdersTable!C1239</f>
        <v>44649</v>
      </c>
      <c r="S1239" s="15">
        <f>OrdersTable!E1239</f>
        <v>1</v>
      </c>
      <c r="T1239" s="15">
        <f t="shared" si="432"/>
        <v>49.99</v>
      </c>
      <c r="U1239" s="15">
        <f t="shared" si="433"/>
        <v>68.510000000000005</v>
      </c>
      <c r="V1239" s="15">
        <f t="shared" si="434"/>
        <v>80.98</v>
      </c>
      <c r="W1239" s="15">
        <f>IF(MarkupType="Store Markup",ROUND(V1239+V1239*StoreMarkup,2),IF(MarkupType="Supplier Markup",V1239+V1239*SupplierMarkup,"Error at finding value"))</f>
        <v>127.54</v>
      </c>
      <c r="X1239" s="32" t="str">
        <f t="shared" si="436"/>
        <v>0.00</v>
      </c>
      <c r="Y1239" s="15">
        <f t="shared" si="437"/>
        <v>80.98</v>
      </c>
      <c r="Z1239" s="15">
        <f t="shared" si="438"/>
        <v>127.54</v>
      </c>
      <c r="AA1239" s="15">
        <f>IF(FreightType="Lethbridge-Stewart Freight ",ROUND(2.99+IF(N1239&gt;0.75,(N1239-0.75)*2.25,0)*S1239,2),IF(MarkupType="Supplier Markup",V1239+V1239*SupplierMarkup,"Error at finding value"))</f>
        <v>6.93</v>
      </c>
      <c r="AB1239" s="15">
        <f t="shared" si="439"/>
        <v>0</v>
      </c>
    </row>
    <row r="1240" spans="1:28" x14ac:dyDescent="0.25">
      <c r="A1240" s="16">
        <f>OrdersTable!A1240</f>
        <v>884</v>
      </c>
      <c r="B1240" s="15" t="str">
        <f t="shared" si="419"/>
        <v>Mr</v>
      </c>
      <c r="C1240" s="15" t="str">
        <f t="shared" si="440"/>
        <v>Smy</v>
      </c>
      <c r="D1240" s="15" t="str">
        <f t="shared" si="420"/>
        <v>Corey Alexander</v>
      </c>
      <c r="E1240" s="15" t="str">
        <f t="shared" si="421"/>
        <v>47 Lindsay Circuit</v>
      </c>
      <c r="F1240" s="15" t="str">
        <f t="shared" si="422"/>
        <v>Boston</v>
      </c>
      <c r="G1240" s="15" t="str">
        <f t="shared" si="423"/>
        <v>SA</v>
      </c>
      <c r="H1240" s="15">
        <f t="shared" si="424"/>
        <v>5607</v>
      </c>
      <c r="I1240" s="15">
        <f t="shared" si="435"/>
        <v>2076</v>
      </c>
      <c r="J1240" s="15">
        <f>OrdersTable!B1240</f>
        <v>585</v>
      </c>
      <c r="K1240" s="15" t="str">
        <f t="shared" si="425"/>
        <v>iPhone Skins</v>
      </c>
      <c r="L1240" s="15" t="str">
        <f t="shared" si="426"/>
        <v>Doctor Who: iPhone Skin: Dalek To Victory</v>
      </c>
      <c r="M1240" s="15" t="str">
        <f t="shared" si="427"/>
        <v>-</v>
      </c>
      <c r="N1240" s="15">
        <f t="shared" si="428"/>
        <v>0.5</v>
      </c>
      <c r="O1240" s="15" t="str">
        <f t="shared" si="429"/>
        <v>A10</v>
      </c>
      <c r="P1240" s="15" t="str">
        <f t="shared" si="430"/>
        <v>Gallifrey International</v>
      </c>
      <c r="Q1240" s="15" t="str">
        <f t="shared" si="431"/>
        <v>181 Arcadia Street</v>
      </c>
      <c r="R1240" s="3">
        <f>OrdersTable!C1240</f>
        <v>44649</v>
      </c>
      <c r="S1240" s="15">
        <f>OrdersTable!E1240</f>
        <v>7</v>
      </c>
      <c r="T1240" s="15">
        <f t="shared" si="432"/>
        <v>9.99</v>
      </c>
      <c r="U1240" s="15">
        <f t="shared" si="433"/>
        <v>13.7</v>
      </c>
      <c r="V1240" s="15">
        <f t="shared" si="434"/>
        <v>16.18</v>
      </c>
      <c r="W1240" s="15">
        <f>IF(MarkupType="Store Markup",ROUND(V1240+V1240*StoreMarkup,2),IF(MarkupType="Supplier Markup",V1240+V1240*SupplierMarkup,"Error at finding value"))</f>
        <v>25.48</v>
      </c>
      <c r="X1240" s="32" t="str">
        <f t="shared" si="436"/>
        <v>0.00</v>
      </c>
      <c r="Y1240" s="15">
        <f t="shared" si="437"/>
        <v>113.26</v>
      </c>
      <c r="Z1240" s="15">
        <f t="shared" si="438"/>
        <v>178.36</v>
      </c>
      <c r="AA1240" s="15">
        <f>IF(FreightType="Lethbridge-Stewart Freight ",ROUND(2.99+IF(N1240&gt;0.75,(N1240-0.75)*2.25,0)*S1240,2),IF(MarkupType="Supplier Markup",V1240+V1240*SupplierMarkup,"Error at finding value"))</f>
        <v>2.99</v>
      </c>
      <c r="AB1240" s="15">
        <f t="shared" si="439"/>
        <v>0</v>
      </c>
    </row>
    <row r="1241" spans="1:28" x14ac:dyDescent="0.25">
      <c r="A1241" s="16">
        <f>OrdersTable!A1241</f>
        <v>923</v>
      </c>
      <c r="B1241" s="15" t="str">
        <f t="shared" si="419"/>
        <v>Ms</v>
      </c>
      <c r="C1241" s="15" t="str">
        <f t="shared" si="440"/>
        <v>Savage</v>
      </c>
      <c r="D1241" s="15" t="str">
        <f t="shared" si="420"/>
        <v>Eliza Margaret</v>
      </c>
      <c r="E1241" s="15" t="str">
        <f t="shared" si="421"/>
        <v>28 Whisson Crescent</v>
      </c>
      <c r="F1241" s="15" t="str">
        <f t="shared" si="422"/>
        <v>Belconnen</v>
      </c>
      <c r="G1241" s="15" t="str">
        <f t="shared" si="423"/>
        <v>ACT</v>
      </c>
      <c r="H1241" s="15">
        <f t="shared" si="424"/>
        <v>2617</v>
      </c>
      <c r="I1241" s="15">
        <f t="shared" si="435"/>
        <v>1194</v>
      </c>
      <c r="J1241" s="15">
        <f>OrdersTable!B1241</f>
        <v>239</v>
      </c>
      <c r="K1241" s="15" t="str">
        <f t="shared" si="425"/>
        <v>Clothing and Apparel</v>
      </c>
      <c r="L1241" s="15" t="str">
        <f t="shared" si="426"/>
        <v>Doctor Who: Men's Winter Pyjamas</v>
      </c>
      <c r="M1241" s="15" t="str">
        <f t="shared" si="427"/>
        <v>L</v>
      </c>
      <c r="N1241" s="15">
        <f t="shared" si="428"/>
        <v>1.5</v>
      </c>
      <c r="O1241" s="15" t="str">
        <f t="shared" si="429"/>
        <v>A10</v>
      </c>
      <c r="P1241" s="15" t="str">
        <f t="shared" si="430"/>
        <v>Gallifrey International</v>
      </c>
      <c r="Q1241" s="15" t="str">
        <f t="shared" si="431"/>
        <v>181 Arcadia Street</v>
      </c>
      <c r="R1241" s="3">
        <f>OrdersTable!C1241</f>
        <v>44649</v>
      </c>
      <c r="S1241" s="15">
        <f>OrdersTable!E1241</f>
        <v>7</v>
      </c>
      <c r="T1241" s="15">
        <f t="shared" si="432"/>
        <v>29.99</v>
      </c>
      <c r="U1241" s="15">
        <f t="shared" si="433"/>
        <v>41.23</v>
      </c>
      <c r="V1241" s="15">
        <f t="shared" si="434"/>
        <v>48.58</v>
      </c>
      <c r="W1241" s="15">
        <f>IF(MarkupType="Store Markup",ROUND(V1241+V1241*StoreMarkup,2),IF(MarkupType="Supplier Markup",V1241+V1241*SupplierMarkup,"Error at finding value"))</f>
        <v>76.510000000000005</v>
      </c>
      <c r="X1241" s="32" t="str">
        <f t="shared" si="436"/>
        <v>0.00</v>
      </c>
      <c r="Y1241" s="15">
        <f t="shared" si="437"/>
        <v>340.06</v>
      </c>
      <c r="Z1241" s="15">
        <f t="shared" si="438"/>
        <v>535.57000000000005</v>
      </c>
      <c r="AA1241" s="15">
        <f>IF(FreightType="Lethbridge-Stewart Freight ",ROUND(2.99+IF(N1241&gt;0.75,(N1241-0.75)*2.25,0)*S1241,2),IF(MarkupType="Supplier Markup",V1241+V1241*SupplierMarkup,"Error at finding value"))</f>
        <v>14.8</v>
      </c>
      <c r="AB1241" s="15">
        <f t="shared" si="439"/>
        <v>0</v>
      </c>
    </row>
    <row r="1242" spans="1:28" x14ac:dyDescent="0.25">
      <c r="A1242" s="16">
        <f>OrdersTable!A1242</f>
        <v>923</v>
      </c>
      <c r="B1242" s="15" t="str">
        <f t="shared" si="419"/>
        <v>Ms</v>
      </c>
      <c r="C1242" s="15" t="str">
        <f t="shared" si="440"/>
        <v>Savage</v>
      </c>
      <c r="D1242" s="15" t="str">
        <f t="shared" si="420"/>
        <v>Eliza Margaret</v>
      </c>
      <c r="E1242" s="15" t="str">
        <f t="shared" si="421"/>
        <v>28 Whisson Crescent</v>
      </c>
      <c r="F1242" s="15" t="str">
        <f t="shared" si="422"/>
        <v>Belconnen</v>
      </c>
      <c r="G1242" s="15" t="str">
        <f t="shared" si="423"/>
        <v>ACT</v>
      </c>
      <c r="H1242" s="15">
        <f t="shared" si="424"/>
        <v>2617</v>
      </c>
      <c r="I1242" s="15">
        <f t="shared" si="435"/>
        <v>1194</v>
      </c>
      <c r="J1242" s="15">
        <f>OrdersTable!B1242</f>
        <v>726</v>
      </c>
      <c r="K1242" s="15" t="str">
        <f t="shared" si="425"/>
        <v>Props and Replicas</v>
      </c>
      <c r="L1242" s="15" t="str">
        <f t="shared" si="426"/>
        <v>Doctor Who: Dalek Death Ray</v>
      </c>
      <c r="M1242" s="15" t="str">
        <f t="shared" si="427"/>
        <v>-</v>
      </c>
      <c r="N1242" s="15">
        <f t="shared" si="428"/>
        <v>18</v>
      </c>
      <c r="O1242" s="15" t="str">
        <f t="shared" si="429"/>
        <v>A30</v>
      </c>
      <c r="P1242" s="15" t="str">
        <f t="shared" si="430"/>
        <v>Chesterton Enterprises</v>
      </c>
      <c r="Q1242" s="15" t="str">
        <f t="shared" si="431"/>
        <v>41 William Russell Road</v>
      </c>
      <c r="R1242" s="3">
        <f>OrdersTable!C1242</f>
        <v>44649</v>
      </c>
      <c r="S1242" s="15">
        <f>OrdersTable!E1242</f>
        <v>1</v>
      </c>
      <c r="T1242" s="15">
        <f t="shared" si="432"/>
        <v>359.99</v>
      </c>
      <c r="U1242" s="15">
        <f t="shared" si="433"/>
        <v>491.12</v>
      </c>
      <c r="V1242" s="15">
        <f t="shared" si="434"/>
        <v>583.17999999999995</v>
      </c>
      <c r="W1242" s="15">
        <f>IF(MarkupType="Store Markup",ROUND(V1242+V1242*StoreMarkup,2),IF(MarkupType="Supplier Markup",V1242+V1242*SupplierMarkup,"Error at finding value"))</f>
        <v>918.51</v>
      </c>
      <c r="X1242" s="32" t="str">
        <f t="shared" si="436"/>
        <v>0.00</v>
      </c>
      <c r="Y1242" s="15">
        <f t="shared" si="437"/>
        <v>583.17999999999995</v>
      </c>
      <c r="Z1242" s="15">
        <f t="shared" si="438"/>
        <v>918.51</v>
      </c>
      <c r="AA1242" s="15">
        <f>IF(FreightType="Lethbridge-Stewart Freight ",ROUND(2.99+IF(N1242&gt;0.75,(N1242-0.75)*2.25,0)*S1242,2),IF(MarkupType="Supplier Markup",V1242+V1242*SupplierMarkup,"Error at finding value"))</f>
        <v>41.8</v>
      </c>
      <c r="AB1242" s="15">
        <f t="shared" si="439"/>
        <v>0</v>
      </c>
    </row>
    <row r="1243" spans="1:28" x14ac:dyDescent="0.25">
      <c r="A1243" s="16">
        <f>OrdersTable!A1243</f>
        <v>180</v>
      </c>
      <c r="B1243" s="15" t="str">
        <f t="shared" si="419"/>
        <v>Mrs</v>
      </c>
      <c r="C1243" s="15" t="str">
        <f t="shared" si="440"/>
        <v>Feeney</v>
      </c>
      <c r="D1243" s="15" t="str">
        <f t="shared" si="420"/>
        <v>Jennifer Ruth</v>
      </c>
      <c r="E1243" s="15" t="str">
        <f t="shared" si="421"/>
        <v>18 Cook Avenue</v>
      </c>
      <c r="F1243" s="15" t="str">
        <f t="shared" si="422"/>
        <v>Nayook</v>
      </c>
      <c r="G1243" s="15" t="str">
        <f t="shared" si="423"/>
        <v>VIC</v>
      </c>
      <c r="H1243" s="15">
        <f t="shared" si="424"/>
        <v>3832</v>
      </c>
      <c r="I1243" s="15">
        <f t="shared" si="435"/>
        <v>1552</v>
      </c>
      <c r="J1243" s="15">
        <f>OrdersTable!B1243</f>
        <v>698</v>
      </c>
      <c r="K1243" s="15" t="str">
        <f t="shared" si="425"/>
        <v>Posters, Prints and Standees</v>
      </c>
      <c r="L1243" s="15" t="str">
        <f t="shared" si="426"/>
        <v>Doctor Who: Art Print: My Mysterious Doctor</v>
      </c>
      <c r="M1243" s="15" t="str">
        <f t="shared" si="427"/>
        <v>-</v>
      </c>
      <c r="N1243" s="15">
        <f t="shared" si="428"/>
        <v>0.75</v>
      </c>
      <c r="O1243" s="15" t="str">
        <f t="shared" si="429"/>
        <v>A30</v>
      </c>
      <c r="P1243" s="15" t="str">
        <f t="shared" si="430"/>
        <v>Chesterton Enterprises</v>
      </c>
      <c r="Q1243" s="15" t="str">
        <f t="shared" si="431"/>
        <v>41 William Russell Road</v>
      </c>
      <c r="R1243" s="3">
        <f>OrdersTable!C1243</f>
        <v>44650</v>
      </c>
      <c r="S1243" s="15">
        <f>OrdersTable!E1243</f>
        <v>2</v>
      </c>
      <c r="T1243" s="15">
        <f t="shared" si="432"/>
        <v>14.99</v>
      </c>
      <c r="U1243" s="15">
        <f t="shared" si="433"/>
        <v>20.56</v>
      </c>
      <c r="V1243" s="15">
        <f t="shared" si="434"/>
        <v>24.28</v>
      </c>
      <c r="W1243" s="15">
        <f>IF(MarkupType="Store Markup",ROUND(V1243+V1243*StoreMarkup,2),IF(MarkupType="Supplier Markup",V1243+V1243*SupplierMarkup,"Error at finding value"))</f>
        <v>38.24</v>
      </c>
      <c r="X1243" s="32" t="str">
        <f t="shared" si="436"/>
        <v>0.00</v>
      </c>
      <c r="Y1243" s="15">
        <f t="shared" si="437"/>
        <v>48.56</v>
      </c>
      <c r="Z1243" s="15">
        <f t="shared" si="438"/>
        <v>76.48</v>
      </c>
      <c r="AA1243" s="15">
        <f>IF(FreightType="Lethbridge-Stewart Freight ",ROUND(2.99+IF(N1243&gt;0.75,(N1243-0.75)*2.25,0)*S1243,2),IF(MarkupType="Supplier Markup",V1243+V1243*SupplierMarkup,"Error at finding value"))</f>
        <v>2.99</v>
      </c>
      <c r="AB1243" s="15">
        <f t="shared" si="439"/>
        <v>0</v>
      </c>
    </row>
    <row r="1244" spans="1:28" x14ac:dyDescent="0.25">
      <c r="A1244" s="16">
        <f>OrdersTable!A1244</f>
        <v>224</v>
      </c>
      <c r="B1244" s="15" t="str">
        <f t="shared" si="419"/>
        <v>Miss</v>
      </c>
      <c r="C1244" s="15" t="str">
        <f t="shared" si="440"/>
        <v>Baruwal</v>
      </c>
      <c r="D1244" s="15" t="str">
        <f t="shared" si="420"/>
        <v>Pratikshya</v>
      </c>
      <c r="E1244" s="15" t="str">
        <f t="shared" si="421"/>
        <v>43 Gilloway Street</v>
      </c>
      <c r="F1244" s="15" t="str">
        <f t="shared" si="422"/>
        <v>Iluka</v>
      </c>
      <c r="G1244" s="15" t="str">
        <f t="shared" si="423"/>
        <v>NSW</v>
      </c>
      <c r="H1244" s="15">
        <f t="shared" si="424"/>
        <v>2466</v>
      </c>
      <c r="I1244" s="15">
        <f t="shared" si="435"/>
        <v>347</v>
      </c>
      <c r="J1244" s="15">
        <f>OrdersTable!B1244</f>
        <v>704</v>
      </c>
      <c r="K1244" s="15" t="str">
        <f t="shared" si="425"/>
        <v>Posters, Prints and Standees</v>
      </c>
      <c r="L1244" s="15" t="str">
        <f t="shared" si="426"/>
        <v>Doctor Who: Poster: Doctor's Enemies</v>
      </c>
      <c r="M1244" s="15" t="str">
        <f t="shared" si="427"/>
        <v>-</v>
      </c>
      <c r="N1244" s="15">
        <f t="shared" si="428"/>
        <v>0.2</v>
      </c>
      <c r="O1244" s="15" t="str">
        <f t="shared" si="429"/>
        <v>A30</v>
      </c>
      <c r="P1244" s="15" t="str">
        <f t="shared" si="430"/>
        <v>Chesterton Enterprises</v>
      </c>
      <c r="Q1244" s="15" t="str">
        <f t="shared" si="431"/>
        <v>41 William Russell Road</v>
      </c>
      <c r="R1244" s="3">
        <f>OrdersTable!C1244</f>
        <v>44650</v>
      </c>
      <c r="S1244" s="15">
        <f>OrdersTable!E1244</f>
        <v>4</v>
      </c>
      <c r="T1244" s="15">
        <f t="shared" si="432"/>
        <v>3.99</v>
      </c>
      <c r="U1244" s="15">
        <f t="shared" si="433"/>
        <v>5.52</v>
      </c>
      <c r="V1244" s="15">
        <f t="shared" si="434"/>
        <v>6.46</v>
      </c>
      <c r="W1244" s="15">
        <f>IF(MarkupType="Store Markup",ROUND(V1244+V1244*StoreMarkup,2),IF(MarkupType="Supplier Markup",V1244+V1244*SupplierMarkup,"Error at finding value"))</f>
        <v>10.17</v>
      </c>
      <c r="X1244" s="32" t="str">
        <f t="shared" si="436"/>
        <v>0.00</v>
      </c>
      <c r="Y1244" s="15">
        <f t="shared" si="437"/>
        <v>25.84</v>
      </c>
      <c r="Z1244" s="15">
        <f t="shared" si="438"/>
        <v>40.68</v>
      </c>
      <c r="AA1244" s="15">
        <f>IF(FreightType="Lethbridge-Stewart Freight ",ROUND(2.99+IF(N1244&gt;0.75,(N1244-0.75)*2.25,0)*S1244,2),IF(MarkupType="Supplier Markup",V1244+V1244*SupplierMarkup,"Error at finding value"))</f>
        <v>2.99</v>
      </c>
      <c r="AB1244" s="15">
        <f t="shared" si="439"/>
        <v>0</v>
      </c>
    </row>
    <row r="1245" spans="1:28" x14ac:dyDescent="0.25">
      <c r="A1245" s="16">
        <f>OrdersTable!A1245</f>
        <v>249</v>
      </c>
      <c r="B1245" s="15" t="str">
        <f t="shared" si="419"/>
        <v>Mr</v>
      </c>
      <c r="C1245" s="15" t="str">
        <f t="shared" si="440"/>
        <v>Sinclair</v>
      </c>
      <c r="D1245" s="15" t="str">
        <f t="shared" si="420"/>
        <v>Travis James Foord</v>
      </c>
      <c r="E1245" s="15" t="str">
        <f t="shared" si="421"/>
        <v>25 Leunen Avenue</v>
      </c>
      <c r="F1245" s="15" t="str">
        <f t="shared" si="422"/>
        <v>Batlow</v>
      </c>
      <c r="G1245" s="15" t="str">
        <f t="shared" si="423"/>
        <v>NSW</v>
      </c>
      <c r="H1245" s="15">
        <f t="shared" si="424"/>
        <v>2730</v>
      </c>
      <c r="I1245" s="15">
        <f t="shared" si="435"/>
        <v>1138</v>
      </c>
      <c r="J1245" s="15">
        <f>OrdersTable!B1245</f>
        <v>724</v>
      </c>
      <c r="K1245" s="15" t="str">
        <f t="shared" si="425"/>
        <v>Posters, Prints and Standees</v>
      </c>
      <c r="L1245" s="15" t="str">
        <f t="shared" si="426"/>
        <v>Doctor Who: Standee: The 10th Doctor</v>
      </c>
      <c r="M1245" s="15" t="str">
        <f t="shared" si="427"/>
        <v>-</v>
      </c>
      <c r="N1245" s="15">
        <f t="shared" si="428"/>
        <v>1.125</v>
      </c>
      <c r="O1245" s="15" t="str">
        <f t="shared" si="429"/>
        <v>A50</v>
      </c>
      <c r="P1245" s="15" t="str">
        <f t="shared" si="430"/>
        <v>Rassilon Ltd.</v>
      </c>
      <c r="Q1245" s="15" t="str">
        <f t="shared" si="431"/>
        <v>82 Richard Mathews Road</v>
      </c>
      <c r="R1245" s="3">
        <f>OrdersTable!C1245</f>
        <v>44650</v>
      </c>
      <c r="S1245" s="15">
        <f>OrdersTable!E1245</f>
        <v>2</v>
      </c>
      <c r="T1245" s="15">
        <f t="shared" si="432"/>
        <v>22.49</v>
      </c>
      <c r="U1245" s="15">
        <f t="shared" si="433"/>
        <v>30.77</v>
      </c>
      <c r="V1245" s="15">
        <f t="shared" si="434"/>
        <v>36.43</v>
      </c>
      <c r="W1245" s="15">
        <f>IF(MarkupType="Store Markup",ROUND(V1245+V1245*StoreMarkup,2),IF(MarkupType="Supplier Markup",V1245+V1245*SupplierMarkup,"Error at finding value"))</f>
        <v>57.38</v>
      </c>
      <c r="X1245" s="32" t="str">
        <f t="shared" si="436"/>
        <v>0.00</v>
      </c>
      <c r="Y1245" s="15">
        <f t="shared" si="437"/>
        <v>72.86</v>
      </c>
      <c r="Z1245" s="15">
        <f t="shared" si="438"/>
        <v>114.76</v>
      </c>
      <c r="AA1245" s="15">
        <f>IF(FreightType="Lethbridge-Stewart Freight ",ROUND(2.99+IF(N1245&gt;0.75,(N1245-0.75)*2.25,0)*S1245,2),IF(MarkupType="Supplier Markup",V1245+V1245*SupplierMarkup,"Error at finding value"))</f>
        <v>4.68</v>
      </c>
      <c r="AB1245" s="15">
        <f t="shared" si="439"/>
        <v>0</v>
      </c>
    </row>
    <row r="1246" spans="1:28" x14ac:dyDescent="0.25">
      <c r="A1246" s="16">
        <f>OrdersTable!A1246</f>
        <v>284</v>
      </c>
      <c r="B1246" s="15" t="str">
        <f t="shared" si="419"/>
        <v>Mr</v>
      </c>
      <c r="C1246" s="15" t="str">
        <f t="shared" si="440"/>
        <v>Aitcheson</v>
      </c>
      <c r="D1246" s="15" t="str">
        <f t="shared" si="420"/>
        <v>Ben James</v>
      </c>
      <c r="E1246" s="15" t="str">
        <f t="shared" si="421"/>
        <v>32 Evans Avenue</v>
      </c>
      <c r="F1246" s="15" t="str">
        <f t="shared" si="422"/>
        <v>Batlow</v>
      </c>
      <c r="G1246" s="15" t="str">
        <f t="shared" si="423"/>
        <v>NSW</v>
      </c>
      <c r="H1246" s="15">
        <f t="shared" si="424"/>
        <v>2730</v>
      </c>
      <c r="I1246" s="15">
        <f t="shared" si="435"/>
        <v>1138</v>
      </c>
      <c r="J1246" s="15">
        <f>OrdersTable!B1246</f>
        <v>515</v>
      </c>
      <c r="K1246" s="15" t="str">
        <f t="shared" si="425"/>
        <v>Giftware</v>
      </c>
      <c r="L1246" s="15" t="str">
        <f t="shared" si="426"/>
        <v>Doctor Who: Keyring K9</v>
      </c>
      <c r="M1246" s="15" t="str">
        <f t="shared" si="427"/>
        <v>-</v>
      </c>
      <c r="N1246" s="15">
        <f t="shared" si="428"/>
        <v>0.25</v>
      </c>
      <c r="O1246" s="15" t="str">
        <f t="shared" si="429"/>
        <v>A50</v>
      </c>
      <c r="P1246" s="15" t="str">
        <f t="shared" si="430"/>
        <v>Rassilon Ltd.</v>
      </c>
      <c r="Q1246" s="15" t="str">
        <f t="shared" si="431"/>
        <v>82 Richard Mathews Road</v>
      </c>
      <c r="R1246" s="3">
        <f>OrdersTable!C1246</f>
        <v>44650</v>
      </c>
      <c r="S1246" s="15">
        <f>OrdersTable!E1246</f>
        <v>4</v>
      </c>
      <c r="T1246" s="15">
        <f t="shared" si="432"/>
        <v>4.99</v>
      </c>
      <c r="U1246" s="15">
        <f t="shared" si="433"/>
        <v>6.91</v>
      </c>
      <c r="V1246" s="15">
        <f t="shared" si="434"/>
        <v>8.08</v>
      </c>
      <c r="W1246" s="15">
        <f>IF(MarkupType="Store Markup",ROUND(V1246+V1246*StoreMarkup,2),IF(MarkupType="Supplier Markup",V1246+V1246*SupplierMarkup,"Error at finding value"))</f>
        <v>12.73</v>
      </c>
      <c r="X1246" s="32" t="str">
        <f t="shared" si="436"/>
        <v>0.00</v>
      </c>
      <c r="Y1246" s="15">
        <f t="shared" si="437"/>
        <v>32.32</v>
      </c>
      <c r="Z1246" s="15">
        <f t="shared" si="438"/>
        <v>50.92</v>
      </c>
      <c r="AA1246" s="15">
        <f>IF(FreightType="Lethbridge-Stewart Freight ",ROUND(2.99+IF(N1246&gt;0.75,(N1246-0.75)*2.25,0)*S1246,2),IF(MarkupType="Supplier Markup",V1246+V1246*SupplierMarkup,"Error at finding value"))</f>
        <v>2.99</v>
      </c>
      <c r="AB1246" s="15">
        <f t="shared" si="439"/>
        <v>0</v>
      </c>
    </row>
    <row r="1247" spans="1:28" x14ac:dyDescent="0.25">
      <c r="A1247" s="16">
        <f>OrdersTable!A1247</f>
        <v>331</v>
      </c>
      <c r="B1247" s="15" t="str">
        <f t="shared" si="419"/>
        <v>Mrs</v>
      </c>
      <c r="C1247" s="15" t="str">
        <f t="shared" si="440"/>
        <v>McKenzie</v>
      </c>
      <c r="D1247" s="15" t="str">
        <f t="shared" si="420"/>
        <v>Melinda Kate</v>
      </c>
      <c r="E1247" s="15" t="str">
        <f t="shared" si="421"/>
        <v>49 McKay Way</v>
      </c>
      <c r="F1247" s="15" t="str">
        <f t="shared" si="422"/>
        <v>Black Hills</v>
      </c>
      <c r="G1247" s="15" t="str">
        <f t="shared" si="423"/>
        <v>TAS</v>
      </c>
      <c r="H1247" s="15">
        <f t="shared" si="424"/>
        <v>7140</v>
      </c>
      <c r="I1247" s="15">
        <f t="shared" si="435"/>
        <v>2191</v>
      </c>
      <c r="J1247" s="15">
        <f>OrdersTable!B1247</f>
        <v>164</v>
      </c>
      <c r="K1247" s="15" t="str">
        <f t="shared" si="425"/>
        <v>Bobbleheads</v>
      </c>
      <c r="L1247" s="15" t="str">
        <f t="shared" si="426"/>
        <v>Doctor Who: Bobblehead: Fourth Doctor</v>
      </c>
      <c r="M1247" s="15" t="str">
        <f t="shared" si="427"/>
        <v>-</v>
      </c>
      <c r="N1247" s="15">
        <f t="shared" si="428"/>
        <v>0.75</v>
      </c>
      <c r="O1247" s="15" t="str">
        <f t="shared" si="429"/>
        <v>A40</v>
      </c>
      <c r="P1247" s="15" t="str">
        <f t="shared" si="430"/>
        <v>Romana Imports</v>
      </c>
      <c r="Q1247" s="15" t="str">
        <f t="shared" si="431"/>
        <v>17 Lalla Ward Road</v>
      </c>
      <c r="R1247" s="3">
        <f>OrdersTable!C1247</f>
        <v>44650</v>
      </c>
      <c r="S1247" s="15">
        <f>OrdersTable!E1247</f>
        <v>7</v>
      </c>
      <c r="T1247" s="15">
        <f t="shared" si="432"/>
        <v>14.99</v>
      </c>
      <c r="U1247" s="15">
        <f t="shared" si="433"/>
        <v>20.53</v>
      </c>
      <c r="V1247" s="15">
        <f t="shared" si="434"/>
        <v>24.28</v>
      </c>
      <c r="W1247" s="15">
        <f>IF(MarkupType="Store Markup",ROUND(V1247+V1247*StoreMarkup,2),IF(MarkupType="Supplier Markup",V1247+V1247*SupplierMarkup,"Error at finding value"))</f>
        <v>38.24</v>
      </c>
      <c r="X1247" s="32" t="str">
        <f t="shared" si="436"/>
        <v>0.00</v>
      </c>
      <c r="Y1247" s="15">
        <f t="shared" si="437"/>
        <v>169.96</v>
      </c>
      <c r="Z1247" s="15">
        <f t="shared" si="438"/>
        <v>267.68</v>
      </c>
      <c r="AA1247" s="15">
        <f>IF(FreightType="Lethbridge-Stewart Freight ",ROUND(2.99+IF(N1247&gt;0.75,(N1247-0.75)*2.25,0)*S1247,2),IF(MarkupType="Supplier Markup",V1247+V1247*SupplierMarkup,"Error at finding value"))</f>
        <v>2.99</v>
      </c>
      <c r="AB1247" s="15">
        <f t="shared" si="439"/>
        <v>0</v>
      </c>
    </row>
    <row r="1248" spans="1:28" x14ac:dyDescent="0.25">
      <c r="A1248" s="16">
        <f>OrdersTable!A1248</f>
        <v>331</v>
      </c>
      <c r="B1248" s="15" t="str">
        <f t="shared" si="419"/>
        <v>Mrs</v>
      </c>
      <c r="C1248" s="15" t="str">
        <f t="shared" si="440"/>
        <v>McKenzie</v>
      </c>
      <c r="D1248" s="15" t="str">
        <f t="shared" si="420"/>
        <v>Melinda Kate</v>
      </c>
      <c r="E1248" s="15" t="str">
        <f t="shared" si="421"/>
        <v>49 McKay Way</v>
      </c>
      <c r="F1248" s="15" t="str">
        <f t="shared" si="422"/>
        <v>Black Hills</v>
      </c>
      <c r="G1248" s="15" t="str">
        <f t="shared" si="423"/>
        <v>TAS</v>
      </c>
      <c r="H1248" s="15">
        <f t="shared" si="424"/>
        <v>7140</v>
      </c>
      <c r="I1248" s="15">
        <f t="shared" si="435"/>
        <v>2191</v>
      </c>
      <c r="J1248" s="15">
        <f>OrdersTable!B1248</f>
        <v>453</v>
      </c>
      <c r="K1248" s="15" t="str">
        <f t="shared" si="425"/>
        <v>Giftware</v>
      </c>
      <c r="L1248" s="15" t="str">
        <f t="shared" si="426"/>
        <v>Doctor Who: Ceramic Cookie Jar: TARDIS</v>
      </c>
      <c r="M1248" s="15" t="str">
        <f t="shared" si="427"/>
        <v>-</v>
      </c>
      <c r="N1248" s="15">
        <f t="shared" si="428"/>
        <v>1.35</v>
      </c>
      <c r="O1248" s="15" t="str">
        <f t="shared" si="429"/>
        <v>A40</v>
      </c>
      <c r="P1248" s="15" t="str">
        <f t="shared" si="430"/>
        <v>Romana Imports</v>
      </c>
      <c r="Q1248" s="15" t="str">
        <f t="shared" si="431"/>
        <v>17 Lalla Ward Road</v>
      </c>
      <c r="R1248" s="3">
        <f>OrdersTable!C1248</f>
        <v>44650</v>
      </c>
      <c r="S1248" s="15">
        <f>OrdersTable!E1248</f>
        <v>7</v>
      </c>
      <c r="T1248" s="15">
        <f t="shared" si="432"/>
        <v>26.99</v>
      </c>
      <c r="U1248" s="15">
        <f t="shared" si="433"/>
        <v>37.119999999999997</v>
      </c>
      <c r="V1248" s="15">
        <f t="shared" si="434"/>
        <v>43.72</v>
      </c>
      <c r="W1248" s="15">
        <f>IF(MarkupType="Store Markup",ROUND(V1248+V1248*StoreMarkup,2),IF(MarkupType="Supplier Markup",V1248+V1248*SupplierMarkup,"Error at finding value"))</f>
        <v>68.86</v>
      </c>
      <c r="X1248" s="32" t="str">
        <f t="shared" si="436"/>
        <v>0.00</v>
      </c>
      <c r="Y1248" s="15">
        <f t="shared" si="437"/>
        <v>306.04000000000002</v>
      </c>
      <c r="Z1248" s="15">
        <f t="shared" si="438"/>
        <v>482.02</v>
      </c>
      <c r="AA1248" s="15">
        <f>IF(FreightType="Lethbridge-Stewart Freight ",ROUND(2.99+IF(N1248&gt;0.75,(N1248-0.75)*2.25,0)*S1248,2),IF(MarkupType="Supplier Markup",V1248+V1248*SupplierMarkup,"Error at finding value"))</f>
        <v>12.44</v>
      </c>
      <c r="AB1248" s="15">
        <f t="shared" si="439"/>
        <v>0</v>
      </c>
    </row>
    <row r="1249" spans="1:28" x14ac:dyDescent="0.25">
      <c r="A1249" s="16">
        <f>OrdersTable!A1249</f>
        <v>333</v>
      </c>
      <c r="B1249" s="15" t="str">
        <f t="shared" si="419"/>
        <v>Mr</v>
      </c>
      <c r="C1249" s="15" t="str">
        <f t="shared" si="440"/>
        <v>Martin</v>
      </c>
      <c r="D1249" s="15" t="str">
        <f t="shared" si="420"/>
        <v>Damien Roger</v>
      </c>
      <c r="E1249" s="15" t="str">
        <f t="shared" si="421"/>
        <v>23 Quennell Way</v>
      </c>
      <c r="F1249" s="15" t="str">
        <f t="shared" si="422"/>
        <v>Aberfoyle</v>
      </c>
      <c r="G1249" s="15" t="str">
        <f t="shared" si="423"/>
        <v>NSW</v>
      </c>
      <c r="H1249" s="15">
        <f t="shared" si="424"/>
        <v>2350</v>
      </c>
      <c r="I1249" s="15">
        <f t="shared" si="435"/>
        <v>363</v>
      </c>
      <c r="J1249" s="15">
        <f>OrdersTable!B1249</f>
        <v>834</v>
      </c>
      <c r="K1249" s="15" t="str">
        <f t="shared" si="425"/>
        <v>Statues and Busts</v>
      </c>
      <c r="L1249" s="15" t="str">
        <f t="shared" si="426"/>
        <v>Doctor Who: Signature Edition Statue: Gallifrey Edition: Matt Smith</v>
      </c>
      <c r="M1249" s="15" t="str">
        <f t="shared" si="427"/>
        <v>-</v>
      </c>
      <c r="N1249" s="15">
        <f t="shared" si="428"/>
        <v>2.5</v>
      </c>
      <c r="O1249" s="15" t="str">
        <f t="shared" si="429"/>
        <v>A30</v>
      </c>
      <c r="P1249" s="15" t="str">
        <f t="shared" si="430"/>
        <v>Chesterton Enterprises</v>
      </c>
      <c r="Q1249" s="15" t="str">
        <f t="shared" si="431"/>
        <v>41 William Russell Road</v>
      </c>
      <c r="R1249" s="3">
        <f>OrdersTable!C1249</f>
        <v>44650</v>
      </c>
      <c r="S1249" s="15">
        <f>OrdersTable!E1249</f>
        <v>5</v>
      </c>
      <c r="T1249" s="15">
        <f t="shared" si="432"/>
        <v>49.99</v>
      </c>
      <c r="U1249" s="15">
        <f t="shared" si="433"/>
        <v>68.52</v>
      </c>
      <c r="V1249" s="15">
        <f t="shared" si="434"/>
        <v>80.98</v>
      </c>
      <c r="W1249" s="15">
        <f>IF(MarkupType="Store Markup",ROUND(V1249+V1249*StoreMarkup,2),IF(MarkupType="Supplier Markup",V1249+V1249*SupplierMarkup,"Error at finding value"))</f>
        <v>127.54</v>
      </c>
      <c r="X1249" s="32">
        <f t="shared" si="436"/>
        <v>9.09</v>
      </c>
      <c r="Y1249" s="15">
        <f t="shared" si="437"/>
        <v>404.9</v>
      </c>
      <c r="Z1249" s="15">
        <f t="shared" si="438"/>
        <v>592.25</v>
      </c>
      <c r="AA1249" s="15">
        <f>IF(FreightType="Lethbridge-Stewart Freight ",ROUND(2.99+IF(N1249&gt;0.75,(N1249-0.75)*2.25,0)*S1249,2),IF(MarkupType="Supplier Markup",V1249+V1249*SupplierMarkup,"Error at finding value"))</f>
        <v>22.68</v>
      </c>
      <c r="AB1249" s="15">
        <f t="shared" si="439"/>
        <v>45.45</v>
      </c>
    </row>
    <row r="1250" spans="1:28" x14ac:dyDescent="0.25">
      <c r="A1250" s="16">
        <f>OrdersTable!A1250</f>
        <v>338</v>
      </c>
      <c r="B1250" s="15" t="str">
        <f t="shared" si="419"/>
        <v>Miss</v>
      </c>
      <c r="C1250" s="15" t="str">
        <f t="shared" si="440"/>
        <v>Pellegrino</v>
      </c>
      <c r="D1250" s="15" t="str">
        <f t="shared" si="420"/>
        <v>Samantha</v>
      </c>
      <c r="E1250" s="15" t="str">
        <f t="shared" si="421"/>
        <v>38 McKeown Street</v>
      </c>
      <c r="F1250" s="15" t="str">
        <f t="shared" si="422"/>
        <v>Avon Plains</v>
      </c>
      <c r="G1250" s="15" t="str">
        <f t="shared" si="423"/>
        <v>VIC</v>
      </c>
      <c r="H1250" s="15">
        <f t="shared" si="424"/>
        <v>3477</v>
      </c>
      <c r="I1250" s="15">
        <f t="shared" si="435"/>
        <v>1565</v>
      </c>
      <c r="J1250" s="15">
        <f>OrdersTable!B1250</f>
        <v>689</v>
      </c>
      <c r="K1250" s="15" t="str">
        <f t="shared" si="425"/>
        <v>Posters, Prints and Standees</v>
      </c>
      <c r="L1250" s="15" t="str">
        <f t="shared" si="426"/>
        <v>Doctor Who: 16'x12' Framed Print: Cold War</v>
      </c>
      <c r="M1250" s="15" t="str">
        <f t="shared" si="427"/>
        <v>-</v>
      </c>
      <c r="N1250" s="15">
        <f t="shared" si="428"/>
        <v>0.75</v>
      </c>
      <c r="O1250" s="15" t="str">
        <f t="shared" si="429"/>
        <v>A50</v>
      </c>
      <c r="P1250" s="15" t="str">
        <f t="shared" si="430"/>
        <v>Rassilon Ltd.</v>
      </c>
      <c r="Q1250" s="15" t="str">
        <f t="shared" si="431"/>
        <v>82 Richard Mathews Road</v>
      </c>
      <c r="R1250" s="3">
        <f>OrdersTable!C1250</f>
        <v>44650</v>
      </c>
      <c r="S1250" s="15">
        <f>OrdersTable!E1250</f>
        <v>5</v>
      </c>
      <c r="T1250" s="15">
        <f t="shared" si="432"/>
        <v>14.99</v>
      </c>
      <c r="U1250" s="15">
        <f t="shared" si="433"/>
        <v>20.77</v>
      </c>
      <c r="V1250" s="15">
        <f t="shared" si="434"/>
        <v>24.28</v>
      </c>
      <c r="W1250" s="15">
        <f>IF(MarkupType="Store Markup",ROUND(V1250+V1250*StoreMarkup,2),IF(MarkupType="Supplier Markup",V1250+V1250*SupplierMarkup,"Error at finding value"))</f>
        <v>38.24</v>
      </c>
      <c r="X1250" s="32" t="str">
        <f t="shared" si="436"/>
        <v>0.00</v>
      </c>
      <c r="Y1250" s="15">
        <f t="shared" si="437"/>
        <v>121.4</v>
      </c>
      <c r="Z1250" s="15">
        <f t="shared" si="438"/>
        <v>191.2</v>
      </c>
      <c r="AA1250" s="15">
        <f>IF(FreightType="Lethbridge-Stewart Freight ",ROUND(2.99+IF(N1250&gt;0.75,(N1250-0.75)*2.25,0)*S1250,2),IF(MarkupType="Supplier Markup",V1250+V1250*SupplierMarkup,"Error at finding value"))</f>
        <v>2.99</v>
      </c>
      <c r="AB1250" s="15">
        <f t="shared" si="439"/>
        <v>0</v>
      </c>
    </row>
    <row r="1251" spans="1:28" x14ac:dyDescent="0.25">
      <c r="A1251" s="16">
        <f>OrdersTable!A1251</f>
        <v>467</v>
      </c>
      <c r="B1251" s="15" t="str">
        <f t="shared" si="419"/>
        <v>Mrs</v>
      </c>
      <c r="C1251" s="15" t="str">
        <f t="shared" si="440"/>
        <v>Daniell</v>
      </c>
      <c r="D1251" s="15" t="str">
        <f t="shared" si="420"/>
        <v>Bronte Eliza</v>
      </c>
      <c r="E1251" s="15" t="str">
        <f t="shared" si="421"/>
        <v>41 Wilson Boulevard</v>
      </c>
      <c r="F1251" s="15" t="str">
        <f t="shared" si="422"/>
        <v>Aberfoyle</v>
      </c>
      <c r="G1251" s="15" t="str">
        <f t="shared" si="423"/>
        <v>NSW</v>
      </c>
      <c r="H1251" s="15">
        <f t="shared" si="424"/>
        <v>2350</v>
      </c>
      <c r="I1251" s="15">
        <f t="shared" si="435"/>
        <v>363</v>
      </c>
      <c r="J1251" s="15">
        <f>OrdersTable!B1251</f>
        <v>398</v>
      </c>
      <c r="K1251" s="15" t="str">
        <f t="shared" si="425"/>
        <v>Clothing and Apparel</v>
      </c>
      <c r="L1251" s="15" t="str">
        <f t="shared" si="426"/>
        <v>Doctor Who: Women's Winter Pyjamas</v>
      </c>
      <c r="M1251" s="15" t="str">
        <f t="shared" si="427"/>
        <v>S</v>
      </c>
      <c r="N1251" s="15">
        <f t="shared" si="428"/>
        <v>1.5</v>
      </c>
      <c r="O1251" s="15" t="str">
        <f t="shared" si="429"/>
        <v>A40</v>
      </c>
      <c r="P1251" s="15" t="str">
        <f t="shared" si="430"/>
        <v>Romana Imports</v>
      </c>
      <c r="Q1251" s="15" t="str">
        <f t="shared" si="431"/>
        <v>17 Lalla Ward Road</v>
      </c>
      <c r="R1251" s="3">
        <f>OrdersTable!C1251</f>
        <v>44650</v>
      </c>
      <c r="S1251" s="15">
        <f>OrdersTable!E1251</f>
        <v>1</v>
      </c>
      <c r="T1251" s="15">
        <f t="shared" si="432"/>
        <v>29.99</v>
      </c>
      <c r="U1251" s="15">
        <f t="shared" si="433"/>
        <v>41.07</v>
      </c>
      <c r="V1251" s="15">
        <f t="shared" si="434"/>
        <v>48.58</v>
      </c>
      <c r="W1251" s="15">
        <f>IF(MarkupType="Store Markup",ROUND(V1251+V1251*StoreMarkup,2),IF(MarkupType="Supplier Markup",V1251+V1251*SupplierMarkup,"Error at finding value"))</f>
        <v>76.510000000000005</v>
      </c>
      <c r="X1251" s="32" t="str">
        <f t="shared" si="436"/>
        <v>0.00</v>
      </c>
      <c r="Y1251" s="15">
        <f t="shared" si="437"/>
        <v>48.58</v>
      </c>
      <c r="Z1251" s="15">
        <f t="shared" si="438"/>
        <v>76.510000000000005</v>
      </c>
      <c r="AA1251" s="15">
        <f>IF(FreightType="Lethbridge-Stewart Freight ",ROUND(2.99+IF(N1251&gt;0.75,(N1251-0.75)*2.25,0)*S1251,2),IF(MarkupType="Supplier Markup",V1251+V1251*SupplierMarkup,"Error at finding value"))</f>
        <v>4.68</v>
      </c>
      <c r="AB1251" s="15">
        <f t="shared" si="439"/>
        <v>0</v>
      </c>
    </row>
    <row r="1252" spans="1:28" x14ac:dyDescent="0.25">
      <c r="A1252" s="16">
        <f>OrdersTable!A1252</f>
        <v>561</v>
      </c>
      <c r="B1252" s="15" t="str">
        <f t="shared" si="419"/>
        <v>Ms</v>
      </c>
      <c r="C1252" s="15" t="str">
        <f t="shared" si="440"/>
        <v>Mulcahy</v>
      </c>
      <c r="D1252" s="15" t="str">
        <f t="shared" si="420"/>
        <v>Jodie Leigh</v>
      </c>
      <c r="E1252" s="15" t="str">
        <f t="shared" si="421"/>
        <v>32 Scott Crescent</v>
      </c>
      <c r="F1252" s="15" t="str">
        <f t="shared" si="422"/>
        <v>Bray Park</v>
      </c>
      <c r="G1252" s="15" t="str">
        <f t="shared" si="423"/>
        <v>QLD</v>
      </c>
      <c r="H1252" s="15">
        <f t="shared" si="424"/>
        <v>4500</v>
      </c>
      <c r="I1252" s="15">
        <f t="shared" si="435"/>
        <v>139</v>
      </c>
      <c r="J1252" s="15">
        <f>OrdersTable!B1252</f>
        <v>436</v>
      </c>
      <c r="K1252" s="15" t="str">
        <f t="shared" si="425"/>
        <v>Giftware</v>
      </c>
      <c r="L1252" s="15" t="str">
        <f t="shared" si="426"/>
        <v>Doctor Who: Adult Watch: TARDIS</v>
      </c>
      <c r="M1252" s="15" t="str">
        <f t="shared" si="427"/>
        <v>-</v>
      </c>
      <c r="N1252" s="15">
        <f t="shared" si="428"/>
        <v>1.5</v>
      </c>
      <c r="O1252" s="15" t="str">
        <f t="shared" si="429"/>
        <v>A20</v>
      </c>
      <c r="P1252" s="15" t="str">
        <f t="shared" si="430"/>
        <v>Morbius Inc.</v>
      </c>
      <c r="Q1252" s="15" t="str">
        <f t="shared" si="431"/>
        <v>56 Michael Spice Hwy</v>
      </c>
      <c r="R1252" s="3">
        <f>OrdersTable!C1252</f>
        <v>44650</v>
      </c>
      <c r="S1252" s="15">
        <f>OrdersTable!E1252</f>
        <v>10</v>
      </c>
      <c r="T1252" s="15">
        <f t="shared" si="432"/>
        <v>29.99</v>
      </c>
      <c r="U1252" s="15">
        <f t="shared" si="433"/>
        <v>40.96</v>
      </c>
      <c r="V1252" s="15">
        <f t="shared" si="434"/>
        <v>48.58</v>
      </c>
      <c r="W1252" s="15">
        <f>IF(MarkupType="Store Markup",ROUND(V1252+V1252*StoreMarkup,2),IF(MarkupType="Supplier Markup",V1252+V1252*SupplierMarkup,"Error at finding value"))</f>
        <v>76.510000000000005</v>
      </c>
      <c r="X1252" s="32" t="str">
        <f t="shared" si="436"/>
        <v>0.00</v>
      </c>
      <c r="Y1252" s="15">
        <f t="shared" si="437"/>
        <v>485.8</v>
      </c>
      <c r="Z1252" s="15">
        <f t="shared" si="438"/>
        <v>765.1</v>
      </c>
      <c r="AA1252" s="15">
        <f>IF(FreightType="Lethbridge-Stewart Freight ",ROUND(2.99+IF(N1252&gt;0.75,(N1252-0.75)*2.25,0)*S1252,2),IF(MarkupType="Supplier Markup",V1252+V1252*SupplierMarkup,"Error at finding value"))</f>
        <v>19.87</v>
      </c>
      <c r="AB1252" s="15">
        <f t="shared" si="439"/>
        <v>0</v>
      </c>
    </row>
    <row r="1253" spans="1:28" x14ac:dyDescent="0.25">
      <c r="A1253" s="16">
        <f>OrdersTable!A1253</f>
        <v>585</v>
      </c>
      <c r="B1253" s="15" t="str">
        <f t="shared" si="419"/>
        <v>Miss</v>
      </c>
      <c r="C1253" s="15" t="str">
        <f t="shared" si="440"/>
        <v>Long</v>
      </c>
      <c r="D1253" s="15" t="str">
        <f t="shared" si="420"/>
        <v>Bellinda May</v>
      </c>
      <c r="E1253" s="15" t="str">
        <f t="shared" si="421"/>
        <v>5 Hutcheson Avenue</v>
      </c>
      <c r="F1253" s="15" t="str">
        <f t="shared" si="422"/>
        <v>Glenfern</v>
      </c>
      <c r="G1253" s="15" t="str">
        <f t="shared" si="423"/>
        <v>QLD</v>
      </c>
      <c r="H1253" s="15">
        <f t="shared" si="424"/>
        <v>4515</v>
      </c>
      <c r="I1253" s="15">
        <f t="shared" si="435"/>
        <v>128</v>
      </c>
      <c r="J1253" s="15">
        <f>OrdersTable!B1253</f>
        <v>671</v>
      </c>
      <c r="K1253" s="15" t="str">
        <f t="shared" si="425"/>
        <v>Mugs</v>
      </c>
      <c r="L1253" s="15" t="str">
        <f t="shared" si="426"/>
        <v>Doctor Who: Mug: TARDIS Inside</v>
      </c>
      <c r="M1253" s="15" t="str">
        <f t="shared" si="427"/>
        <v>-</v>
      </c>
      <c r="N1253" s="15">
        <f t="shared" si="428"/>
        <v>0.6</v>
      </c>
      <c r="O1253" s="15" t="str">
        <f t="shared" si="429"/>
        <v>A30</v>
      </c>
      <c r="P1253" s="15" t="str">
        <f t="shared" si="430"/>
        <v>Chesterton Enterprises</v>
      </c>
      <c r="Q1253" s="15" t="str">
        <f t="shared" si="431"/>
        <v>41 William Russell Road</v>
      </c>
      <c r="R1253" s="3">
        <f>OrdersTable!C1253</f>
        <v>44650</v>
      </c>
      <c r="S1253" s="15">
        <f>OrdersTable!E1253</f>
        <v>8</v>
      </c>
      <c r="T1253" s="15">
        <f t="shared" si="432"/>
        <v>11.99</v>
      </c>
      <c r="U1253" s="15">
        <f t="shared" si="433"/>
        <v>16.690000000000001</v>
      </c>
      <c r="V1253" s="15">
        <f t="shared" si="434"/>
        <v>19.420000000000002</v>
      </c>
      <c r="W1253" s="15">
        <f>IF(MarkupType="Store Markup",ROUND(V1253+V1253*StoreMarkup,2),IF(MarkupType="Supplier Markup",V1253+V1253*SupplierMarkup,"Error at finding value"))</f>
        <v>30.59</v>
      </c>
      <c r="X1253" s="32" t="str">
        <f t="shared" si="436"/>
        <v>0.00</v>
      </c>
      <c r="Y1253" s="15">
        <f t="shared" si="437"/>
        <v>155.36000000000001</v>
      </c>
      <c r="Z1253" s="15">
        <f t="shared" si="438"/>
        <v>244.72</v>
      </c>
      <c r="AA1253" s="15">
        <f>IF(FreightType="Lethbridge-Stewart Freight ",ROUND(2.99+IF(N1253&gt;0.75,(N1253-0.75)*2.25,0)*S1253,2),IF(MarkupType="Supplier Markup",V1253+V1253*SupplierMarkup,"Error at finding value"))</f>
        <v>2.99</v>
      </c>
      <c r="AB1253" s="15">
        <f t="shared" si="439"/>
        <v>0</v>
      </c>
    </row>
    <row r="1254" spans="1:28" x14ac:dyDescent="0.25">
      <c r="A1254" s="16">
        <f>OrdersTable!A1254</f>
        <v>643</v>
      </c>
      <c r="B1254" s="15" t="str">
        <f t="shared" si="419"/>
        <v>Ms</v>
      </c>
      <c r="C1254" s="15" t="str">
        <f t="shared" si="440"/>
        <v>Crispin-Purcell</v>
      </c>
      <c r="D1254" s="15" t="str">
        <f t="shared" si="420"/>
        <v>Gabriellen Elizabeth</v>
      </c>
      <c r="E1254" s="15" t="str">
        <f t="shared" si="421"/>
        <v>12 Williams Road</v>
      </c>
      <c r="F1254" s="15" t="str">
        <f t="shared" si="422"/>
        <v>Appletree Flat</v>
      </c>
      <c r="G1254" s="15" t="str">
        <f t="shared" si="423"/>
        <v>NSW</v>
      </c>
      <c r="H1254" s="15">
        <f t="shared" si="424"/>
        <v>2330</v>
      </c>
      <c r="I1254" s="15">
        <f t="shared" si="435"/>
        <v>691</v>
      </c>
      <c r="J1254" s="15">
        <f>OrdersTable!B1254</f>
        <v>853</v>
      </c>
      <c r="K1254" s="15" t="str">
        <f t="shared" si="425"/>
        <v>Statues and Busts</v>
      </c>
      <c r="L1254" s="15" t="str">
        <f t="shared" si="426"/>
        <v>Doctor Who: Statue: The Master And Auton</v>
      </c>
      <c r="M1254" s="15" t="str">
        <f t="shared" si="427"/>
        <v>-</v>
      </c>
      <c r="N1254" s="15">
        <f t="shared" si="428"/>
        <v>3.5</v>
      </c>
      <c r="O1254" s="15" t="str">
        <f t="shared" si="429"/>
        <v>A50</v>
      </c>
      <c r="P1254" s="15" t="str">
        <f t="shared" si="430"/>
        <v>Rassilon Ltd.</v>
      </c>
      <c r="Q1254" s="15" t="str">
        <f t="shared" si="431"/>
        <v>82 Richard Mathews Road</v>
      </c>
      <c r="R1254" s="3">
        <f>OrdersTable!C1254</f>
        <v>44650</v>
      </c>
      <c r="S1254" s="15">
        <f>OrdersTable!E1254</f>
        <v>9</v>
      </c>
      <c r="T1254" s="15">
        <f t="shared" si="432"/>
        <v>69.989999999999995</v>
      </c>
      <c r="U1254" s="15">
        <f t="shared" si="433"/>
        <v>95.51</v>
      </c>
      <c r="V1254" s="15">
        <f t="shared" si="434"/>
        <v>113.38</v>
      </c>
      <c r="W1254" s="15">
        <f>IF(MarkupType="Store Markup",ROUND(V1254+V1254*StoreMarkup,2),IF(MarkupType="Supplier Markup",V1254+V1254*SupplierMarkup,"Error at finding value"))</f>
        <v>178.57</v>
      </c>
      <c r="X1254" s="32">
        <f t="shared" si="436"/>
        <v>12.72</v>
      </c>
      <c r="Y1254" s="15">
        <f t="shared" si="437"/>
        <v>1020.42</v>
      </c>
      <c r="Z1254" s="15">
        <f t="shared" si="438"/>
        <v>1492.65</v>
      </c>
      <c r="AA1254" s="15">
        <f>IF(FreightType="Lethbridge-Stewart Freight ",ROUND(2.99+IF(N1254&gt;0.75,(N1254-0.75)*2.25,0)*S1254,2),IF(MarkupType="Supplier Markup",V1254+V1254*SupplierMarkup,"Error at finding value"))</f>
        <v>58.68</v>
      </c>
      <c r="AB1254" s="15">
        <f t="shared" si="439"/>
        <v>114.48</v>
      </c>
    </row>
    <row r="1255" spans="1:28" x14ac:dyDescent="0.25">
      <c r="A1255" s="16">
        <f>OrdersTable!A1255</f>
        <v>659</v>
      </c>
      <c r="B1255" s="15" t="str">
        <f t="shared" si="419"/>
        <v>Mr</v>
      </c>
      <c r="C1255" s="15" t="str">
        <f t="shared" si="440"/>
        <v>Douglas</v>
      </c>
      <c r="D1255" s="15" t="str">
        <f t="shared" si="420"/>
        <v>Jason Richard</v>
      </c>
      <c r="E1255" s="15" t="str">
        <f t="shared" si="421"/>
        <v>14 Young Crescent</v>
      </c>
      <c r="F1255" s="15" t="str">
        <f t="shared" si="422"/>
        <v>Caliph</v>
      </c>
      <c r="G1255" s="15" t="str">
        <f t="shared" si="423"/>
        <v>SA</v>
      </c>
      <c r="H1255" s="15">
        <f t="shared" si="424"/>
        <v>5310</v>
      </c>
      <c r="I1255" s="15">
        <f t="shared" si="435"/>
        <v>1720</v>
      </c>
      <c r="J1255" s="15">
        <f>OrdersTable!B1255</f>
        <v>667</v>
      </c>
      <c r="K1255" s="15" t="str">
        <f t="shared" si="425"/>
        <v>Mugs</v>
      </c>
      <c r="L1255" s="15" t="str">
        <f t="shared" si="426"/>
        <v>Doctor Who: Mug: Keep Calm And Don't Blink</v>
      </c>
      <c r="M1255" s="15" t="str">
        <f t="shared" si="427"/>
        <v>-</v>
      </c>
      <c r="N1255" s="15">
        <f t="shared" si="428"/>
        <v>0.35</v>
      </c>
      <c r="O1255" s="15" t="str">
        <f t="shared" si="429"/>
        <v>A10</v>
      </c>
      <c r="P1255" s="15" t="str">
        <f t="shared" si="430"/>
        <v>Gallifrey International</v>
      </c>
      <c r="Q1255" s="15" t="str">
        <f t="shared" si="431"/>
        <v>181 Arcadia Street</v>
      </c>
      <c r="R1255" s="3">
        <f>OrdersTable!C1255</f>
        <v>44650</v>
      </c>
      <c r="S1255" s="15">
        <f>OrdersTable!E1255</f>
        <v>5</v>
      </c>
      <c r="T1255" s="15">
        <f t="shared" si="432"/>
        <v>6.99</v>
      </c>
      <c r="U1255" s="15">
        <f t="shared" si="433"/>
        <v>9.84</v>
      </c>
      <c r="V1255" s="15">
        <f t="shared" si="434"/>
        <v>11.32</v>
      </c>
      <c r="W1255" s="15">
        <f>IF(MarkupType="Store Markup",ROUND(V1255+V1255*StoreMarkup,2),IF(MarkupType="Supplier Markup",V1255+V1255*SupplierMarkup,"Error at finding value"))</f>
        <v>17.829999999999998</v>
      </c>
      <c r="X1255" s="32" t="str">
        <f t="shared" si="436"/>
        <v>0.00</v>
      </c>
      <c r="Y1255" s="15">
        <f t="shared" si="437"/>
        <v>56.6</v>
      </c>
      <c r="Z1255" s="15">
        <f t="shared" si="438"/>
        <v>89.15</v>
      </c>
      <c r="AA1255" s="15">
        <f>IF(FreightType="Lethbridge-Stewart Freight ",ROUND(2.99+IF(N1255&gt;0.75,(N1255-0.75)*2.25,0)*S1255,2),IF(MarkupType="Supplier Markup",V1255+V1255*SupplierMarkup,"Error at finding value"))</f>
        <v>2.99</v>
      </c>
      <c r="AB1255" s="15">
        <f t="shared" si="439"/>
        <v>0</v>
      </c>
    </row>
    <row r="1256" spans="1:28" x14ac:dyDescent="0.25">
      <c r="A1256" s="16">
        <f>OrdersTable!A1256</f>
        <v>669</v>
      </c>
      <c r="B1256" s="15" t="str">
        <f t="shared" si="419"/>
        <v>Dr</v>
      </c>
      <c r="C1256" s="15" t="str">
        <f t="shared" si="440"/>
        <v>Ferjani</v>
      </c>
      <c r="D1256" s="15" t="str">
        <f t="shared" si="420"/>
        <v>Rabah</v>
      </c>
      <c r="E1256" s="15" t="str">
        <f t="shared" si="421"/>
        <v>2 Codrington Street</v>
      </c>
      <c r="F1256" s="15" t="str">
        <f t="shared" si="422"/>
        <v>Belford</v>
      </c>
      <c r="G1256" s="15" t="str">
        <f t="shared" si="423"/>
        <v>NSW</v>
      </c>
      <c r="H1256" s="15">
        <f t="shared" si="424"/>
        <v>2335</v>
      </c>
      <c r="I1256" s="15">
        <f t="shared" si="435"/>
        <v>716</v>
      </c>
      <c r="J1256" s="15">
        <f>OrdersTable!B1256</f>
        <v>418</v>
      </c>
      <c r="K1256" s="15" t="str">
        <f t="shared" si="425"/>
        <v>Clothing and Apparel</v>
      </c>
      <c r="L1256" s="15" t="str">
        <f t="shared" si="426"/>
        <v>Doctor Who: Women's Winter Pyjamas</v>
      </c>
      <c r="M1256" s="15" t="str">
        <f t="shared" si="427"/>
        <v>M</v>
      </c>
      <c r="N1256" s="15">
        <f t="shared" si="428"/>
        <v>1.5</v>
      </c>
      <c r="O1256" s="15" t="str">
        <f t="shared" si="429"/>
        <v>A30</v>
      </c>
      <c r="P1256" s="15" t="str">
        <f t="shared" si="430"/>
        <v>Chesterton Enterprises</v>
      </c>
      <c r="Q1256" s="15" t="str">
        <f t="shared" si="431"/>
        <v>41 William Russell Road</v>
      </c>
      <c r="R1256" s="3">
        <f>OrdersTable!C1256</f>
        <v>44650</v>
      </c>
      <c r="S1256" s="15">
        <f>OrdersTable!E1256</f>
        <v>4</v>
      </c>
      <c r="T1256" s="15">
        <f t="shared" si="432"/>
        <v>29.99</v>
      </c>
      <c r="U1256" s="15">
        <f t="shared" si="433"/>
        <v>40.96</v>
      </c>
      <c r="V1256" s="15">
        <f t="shared" si="434"/>
        <v>48.58</v>
      </c>
      <c r="W1256" s="15">
        <f>IF(MarkupType="Store Markup",ROUND(V1256+V1256*StoreMarkup,2),IF(MarkupType="Supplier Markup",V1256+V1256*SupplierMarkup,"Error at finding value"))</f>
        <v>76.510000000000005</v>
      </c>
      <c r="X1256" s="32" t="str">
        <f t="shared" si="436"/>
        <v>0.00</v>
      </c>
      <c r="Y1256" s="15">
        <f t="shared" si="437"/>
        <v>194.32</v>
      </c>
      <c r="Z1256" s="15">
        <f t="shared" si="438"/>
        <v>306.04000000000002</v>
      </c>
      <c r="AA1256" s="15">
        <f>IF(FreightType="Lethbridge-Stewart Freight ",ROUND(2.99+IF(N1256&gt;0.75,(N1256-0.75)*2.25,0)*S1256,2),IF(MarkupType="Supplier Markup",V1256+V1256*SupplierMarkup,"Error at finding value"))</f>
        <v>9.74</v>
      </c>
      <c r="AB1256" s="15">
        <f t="shared" si="439"/>
        <v>0</v>
      </c>
    </row>
    <row r="1257" spans="1:28" x14ac:dyDescent="0.25">
      <c r="A1257" s="16">
        <f>OrdersTable!A1257</f>
        <v>784</v>
      </c>
      <c r="B1257" s="15" t="str">
        <f t="shared" si="419"/>
        <v>Ms</v>
      </c>
      <c r="C1257" s="15" t="str">
        <f t="shared" si="440"/>
        <v>Hansen</v>
      </c>
      <c r="D1257" s="15" t="str">
        <f t="shared" si="420"/>
        <v>Courtney Michelle</v>
      </c>
      <c r="E1257" s="15" t="str">
        <f t="shared" si="421"/>
        <v>22 Elliot Crescent</v>
      </c>
      <c r="F1257" s="15" t="str">
        <f t="shared" si="422"/>
        <v>Alfredtown</v>
      </c>
      <c r="G1257" s="15" t="str">
        <f t="shared" si="423"/>
        <v>NSW</v>
      </c>
      <c r="H1257" s="15">
        <f t="shared" si="424"/>
        <v>2650</v>
      </c>
      <c r="I1257" s="15">
        <f t="shared" si="435"/>
        <v>1124</v>
      </c>
      <c r="J1257" s="15">
        <f>OrdersTable!B1257</f>
        <v>585</v>
      </c>
      <c r="K1257" s="15" t="str">
        <f t="shared" si="425"/>
        <v>iPhone Skins</v>
      </c>
      <c r="L1257" s="15" t="str">
        <f t="shared" si="426"/>
        <v>Doctor Who: iPhone Skin: Dalek To Victory</v>
      </c>
      <c r="M1257" s="15" t="str">
        <f t="shared" si="427"/>
        <v>-</v>
      </c>
      <c r="N1257" s="15">
        <f t="shared" si="428"/>
        <v>0.5</v>
      </c>
      <c r="O1257" s="15" t="str">
        <f t="shared" si="429"/>
        <v>A10</v>
      </c>
      <c r="P1257" s="15" t="str">
        <f t="shared" si="430"/>
        <v>Gallifrey International</v>
      </c>
      <c r="Q1257" s="15" t="str">
        <f t="shared" si="431"/>
        <v>181 Arcadia Street</v>
      </c>
      <c r="R1257" s="3">
        <f>OrdersTable!C1257</f>
        <v>44650</v>
      </c>
      <c r="S1257" s="15">
        <f>OrdersTable!E1257</f>
        <v>2</v>
      </c>
      <c r="T1257" s="15">
        <f t="shared" si="432"/>
        <v>9.99</v>
      </c>
      <c r="U1257" s="15">
        <f t="shared" si="433"/>
        <v>13.7</v>
      </c>
      <c r="V1257" s="15">
        <f t="shared" si="434"/>
        <v>16.18</v>
      </c>
      <c r="W1257" s="15">
        <f>IF(MarkupType="Store Markup",ROUND(V1257+V1257*StoreMarkup,2),IF(MarkupType="Supplier Markup",V1257+V1257*SupplierMarkup,"Error at finding value"))</f>
        <v>25.48</v>
      </c>
      <c r="X1257" s="32" t="str">
        <f t="shared" si="436"/>
        <v>0.00</v>
      </c>
      <c r="Y1257" s="15">
        <f t="shared" si="437"/>
        <v>32.36</v>
      </c>
      <c r="Z1257" s="15">
        <f t="shared" si="438"/>
        <v>50.96</v>
      </c>
      <c r="AA1257" s="15">
        <f>IF(FreightType="Lethbridge-Stewart Freight ",ROUND(2.99+IF(N1257&gt;0.75,(N1257-0.75)*2.25,0)*S1257,2),IF(MarkupType="Supplier Markup",V1257+V1257*SupplierMarkup,"Error at finding value"))</f>
        <v>2.99</v>
      </c>
      <c r="AB1257" s="15">
        <f t="shared" si="439"/>
        <v>0</v>
      </c>
    </row>
    <row r="1258" spans="1:28" x14ac:dyDescent="0.25">
      <c r="A1258" s="16">
        <f>OrdersTable!A1258</f>
        <v>841</v>
      </c>
      <c r="B1258" s="15" t="str">
        <f t="shared" si="419"/>
        <v>Miss</v>
      </c>
      <c r="C1258" s="15" t="str">
        <f t="shared" si="440"/>
        <v>Donaghy</v>
      </c>
      <c r="D1258" s="15" t="str">
        <f t="shared" si="420"/>
        <v>Elizabeth Mathilde Jane</v>
      </c>
      <c r="E1258" s="15" t="str">
        <f t="shared" si="421"/>
        <v>31 Johnson Boulevard</v>
      </c>
      <c r="F1258" s="15" t="str">
        <f t="shared" si="422"/>
        <v>Belford</v>
      </c>
      <c r="G1258" s="15" t="str">
        <f t="shared" si="423"/>
        <v>NSW</v>
      </c>
      <c r="H1258" s="15">
        <f t="shared" si="424"/>
        <v>2335</v>
      </c>
      <c r="I1258" s="15">
        <f t="shared" si="435"/>
        <v>716</v>
      </c>
      <c r="J1258" s="15">
        <f>OrdersTable!B1258</f>
        <v>341</v>
      </c>
      <c r="K1258" s="15" t="str">
        <f t="shared" si="425"/>
        <v>Clothing and Apparel</v>
      </c>
      <c r="L1258" s="15" t="str">
        <f t="shared" si="426"/>
        <v xml:space="preserve">Doctor Who: T-Shirts: 4th Doctor Costume </v>
      </c>
      <c r="M1258" s="15" t="str">
        <f t="shared" si="427"/>
        <v>XL</v>
      </c>
      <c r="N1258" s="15">
        <f t="shared" si="428"/>
        <v>0.8</v>
      </c>
      <c r="O1258" s="15" t="str">
        <f t="shared" si="429"/>
        <v>A20</v>
      </c>
      <c r="P1258" s="15" t="str">
        <f t="shared" si="430"/>
        <v>Morbius Inc.</v>
      </c>
      <c r="Q1258" s="15" t="str">
        <f t="shared" si="431"/>
        <v>56 Michael Spice Hwy</v>
      </c>
      <c r="R1258" s="3">
        <f>OrdersTable!C1258</f>
        <v>44650</v>
      </c>
      <c r="S1258" s="15">
        <f>OrdersTable!E1258</f>
        <v>1</v>
      </c>
      <c r="T1258" s="15">
        <f t="shared" si="432"/>
        <v>15.99</v>
      </c>
      <c r="U1258" s="15">
        <f t="shared" si="433"/>
        <v>22.05</v>
      </c>
      <c r="V1258" s="15">
        <f t="shared" si="434"/>
        <v>25.9</v>
      </c>
      <c r="W1258" s="15">
        <f>IF(MarkupType="Store Markup",ROUND(V1258+V1258*StoreMarkup,2),IF(MarkupType="Supplier Markup",V1258+V1258*SupplierMarkup,"Error at finding value"))</f>
        <v>40.79</v>
      </c>
      <c r="X1258" s="32" t="str">
        <f t="shared" si="436"/>
        <v>0.00</v>
      </c>
      <c r="Y1258" s="15">
        <f t="shared" si="437"/>
        <v>25.9</v>
      </c>
      <c r="Z1258" s="15">
        <f t="shared" si="438"/>
        <v>40.79</v>
      </c>
      <c r="AA1258" s="15">
        <f>IF(FreightType="Lethbridge-Stewart Freight ",ROUND(2.99+IF(N1258&gt;0.75,(N1258-0.75)*2.25,0)*S1258,2),IF(MarkupType="Supplier Markup",V1258+V1258*SupplierMarkup,"Error at finding value"))</f>
        <v>3.1</v>
      </c>
      <c r="AB1258" s="15">
        <f t="shared" si="439"/>
        <v>0</v>
      </c>
    </row>
    <row r="1259" spans="1:28" x14ac:dyDescent="0.25">
      <c r="A1259" s="16">
        <f>OrdersTable!A1259</f>
        <v>849</v>
      </c>
      <c r="B1259" s="15" t="str">
        <f t="shared" si="419"/>
        <v>Dr</v>
      </c>
      <c r="C1259" s="15" t="str">
        <f t="shared" si="440"/>
        <v>Blair</v>
      </c>
      <c r="D1259" s="15" t="str">
        <f t="shared" si="420"/>
        <v>Taylor Ashleigh</v>
      </c>
      <c r="E1259" s="15" t="str">
        <f t="shared" si="421"/>
        <v>42 Ward Avenue</v>
      </c>
      <c r="F1259" s="15" t="str">
        <f t="shared" si="422"/>
        <v>Airly</v>
      </c>
      <c r="G1259" s="15" t="str">
        <f t="shared" si="423"/>
        <v>VIC</v>
      </c>
      <c r="H1259" s="15">
        <f t="shared" si="424"/>
        <v>3851</v>
      </c>
      <c r="I1259" s="15">
        <f t="shared" si="435"/>
        <v>1583</v>
      </c>
      <c r="J1259" s="15">
        <f>OrdersTable!B1259</f>
        <v>177</v>
      </c>
      <c r="K1259" s="15" t="str">
        <f t="shared" si="425"/>
        <v>Bobbleheads</v>
      </c>
      <c r="L1259" s="15" t="str">
        <f t="shared" si="426"/>
        <v>Doctor Who: Bobblehead: TARDIS (With Sound)</v>
      </c>
      <c r="M1259" s="15" t="str">
        <f t="shared" si="427"/>
        <v>-</v>
      </c>
      <c r="N1259" s="15">
        <f t="shared" si="428"/>
        <v>1</v>
      </c>
      <c r="O1259" s="15" t="str">
        <f t="shared" si="429"/>
        <v>A30</v>
      </c>
      <c r="P1259" s="15" t="str">
        <f t="shared" si="430"/>
        <v>Chesterton Enterprises</v>
      </c>
      <c r="Q1259" s="15" t="str">
        <f t="shared" si="431"/>
        <v>41 William Russell Road</v>
      </c>
      <c r="R1259" s="3">
        <f>OrdersTable!C1259</f>
        <v>44650</v>
      </c>
      <c r="S1259" s="15">
        <f>OrdersTable!E1259</f>
        <v>10</v>
      </c>
      <c r="T1259" s="15">
        <f t="shared" si="432"/>
        <v>19.989999999999998</v>
      </c>
      <c r="U1259" s="15">
        <f t="shared" si="433"/>
        <v>27.6</v>
      </c>
      <c r="V1259" s="15">
        <f t="shared" si="434"/>
        <v>32.380000000000003</v>
      </c>
      <c r="W1259" s="15">
        <f>IF(MarkupType="Store Markup",ROUND(V1259+V1259*StoreMarkup,2),IF(MarkupType="Supplier Markup",V1259+V1259*SupplierMarkup,"Error at finding value"))</f>
        <v>51</v>
      </c>
      <c r="X1259" s="32" t="str">
        <f t="shared" si="436"/>
        <v>0.00</v>
      </c>
      <c r="Y1259" s="15">
        <f t="shared" si="437"/>
        <v>323.8</v>
      </c>
      <c r="Z1259" s="15">
        <f t="shared" si="438"/>
        <v>510</v>
      </c>
      <c r="AA1259" s="15">
        <f>IF(FreightType="Lethbridge-Stewart Freight ",ROUND(2.99+IF(N1259&gt;0.75,(N1259-0.75)*2.25,0)*S1259,2),IF(MarkupType="Supplier Markup",V1259+V1259*SupplierMarkup,"Error at finding value"))</f>
        <v>8.6199999999999992</v>
      </c>
      <c r="AB1259" s="15">
        <f t="shared" si="439"/>
        <v>0</v>
      </c>
    </row>
    <row r="1260" spans="1:28" x14ac:dyDescent="0.25">
      <c r="A1260" s="16">
        <f>OrdersTable!A1260</f>
        <v>983</v>
      </c>
      <c r="B1260" s="15" t="str">
        <f t="shared" si="419"/>
        <v>Mrs</v>
      </c>
      <c r="C1260" s="15" t="str">
        <f t="shared" si="440"/>
        <v>Bennett</v>
      </c>
      <c r="D1260" s="15" t="str">
        <f t="shared" si="420"/>
        <v>Mikayla Elizabeth</v>
      </c>
      <c r="E1260" s="15" t="str">
        <f t="shared" si="421"/>
        <v>35 Khanal Crescent</v>
      </c>
      <c r="F1260" s="15" t="str">
        <f t="shared" si="422"/>
        <v>Bamboo</v>
      </c>
      <c r="G1260" s="15" t="str">
        <f t="shared" si="423"/>
        <v>QLD</v>
      </c>
      <c r="H1260" s="15">
        <f t="shared" si="424"/>
        <v>4873</v>
      </c>
      <c r="I1260" s="15">
        <f t="shared" si="435"/>
        <v>1741</v>
      </c>
      <c r="J1260" s="15">
        <f>OrdersTable!B1260</f>
        <v>358</v>
      </c>
      <c r="K1260" s="15" t="str">
        <f t="shared" si="425"/>
        <v>Clothing and Apparel</v>
      </c>
      <c r="L1260" s="15" t="str">
        <f t="shared" si="426"/>
        <v xml:space="preserve">Doctor Who: T-Shirts: 5th Doctor Costume </v>
      </c>
      <c r="M1260" s="15" t="str">
        <f t="shared" si="427"/>
        <v>M</v>
      </c>
      <c r="N1260" s="15">
        <f t="shared" si="428"/>
        <v>0.8</v>
      </c>
      <c r="O1260" s="15" t="str">
        <f t="shared" si="429"/>
        <v>A30</v>
      </c>
      <c r="P1260" s="15" t="str">
        <f t="shared" si="430"/>
        <v>Chesterton Enterprises</v>
      </c>
      <c r="Q1260" s="15" t="str">
        <f t="shared" si="431"/>
        <v>41 William Russell Road</v>
      </c>
      <c r="R1260" s="3">
        <f>OrdersTable!C1260</f>
        <v>44650</v>
      </c>
      <c r="S1260" s="15">
        <f>OrdersTable!E1260</f>
        <v>2</v>
      </c>
      <c r="T1260" s="15">
        <f t="shared" si="432"/>
        <v>15.99</v>
      </c>
      <c r="U1260" s="15">
        <f t="shared" si="433"/>
        <v>21.96</v>
      </c>
      <c r="V1260" s="15">
        <f t="shared" si="434"/>
        <v>25.9</v>
      </c>
      <c r="W1260" s="15">
        <f>IF(MarkupType="Store Markup",ROUND(V1260+V1260*StoreMarkup,2),IF(MarkupType="Supplier Markup",V1260+V1260*SupplierMarkup,"Error at finding value"))</f>
        <v>40.79</v>
      </c>
      <c r="X1260" s="32" t="str">
        <f t="shared" si="436"/>
        <v>0.00</v>
      </c>
      <c r="Y1260" s="15">
        <f t="shared" si="437"/>
        <v>51.8</v>
      </c>
      <c r="Z1260" s="15">
        <f t="shared" si="438"/>
        <v>81.58</v>
      </c>
      <c r="AA1260" s="15">
        <f>IF(FreightType="Lethbridge-Stewart Freight ",ROUND(2.99+IF(N1260&gt;0.75,(N1260-0.75)*2.25,0)*S1260,2),IF(MarkupType="Supplier Markup",V1260+V1260*SupplierMarkup,"Error at finding value"))</f>
        <v>3.22</v>
      </c>
      <c r="AB1260" s="15">
        <f t="shared" si="439"/>
        <v>0</v>
      </c>
    </row>
    <row r="1261" spans="1:28" x14ac:dyDescent="0.25">
      <c r="A1261" s="16">
        <f>OrdersTable!A1261</f>
        <v>141</v>
      </c>
      <c r="B1261" s="15" t="str">
        <f t="shared" si="419"/>
        <v>Mr</v>
      </c>
      <c r="C1261" s="15" t="str">
        <f t="shared" si="440"/>
        <v>Bergmann</v>
      </c>
      <c r="D1261" s="15" t="str">
        <f t="shared" si="420"/>
        <v>Beau Jay</v>
      </c>
      <c r="E1261" s="15" t="str">
        <f t="shared" si="421"/>
        <v>47 McCullough Circuit</v>
      </c>
      <c r="F1261" s="15" t="str">
        <f t="shared" si="422"/>
        <v>Breakwater</v>
      </c>
      <c r="G1261" s="15" t="str">
        <f t="shared" si="423"/>
        <v>VIC</v>
      </c>
      <c r="H1261" s="15">
        <f t="shared" si="424"/>
        <v>3219</v>
      </c>
      <c r="I1261" s="15">
        <f t="shared" si="435"/>
        <v>1596</v>
      </c>
      <c r="J1261" s="15">
        <f>OrdersTable!B1261</f>
        <v>652</v>
      </c>
      <c r="K1261" s="15" t="str">
        <f t="shared" si="425"/>
        <v>Mugs</v>
      </c>
      <c r="L1261" s="15" t="str">
        <f t="shared" si="426"/>
        <v>Doctor Who: Mug: Dalek 2D</v>
      </c>
      <c r="M1261" s="15" t="str">
        <f t="shared" si="427"/>
        <v>-</v>
      </c>
      <c r="N1261" s="15">
        <f t="shared" si="428"/>
        <v>0.35</v>
      </c>
      <c r="O1261" s="15" t="str">
        <f t="shared" si="429"/>
        <v>A10</v>
      </c>
      <c r="P1261" s="15" t="str">
        <f t="shared" si="430"/>
        <v>Gallifrey International</v>
      </c>
      <c r="Q1261" s="15" t="str">
        <f t="shared" si="431"/>
        <v>181 Arcadia Street</v>
      </c>
      <c r="R1261" s="3">
        <f>OrdersTable!C1261</f>
        <v>44651</v>
      </c>
      <c r="S1261" s="15">
        <f>OrdersTable!E1261</f>
        <v>10</v>
      </c>
      <c r="T1261" s="15">
        <f t="shared" si="432"/>
        <v>6.99</v>
      </c>
      <c r="U1261" s="15">
        <f t="shared" si="433"/>
        <v>9.8800000000000008</v>
      </c>
      <c r="V1261" s="15">
        <f t="shared" si="434"/>
        <v>11.32</v>
      </c>
      <c r="W1261" s="15">
        <f>IF(MarkupType="Store Markup",ROUND(V1261+V1261*StoreMarkup,2),IF(MarkupType="Supplier Markup",V1261+V1261*SupplierMarkup,"Error at finding value"))</f>
        <v>17.829999999999998</v>
      </c>
      <c r="X1261" s="32" t="str">
        <f t="shared" si="436"/>
        <v>0.00</v>
      </c>
      <c r="Y1261" s="15">
        <f t="shared" si="437"/>
        <v>113.2</v>
      </c>
      <c r="Z1261" s="15">
        <f t="shared" si="438"/>
        <v>178.3</v>
      </c>
      <c r="AA1261" s="15">
        <f>IF(FreightType="Lethbridge-Stewart Freight ",ROUND(2.99+IF(N1261&gt;0.75,(N1261-0.75)*2.25,0)*S1261,2),IF(MarkupType="Supplier Markup",V1261+V1261*SupplierMarkup,"Error at finding value"))</f>
        <v>2.99</v>
      </c>
      <c r="AB1261" s="15">
        <f t="shared" si="439"/>
        <v>0</v>
      </c>
    </row>
    <row r="1262" spans="1:28" x14ac:dyDescent="0.25">
      <c r="A1262" s="16">
        <f>OrdersTable!A1262</f>
        <v>254</v>
      </c>
      <c r="B1262" s="15" t="str">
        <f t="shared" si="419"/>
        <v>Miss</v>
      </c>
      <c r="C1262" s="15" t="str">
        <f t="shared" si="440"/>
        <v>Hoolihan</v>
      </c>
      <c r="D1262" s="15" t="str">
        <f t="shared" si="420"/>
        <v>Crystal Claire Grace</v>
      </c>
      <c r="E1262" s="15" t="str">
        <f t="shared" si="421"/>
        <v>7 Van Riet Avenue</v>
      </c>
      <c r="F1262" s="15" t="str">
        <f t="shared" si="422"/>
        <v>Aberfoyle</v>
      </c>
      <c r="G1262" s="15" t="str">
        <f t="shared" si="423"/>
        <v>NSW</v>
      </c>
      <c r="H1262" s="15">
        <f t="shared" si="424"/>
        <v>2350</v>
      </c>
      <c r="I1262" s="15">
        <f t="shared" si="435"/>
        <v>363</v>
      </c>
      <c r="J1262" s="15">
        <f>OrdersTable!B1262</f>
        <v>376</v>
      </c>
      <c r="K1262" s="15" t="str">
        <f t="shared" si="425"/>
        <v>Clothing and Apparel</v>
      </c>
      <c r="L1262" s="15" t="str">
        <f t="shared" si="426"/>
        <v xml:space="preserve">Doctor Who: T-Shirts: 7th Doctor Costume </v>
      </c>
      <c r="M1262" s="15" t="str">
        <f t="shared" si="427"/>
        <v>S</v>
      </c>
      <c r="N1262" s="15">
        <f t="shared" si="428"/>
        <v>0.8</v>
      </c>
      <c r="O1262" s="15" t="str">
        <f t="shared" si="429"/>
        <v>A10</v>
      </c>
      <c r="P1262" s="15" t="str">
        <f t="shared" si="430"/>
        <v>Gallifrey International</v>
      </c>
      <c r="Q1262" s="15" t="str">
        <f t="shared" si="431"/>
        <v>181 Arcadia Street</v>
      </c>
      <c r="R1262" s="3">
        <f>OrdersTable!C1262</f>
        <v>44651</v>
      </c>
      <c r="S1262" s="15">
        <f>OrdersTable!E1262</f>
        <v>5</v>
      </c>
      <c r="T1262" s="15">
        <f t="shared" si="432"/>
        <v>15.99</v>
      </c>
      <c r="U1262" s="15">
        <f t="shared" si="433"/>
        <v>21.83</v>
      </c>
      <c r="V1262" s="15">
        <f t="shared" si="434"/>
        <v>25.9</v>
      </c>
      <c r="W1262" s="15">
        <f>IF(MarkupType="Store Markup",ROUND(V1262+V1262*StoreMarkup,2),IF(MarkupType="Supplier Markup",V1262+V1262*SupplierMarkup,"Error at finding value"))</f>
        <v>40.79</v>
      </c>
      <c r="X1262" s="32" t="str">
        <f t="shared" si="436"/>
        <v>0.00</v>
      </c>
      <c r="Y1262" s="15">
        <f t="shared" si="437"/>
        <v>129.5</v>
      </c>
      <c r="Z1262" s="15">
        <f t="shared" si="438"/>
        <v>203.95</v>
      </c>
      <c r="AA1262" s="15">
        <f>IF(FreightType="Lethbridge-Stewart Freight ",ROUND(2.99+IF(N1262&gt;0.75,(N1262-0.75)*2.25,0)*S1262,2),IF(MarkupType="Supplier Markup",V1262+V1262*SupplierMarkup,"Error at finding value"))</f>
        <v>3.55</v>
      </c>
      <c r="AB1262" s="15">
        <f t="shared" si="439"/>
        <v>0</v>
      </c>
    </row>
    <row r="1263" spans="1:28" x14ac:dyDescent="0.25">
      <c r="A1263" s="16">
        <f>OrdersTable!A1263</f>
        <v>254</v>
      </c>
      <c r="B1263" s="15" t="str">
        <f t="shared" si="419"/>
        <v>Miss</v>
      </c>
      <c r="C1263" s="15" t="str">
        <f t="shared" si="440"/>
        <v>Hoolihan</v>
      </c>
      <c r="D1263" s="15" t="str">
        <f t="shared" si="420"/>
        <v>Crystal Claire Grace</v>
      </c>
      <c r="E1263" s="15" t="str">
        <f t="shared" si="421"/>
        <v>7 Van Riet Avenue</v>
      </c>
      <c r="F1263" s="15" t="str">
        <f t="shared" si="422"/>
        <v>Aberfoyle</v>
      </c>
      <c r="G1263" s="15" t="str">
        <f t="shared" si="423"/>
        <v>NSW</v>
      </c>
      <c r="H1263" s="15">
        <f t="shared" si="424"/>
        <v>2350</v>
      </c>
      <c r="I1263" s="15">
        <f t="shared" si="435"/>
        <v>363</v>
      </c>
      <c r="J1263" s="15">
        <f>OrdersTable!B1263</f>
        <v>719</v>
      </c>
      <c r="K1263" s="15" t="str">
        <f t="shared" si="425"/>
        <v>Posters, Prints and Standees</v>
      </c>
      <c r="L1263" s="15" t="str">
        <f t="shared" si="426"/>
        <v>Doctor Who: Standee: Supreme Dalek</v>
      </c>
      <c r="M1263" s="15" t="str">
        <f t="shared" si="427"/>
        <v>-</v>
      </c>
      <c r="N1263" s="15">
        <f t="shared" si="428"/>
        <v>1.125</v>
      </c>
      <c r="O1263" s="15" t="str">
        <f t="shared" si="429"/>
        <v>A50</v>
      </c>
      <c r="P1263" s="15" t="str">
        <f t="shared" si="430"/>
        <v>Rassilon Ltd.</v>
      </c>
      <c r="Q1263" s="15" t="str">
        <f t="shared" si="431"/>
        <v>82 Richard Mathews Road</v>
      </c>
      <c r="R1263" s="3">
        <f>OrdersTable!C1263</f>
        <v>44651</v>
      </c>
      <c r="S1263" s="15">
        <f>OrdersTable!E1263</f>
        <v>5</v>
      </c>
      <c r="T1263" s="15">
        <f t="shared" si="432"/>
        <v>22.49</v>
      </c>
      <c r="U1263" s="15">
        <f t="shared" si="433"/>
        <v>30.76</v>
      </c>
      <c r="V1263" s="15">
        <f t="shared" si="434"/>
        <v>36.43</v>
      </c>
      <c r="W1263" s="15">
        <f>IF(MarkupType="Store Markup",ROUND(V1263+V1263*StoreMarkup,2),IF(MarkupType="Supplier Markup",V1263+V1263*SupplierMarkup,"Error at finding value"))</f>
        <v>57.38</v>
      </c>
      <c r="X1263" s="32" t="str">
        <f t="shared" si="436"/>
        <v>0.00</v>
      </c>
      <c r="Y1263" s="15">
        <f t="shared" si="437"/>
        <v>182.15</v>
      </c>
      <c r="Z1263" s="15">
        <f t="shared" si="438"/>
        <v>286.89999999999998</v>
      </c>
      <c r="AA1263" s="15">
        <f>IF(FreightType="Lethbridge-Stewart Freight ",ROUND(2.99+IF(N1263&gt;0.75,(N1263-0.75)*2.25,0)*S1263,2),IF(MarkupType="Supplier Markup",V1263+V1263*SupplierMarkup,"Error at finding value"))</f>
        <v>7.21</v>
      </c>
      <c r="AB1263" s="15">
        <f t="shared" si="439"/>
        <v>0</v>
      </c>
    </row>
    <row r="1264" spans="1:28" x14ac:dyDescent="0.25">
      <c r="A1264" s="16">
        <f>OrdersTable!A1264</f>
        <v>328</v>
      </c>
      <c r="B1264" s="15" t="str">
        <f t="shared" si="419"/>
        <v>Dr</v>
      </c>
      <c r="C1264" s="15" t="str">
        <f t="shared" si="440"/>
        <v>Ward</v>
      </c>
      <c r="D1264" s="15" t="str">
        <f t="shared" si="420"/>
        <v>Keiren Nicholas</v>
      </c>
      <c r="E1264" s="15" t="str">
        <f t="shared" si="421"/>
        <v>13 Green Crescent</v>
      </c>
      <c r="F1264" s="15" t="str">
        <f t="shared" si="422"/>
        <v>Breakwater</v>
      </c>
      <c r="G1264" s="15" t="str">
        <f t="shared" si="423"/>
        <v>VIC</v>
      </c>
      <c r="H1264" s="15">
        <f t="shared" si="424"/>
        <v>3219</v>
      </c>
      <c r="I1264" s="15">
        <f t="shared" si="435"/>
        <v>1596</v>
      </c>
      <c r="J1264" s="15">
        <f>OrdersTable!B1264</f>
        <v>668</v>
      </c>
      <c r="K1264" s="15" t="str">
        <f t="shared" si="425"/>
        <v>Mugs</v>
      </c>
      <c r="L1264" s="15" t="str">
        <f t="shared" si="426"/>
        <v>Doctor Who: Mug: Silver TARDIS</v>
      </c>
      <c r="M1264" s="15" t="str">
        <f t="shared" si="427"/>
        <v>-</v>
      </c>
      <c r="N1264" s="15">
        <f t="shared" si="428"/>
        <v>1.1499999999999999</v>
      </c>
      <c r="O1264" s="15" t="str">
        <f t="shared" si="429"/>
        <v>A50</v>
      </c>
      <c r="P1264" s="15" t="str">
        <f t="shared" si="430"/>
        <v>Rassilon Ltd.</v>
      </c>
      <c r="Q1264" s="15" t="str">
        <f t="shared" si="431"/>
        <v>82 Richard Mathews Road</v>
      </c>
      <c r="R1264" s="3">
        <f>OrdersTable!C1264</f>
        <v>44651</v>
      </c>
      <c r="S1264" s="15">
        <f>OrdersTable!E1264</f>
        <v>8</v>
      </c>
      <c r="T1264" s="15">
        <f t="shared" si="432"/>
        <v>22.99</v>
      </c>
      <c r="U1264" s="15">
        <f t="shared" si="433"/>
        <v>31.53</v>
      </c>
      <c r="V1264" s="15">
        <f t="shared" si="434"/>
        <v>37.24</v>
      </c>
      <c r="W1264" s="15">
        <f>IF(MarkupType="Store Markup",ROUND(V1264+V1264*StoreMarkup,2),IF(MarkupType="Supplier Markup",V1264+V1264*SupplierMarkup,"Error at finding value"))</f>
        <v>58.65</v>
      </c>
      <c r="X1264" s="32" t="str">
        <f t="shared" si="436"/>
        <v>0.00</v>
      </c>
      <c r="Y1264" s="15">
        <f t="shared" si="437"/>
        <v>297.92</v>
      </c>
      <c r="Z1264" s="15">
        <f t="shared" si="438"/>
        <v>469.2</v>
      </c>
      <c r="AA1264" s="15">
        <f>IF(FreightType="Lethbridge-Stewart Freight ",ROUND(2.99+IF(N1264&gt;0.75,(N1264-0.75)*2.25,0)*S1264,2),IF(MarkupType="Supplier Markup",V1264+V1264*SupplierMarkup,"Error at finding value"))</f>
        <v>10.19</v>
      </c>
      <c r="AB1264" s="15">
        <f t="shared" si="439"/>
        <v>0</v>
      </c>
    </row>
    <row r="1265" spans="1:28" x14ac:dyDescent="0.25">
      <c r="A1265" s="16">
        <f>OrdersTable!A1265</f>
        <v>332</v>
      </c>
      <c r="B1265" s="15" t="str">
        <f t="shared" si="419"/>
        <v>Mr</v>
      </c>
      <c r="C1265" s="15" t="str">
        <f t="shared" si="440"/>
        <v>Selman</v>
      </c>
      <c r="D1265" s="15" t="str">
        <f t="shared" si="420"/>
        <v>Jack Ryan</v>
      </c>
      <c r="E1265" s="15" t="str">
        <f t="shared" si="421"/>
        <v>17 Van Essen Street</v>
      </c>
      <c r="F1265" s="15" t="str">
        <f t="shared" si="422"/>
        <v>Airly</v>
      </c>
      <c r="G1265" s="15" t="str">
        <f t="shared" si="423"/>
        <v>VIC</v>
      </c>
      <c r="H1265" s="15">
        <f t="shared" si="424"/>
        <v>3851</v>
      </c>
      <c r="I1265" s="15">
        <f t="shared" si="435"/>
        <v>1583</v>
      </c>
      <c r="J1265" s="15">
        <f>OrdersTable!B1265</f>
        <v>862</v>
      </c>
      <c r="K1265" s="15" t="str">
        <f t="shared" si="425"/>
        <v>Statues and Busts</v>
      </c>
      <c r="L1265" s="15" t="str">
        <f t="shared" si="426"/>
        <v>Doctor Who: TITANS: The 10th Doctor</v>
      </c>
      <c r="M1265" s="15" t="str">
        <f t="shared" si="427"/>
        <v>-</v>
      </c>
      <c r="N1265" s="15">
        <f t="shared" si="428"/>
        <v>0.4</v>
      </c>
      <c r="O1265" s="15" t="str">
        <f t="shared" si="429"/>
        <v>A40</v>
      </c>
      <c r="P1265" s="15" t="str">
        <f t="shared" si="430"/>
        <v>Romana Imports</v>
      </c>
      <c r="Q1265" s="15" t="str">
        <f t="shared" si="431"/>
        <v>17 Lalla Ward Road</v>
      </c>
      <c r="R1265" s="3">
        <f>OrdersTable!C1265</f>
        <v>44651</v>
      </c>
      <c r="S1265" s="15">
        <f>OrdersTable!E1265</f>
        <v>10</v>
      </c>
      <c r="T1265" s="15">
        <f t="shared" si="432"/>
        <v>7.99</v>
      </c>
      <c r="U1265" s="15">
        <f t="shared" si="433"/>
        <v>11.01</v>
      </c>
      <c r="V1265" s="15">
        <f t="shared" si="434"/>
        <v>12.94</v>
      </c>
      <c r="W1265" s="15">
        <f>IF(MarkupType="Store Markup",ROUND(V1265+V1265*StoreMarkup,2),IF(MarkupType="Supplier Markup",V1265+V1265*SupplierMarkup,"Error at finding value"))</f>
        <v>20.38</v>
      </c>
      <c r="X1265" s="32" t="str">
        <f t="shared" si="436"/>
        <v>0.00</v>
      </c>
      <c r="Y1265" s="15">
        <f t="shared" si="437"/>
        <v>129.4</v>
      </c>
      <c r="Z1265" s="15">
        <f t="shared" si="438"/>
        <v>203.8</v>
      </c>
      <c r="AA1265" s="15">
        <f>IF(FreightType="Lethbridge-Stewart Freight ",ROUND(2.99+IF(N1265&gt;0.75,(N1265-0.75)*2.25,0)*S1265,2),IF(MarkupType="Supplier Markup",V1265+V1265*SupplierMarkup,"Error at finding value"))</f>
        <v>2.99</v>
      </c>
      <c r="AB1265" s="15">
        <f t="shared" si="439"/>
        <v>0</v>
      </c>
    </row>
    <row r="1266" spans="1:28" x14ac:dyDescent="0.25">
      <c r="A1266" s="16">
        <f>OrdersTable!A1266</f>
        <v>474</v>
      </c>
      <c r="B1266" s="15" t="str">
        <f t="shared" si="419"/>
        <v>Mr</v>
      </c>
      <c r="C1266" s="15" t="str">
        <f t="shared" si="440"/>
        <v>Jooste</v>
      </c>
      <c r="D1266" s="15" t="str">
        <f t="shared" si="420"/>
        <v>Nicholas</v>
      </c>
      <c r="E1266" s="15" t="str">
        <f t="shared" si="421"/>
        <v>32 Dover Road</v>
      </c>
      <c r="F1266" s="15" t="str">
        <f t="shared" si="422"/>
        <v>Belford</v>
      </c>
      <c r="G1266" s="15" t="str">
        <f t="shared" si="423"/>
        <v>NSW</v>
      </c>
      <c r="H1266" s="15">
        <f t="shared" si="424"/>
        <v>2335</v>
      </c>
      <c r="I1266" s="15">
        <f t="shared" si="435"/>
        <v>716</v>
      </c>
      <c r="J1266" s="15">
        <f>OrdersTable!B1266</f>
        <v>676</v>
      </c>
      <c r="K1266" s="15" t="str">
        <f t="shared" si="425"/>
        <v>Mugs</v>
      </c>
      <c r="L1266" s="15" t="str">
        <f t="shared" si="426"/>
        <v>Doctor Who: Mug: The Eleventh Doctor</v>
      </c>
      <c r="M1266" s="15" t="str">
        <f t="shared" si="427"/>
        <v>-</v>
      </c>
      <c r="N1266" s="15">
        <f t="shared" si="428"/>
        <v>0.45</v>
      </c>
      <c r="O1266" s="15" t="str">
        <f t="shared" si="429"/>
        <v>A20</v>
      </c>
      <c r="P1266" s="15" t="str">
        <f t="shared" si="430"/>
        <v>Morbius Inc.</v>
      </c>
      <c r="Q1266" s="15" t="str">
        <f t="shared" si="431"/>
        <v>56 Michael Spice Hwy</v>
      </c>
      <c r="R1266" s="3">
        <f>OrdersTable!C1266</f>
        <v>44651</v>
      </c>
      <c r="S1266" s="15">
        <f>OrdersTable!E1266</f>
        <v>3</v>
      </c>
      <c r="T1266" s="15">
        <f t="shared" si="432"/>
        <v>8.99</v>
      </c>
      <c r="U1266" s="15">
        <f t="shared" si="433"/>
        <v>12.55</v>
      </c>
      <c r="V1266" s="15">
        <f t="shared" si="434"/>
        <v>14.56</v>
      </c>
      <c r="W1266" s="15">
        <f>IF(MarkupType="Store Markup",ROUND(V1266+V1266*StoreMarkup,2),IF(MarkupType="Supplier Markup",V1266+V1266*SupplierMarkup,"Error at finding value"))</f>
        <v>22.93</v>
      </c>
      <c r="X1266" s="32" t="str">
        <f t="shared" si="436"/>
        <v>0.00</v>
      </c>
      <c r="Y1266" s="15">
        <f t="shared" si="437"/>
        <v>43.68</v>
      </c>
      <c r="Z1266" s="15">
        <f t="shared" si="438"/>
        <v>68.790000000000006</v>
      </c>
      <c r="AA1266" s="15">
        <f>IF(FreightType="Lethbridge-Stewart Freight ",ROUND(2.99+IF(N1266&gt;0.75,(N1266-0.75)*2.25,0)*S1266,2),IF(MarkupType="Supplier Markup",V1266+V1266*SupplierMarkup,"Error at finding value"))</f>
        <v>2.99</v>
      </c>
      <c r="AB1266" s="15">
        <f t="shared" si="439"/>
        <v>0</v>
      </c>
    </row>
    <row r="1267" spans="1:28" x14ac:dyDescent="0.25">
      <c r="A1267" s="16">
        <f>OrdersTable!A1267</f>
        <v>531</v>
      </c>
      <c r="B1267" s="15" t="str">
        <f t="shared" si="419"/>
        <v>Ms</v>
      </c>
      <c r="C1267" s="15" t="str">
        <f t="shared" si="440"/>
        <v>Stanton</v>
      </c>
      <c r="D1267" s="15" t="str">
        <f t="shared" si="420"/>
        <v>Sharaze</v>
      </c>
      <c r="E1267" s="15" t="str">
        <f t="shared" si="421"/>
        <v>1 Siddons Crescent</v>
      </c>
      <c r="F1267" s="15" t="str">
        <f t="shared" si="422"/>
        <v>Alfredtown</v>
      </c>
      <c r="G1267" s="15" t="str">
        <f t="shared" si="423"/>
        <v>NSW</v>
      </c>
      <c r="H1267" s="15">
        <f t="shared" si="424"/>
        <v>2650</v>
      </c>
      <c r="I1267" s="15">
        <f t="shared" si="435"/>
        <v>1124</v>
      </c>
      <c r="J1267" s="15">
        <f>OrdersTable!B1267</f>
        <v>196</v>
      </c>
      <c r="K1267" s="15" t="str">
        <f t="shared" si="425"/>
        <v>Clothing and Apparel</v>
      </c>
      <c r="L1267" s="15" t="str">
        <f t="shared" si="426"/>
        <v>Doctor Who: 12 Foot Tom Baker Scarf</v>
      </c>
      <c r="M1267" s="15" t="str">
        <f t="shared" si="427"/>
        <v>-</v>
      </c>
      <c r="N1267" s="15">
        <f t="shared" si="428"/>
        <v>2.5</v>
      </c>
      <c r="O1267" s="15" t="str">
        <f t="shared" si="429"/>
        <v>A40</v>
      </c>
      <c r="P1267" s="15" t="str">
        <f t="shared" si="430"/>
        <v>Romana Imports</v>
      </c>
      <c r="Q1267" s="15" t="str">
        <f t="shared" si="431"/>
        <v>17 Lalla Ward Road</v>
      </c>
      <c r="R1267" s="3">
        <f>OrdersTable!C1267</f>
        <v>44651</v>
      </c>
      <c r="S1267" s="15">
        <f>OrdersTable!E1267</f>
        <v>3</v>
      </c>
      <c r="T1267" s="15">
        <f t="shared" si="432"/>
        <v>49.99</v>
      </c>
      <c r="U1267" s="15">
        <f t="shared" si="433"/>
        <v>68.28</v>
      </c>
      <c r="V1267" s="15">
        <f t="shared" si="434"/>
        <v>80.98</v>
      </c>
      <c r="W1267" s="15">
        <f>IF(MarkupType="Store Markup",ROUND(V1267+V1267*StoreMarkup,2),IF(MarkupType="Supplier Markup",V1267+V1267*SupplierMarkup,"Error at finding value"))</f>
        <v>127.54</v>
      </c>
      <c r="X1267" s="32">
        <f t="shared" si="436"/>
        <v>9.09</v>
      </c>
      <c r="Y1267" s="15">
        <f t="shared" si="437"/>
        <v>242.94</v>
      </c>
      <c r="Z1267" s="15">
        <f t="shared" si="438"/>
        <v>355.35</v>
      </c>
      <c r="AA1267" s="15">
        <f>IF(FreightType="Lethbridge-Stewart Freight ",ROUND(2.99+IF(N1267&gt;0.75,(N1267-0.75)*2.25,0)*S1267,2),IF(MarkupType="Supplier Markup",V1267+V1267*SupplierMarkup,"Error at finding value"))</f>
        <v>14.8</v>
      </c>
      <c r="AB1267" s="15">
        <f t="shared" si="439"/>
        <v>27.27</v>
      </c>
    </row>
    <row r="1268" spans="1:28" x14ac:dyDescent="0.25">
      <c r="A1268" s="16">
        <f>OrdersTable!A1268</f>
        <v>730</v>
      </c>
      <c r="B1268" s="15" t="str">
        <f t="shared" si="419"/>
        <v>Mr</v>
      </c>
      <c r="C1268" s="15" t="str">
        <f t="shared" si="440"/>
        <v>Romer</v>
      </c>
      <c r="D1268" s="15" t="str">
        <f t="shared" si="420"/>
        <v>Leo Alexander</v>
      </c>
      <c r="E1268" s="15" t="str">
        <f t="shared" si="421"/>
        <v>47 Bennett Circuit</v>
      </c>
      <c r="F1268" s="15" t="str">
        <f t="shared" si="422"/>
        <v>Caliph</v>
      </c>
      <c r="G1268" s="15" t="str">
        <f t="shared" si="423"/>
        <v>SA</v>
      </c>
      <c r="H1268" s="15">
        <f t="shared" si="424"/>
        <v>5310</v>
      </c>
      <c r="I1268" s="15">
        <f t="shared" si="435"/>
        <v>1720</v>
      </c>
      <c r="J1268" s="15">
        <f>OrdersTable!B1268</f>
        <v>702</v>
      </c>
      <c r="K1268" s="15" t="str">
        <f t="shared" si="425"/>
        <v>Posters, Prints and Standees</v>
      </c>
      <c r="L1268" s="15" t="str">
        <f t="shared" si="426"/>
        <v>Doctor Who: Poster: Daleks</v>
      </c>
      <c r="M1268" s="15" t="str">
        <f t="shared" si="427"/>
        <v>-</v>
      </c>
      <c r="N1268" s="15">
        <f t="shared" si="428"/>
        <v>0.2</v>
      </c>
      <c r="O1268" s="15" t="str">
        <f t="shared" si="429"/>
        <v>A50</v>
      </c>
      <c r="P1268" s="15" t="str">
        <f t="shared" si="430"/>
        <v>Rassilon Ltd.</v>
      </c>
      <c r="Q1268" s="15" t="str">
        <f t="shared" si="431"/>
        <v>82 Richard Mathews Road</v>
      </c>
      <c r="R1268" s="3">
        <f>OrdersTable!C1268</f>
        <v>44651</v>
      </c>
      <c r="S1268" s="15">
        <f>OrdersTable!E1268</f>
        <v>6</v>
      </c>
      <c r="T1268" s="15">
        <f t="shared" si="432"/>
        <v>3.99</v>
      </c>
      <c r="U1268" s="15">
        <f t="shared" si="433"/>
        <v>5.46</v>
      </c>
      <c r="V1268" s="15">
        <f t="shared" si="434"/>
        <v>6.46</v>
      </c>
      <c r="W1268" s="15">
        <f>IF(MarkupType="Store Markup",ROUND(V1268+V1268*StoreMarkup,2),IF(MarkupType="Supplier Markup",V1268+V1268*SupplierMarkup,"Error at finding value"))</f>
        <v>10.17</v>
      </c>
      <c r="X1268" s="32" t="str">
        <f t="shared" si="436"/>
        <v>0.00</v>
      </c>
      <c r="Y1268" s="15">
        <f t="shared" si="437"/>
        <v>38.76</v>
      </c>
      <c r="Z1268" s="15">
        <f t="shared" si="438"/>
        <v>61.02</v>
      </c>
      <c r="AA1268" s="15">
        <f>IF(FreightType="Lethbridge-Stewart Freight ",ROUND(2.99+IF(N1268&gt;0.75,(N1268-0.75)*2.25,0)*S1268,2),IF(MarkupType="Supplier Markup",V1268+V1268*SupplierMarkup,"Error at finding value"))</f>
        <v>2.99</v>
      </c>
      <c r="AB1268" s="15">
        <f t="shared" si="439"/>
        <v>0</v>
      </c>
    </row>
    <row r="1269" spans="1:28" x14ac:dyDescent="0.25">
      <c r="A1269" s="16">
        <f>OrdersTable!A1269</f>
        <v>747</v>
      </c>
      <c r="B1269" s="15" t="str">
        <f t="shared" si="419"/>
        <v>Miss</v>
      </c>
      <c r="C1269" s="15" t="str">
        <f t="shared" si="440"/>
        <v>Coom</v>
      </c>
      <c r="D1269" s="15" t="str">
        <f t="shared" si="420"/>
        <v>Mackenzie Megan</v>
      </c>
      <c r="E1269" s="15" t="str">
        <f t="shared" si="421"/>
        <v>2 Tsalikis Road</v>
      </c>
      <c r="F1269" s="15" t="str">
        <f t="shared" si="422"/>
        <v>Aberfoyle</v>
      </c>
      <c r="G1269" s="15" t="str">
        <f t="shared" si="423"/>
        <v>NSW</v>
      </c>
      <c r="H1269" s="15">
        <f t="shared" si="424"/>
        <v>2350</v>
      </c>
      <c r="I1269" s="15">
        <f t="shared" si="435"/>
        <v>363</v>
      </c>
      <c r="J1269" s="15">
        <f>OrdersTable!B1269</f>
        <v>376</v>
      </c>
      <c r="K1269" s="15" t="str">
        <f t="shared" si="425"/>
        <v>Clothing and Apparel</v>
      </c>
      <c r="L1269" s="15" t="str">
        <f t="shared" si="426"/>
        <v xml:space="preserve">Doctor Who: T-Shirts: 7th Doctor Costume </v>
      </c>
      <c r="M1269" s="15" t="str">
        <f t="shared" si="427"/>
        <v>S</v>
      </c>
      <c r="N1269" s="15">
        <f t="shared" si="428"/>
        <v>0.8</v>
      </c>
      <c r="O1269" s="15" t="str">
        <f t="shared" si="429"/>
        <v>A10</v>
      </c>
      <c r="P1269" s="15" t="str">
        <f t="shared" si="430"/>
        <v>Gallifrey International</v>
      </c>
      <c r="Q1269" s="15" t="str">
        <f t="shared" si="431"/>
        <v>181 Arcadia Street</v>
      </c>
      <c r="R1269" s="3">
        <f>OrdersTable!C1269</f>
        <v>44651</v>
      </c>
      <c r="S1269" s="15">
        <f>OrdersTable!E1269</f>
        <v>8</v>
      </c>
      <c r="T1269" s="15">
        <f t="shared" si="432"/>
        <v>15.99</v>
      </c>
      <c r="U1269" s="15">
        <f t="shared" si="433"/>
        <v>21.83</v>
      </c>
      <c r="V1269" s="15">
        <f t="shared" si="434"/>
        <v>25.9</v>
      </c>
      <c r="W1269" s="15">
        <f>IF(MarkupType="Store Markup",ROUND(V1269+V1269*StoreMarkup,2),IF(MarkupType="Supplier Markup",V1269+V1269*SupplierMarkup,"Error at finding value"))</f>
        <v>40.79</v>
      </c>
      <c r="X1269" s="32" t="str">
        <f t="shared" si="436"/>
        <v>0.00</v>
      </c>
      <c r="Y1269" s="15">
        <f t="shared" si="437"/>
        <v>207.2</v>
      </c>
      <c r="Z1269" s="15">
        <f t="shared" si="438"/>
        <v>326.32</v>
      </c>
      <c r="AA1269" s="15">
        <f>IF(FreightType="Lethbridge-Stewart Freight ",ROUND(2.99+IF(N1269&gt;0.75,(N1269-0.75)*2.25,0)*S1269,2),IF(MarkupType="Supplier Markup",V1269+V1269*SupplierMarkup,"Error at finding value"))</f>
        <v>3.89</v>
      </c>
      <c r="AB1269" s="15">
        <f t="shared" si="439"/>
        <v>0</v>
      </c>
    </row>
    <row r="1270" spans="1:28" x14ac:dyDescent="0.25">
      <c r="A1270" s="16">
        <f>OrdersTable!A1270</f>
        <v>750</v>
      </c>
      <c r="B1270" s="15" t="str">
        <f t="shared" si="419"/>
        <v>Ms</v>
      </c>
      <c r="C1270" s="15" t="str">
        <f t="shared" si="440"/>
        <v>Talbot</v>
      </c>
      <c r="D1270" s="15" t="str">
        <f t="shared" si="420"/>
        <v>Carlie Wenderly</v>
      </c>
      <c r="E1270" s="15" t="str">
        <f t="shared" si="421"/>
        <v>31 Somerville Way</v>
      </c>
      <c r="F1270" s="15" t="str">
        <f t="shared" si="422"/>
        <v>Boston</v>
      </c>
      <c r="G1270" s="15" t="str">
        <f t="shared" si="423"/>
        <v>SA</v>
      </c>
      <c r="H1270" s="15">
        <f t="shared" si="424"/>
        <v>5607</v>
      </c>
      <c r="I1270" s="15">
        <f t="shared" si="435"/>
        <v>2076</v>
      </c>
      <c r="J1270" s="15">
        <f>OrdersTable!B1270</f>
        <v>813</v>
      </c>
      <c r="K1270" s="15" t="str">
        <f t="shared" si="425"/>
        <v>Statues and Busts</v>
      </c>
      <c r="L1270" s="15" t="str">
        <f t="shared" si="426"/>
        <v>Doctor Who: Masterpiece Collection Maxi Bust: Leela</v>
      </c>
      <c r="M1270" s="15" t="str">
        <f t="shared" si="427"/>
        <v>-</v>
      </c>
      <c r="N1270" s="15">
        <f t="shared" si="428"/>
        <v>2.5</v>
      </c>
      <c r="O1270" s="15" t="str">
        <f t="shared" si="429"/>
        <v>A30</v>
      </c>
      <c r="P1270" s="15" t="str">
        <f t="shared" si="430"/>
        <v>Chesterton Enterprises</v>
      </c>
      <c r="Q1270" s="15" t="str">
        <f t="shared" si="431"/>
        <v>41 William Russell Road</v>
      </c>
      <c r="R1270" s="3">
        <f>OrdersTable!C1270</f>
        <v>44651</v>
      </c>
      <c r="S1270" s="15">
        <f>OrdersTable!E1270</f>
        <v>3</v>
      </c>
      <c r="T1270" s="15">
        <f t="shared" si="432"/>
        <v>49.99</v>
      </c>
      <c r="U1270" s="15">
        <f t="shared" si="433"/>
        <v>68.319999999999993</v>
      </c>
      <c r="V1270" s="15">
        <f t="shared" si="434"/>
        <v>80.98</v>
      </c>
      <c r="W1270" s="15">
        <f>IF(MarkupType="Store Markup",ROUND(V1270+V1270*StoreMarkup,2),IF(MarkupType="Supplier Markup",V1270+V1270*SupplierMarkup,"Error at finding value"))</f>
        <v>127.54</v>
      </c>
      <c r="X1270" s="32">
        <f t="shared" si="436"/>
        <v>9.09</v>
      </c>
      <c r="Y1270" s="15">
        <f t="shared" si="437"/>
        <v>242.94</v>
      </c>
      <c r="Z1270" s="15">
        <f t="shared" si="438"/>
        <v>355.35</v>
      </c>
      <c r="AA1270" s="15">
        <f>IF(FreightType="Lethbridge-Stewart Freight ",ROUND(2.99+IF(N1270&gt;0.75,(N1270-0.75)*2.25,0)*S1270,2),IF(MarkupType="Supplier Markup",V1270+V1270*SupplierMarkup,"Error at finding value"))</f>
        <v>14.8</v>
      </c>
      <c r="AB1270" s="15">
        <f t="shared" si="439"/>
        <v>27.27</v>
      </c>
    </row>
    <row r="1271" spans="1:28" x14ac:dyDescent="0.25">
      <c r="A1271" s="16">
        <f>OrdersTable!A1271</f>
        <v>830</v>
      </c>
      <c r="B1271" s="15" t="str">
        <f t="shared" si="419"/>
        <v>Miss</v>
      </c>
      <c r="C1271" s="15" t="str">
        <f t="shared" si="440"/>
        <v>Blakeney</v>
      </c>
      <c r="D1271" s="15" t="str">
        <f t="shared" si="420"/>
        <v>Hannah</v>
      </c>
      <c r="E1271" s="15" t="str">
        <f t="shared" si="421"/>
        <v>31 Sproule Street</v>
      </c>
      <c r="F1271" s="15" t="str">
        <f t="shared" si="422"/>
        <v>Belford</v>
      </c>
      <c r="G1271" s="15" t="str">
        <f t="shared" si="423"/>
        <v>NSW</v>
      </c>
      <c r="H1271" s="15">
        <f t="shared" si="424"/>
        <v>2335</v>
      </c>
      <c r="I1271" s="15">
        <f t="shared" si="435"/>
        <v>716</v>
      </c>
      <c r="J1271" s="15">
        <f>OrdersTable!B1271</f>
        <v>418</v>
      </c>
      <c r="K1271" s="15" t="str">
        <f t="shared" si="425"/>
        <v>Clothing and Apparel</v>
      </c>
      <c r="L1271" s="15" t="str">
        <f t="shared" si="426"/>
        <v>Doctor Who: Women's Winter Pyjamas</v>
      </c>
      <c r="M1271" s="15" t="str">
        <f t="shared" si="427"/>
        <v>M</v>
      </c>
      <c r="N1271" s="15">
        <f t="shared" si="428"/>
        <v>1.5</v>
      </c>
      <c r="O1271" s="15" t="str">
        <f t="shared" si="429"/>
        <v>A30</v>
      </c>
      <c r="P1271" s="15" t="str">
        <f t="shared" si="430"/>
        <v>Chesterton Enterprises</v>
      </c>
      <c r="Q1271" s="15" t="str">
        <f t="shared" si="431"/>
        <v>41 William Russell Road</v>
      </c>
      <c r="R1271" s="3">
        <f>OrdersTable!C1271</f>
        <v>44651</v>
      </c>
      <c r="S1271" s="15">
        <f>OrdersTable!E1271</f>
        <v>3</v>
      </c>
      <c r="T1271" s="15">
        <f t="shared" si="432"/>
        <v>29.99</v>
      </c>
      <c r="U1271" s="15">
        <f t="shared" si="433"/>
        <v>40.96</v>
      </c>
      <c r="V1271" s="15">
        <f t="shared" si="434"/>
        <v>48.58</v>
      </c>
      <c r="W1271" s="15">
        <f>IF(MarkupType="Store Markup",ROUND(V1271+V1271*StoreMarkup,2),IF(MarkupType="Supplier Markup",V1271+V1271*SupplierMarkup,"Error at finding value"))</f>
        <v>76.510000000000005</v>
      </c>
      <c r="X1271" s="32" t="str">
        <f t="shared" si="436"/>
        <v>0.00</v>
      </c>
      <c r="Y1271" s="15">
        <f t="shared" si="437"/>
        <v>145.74</v>
      </c>
      <c r="Z1271" s="15">
        <f t="shared" si="438"/>
        <v>229.53</v>
      </c>
      <c r="AA1271" s="15">
        <f>IF(FreightType="Lethbridge-Stewart Freight ",ROUND(2.99+IF(N1271&gt;0.75,(N1271-0.75)*2.25,0)*S1271,2),IF(MarkupType="Supplier Markup",V1271+V1271*SupplierMarkup,"Error at finding value"))</f>
        <v>8.0500000000000007</v>
      </c>
      <c r="AB1271" s="15">
        <f t="shared" si="439"/>
        <v>0</v>
      </c>
    </row>
    <row r="1272" spans="1:28" x14ac:dyDescent="0.25">
      <c r="A1272" s="16">
        <f>OrdersTable!A1272</f>
        <v>830</v>
      </c>
      <c r="B1272" s="15" t="str">
        <f t="shared" si="419"/>
        <v>Miss</v>
      </c>
      <c r="C1272" s="15" t="str">
        <f t="shared" si="440"/>
        <v>Blakeney</v>
      </c>
      <c r="D1272" s="15" t="str">
        <f t="shared" si="420"/>
        <v>Hannah</v>
      </c>
      <c r="E1272" s="15" t="str">
        <f t="shared" si="421"/>
        <v>31 Sproule Street</v>
      </c>
      <c r="F1272" s="15" t="str">
        <f t="shared" si="422"/>
        <v>Belford</v>
      </c>
      <c r="G1272" s="15" t="str">
        <f t="shared" si="423"/>
        <v>NSW</v>
      </c>
      <c r="H1272" s="15">
        <f t="shared" si="424"/>
        <v>2335</v>
      </c>
      <c r="I1272" s="15">
        <f t="shared" si="435"/>
        <v>716</v>
      </c>
      <c r="J1272" s="15">
        <f>OrdersTable!B1272</f>
        <v>620</v>
      </c>
      <c r="K1272" s="15" t="str">
        <f t="shared" si="425"/>
        <v>iPhone Skins</v>
      </c>
      <c r="L1272" s="15" t="str">
        <f t="shared" si="426"/>
        <v>Doctor Who: iPhone Skin: TARDIS Water Colour</v>
      </c>
      <c r="M1272" s="15" t="str">
        <f t="shared" si="427"/>
        <v>-</v>
      </c>
      <c r="N1272" s="15">
        <f t="shared" si="428"/>
        <v>0.5</v>
      </c>
      <c r="O1272" s="15" t="str">
        <f t="shared" si="429"/>
        <v>A30</v>
      </c>
      <c r="P1272" s="15" t="str">
        <f t="shared" si="430"/>
        <v>Chesterton Enterprises</v>
      </c>
      <c r="Q1272" s="15" t="str">
        <f t="shared" si="431"/>
        <v>41 William Russell Road</v>
      </c>
      <c r="R1272" s="3">
        <f>OrdersTable!C1272</f>
        <v>44651</v>
      </c>
      <c r="S1272" s="15">
        <f>OrdersTable!E1272</f>
        <v>5</v>
      </c>
      <c r="T1272" s="15">
        <f t="shared" si="432"/>
        <v>9.99</v>
      </c>
      <c r="U1272" s="15">
        <f t="shared" si="433"/>
        <v>13.81</v>
      </c>
      <c r="V1272" s="15">
        <f t="shared" si="434"/>
        <v>16.18</v>
      </c>
      <c r="W1272" s="15">
        <f>IF(MarkupType="Store Markup",ROUND(V1272+V1272*StoreMarkup,2),IF(MarkupType="Supplier Markup",V1272+V1272*SupplierMarkup,"Error at finding value"))</f>
        <v>25.48</v>
      </c>
      <c r="X1272" s="32" t="str">
        <f t="shared" si="436"/>
        <v>0.00</v>
      </c>
      <c r="Y1272" s="15">
        <f t="shared" si="437"/>
        <v>80.900000000000006</v>
      </c>
      <c r="Z1272" s="15">
        <f t="shared" si="438"/>
        <v>127.4</v>
      </c>
      <c r="AA1272" s="15">
        <f>IF(FreightType="Lethbridge-Stewart Freight ",ROUND(2.99+IF(N1272&gt;0.75,(N1272-0.75)*2.25,0)*S1272,2),IF(MarkupType="Supplier Markup",V1272+V1272*SupplierMarkup,"Error at finding value"))</f>
        <v>2.99</v>
      </c>
      <c r="AB1272" s="15">
        <f t="shared" si="439"/>
        <v>0</v>
      </c>
    </row>
    <row r="1273" spans="1:28" x14ac:dyDescent="0.25">
      <c r="A1273" s="16">
        <f>OrdersTable!A1273</f>
        <v>843</v>
      </c>
      <c r="B1273" s="15" t="str">
        <f t="shared" si="419"/>
        <v>Mr</v>
      </c>
      <c r="C1273" s="15" t="str">
        <f t="shared" si="440"/>
        <v>Goodwin</v>
      </c>
      <c r="D1273" s="15" t="str">
        <f t="shared" si="420"/>
        <v>Damon Joel</v>
      </c>
      <c r="E1273" s="15" t="str">
        <f t="shared" si="421"/>
        <v>40 Powell Boulevard</v>
      </c>
      <c r="F1273" s="15" t="str">
        <f t="shared" si="422"/>
        <v>Abington</v>
      </c>
      <c r="G1273" s="15" t="str">
        <f t="shared" si="423"/>
        <v>QLD</v>
      </c>
      <c r="H1273" s="15">
        <f t="shared" si="424"/>
        <v>4660</v>
      </c>
      <c r="I1273" s="15">
        <f t="shared" si="435"/>
        <v>336</v>
      </c>
      <c r="J1273" s="15">
        <f>OrdersTable!B1273</f>
        <v>692</v>
      </c>
      <c r="K1273" s="15" t="str">
        <f t="shared" si="425"/>
        <v>Posters, Prints and Standees</v>
      </c>
      <c r="L1273" s="15" t="str">
        <f t="shared" si="426"/>
        <v>Doctor Who: 16'x12' Framed Print: Exploding TARDIS</v>
      </c>
      <c r="M1273" s="15" t="str">
        <f t="shared" si="427"/>
        <v>-</v>
      </c>
      <c r="N1273" s="15">
        <f t="shared" si="428"/>
        <v>0.75</v>
      </c>
      <c r="O1273" s="15" t="str">
        <f t="shared" si="429"/>
        <v>A30</v>
      </c>
      <c r="P1273" s="15" t="str">
        <f t="shared" si="430"/>
        <v>Chesterton Enterprises</v>
      </c>
      <c r="Q1273" s="15" t="str">
        <f t="shared" si="431"/>
        <v>41 William Russell Road</v>
      </c>
      <c r="R1273" s="3">
        <f>OrdersTable!C1273</f>
        <v>44651</v>
      </c>
      <c r="S1273" s="15">
        <f>OrdersTable!E1273</f>
        <v>10</v>
      </c>
      <c r="T1273" s="15">
        <f t="shared" si="432"/>
        <v>14.99</v>
      </c>
      <c r="U1273" s="15">
        <f t="shared" si="433"/>
        <v>20.54</v>
      </c>
      <c r="V1273" s="15">
        <f t="shared" si="434"/>
        <v>24.28</v>
      </c>
      <c r="W1273" s="15">
        <f>IF(MarkupType="Store Markup",ROUND(V1273+V1273*StoreMarkup,2),IF(MarkupType="Supplier Markup",V1273+V1273*SupplierMarkup,"Error at finding value"))</f>
        <v>38.24</v>
      </c>
      <c r="X1273" s="32" t="str">
        <f t="shared" si="436"/>
        <v>0.00</v>
      </c>
      <c r="Y1273" s="15">
        <f t="shared" si="437"/>
        <v>242.8</v>
      </c>
      <c r="Z1273" s="15">
        <f t="shared" si="438"/>
        <v>382.4</v>
      </c>
      <c r="AA1273" s="15">
        <f>IF(FreightType="Lethbridge-Stewart Freight ",ROUND(2.99+IF(N1273&gt;0.75,(N1273-0.75)*2.25,0)*S1273,2),IF(MarkupType="Supplier Markup",V1273+V1273*SupplierMarkup,"Error at finding value"))</f>
        <v>2.99</v>
      </c>
      <c r="AB1273" s="15">
        <f t="shared" si="439"/>
        <v>0</v>
      </c>
    </row>
    <row r="1274" spans="1:28" x14ac:dyDescent="0.25">
      <c r="A1274" s="16">
        <f>OrdersTable!A1274</f>
        <v>923</v>
      </c>
      <c r="B1274" s="15" t="str">
        <f t="shared" si="419"/>
        <v>Ms</v>
      </c>
      <c r="C1274" s="15" t="str">
        <f t="shared" si="440"/>
        <v>Savage</v>
      </c>
      <c r="D1274" s="15" t="str">
        <f t="shared" si="420"/>
        <v>Eliza Margaret</v>
      </c>
      <c r="E1274" s="15" t="str">
        <f t="shared" si="421"/>
        <v>28 Whisson Crescent</v>
      </c>
      <c r="F1274" s="15" t="str">
        <f t="shared" si="422"/>
        <v>Belconnen</v>
      </c>
      <c r="G1274" s="15" t="str">
        <f t="shared" si="423"/>
        <v>ACT</v>
      </c>
      <c r="H1274" s="15">
        <f t="shared" si="424"/>
        <v>2617</v>
      </c>
      <c r="I1274" s="15">
        <f t="shared" si="435"/>
        <v>1194</v>
      </c>
      <c r="J1274" s="15">
        <f>OrdersTable!B1274</f>
        <v>377</v>
      </c>
      <c r="K1274" s="15" t="str">
        <f t="shared" si="425"/>
        <v>Clothing and Apparel</v>
      </c>
      <c r="L1274" s="15" t="str">
        <f t="shared" si="426"/>
        <v xml:space="preserve">Doctor Who: T-Shirts: 7th Doctor Costume </v>
      </c>
      <c r="M1274" s="15" t="str">
        <f t="shared" si="427"/>
        <v>M</v>
      </c>
      <c r="N1274" s="15">
        <f t="shared" si="428"/>
        <v>0.8</v>
      </c>
      <c r="O1274" s="15" t="str">
        <f t="shared" si="429"/>
        <v>A40</v>
      </c>
      <c r="P1274" s="15" t="str">
        <f t="shared" si="430"/>
        <v>Romana Imports</v>
      </c>
      <c r="Q1274" s="15" t="str">
        <f t="shared" si="431"/>
        <v>17 Lalla Ward Road</v>
      </c>
      <c r="R1274" s="3">
        <f>OrdersTable!C1274</f>
        <v>44651</v>
      </c>
      <c r="S1274" s="15">
        <f>OrdersTable!E1274</f>
        <v>4</v>
      </c>
      <c r="T1274" s="15">
        <f t="shared" si="432"/>
        <v>15.99</v>
      </c>
      <c r="U1274" s="15">
        <f t="shared" si="433"/>
        <v>21.95</v>
      </c>
      <c r="V1274" s="15">
        <f t="shared" si="434"/>
        <v>25.9</v>
      </c>
      <c r="W1274" s="15">
        <f>IF(MarkupType="Store Markup",ROUND(V1274+V1274*StoreMarkup,2),IF(MarkupType="Supplier Markup",V1274+V1274*SupplierMarkup,"Error at finding value"))</f>
        <v>40.79</v>
      </c>
      <c r="X1274" s="32" t="str">
        <f t="shared" si="436"/>
        <v>0.00</v>
      </c>
      <c r="Y1274" s="15">
        <f t="shared" si="437"/>
        <v>103.6</v>
      </c>
      <c r="Z1274" s="15">
        <f t="shared" si="438"/>
        <v>163.16</v>
      </c>
      <c r="AA1274" s="15">
        <f>IF(FreightType="Lethbridge-Stewart Freight ",ROUND(2.99+IF(N1274&gt;0.75,(N1274-0.75)*2.25,0)*S1274,2),IF(MarkupType="Supplier Markup",V1274+V1274*SupplierMarkup,"Error at finding value"))</f>
        <v>3.44</v>
      </c>
      <c r="AB1274" s="15">
        <f t="shared" si="439"/>
        <v>0</v>
      </c>
    </row>
    <row r="1275" spans="1:28" x14ac:dyDescent="0.25">
      <c r="A1275" s="16">
        <f>OrdersTable!A1275</f>
        <v>66</v>
      </c>
      <c r="B1275" s="15" t="str">
        <f t="shared" si="419"/>
        <v>Mr</v>
      </c>
      <c r="C1275" s="15" t="str">
        <f t="shared" si="440"/>
        <v>Bachmann</v>
      </c>
      <c r="D1275" s="15" t="str">
        <f t="shared" si="420"/>
        <v>Aaron</v>
      </c>
      <c r="E1275" s="15" t="str">
        <f t="shared" si="421"/>
        <v>3 Csabai Avenue</v>
      </c>
      <c r="F1275" s="15" t="str">
        <f t="shared" si="422"/>
        <v>Bridgewater</v>
      </c>
      <c r="G1275" s="15" t="str">
        <f t="shared" si="423"/>
        <v>VIC</v>
      </c>
      <c r="H1275" s="15">
        <f t="shared" si="424"/>
        <v>3516</v>
      </c>
      <c r="I1275" s="15">
        <f t="shared" si="435"/>
        <v>1486</v>
      </c>
      <c r="J1275" s="15">
        <f>OrdersTable!B1275</f>
        <v>583</v>
      </c>
      <c r="K1275" s="15" t="str">
        <f t="shared" si="425"/>
        <v>iPhone Skins</v>
      </c>
      <c r="L1275" s="15" t="str">
        <f t="shared" si="426"/>
        <v>Doctor Who: iPhone Skin: Cyberman Delete</v>
      </c>
      <c r="M1275" s="15" t="str">
        <f t="shared" si="427"/>
        <v>-</v>
      </c>
      <c r="N1275" s="15">
        <f t="shared" si="428"/>
        <v>0.3</v>
      </c>
      <c r="O1275" s="15" t="str">
        <f t="shared" si="429"/>
        <v>A50</v>
      </c>
      <c r="P1275" s="15" t="str">
        <f t="shared" si="430"/>
        <v>Rassilon Ltd.</v>
      </c>
      <c r="Q1275" s="15" t="str">
        <f t="shared" si="431"/>
        <v>82 Richard Mathews Road</v>
      </c>
      <c r="R1275" s="3">
        <f>OrdersTable!C1275</f>
        <v>44652</v>
      </c>
      <c r="S1275" s="15">
        <f>OrdersTable!E1275</f>
        <v>4</v>
      </c>
      <c r="T1275" s="15">
        <f t="shared" si="432"/>
        <v>5.99</v>
      </c>
      <c r="U1275" s="15">
        <f t="shared" si="433"/>
        <v>8.23</v>
      </c>
      <c r="V1275" s="15">
        <f t="shared" si="434"/>
        <v>9.6999999999999993</v>
      </c>
      <c r="W1275" s="15">
        <f>IF(MarkupType="Store Markup",ROUND(V1275+V1275*StoreMarkup,2),IF(MarkupType="Supplier Markup",V1275+V1275*SupplierMarkup,"Error at finding value"))</f>
        <v>15.28</v>
      </c>
      <c r="X1275" s="32" t="str">
        <f t="shared" si="436"/>
        <v>0.00</v>
      </c>
      <c r="Y1275" s="15">
        <f t="shared" si="437"/>
        <v>38.799999999999997</v>
      </c>
      <c r="Z1275" s="15">
        <f t="shared" si="438"/>
        <v>61.12</v>
      </c>
      <c r="AA1275" s="15">
        <f>IF(FreightType="Lethbridge-Stewart Freight ",ROUND(2.99+IF(N1275&gt;0.75,(N1275-0.75)*2.25,0)*S1275,2),IF(MarkupType="Supplier Markup",V1275+V1275*SupplierMarkup,"Error at finding value"))</f>
        <v>2.99</v>
      </c>
      <c r="AB1275" s="15">
        <f t="shared" si="439"/>
        <v>0</v>
      </c>
    </row>
    <row r="1276" spans="1:28" x14ac:dyDescent="0.25">
      <c r="A1276" s="16">
        <f>OrdersTable!A1276</f>
        <v>112</v>
      </c>
      <c r="B1276" s="15" t="str">
        <f t="shared" si="419"/>
        <v>Mr</v>
      </c>
      <c r="C1276" s="15" t="str">
        <f t="shared" si="440"/>
        <v>Dahal</v>
      </c>
      <c r="D1276" s="15" t="str">
        <f t="shared" si="420"/>
        <v>Subash</v>
      </c>
      <c r="E1276" s="15" t="str">
        <f t="shared" si="421"/>
        <v>121-127 Railway Pde, Granville, NSW 2142</v>
      </c>
      <c r="F1276" s="15" t="str">
        <f t="shared" si="422"/>
        <v>Granville</v>
      </c>
      <c r="G1276" s="15" t="str">
        <f t="shared" si="423"/>
        <v>NSW</v>
      </c>
      <c r="H1276" s="15">
        <f t="shared" si="424"/>
        <v>2142</v>
      </c>
      <c r="I1276" s="15">
        <f t="shared" si="435"/>
        <v>907</v>
      </c>
      <c r="J1276" s="15">
        <f>OrdersTable!B1276</f>
        <v>358</v>
      </c>
      <c r="K1276" s="15" t="str">
        <f t="shared" si="425"/>
        <v>Clothing and Apparel</v>
      </c>
      <c r="L1276" s="15" t="str">
        <f t="shared" si="426"/>
        <v xml:space="preserve">Doctor Who: T-Shirts: 5th Doctor Costume </v>
      </c>
      <c r="M1276" s="15" t="str">
        <f t="shared" si="427"/>
        <v>M</v>
      </c>
      <c r="N1276" s="15">
        <f t="shared" si="428"/>
        <v>0.8</v>
      </c>
      <c r="O1276" s="15" t="str">
        <f t="shared" si="429"/>
        <v>A30</v>
      </c>
      <c r="P1276" s="15" t="str">
        <f t="shared" si="430"/>
        <v>Chesterton Enterprises</v>
      </c>
      <c r="Q1276" s="15" t="str">
        <f t="shared" si="431"/>
        <v>41 William Russell Road</v>
      </c>
      <c r="R1276" s="3">
        <f>OrdersTable!C1276</f>
        <v>44652</v>
      </c>
      <c r="S1276" s="15">
        <f>OrdersTable!E1276</f>
        <v>1</v>
      </c>
      <c r="T1276" s="15">
        <f t="shared" si="432"/>
        <v>15.99</v>
      </c>
      <c r="U1276" s="15">
        <f t="shared" si="433"/>
        <v>21.96</v>
      </c>
      <c r="V1276" s="15">
        <f t="shared" si="434"/>
        <v>25.9</v>
      </c>
      <c r="W1276" s="15">
        <f>IF(MarkupType="Store Markup",ROUND(V1276+V1276*StoreMarkup,2),IF(MarkupType="Supplier Markup",V1276+V1276*SupplierMarkup,"Error at finding value"))</f>
        <v>40.79</v>
      </c>
      <c r="X1276" s="32" t="str">
        <f t="shared" si="436"/>
        <v>0.00</v>
      </c>
      <c r="Y1276" s="15">
        <f t="shared" si="437"/>
        <v>25.9</v>
      </c>
      <c r="Z1276" s="15">
        <f t="shared" si="438"/>
        <v>40.79</v>
      </c>
      <c r="AA1276" s="15">
        <f>IF(FreightType="Lethbridge-Stewart Freight ",ROUND(2.99+IF(N1276&gt;0.75,(N1276-0.75)*2.25,0)*S1276,2),IF(MarkupType="Supplier Markup",V1276+V1276*SupplierMarkup,"Error at finding value"))</f>
        <v>3.1</v>
      </c>
      <c r="AB1276" s="15">
        <f t="shared" si="439"/>
        <v>0</v>
      </c>
    </row>
    <row r="1277" spans="1:28" x14ac:dyDescent="0.25">
      <c r="A1277" s="16">
        <f>OrdersTable!A1277</f>
        <v>232</v>
      </c>
      <c r="B1277" s="15" t="str">
        <f t="shared" si="419"/>
        <v>Mrs</v>
      </c>
      <c r="C1277" s="15" t="str">
        <f t="shared" si="440"/>
        <v>Bishop</v>
      </c>
      <c r="D1277" s="15" t="str">
        <f t="shared" si="420"/>
        <v>Katherine Marie</v>
      </c>
      <c r="E1277" s="15" t="str">
        <f t="shared" si="421"/>
        <v>19 Whitehorn Circuit</v>
      </c>
      <c r="F1277" s="15" t="str">
        <f t="shared" si="422"/>
        <v>Black Hills</v>
      </c>
      <c r="G1277" s="15" t="str">
        <f t="shared" si="423"/>
        <v>TAS</v>
      </c>
      <c r="H1277" s="15">
        <f t="shared" si="424"/>
        <v>7140</v>
      </c>
      <c r="I1277" s="15">
        <f t="shared" si="435"/>
        <v>2191</v>
      </c>
      <c r="J1277" s="15">
        <f>OrdersTable!B1277</f>
        <v>834</v>
      </c>
      <c r="K1277" s="15" t="str">
        <f t="shared" si="425"/>
        <v>Statues and Busts</v>
      </c>
      <c r="L1277" s="15" t="str">
        <f t="shared" si="426"/>
        <v>Doctor Who: Signature Edition Statue: Gallifrey Edition: Matt Smith</v>
      </c>
      <c r="M1277" s="15" t="str">
        <f t="shared" si="427"/>
        <v>-</v>
      </c>
      <c r="N1277" s="15">
        <f t="shared" si="428"/>
        <v>2.5</v>
      </c>
      <c r="O1277" s="15" t="str">
        <f t="shared" si="429"/>
        <v>A30</v>
      </c>
      <c r="P1277" s="15" t="str">
        <f t="shared" si="430"/>
        <v>Chesterton Enterprises</v>
      </c>
      <c r="Q1277" s="15" t="str">
        <f t="shared" si="431"/>
        <v>41 William Russell Road</v>
      </c>
      <c r="R1277" s="3">
        <f>OrdersTable!C1277</f>
        <v>44652</v>
      </c>
      <c r="S1277" s="15">
        <f>OrdersTable!E1277</f>
        <v>6</v>
      </c>
      <c r="T1277" s="15">
        <f t="shared" si="432"/>
        <v>49.99</v>
      </c>
      <c r="U1277" s="15">
        <f t="shared" si="433"/>
        <v>68.52</v>
      </c>
      <c r="V1277" s="15">
        <f t="shared" si="434"/>
        <v>80.98</v>
      </c>
      <c r="W1277" s="15">
        <f>IF(MarkupType="Store Markup",ROUND(V1277+V1277*StoreMarkup,2),IF(MarkupType="Supplier Markup",V1277+V1277*SupplierMarkup,"Error at finding value"))</f>
        <v>127.54</v>
      </c>
      <c r="X1277" s="32">
        <f t="shared" si="436"/>
        <v>9.09</v>
      </c>
      <c r="Y1277" s="15">
        <f t="shared" si="437"/>
        <v>485.88</v>
      </c>
      <c r="Z1277" s="15">
        <f t="shared" si="438"/>
        <v>710.7</v>
      </c>
      <c r="AA1277" s="15">
        <f>IF(FreightType="Lethbridge-Stewart Freight ",ROUND(2.99+IF(N1277&gt;0.75,(N1277-0.75)*2.25,0)*S1277,2),IF(MarkupType="Supplier Markup",V1277+V1277*SupplierMarkup,"Error at finding value"))</f>
        <v>26.62</v>
      </c>
      <c r="AB1277" s="15">
        <f t="shared" si="439"/>
        <v>54.54</v>
      </c>
    </row>
    <row r="1278" spans="1:28" x14ac:dyDescent="0.25">
      <c r="A1278" s="16">
        <f>OrdersTable!A1278</f>
        <v>254</v>
      </c>
      <c r="B1278" s="15" t="str">
        <f t="shared" si="419"/>
        <v>Miss</v>
      </c>
      <c r="C1278" s="15" t="str">
        <f t="shared" si="440"/>
        <v>Hoolihan</v>
      </c>
      <c r="D1278" s="15" t="str">
        <f t="shared" si="420"/>
        <v>Crystal Claire Grace</v>
      </c>
      <c r="E1278" s="15" t="str">
        <f t="shared" si="421"/>
        <v>7 Van Riet Avenue</v>
      </c>
      <c r="F1278" s="15" t="str">
        <f t="shared" si="422"/>
        <v>Aberfoyle</v>
      </c>
      <c r="G1278" s="15" t="str">
        <f t="shared" si="423"/>
        <v>NSW</v>
      </c>
      <c r="H1278" s="15">
        <f t="shared" si="424"/>
        <v>2350</v>
      </c>
      <c r="I1278" s="15">
        <f t="shared" si="435"/>
        <v>363</v>
      </c>
      <c r="J1278" s="15">
        <f>OrdersTable!B1278</f>
        <v>703</v>
      </c>
      <c r="K1278" s="15" t="str">
        <f t="shared" si="425"/>
        <v>Posters, Prints and Standees</v>
      </c>
      <c r="L1278" s="15" t="str">
        <f t="shared" si="426"/>
        <v>Doctor Who: Poster: Doctor With Sonic Screwdriver</v>
      </c>
      <c r="M1278" s="15" t="str">
        <f t="shared" si="427"/>
        <v>-</v>
      </c>
      <c r="N1278" s="15">
        <f t="shared" si="428"/>
        <v>0.2</v>
      </c>
      <c r="O1278" s="15" t="str">
        <f t="shared" si="429"/>
        <v>A50</v>
      </c>
      <c r="P1278" s="15" t="str">
        <f t="shared" si="430"/>
        <v>Rassilon Ltd.</v>
      </c>
      <c r="Q1278" s="15" t="str">
        <f t="shared" si="431"/>
        <v>82 Richard Mathews Road</v>
      </c>
      <c r="R1278" s="3">
        <f>OrdersTable!C1278</f>
        <v>44652</v>
      </c>
      <c r="S1278" s="15">
        <f>OrdersTable!E1278</f>
        <v>7</v>
      </c>
      <c r="T1278" s="15">
        <f t="shared" si="432"/>
        <v>3.99</v>
      </c>
      <c r="U1278" s="15">
        <f t="shared" si="433"/>
        <v>5.51</v>
      </c>
      <c r="V1278" s="15">
        <f t="shared" si="434"/>
        <v>6.46</v>
      </c>
      <c r="W1278" s="15">
        <f>IF(MarkupType="Store Markup",ROUND(V1278+V1278*StoreMarkup,2),IF(MarkupType="Supplier Markup",V1278+V1278*SupplierMarkup,"Error at finding value"))</f>
        <v>10.17</v>
      </c>
      <c r="X1278" s="32" t="str">
        <f t="shared" si="436"/>
        <v>0.00</v>
      </c>
      <c r="Y1278" s="15">
        <f t="shared" si="437"/>
        <v>45.22</v>
      </c>
      <c r="Z1278" s="15">
        <f t="shared" si="438"/>
        <v>71.19</v>
      </c>
      <c r="AA1278" s="15">
        <f>IF(FreightType="Lethbridge-Stewart Freight ",ROUND(2.99+IF(N1278&gt;0.75,(N1278-0.75)*2.25,0)*S1278,2),IF(MarkupType="Supplier Markup",V1278+V1278*SupplierMarkup,"Error at finding value"))</f>
        <v>2.99</v>
      </c>
      <c r="AB1278" s="15">
        <f t="shared" si="439"/>
        <v>0</v>
      </c>
    </row>
    <row r="1279" spans="1:28" x14ac:dyDescent="0.25">
      <c r="A1279" s="16">
        <f>OrdersTable!A1279</f>
        <v>323</v>
      </c>
      <c r="B1279" s="15" t="str">
        <f t="shared" si="419"/>
        <v>Dr</v>
      </c>
      <c r="C1279" s="15" t="str">
        <f t="shared" si="440"/>
        <v>King</v>
      </c>
      <c r="D1279" s="15" t="str">
        <f t="shared" si="420"/>
        <v>Leith</v>
      </c>
      <c r="E1279" s="15" t="str">
        <f t="shared" si="421"/>
        <v>25 Carbone Court</v>
      </c>
      <c r="F1279" s="15" t="str">
        <f t="shared" si="422"/>
        <v>Nayook</v>
      </c>
      <c r="G1279" s="15" t="str">
        <f t="shared" si="423"/>
        <v>VIC</v>
      </c>
      <c r="H1279" s="15">
        <f t="shared" si="424"/>
        <v>3832</v>
      </c>
      <c r="I1279" s="15">
        <f t="shared" si="435"/>
        <v>1552</v>
      </c>
      <c r="J1279" s="15">
        <f>OrdersTable!B1279</f>
        <v>696</v>
      </c>
      <c r="K1279" s="15" t="str">
        <f t="shared" si="425"/>
        <v>Posters, Prints and Standees</v>
      </c>
      <c r="L1279" s="15" t="str">
        <f t="shared" si="426"/>
        <v xml:space="preserve">Doctor Who: 50th Anniversary: Poster: To Victory </v>
      </c>
      <c r="M1279" s="15" t="str">
        <f t="shared" si="427"/>
        <v>-</v>
      </c>
      <c r="N1279" s="15">
        <f t="shared" si="428"/>
        <v>0.2</v>
      </c>
      <c r="O1279" s="15" t="str">
        <f t="shared" si="429"/>
        <v>A40</v>
      </c>
      <c r="P1279" s="15" t="str">
        <f t="shared" si="430"/>
        <v>Romana Imports</v>
      </c>
      <c r="Q1279" s="15" t="str">
        <f t="shared" si="431"/>
        <v>17 Lalla Ward Road</v>
      </c>
      <c r="R1279" s="3">
        <f>OrdersTable!C1279</f>
        <v>44652</v>
      </c>
      <c r="S1279" s="15">
        <f>OrdersTable!E1279</f>
        <v>10</v>
      </c>
      <c r="T1279" s="15">
        <f t="shared" si="432"/>
        <v>3.99</v>
      </c>
      <c r="U1279" s="15">
        <f t="shared" si="433"/>
        <v>5.6</v>
      </c>
      <c r="V1279" s="15">
        <f t="shared" si="434"/>
        <v>6.46</v>
      </c>
      <c r="W1279" s="15">
        <f>IF(MarkupType="Store Markup",ROUND(V1279+V1279*StoreMarkup,2),IF(MarkupType="Supplier Markup",V1279+V1279*SupplierMarkup,"Error at finding value"))</f>
        <v>10.17</v>
      </c>
      <c r="X1279" s="32" t="str">
        <f t="shared" si="436"/>
        <v>0.00</v>
      </c>
      <c r="Y1279" s="15">
        <f t="shared" si="437"/>
        <v>64.599999999999994</v>
      </c>
      <c r="Z1279" s="15">
        <f t="shared" si="438"/>
        <v>101.7</v>
      </c>
      <c r="AA1279" s="15">
        <f>IF(FreightType="Lethbridge-Stewart Freight ",ROUND(2.99+IF(N1279&gt;0.75,(N1279-0.75)*2.25,0)*S1279,2),IF(MarkupType="Supplier Markup",V1279+V1279*SupplierMarkup,"Error at finding value"))</f>
        <v>2.99</v>
      </c>
      <c r="AB1279" s="15">
        <f t="shared" si="439"/>
        <v>0</v>
      </c>
    </row>
    <row r="1280" spans="1:28" x14ac:dyDescent="0.25">
      <c r="A1280" s="16">
        <f>OrdersTable!A1280</f>
        <v>573</v>
      </c>
      <c r="B1280" s="15" t="str">
        <f t="shared" si="419"/>
        <v>Mrs</v>
      </c>
      <c r="C1280" s="15" t="str">
        <f t="shared" si="440"/>
        <v>Hollonds</v>
      </c>
      <c r="D1280" s="15" t="str">
        <f t="shared" si="420"/>
        <v>Suzan</v>
      </c>
      <c r="E1280" s="15" t="str">
        <f t="shared" si="421"/>
        <v>49 Patel Way</v>
      </c>
      <c r="F1280" s="15" t="str">
        <f t="shared" si="422"/>
        <v>Belconnen</v>
      </c>
      <c r="G1280" s="15" t="str">
        <f t="shared" si="423"/>
        <v>ACT</v>
      </c>
      <c r="H1280" s="15">
        <f t="shared" si="424"/>
        <v>2617</v>
      </c>
      <c r="I1280" s="15">
        <f t="shared" si="435"/>
        <v>1194</v>
      </c>
      <c r="J1280" s="15">
        <f>OrdersTable!B1280</f>
        <v>395</v>
      </c>
      <c r="K1280" s="15" t="str">
        <f t="shared" si="425"/>
        <v>Clothing and Apparel</v>
      </c>
      <c r="L1280" s="15" t="str">
        <f t="shared" si="426"/>
        <v xml:space="preserve">Doctor Who: T-Shirts: 7th Doctor Costume </v>
      </c>
      <c r="M1280" s="15" t="str">
        <f t="shared" si="427"/>
        <v>L</v>
      </c>
      <c r="N1280" s="15">
        <f t="shared" si="428"/>
        <v>0.8</v>
      </c>
      <c r="O1280" s="15" t="str">
        <f t="shared" si="429"/>
        <v>A10</v>
      </c>
      <c r="P1280" s="15" t="str">
        <f t="shared" si="430"/>
        <v>Gallifrey International</v>
      </c>
      <c r="Q1280" s="15" t="str">
        <f t="shared" si="431"/>
        <v>181 Arcadia Street</v>
      </c>
      <c r="R1280" s="3">
        <f>OrdersTable!C1280</f>
        <v>44652</v>
      </c>
      <c r="S1280" s="15">
        <f>OrdersTable!E1280</f>
        <v>10</v>
      </c>
      <c r="T1280" s="15">
        <f t="shared" si="432"/>
        <v>15.99</v>
      </c>
      <c r="U1280" s="15">
        <f t="shared" si="433"/>
        <v>22.07</v>
      </c>
      <c r="V1280" s="15">
        <f t="shared" si="434"/>
        <v>25.9</v>
      </c>
      <c r="W1280" s="15">
        <f>IF(MarkupType="Store Markup",ROUND(V1280+V1280*StoreMarkup,2),IF(MarkupType="Supplier Markup",V1280+V1280*SupplierMarkup,"Error at finding value"))</f>
        <v>40.79</v>
      </c>
      <c r="X1280" s="32" t="str">
        <f t="shared" si="436"/>
        <v>0.00</v>
      </c>
      <c r="Y1280" s="15">
        <f t="shared" si="437"/>
        <v>259</v>
      </c>
      <c r="Z1280" s="15">
        <f t="shared" si="438"/>
        <v>407.9</v>
      </c>
      <c r="AA1280" s="15">
        <f>IF(FreightType="Lethbridge-Stewart Freight ",ROUND(2.99+IF(N1280&gt;0.75,(N1280-0.75)*2.25,0)*S1280,2),IF(MarkupType="Supplier Markup",V1280+V1280*SupplierMarkup,"Error at finding value"))</f>
        <v>4.12</v>
      </c>
      <c r="AB1280" s="15">
        <f t="shared" si="439"/>
        <v>0</v>
      </c>
    </row>
    <row r="1281" spans="1:28" x14ac:dyDescent="0.25">
      <c r="A1281" s="16">
        <f>OrdersTable!A1281</f>
        <v>602</v>
      </c>
      <c r="B1281" s="15" t="str">
        <f t="shared" si="419"/>
        <v>Mr</v>
      </c>
      <c r="C1281" s="15" t="str">
        <f t="shared" si="440"/>
        <v>Spinelli</v>
      </c>
      <c r="D1281" s="15" t="str">
        <f t="shared" si="420"/>
        <v>Paul Walter</v>
      </c>
      <c r="E1281" s="15" t="str">
        <f t="shared" si="421"/>
        <v>35 Azar Drive</v>
      </c>
      <c r="F1281" s="15" t="str">
        <f t="shared" si="422"/>
        <v>Bray Park</v>
      </c>
      <c r="G1281" s="15" t="str">
        <f t="shared" si="423"/>
        <v>QLD</v>
      </c>
      <c r="H1281" s="15">
        <f t="shared" si="424"/>
        <v>4500</v>
      </c>
      <c r="I1281" s="15">
        <f t="shared" si="435"/>
        <v>139</v>
      </c>
      <c r="J1281" s="15">
        <f>OrdersTable!B1281</f>
        <v>812</v>
      </c>
      <c r="K1281" s="15" t="str">
        <f t="shared" si="425"/>
        <v>Statues and Busts</v>
      </c>
      <c r="L1281" s="15" t="str">
        <f t="shared" si="426"/>
        <v>Doctor Who: Masterpiece Collection Maxi Bust: Dalek: Day Of The Daleks</v>
      </c>
      <c r="M1281" s="15" t="str">
        <f t="shared" si="427"/>
        <v>-</v>
      </c>
      <c r="N1281" s="15">
        <f t="shared" si="428"/>
        <v>2.5</v>
      </c>
      <c r="O1281" s="15" t="str">
        <f t="shared" si="429"/>
        <v>A20</v>
      </c>
      <c r="P1281" s="15" t="str">
        <f t="shared" si="430"/>
        <v>Morbius Inc.</v>
      </c>
      <c r="Q1281" s="15" t="str">
        <f t="shared" si="431"/>
        <v>56 Michael Spice Hwy</v>
      </c>
      <c r="R1281" s="3">
        <f>OrdersTable!C1281</f>
        <v>44652</v>
      </c>
      <c r="S1281" s="15">
        <f>OrdersTable!E1281</f>
        <v>6</v>
      </c>
      <c r="T1281" s="15">
        <f t="shared" si="432"/>
        <v>49.99</v>
      </c>
      <c r="U1281" s="15">
        <f t="shared" si="433"/>
        <v>68.47</v>
      </c>
      <c r="V1281" s="15">
        <f t="shared" si="434"/>
        <v>80.98</v>
      </c>
      <c r="W1281" s="15">
        <f>IF(MarkupType="Store Markup",ROUND(V1281+V1281*StoreMarkup,2),IF(MarkupType="Supplier Markup",V1281+V1281*SupplierMarkup,"Error at finding value"))</f>
        <v>127.54</v>
      </c>
      <c r="X1281" s="32">
        <f t="shared" si="436"/>
        <v>9.09</v>
      </c>
      <c r="Y1281" s="15">
        <f t="shared" si="437"/>
        <v>485.88</v>
      </c>
      <c r="Z1281" s="15">
        <f t="shared" si="438"/>
        <v>710.7</v>
      </c>
      <c r="AA1281" s="15">
        <f>IF(FreightType="Lethbridge-Stewart Freight ",ROUND(2.99+IF(N1281&gt;0.75,(N1281-0.75)*2.25,0)*S1281,2),IF(MarkupType="Supplier Markup",V1281+V1281*SupplierMarkup,"Error at finding value"))</f>
        <v>26.62</v>
      </c>
      <c r="AB1281" s="15">
        <f t="shared" si="439"/>
        <v>54.54</v>
      </c>
    </row>
    <row r="1282" spans="1:28" x14ac:dyDescent="0.25">
      <c r="A1282" s="16">
        <f>OrdersTable!A1282</f>
        <v>609</v>
      </c>
      <c r="B1282" s="15" t="str">
        <f t="shared" si="419"/>
        <v>Ms</v>
      </c>
      <c r="C1282" s="15" t="str">
        <f t="shared" si="440"/>
        <v>Ashley</v>
      </c>
      <c r="D1282" s="15" t="str">
        <f t="shared" si="420"/>
        <v>Matthew</v>
      </c>
      <c r="E1282" s="15" t="str">
        <f t="shared" si="421"/>
        <v>3 Wagener Crescent</v>
      </c>
      <c r="F1282" s="15" t="str">
        <f t="shared" si="422"/>
        <v>Aberfoyle</v>
      </c>
      <c r="G1282" s="15" t="str">
        <f t="shared" si="423"/>
        <v>NSW</v>
      </c>
      <c r="H1282" s="15">
        <f t="shared" si="424"/>
        <v>2350</v>
      </c>
      <c r="I1282" s="15">
        <f t="shared" si="435"/>
        <v>363</v>
      </c>
      <c r="J1282" s="15">
        <f>OrdersTable!B1282</f>
        <v>373</v>
      </c>
      <c r="K1282" s="15" t="str">
        <f t="shared" si="425"/>
        <v>Clothing and Apparel</v>
      </c>
      <c r="L1282" s="15" t="str">
        <f t="shared" si="426"/>
        <v xml:space="preserve">Doctor Who: T-Shirts: 5th Doctor Costume </v>
      </c>
      <c r="M1282" s="15" t="str">
        <f t="shared" si="427"/>
        <v>L</v>
      </c>
      <c r="N1282" s="15">
        <f t="shared" si="428"/>
        <v>0.8</v>
      </c>
      <c r="O1282" s="15" t="str">
        <f t="shared" si="429"/>
        <v>A20</v>
      </c>
      <c r="P1282" s="15" t="str">
        <f t="shared" si="430"/>
        <v>Morbius Inc.</v>
      </c>
      <c r="Q1282" s="15" t="str">
        <f t="shared" si="431"/>
        <v>56 Michael Spice Hwy</v>
      </c>
      <c r="R1282" s="3">
        <f>OrdersTable!C1282</f>
        <v>44652</v>
      </c>
      <c r="S1282" s="15">
        <f>OrdersTable!E1282</f>
        <v>1</v>
      </c>
      <c r="T1282" s="15">
        <f t="shared" si="432"/>
        <v>15.99</v>
      </c>
      <c r="U1282" s="15">
        <f t="shared" si="433"/>
        <v>22.09</v>
      </c>
      <c r="V1282" s="15">
        <f t="shared" si="434"/>
        <v>25.9</v>
      </c>
      <c r="W1282" s="15">
        <f>IF(MarkupType="Store Markup",ROUND(V1282+V1282*StoreMarkup,2),IF(MarkupType="Supplier Markup",V1282+V1282*SupplierMarkup,"Error at finding value"))</f>
        <v>40.79</v>
      </c>
      <c r="X1282" s="32" t="str">
        <f t="shared" si="436"/>
        <v>0.00</v>
      </c>
      <c r="Y1282" s="15">
        <f t="shared" si="437"/>
        <v>25.9</v>
      </c>
      <c r="Z1282" s="15">
        <f t="shared" si="438"/>
        <v>40.79</v>
      </c>
      <c r="AA1282" s="15">
        <f>IF(FreightType="Lethbridge-Stewart Freight ",ROUND(2.99+IF(N1282&gt;0.75,(N1282-0.75)*2.25,0)*S1282,2),IF(MarkupType="Supplier Markup",V1282+V1282*SupplierMarkup,"Error at finding value"))</f>
        <v>3.1</v>
      </c>
      <c r="AB1282" s="15">
        <f t="shared" si="439"/>
        <v>0</v>
      </c>
    </row>
    <row r="1283" spans="1:28" x14ac:dyDescent="0.25">
      <c r="A1283" s="16">
        <f>OrdersTable!A1283</f>
        <v>611</v>
      </c>
      <c r="B1283" s="15" t="str">
        <f t="shared" si="419"/>
        <v>Mr</v>
      </c>
      <c r="C1283" s="15" t="str">
        <f t="shared" si="440"/>
        <v>Wittman</v>
      </c>
      <c r="D1283" s="15" t="str">
        <f t="shared" si="420"/>
        <v>Nicholas Jackson</v>
      </c>
      <c r="E1283" s="15" t="str">
        <f t="shared" si="421"/>
        <v>48 Sheppard-Kadel Way</v>
      </c>
      <c r="F1283" s="15" t="str">
        <f t="shared" si="422"/>
        <v>Nayook</v>
      </c>
      <c r="G1283" s="15" t="str">
        <f t="shared" si="423"/>
        <v>VIC</v>
      </c>
      <c r="H1283" s="15">
        <f t="shared" si="424"/>
        <v>3832</v>
      </c>
      <c r="I1283" s="15">
        <f t="shared" si="435"/>
        <v>1552</v>
      </c>
      <c r="J1283" s="15">
        <f>OrdersTable!B1283</f>
        <v>710</v>
      </c>
      <c r="K1283" s="15" t="str">
        <f t="shared" si="425"/>
        <v>Posters, Prints and Standees</v>
      </c>
      <c r="L1283" s="15" t="str">
        <f t="shared" si="426"/>
        <v>Doctor Who: Poster: Regenerate</v>
      </c>
      <c r="M1283" s="15" t="str">
        <f t="shared" si="427"/>
        <v>-</v>
      </c>
      <c r="N1283" s="15">
        <f t="shared" si="428"/>
        <v>0.2</v>
      </c>
      <c r="O1283" s="15" t="str">
        <f t="shared" si="429"/>
        <v>A40</v>
      </c>
      <c r="P1283" s="15" t="str">
        <f t="shared" si="430"/>
        <v>Romana Imports</v>
      </c>
      <c r="Q1283" s="15" t="str">
        <f t="shared" si="431"/>
        <v>17 Lalla Ward Road</v>
      </c>
      <c r="R1283" s="3">
        <f>OrdersTable!C1283</f>
        <v>44652</v>
      </c>
      <c r="S1283" s="15">
        <f>OrdersTable!E1283</f>
        <v>7</v>
      </c>
      <c r="T1283" s="15">
        <f t="shared" si="432"/>
        <v>3.99</v>
      </c>
      <c r="U1283" s="15">
        <f t="shared" si="433"/>
        <v>5.5</v>
      </c>
      <c r="V1283" s="15">
        <f t="shared" si="434"/>
        <v>6.46</v>
      </c>
      <c r="W1283" s="15">
        <f>IF(MarkupType="Store Markup",ROUND(V1283+V1283*StoreMarkup,2),IF(MarkupType="Supplier Markup",V1283+V1283*SupplierMarkup,"Error at finding value"))</f>
        <v>10.17</v>
      </c>
      <c r="X1283" s="32" t="str">
        <f t="shared" si="436"/>
        <v>0.00</v>
      </c>
      <c r="Y1283" s="15">
        <f t="shared" si="437"/>
        <v>45.22</v>
      </c>
      <c r="Z1283" s="15">
        <f t="shared" si="438"/>
        <v>71.19</v>
      </c>
      <c r="AA1283" s="15">
        <f>IF(FreightType="Lethbridge-Stewart Freight ",ROUND(2.99+IF(N1283&gt;0.75,(N1283-0.75)*2.25,0)*S1283,2),IF(MarkupType="Supplier Markup",V1283+V1283*SupplierMarkup,"Error at finding value"))</f>
        <v>2.99</v>
      </c>
      <c r="AB1283" s="15">
        <f t="shared" si="439"/>
        <v>0</v>
      </c>
    </row>
    <row r="1284" spans="1:28" x14ac:dyDescent="0.25">
      <c r="A1284" s="16">
        <f>OrdersTable!A1284</f>
        <v>657</v>
      </c>
      <c r="B1284" s="15" t="str">
        <f t="shared" ref="B1284:B1347" si="441">VLOOKUP($A1284,Cust,2,0)</f>
        <v>Mr</v>
      </c>
      <c r="C1284" s="15" t="str">
        <f t="shared" si="440"/>
        <v>Poljak</v>
      </c>
      <c r="D1284" s="15" t="str">
        <f t="shared" ref="D1284:D1347" si="442">VLOOKUP($A1284,Cust,4,0)</f>
        <v>Anthony</v>
      </c>
      <c r="E1284" s="15" t="str">
        <f t="shared" ref="E1284:E1347" si="443">VLOOKUP($A1284,Cust,6,0)</f>
        <v>45 Robertson Boulevard</v>
      </c>
      <c r="F1284" s="15" t="str">
        <f t="shared" ref="F1284:F1347" si="444">VLOOKUP($A1284,Cust,7,0)</f>
        <v>Iluka</v>
      </c>
      <c r="G1284" s="15" t="str">
        <f t="shared" ref="G1284:G1347" si="445">VLOOKUP($A1284,Cust,8,0)</f>
        <v>NSW</v>
      </c>
      <c r="H1284" s="15">
        <f t="shared" ref="H1284:H1347" si="446">VLOOKUP($A1284,Cust,9,0)</f>
        <v>2466</v>
      </c>
      <c r="I1284" s="15">
        <f t="shared" si="435"/>
        <v>347</v>
      </c>
      <c r="J1284" s="15">
        <f>OrdersTable!B1284</f>
        <v>762</v>
      </c>
      <c r="K1284" s="15" t="str">
        <f t="shared" ref="K1284:K1347" si="447">VLOOKUP($J1284,Itms,2,0)</f>
        <v>Statues and Busts</v>
      </c>
      <c r="L1284" s="15" t="str">
        <f t="shared" ref="L1284:L1347" si="448">VLOOKUP($J1284,Itms,3,0)</f>
        <v>Doctor Who: Legends Forever Bust: Patrick Troughton</v>
      </c>
      <c r="M1284" s="15" t="str">
        <f t="shared" ref="M1284:M1347" si="449">VLOOKUP($J1284,Itms,4,0)</f>
        <v>-</v>
      </c>
      <c r="N1284" s="15">
        <f t="shared" ref="N1284:N1347" si="450">VLOOKUP($J1284,Itms,5,0)</f>
        <v>1.375</v>
      </c>
      <c r="O1284" s="15" t="str">
        <f t="shared" ref="O1284:O1347" si="451">VLOOKUP($J1284,Itms,6,0)</f>
        <v>A40</v>
      </c>
      <c r="P1284" s="15" t="str">
        <f t="shared" ref="P1284:P1347" si="452">VLOOKUP($O1284,Supp,2,0)</f>
        <v>Romana Imports</v>
      </c>
      <c r="Q1284" s="15" t="str">
        <f t="shared" ref="Q1284:Q1347" si="453">VLOOKUP($O1284,Supp,3,0)</f>
        <v>17 Lalla Ward Road</v>
      </c>
      <c r="R1284" s="3">
        <f>OrdersTable!C1284</f>
        <v>44652</v>
      </c>
      <c r="S1284" s="15">
        <f>OrdersTable!E1284</f>
        <v>4</v>
      </c>
      <c r="T1284" s="15">
        <f t="shared" ref="T1284:T1347" si="454">VLOOKUP($J1284,Itms,9,0)</f>
        <v>27.5</v>
      </c>
      <c r="U1284" s="15">
        <f t="shared" ref="U1284:U1347" si="455">VLOOKUP($J1284,Itms,10,0)</f>
        <v>37.799999999999997</v>
      </c>
      <c r="V1284" s="15">
        <f t="shared" ref="V1284:V1347" si="456">IF(ExchRateType="IR",ROUND(T1284*ExchRateIR,2),IF(ExchRateType="CA",ROUND(U1284*ExchRateCA,2),"Error at finding value"))</f>
        <v>44.55</v>
      </c>
      <c r="W1284" s="15">
        <f>IF(MarkupType="Store Markup",ROUND(V1284+V1284*StoreMarkup,2),IF(MarkupType="Supplier Markup",V1284+V1284*SupplierMarkup,"Error at finding value"))</f>
        <v>70.17</v>
      </c>
      <c r="X1284" s="32" t="str">
        <f t="shared" si="436"/>
        <v>0.00</v>
      </c>
      <c r="Y1284" s="15">
        <f t="shared" si="437"/>
        <v>178.2</v>
      </c>
      <c r="Z1284" s="15">
        <f t="shared" si="438"/>
        <v>280.68</v>
      </c>
      <c r="AA1284" s="15">
        <f>IF(FreightType="Lethbridge-Stewart Freight ",ROUND(2.99+IF(N1284&gt;0.75,(N1284-0.75)*2.25,0)*S1284,2),IF(MarkupType="Supplier Markup",V1284+V1284*SupplierMarkup,"Error at finding value"))</f>
        <v>8.6199999999999992</v>
      </c>
      <c r="AB1284" s="15">
        <f t="shared" si="439"/>
        <v>0</v>
      </c>
    </row>
    <row r="1285" spans="1:28" x14ac:dyDescent="0.25">
      <c r="A1285" s="16">
        <f>OrdersTable!A1285</f>
        <v>758</v>
      </c>
      <c r="B1285" s="15" t="str">
        <f t="shared" si="441"/>
        <v>Mr</v>
      </c>
      <c r="C1285" s="15" t="str">
        <f t="shared" si="440"/>
        <v>Whitehorn</v>
      </c>
      <c r="D1285" s="15" t="str">
        <f t="shared" si="442"/>
        <v>James</v>
      </c>
      <c r="E1285" s="15" t="str">
        <f t="shared" si="443"/>
        <v>32 Raubenheimer Circuit</v>
      </c>
      <c r="F1285" s="15" t="str">
        <f t="shared" si="444"/>
        <v>Belconnen</v>
      </c>
      <c r="G1285" s="15" t="str">
        <f t="shared" si="445"/>
        <v>ACT</v>
      </c>
      <c r="H1285" s="15">
        <f t="shared" si="446"/>
        <v>2617</v>
      </c>
      <c r="I1285" s="15">
        <f t="shared" ref="I1285:I1348" si="457">VLOOKUP($A1285,Cust,10,0)</f>
        <v>1194</v>
      </c>
      <c r="J1285" s="15">
        <f>OrdersTable!B1285</f>
        <v>689</v>
      </c>
      <c r="K1285" s="15" t="str">
        <f t="shared" si="447"/>
        <v>Posters, Prints and Standees</v>
      </c>
      <c r="L1285" s="15" t="str">
        <f t="shared" si="448"/>
        <v>Doctor Who: 16'x12' Framed Print: Cold War</v>
      </c>
      <c r="M1285" s="15" t="str">
        <f t="shared" si="449"/>
        <v>-</v>
      </c>
      <c r="N1285" s="15">
        <f t="shared" si="450"/>
        <v>0.75</v>
      </c>
      <c r="O1285" s="15" t="str">
        <f t="shared" si="451"/>
        <v>A50</v>
      </c>
      <c r="P1285" s="15" t="str">
        <f t="shared" si="452"/>
        <v>Rassilon Ltd.</v>
      </c>
      <c r="Q1285" s="15" t="str">
        <f t="shared" si="453"/>
        <v>82 Richard Mathews Road</v>
      </c>
      <c r="R1285" s="3">
        <f>OrdersTable!C1285</f>
        <v>44652</v>
      </c>
      <c r="S1285" s="15">
        <f>OrdersTable!E1285</f>
        <v>4</v>
      </c>
      <c r="T1285" s="15">
        <f t="shared" si="454"/>
        <v>14.99</v>
      </c>
      <c r="U1285" s="15">
        <f t="shared" si="455"/>
        <v>20.77</v>
      </c>
      <c r="V1285" s="15">
        <f t="shared" si="456"/>
        <v>24.28</v>
      </c>
      <c r="W1285" s="15">
        <f>IF(MarkupType="Store Markup",ROUND(V1285+V1285*StoreMarkup,2),IF(MarkupType="Supplier Markup",V1285+V1285*SupplierMarkup,"Error at finding value"))</f>
        <v>38.24</v>
      </c>
      <c r="X1285" s="32" t="str">
        <f t="shared" ref="X1285:X1348" si="458">IF(AND(W1285&gt;100,S1285&gt;=3),ROUND(0.07125*W1285,2),"0.00")</f>
        <v>0.00</v>
      </c>
      <c r="Y1285" s="15">
        <f t="shared" ref="Y1285:Y1348" si="459">ROUND(V1285*S1285,2)</f>
        <v>97.12</v>
      </c>
      <c r="Z1285" s="15">
        <f t="shared" ref="Z1285:Z1348" si="460">ROUND((W1285-X1285)*S1285,2)</f>
        <v>152.96</v>
      </c>
      <c r="AA1285" s="15">
        <f>IF(FreightType="Lethbridge-Stewart Freight ",ROUND(2.99+IF(N1285&gt;0.75,(N1285-0.75)*2.25,0)*S1285,2),IF(MarkupType="Supplier Markup",V1285+V1285*SupplierMarkup,"Error at finding value"))</f>
        <v>2.99</v>
      </c>
      <c r="AB1285" s="15">
        <f t="shared" ref="AB1285:AB1348" si="461">ROUND(X1285*S1285,2)</f>
        <v>0</v>
      </c>
    </row>
    <row r="1286" spans="1:28" x14ac:dyDescent="0.25">
      <c r="A1286" s="16">
        <f>OrdersTable!A1286</f>
        <v>961</v>
      </c>
      <c r="B1286" s="15" t="str">
        <f t="shared" si="441"/>
        <v>Ms</v>
      </c>
      <c r="C1286" s="15" t="str">
        <f t="shared" si="440"/>
        <v>Schuh</v>
      </c>
      <c r="D1286" s="15" t="str">
        <f t="shared" si="442"/>
        <v>Rebecca Anne</v>
      </c>
      <c r="E1286" s="15" t="str">
        <f t="shared" si="443"/>
        <v>48 Wilson Court</v>
      </c>
      <c r="F1286" s="15" t="str">
        <f t="shared" si="444"/>
        <v>Breakwater</v>
      </c>
      <c r="G1286" s="15" t="str">
        <f t="shared" si="445"/>
        <v>VIC</v>
      </c>
      <c r="H1286" s="15">
        <f t="shared" si="446"/>
        <v>3219</v>
      </c>
      <c r="I1286" s="15">
        <f t="shared" si="457"/>
        <v>1596</v>
      </c>
      <c r="J1286" s="15">
        <f>OrdersTable!B1286</f>
        <v>145</v>
      </c>
      <c r="K1286" s="15" t="str">
        <f t="shared" si="447"/>
        <v>Bobbleheads</v>
      </c>
      <c r="L1286" s="15" t="str">
        <f t="shared" si="448"/>
        <v>Doctor Who: Bobblehead: Eleventh Doctor</v>
      </c>
      <c r="M1286" s="15" t="str">
        <f t="shared" si="449"/>
        <v>-</v>
      </c>
      <c r="N1286" s="15">
        <f t="shared" si="450"/>
        <v>1</v>
      </c>
      <c r="O1286" s="15" t="str">
        <f t="shared" si="451"/>
        <v>A30</v>
      </c>
      <c r="P1286" s="15" t="str">
        <f t="shared" si="452"/>
        <v>Chesterton Enterprises</v>
      </c>
      <c r="Q1286" s="15" t="str">
        <f t="shared" si="453"/>
        <v>41 William Russell Road</v>
      </c>
      <c r="R1286" s="3">
        <f>OrdersTable!C1286</f>
        <v>44652</v>
      </c>
      <c r="S1286" s="15">
        <f>OrdersTable!E1286</f>
        <v>6</v>
      </c>
      <c r="T1286" s="15">
        <f t="shared" si="454"/>
        <v>19.989999999999998</v>
      </c>
      <c r="U1286" s="15">
        <f t="shared" si="455"/>
        <v>27.54</v>
      </c>
      <c r="V1286" s="15">
        <f t="shared" si="456"/>
        <v>32.380000000000003</v>
      </c>
      <c r="W1286" s="15">
        <f>IF(MarkupType="Store Markup",ROUND(V1286+V1286*StoreMarkup,2),IF(MarkupType="Supplier Markup",V1286+V1286*SupplierMarkup,"Error at finding value"))</f>
        <v>51</v>
      </c>
      <c r="X1286" s="32" t="str">
        <f t="shared" si="458"/>
        <v>0.00</v>
      </c>
      <c r="Y1286" s="15">
        <f t="shared" si="459"/>
        <v>194.28</v>
      </c>
      <c r="Z1286" s="15">
        <f t="shared" si="460"/>
        <v>306</v>
      </c>
      <c r="AA1286" s="15">
        <f>IF(FreightType="Lethbridge-Stewart Freight ",ROUND(2.99+IF(N1286&gt;0.75,(N1286-0.75)*2.25,0)*S1286,2),IF(MarkupType="Supplier Markup",V1286+V1286*SupplierMarkup,"Error at finding value"))</f>
        <v>6.37</v>
      </c>
      <c r="AB1286" s="15">
        <f t="shared" si="461"/>
        <v>0</v>
      </c>
    </row>
    <row r="1287" spans="1:28" x14ac:dyDescent="0.25">
      <c r="A1287" s="16">
        <f>OrdersTable!A1287</f>
        <v>46</v>
      </c>
      <c r="B1287" s="15" t="str">
        <f t="shared" si="441"/>
        <v>Mrs</v>
      </c>
      <c r="C1287" s="15" t="str">
        <f t="shared" si="440"/>
        <v>Dovey</v>
      </c>
      <c r="D1287" s="15" t="str">
        <f t="shared" si="442"/>
        <v>Aisha Jade</v>
      </c>
      <c r="E1287" s="15" t="str">
        <f t="shared" si="443"/>
        <v>43 Wilkes Circuit</v>
      </c>
      <c r="F1287" s="15" t="str">
        <f t="shared" si="444"/>
        <v>Alfredtown</v>
      </c>
      <c r="G1287" s="15" t="str">
        <f t="shared" si="445"/>
        <v>NSW</v>
      </c>
      <c r="H1287" s="15">
        <f t="shared" si="446"/>
        <v>2650</v>
      </c>
      <c r="I1287" s="15">
        <f t="shared" si="457"/>
        <v>1124</v>
      </c>
      <c r="J1287" s="15">
        <f>OrdersTable!B1287</f>
        <v>834</v>
      </c>
      <c r="K1287" s="15" t="str">
        <f t="shared" si="447"/>
        <v>Statues and Busts</v>
      </c>
      <c r="L1287" s="15" t="str">
        <f t="shared" si="448"/>
        <v>Doctor Who: Signature Edition Statue: Gallifrey Edition: Matt Smith</v>
      </c>
      <c r="M1287" s="15" t="str">
        <f t="shared" si="449"/>
        <v>-</v>
      </c>
      <c r="N1287" s="15">
        <f t="shared" si="450"/>
        <v>2.5</v>
      </c>
      <c r="O1287" s="15" t="str">
        <f t="shared" si="451"/>
        <v>A30</v>
      </c>
      <c r="P1287" s="15" t="str">
        <f t="shared" si="452"/>
        <v>Chesterton Enterprises</v>
      </c>
      <c r="Q1287" s="15" t="str">
        <f t="shared" si="453"/>
        <v>41 William Russell Road</v>
      </c>
      <c r="R1287" s="3">
        <f>OrdersTable!C1287</f>
        <v>44653</v>
      </c>
      <c r="S1287" s="15">
        <f>OrdersTable!E1287</f>
        <v>8</v>
      </c>
      <c r="T1287" s="15">
        <f t="shared" si="454"/>
        <v>49.99</v>
      </c>
      <c r="U1287" s="15">
        <f t="shared" si="455"/>
        <v>68.52</v>
      </c>
      <c r="V1287" s="15">
        <f t="shared" si="456"/>
        <v>80.98</v>
      </c>
      <c r="W1287" s="15">
        <f>IF(MarkupType="Store Markup",ROUND(V1287+V1287*StoreMarkup,2),IF(MarkupType="Supplier Markup",V1287+V1287*SupplierMarkup,"Error at finding value"))</f>
        <v>127.54</v>
      </c>
      <c r="X1287" s="32">
        <f t="shared" si="458"/>
        <v>9.09</v>
      </c>
      <c r="Y1287" s="15">
        <f t="shared" si="459"/>
        <v>647.84</v>
      </c>
      <c r="Z1287" s="15">
        <f t="shared" si="460"/>
        <v>947.6</v>
      </c>
      <c r="AA1287" s="15">
        <f>IF(FreightType="Lethbridge-Stewart Freight ",ROUND(2.99+IF(N1287&gt;0.75,(N1287-0.75)*2.25,0)*S1287,2),IF(MarkupType="Supplier Markup",V1287+V1287*SupplierMarkup,"Error at finding value"))</f>
        <v>34.49</v>
      </c>
      <c r="AB1287" s="15">
        <f t="shared" si="461"/>
        <v>72.72</v>
      </c>
    </row>
    <row r="1288" spans="1:28" x14ac:dyDescent="0.25">
      <c r="A1288" s="16">
        <f>OrdersTable!A1288</f>
        <v>190</v>
      </c>
      <c r="B1288" s="15" t="str">
        <f t="shared" si="441"/>
        <v>Mr</v>
      </c>
      <c r="C1288" s="15" t="str">
        <f t="shared" si="440"/>
        <v>Azar</v>
      </c>
      <c r="D1288" s="15" t="str">
        <f t="shared" si="442"/>
        <v>Hector Antonio</v>
      </c>
      <c r="E1288" s="15" t="str">
        <f t="shared" si="443"/>
        <v>38 Hope Avenue</v>
      </c>
      <c r="F1288" s="15" t="str">
        <f t="shared" si="444"/>
        <v>Glenfern</v>
      </c>
      <c r="G1288" s="15" t="str">
        <f t="shared" si="445"/>
        <v>QLD</v>
      </c>
      <c r="H1288" s="15">
        <f t="shared" si="446"/>
        <v>4515</v>
      </c>
      <c r="I1288" s="15">
        <f t="shared" si="457"/>
        <v>128</v>
      </c>
      <c r="J1288" s="15">
        <f>OrdersTable!B1288</f>
        <v>805</v>
      </c>
      <c r="K1288" s="15" t="str">
        <f t="shared" si="447"/>
        <v>Statues and Busts</v>
      </c>
      <c r="L1288" s="15" t="str">
        <f t="shared" si="448"/>
        <v>Doctor Who: Masterpiece Collection Maxi Bust: 5th Doctor</v>
      </c>
      <c r="M1288" s="15" t="str">
        <f t="shared" si="449"/>
        <v>-</v>
      </c>
      <c r="N1288" s="15">
        <f t="shared" si="450"/>
        <v>2.5</v>
      </c>
      <c r="O1288" s="15" t="str">
        <f t="shared" si="451"/>
        <v>A20</v>
      </c>
      <c r="P1288" s="15" t="str">
        <f t="shared" si="452"/>
        <v>Morbius Inc.</v>
      </c>
      <c r="Q1288" s="15" t="str">
        <f t="shared" si="453"/>
        <v>56 Michael Spice Hwy</v>
      </c>
      <c r="R1288" s="3">
        <f>OrdersTable!C1288</f>
        <v>44653</v>
      </c>
      <c r="S1288" s="15">
        <f>OrdersTable!E1288</f>
        <v>8</v>
      </c>
      <c r="T1288" s="15">
        <f t="shared" si="454"/>
        <v>49.99</v>
      </c>
      <c r="U1288" s="15">
        <f t="shared" si="455"/>
        <v>68.42</v>
      </c>
      <c r="V1288" s="15">
        <f t="shared" si="456"/>
        <v>80.98</v>
      </c>
      <c r="W1288" s="15">
        <f>IF(MarkupType="Store Markup",ROUND(V1288+V1288*StoreMarkup,2),IF(MarkupType="Supplier Markup",V1288+V1288*SupplierMarkup,"Error at finding value"))</f>
        <v>127.54</v>
      </c>
      <c r="X1288" s="32">
        <f t="shared" si="458"/>
        <v>9.09</v>
      </c>
      <c r="Y1288" s="15">
        <f t="shared" si="459"/>
        <v>647.84</v>
      </c>
      <c r="Z1288" s="15">
        <f t="shared" si="460"/>
        <v>947.6</v>
      </c>
      <c r="AA1288" s="15">
        <f>IF(FreightType="Lethbridge-Stewart Freight ",ROUND(2.99+IF(N1288&gt;0.75,(N1288-0.75)*2.25,0)*S1288,2),IF(MarkupType="Supplier Markup",V1288+V1288*SupplierMarkup,"Error at finding value"))</f>
        <v>34.49</v>
      </c>
      <c r="AB1288" s="15">
        <f t="shared" si="461"/>
        <v>72.72</v>
      </c>
    </row>
    <row r="1289" spans="1:28" x14ac:dyDescent="0.25">
      <c r="A1289" s="16">
        <f>OrdersTable!A1289</f>
        <v>224</v>
      </c>
      <c r="B1289" s="15" t="str">
        <f t="shared" si="441"/>
        <v>Miss</v>
      </c>
      <c r="C1289" s="15" t="str">
        <f t="shared" si="440"/>
        <v>Baruwal</v>
      </c>
      <c r="D1289" s="15" t="str">
        <f t="shared" si="442"/>
        <v>Pratikshya</v>
      </c>
      <c r="E1289" s="15" t="str">
        <f t="shared" si="443"/>
        <v>43 Gilloway Street</v>
      </c>
      <c r="F1289" s="15" t="str">
        <f t="shared" si="444"/>
        <v>Iluka</v>
      </c>
      <c r="G1289" s="15" t="str">
        <f t="shared" si="445"/>
        <v>NSW</v>
      </c>
      <c r="H1289" s="15">
        <f t="shared" si="446"/>
        <v>2466</v>
      </c>
      <c r="I1289" s="15">
        <f t="shared" si="457"/>
        <v>347</v>
      </c>
      <c r="J1289" s="15">
        <f>OrdersTable!B1289</f>
        <v>620</v>
      </c>
      <c r="K1289" s="15" t="str">
        <f t="shared" si="447"/>
        <v>iPhone Skins</v>
      </c>
      <c r="L1289" s="15" t="str">
        <f t="shared" si="448"/>
        <v>Doctor Who: iPhone Skin: TARDIS Water Colour</v>
      </c>
      <c r="M1289" s="15" t="str">
        <f t="shared" si="449"/>
        <v>-</v>
      </c>
      <c r="N1289" s="15">
        <f t="shared" si="450"/>
        <v>0.5</v>
      </c>
      <c r="O1289" s="15" t="str">
        <f t="shared" si="451"/>
        <v>A30</v>
      </c>
      <c r="P1289" s="15" t="str">
        <f t="shared" si="452"/>
        <v>Chesterton Enterprises</v>
      </c>
      <c r="Q1289" s="15" t="str">
        <f t="shared" si="453"/>
        <v>41 William Russell Road</v>
      </c>
      <c r="R1289" s="3">
        <f>OrdersTable!C1289</f>
        <v>44653</v>
      </c>
      <c r="S1289" s="15">
        <f>OrdersTable!E1289</f>
        <v>10</v>
      </c>
      <c r="T1289" s="15">
        <f t="shared" si="454"/>
        <v>9.99</v>
      </c>
      <c r="U1289" s="15">
        <f t="shared" si="455"/>
        <v>13.81</v>
      </c>
      <c r="V1289" s="15">
        <f t="shared" si="456"/>
        <v>16.18</v>
      </c>
      <c r="W1289" s="15">
        <f>IF(MarkupType="Store Markup",ROUND(V1289+V1289*StoreMarkup,2),IF(MarkupType="Supplier Markup",V1289+V1289*SupplierMarkup,"Error at finding value"))</f>
        <v>25.48</v>
      </c>
      <c r="X1289" s="32" t="str">
        <f t="shared" si="458"/>
        <v>0.00</v>
      </c>
      <c r="Y1289" s="15">
        <f t="shared" si="459"/>
        <v>161.80000000000001</v>
      </c>
      <c r="Z1289" s="15">
        <f t="shared" si="460"/>
        <v>254.8</v>
      </c>
      <c r="AA1289" s="15">
        <f>IF(FreightType="Lethbridge-Stewart Freight ",ROUND(2.99+IF(N1289&gt;0.75,(N1289-0.75)*2.25,0)*S1289,2),IF(MarkupType="Supplier Markup",V1289+V1289*SupplierMarkup,"Error at finding value"))</f>
        <v>2.99</v>
      </c>
      <c r="AB1289" s="15">
        <f t="shared" si="461"/>
        <v>0</v>
      </c>
    </row>
    <row r="1290" spans="1:28" x14ac:dyDescent="0.25">
      <c r="A1290" s="16">
        <f>OrdersTable!A1290</f>
        <v>224</v>
      </c>
      <c r="B1290" s="15" t="str">
        <f t="shared" si="441"/>
        <v>Miss</v>
      </c>
      <c r="C1290" s="15" t="str">
        <f t="shared" si="440"/>
        <v>Baruwal</v>
      </c>
      <c r="D1290" s="15" t="str">
        <f t="shared" si="442"/>
        <v>Pratikshya</v>
      </c>
      <c r="E1290" s="15" t="str">
        <f t="shared" si="443"/>
        <v>43 Gilloway Street</v>
      </c>
      <c r="F1290" s="15" t="str">
        <f t="shared" si="444"/>
        <v>Iluka</v>
      </c>
      <c r="G1290" s="15" t="str">
        <f t="shared" si="445"/>
        <v>NSW</v>
      </c>
      <c r="H1290" s="15">
        <f t="shared" si="446"/>
        <v>2466</v>
      </c>
      <c r="I1290" s="15">
        <f t="shared" si="457"/>
        <v>347</v>
      </c>
      <c r="J1290" s="15">
        <f>OrdersTable!B1290</f>
        <v>759</v>
      </c>
      <c r="K1290" s="15" t="str">
        <f t="shared" si="447"/>
        <v>Statues and Busts</v>
      </c>
      <c r="L1290" s="15" t="str">
        <f t="shared" si="448"/>
        <v>Doctor Who: Legends Forever Bust: Jon Pertwee</v>
      </c>
      <c r="M1290" s="15" t="str">
        <f t="shared" si="449"/>
        <v>-</v>
      </c>
      <c r="N1290" s="15">
        <f t="shared" si="450"/>
        <v>1.375</v>
      </c>
      <c r="O1290" s="15" t="str">
        <f t="shared" si="451"/>
        <v>A30</v>
      </c>
      <c r="P1290" s="15" t="str">
        <f t="shared" si="452"/>
        <v>Chesterton Enterprises</v>
      </c>
      <c r="Q1290" s="15" t="str">
        <f t="shared" si="453"/>
        <v>41 William Russell Road</v>
      </c>
      <c r="R1290" s="3">
        <f>OrdersTable!C1290</f>
        <v>44653</v>
      </c>
      <c r="S1290" s="15">
        <f>OrdersTable!E1290</f>
        <v>6</v>
      </c>
      <c r="T1290" s="15">
        <f t="shared" si="454"/>
        <v>27.5</v>
      </c>
      <c r="U1290" s="15">
        <f t="shared" si="455"/>
        <v>37.630000000000003</v>
      </c>
      <c r="V1290" s="15">
        <f t="shared" si="456"/>
        <v>44.55</v>
      </c>
      <c r="W1290" s="15">
        <f>IF(MarkupType="Store Markup",ROUND(V1290+V1290*StoreMarkup,2),IF(MarkupType="Supplier Markup",V1290+V1290*SupplierMarkup,"Error at finding value"))</f>
        <v>70.17</v>
      </c>
      <c r="X1290" s="32" t="str">
        <f t="shared" si="458"/>
        <v>0.00</v>
      </c>
      <c r="Y1290" s="15">
        <f t="shared" si="459"/>
        <v>267.3</v>
      </c>
      <c r="Z1290" s="15">
        <f t="shared" si="460"/>
        <v>421.02</v>
      </c>
      <c r="AA1290" s="15">
        <f>IF(FreightType="Lethbridge-Stewart Freight ",ROUND(2.99+IF(N1290&gt;0.75,(N1290-0.75)*2.25,0)*S1290,2),IF(MarkupType="Supplier Markup",V1290+V1290*SupplierMarkup,"Error at finding value"))</f>
        <v>11.43</v>
      </c>
      <c r="AB1290" s="15">
        <f t="shared" si="461"/>
        <v>0</v>
      </c>
    </row>
    <row r="1291" spans="1:28" x14ac:dyDescent="0.25">
      <c r="A1291" s="16">
        <f>OrdersTable!A1291</f>
        <v>323</v>
      </c>
      <c r="B1291" s="15" t="str">
        <f t="shared" si="441"/>
        <v>Dr</v>
      </c>
      <c r="C1291" s="15" t="str">
        <f t="shared" ref="C1291:C1354" si="462">VLOOKUP($A1291,Cust,3,0)</f>
        <v>King</v>
      </c>
      <c r="D1291" s="15" t="str">
        <f t="shared" si="442"/>
        <v>Leith</v>
      </c>
      <c r="E1291" s="15" t="str">
        <f t="shared" si="443"/>
        <v>25 Carbone Court</v>
      </c>
      <c r="F1291" s="15" t="str">
        <f t="shared" si="444"/>
        <v>Nayook</v>
      </c>
      <c r="G1291" s="15" t="str">
        <f t="shared" si="445"/>
        <v>VIC</v>
      </c>
      <c r="H1291" s="15">
        <f t="shared" si="446"/>
        <v>3832</v>
      </c>
      <c r="I1291" s="15">
        <f t="shared" si="457"/>
        <v>1552</v>
      </c>
      <c r="J1291" s="15">
        <f>OrdersTable!B1291</f>
        <v>580</v>
      </c>
      <c r="K1291" s="15" t="str">
        <f t="shared" si="447"/>
        <v>Giftware</v>
      </c>
      <c r="L1291" s="15" t="str">
        <f t="shared" si="448"/>
        <v>Doctor Who: Wallpaper: Classic TARDIS Columns</v>
      </c>
      <c r="M1291" s="15" t="str">
        <f t="shared" si="449"/>
        <v>-</v>
      </c>
      <c r="N1291" s="15">
        <f t="shared" si="450"/>
        <v>0.65500000000000003</v>
      </c>
      <c r="O1291" s="15" t="str">
        <f t="shared" si="451"/>
        <v>A50</v>
      </c>
      <c r="P1291" s="15" t="str">
        <f t="shared" si="452"/>
        <v>Rassilon Ltd.</v>
      </c>
      <c r="Q1291" s="15" t="str">
        <f t="shared" si="453"/>
        <v>82 Richard Mathews Road</v>
      </c>
      <c r="R1291" s="3">
        <f>OrdersTable!C1291</f>
        <v>44653</v>
      </c>
      <c r="S1291" s="15">
        <f>OrdersTable!E1291</f>
        <v>6</v>
      </c>
      <c r="T1291" s="15">
        <f t="shared" si="454"/>
        <v>13.11</v>
      </c>
      <c r="U1291" s="15">
        <f t="shared" si="455"/>
        <v>18.18</v>
      </c>
      <c r="V1291" s="15">
        <f t="shared" si="456"/>
        <v>21.24</v>
      </c>
      <c r="W1291" s="15">
        <f>IF(MarkupType="Store Markup",ROUND(V1291+V1291*StoreMarkup,2),IF(MarkupType="Supplier Markup",V1291+V1291*SupplierMarkup,"Error at finding value"))</f>
        <v>33.450000000000003</v>
      </c>
      <c r="X1291" s="32" t="str">
        <f t="shared" si="458"/>
        <v>0.00</v>
      </c>
      <c r="Y1291" s="15">
        <f t="shared" si="459"/>
        <v>127.44</v>
      </c>
      <c r="Z1291" s="15">
        <f t="shared" si="460"/>
        <v>200.7</v>
      </c>
      <c r="AA1291" s="15">
        <f>IF(FreightType="Lethbridge-Stewart Freight ",ROUND(2.99+IF(N1291&gt;0.75,(N1291-0.75)*2.25,0)*S1291,2),IF(MarkupType="Supplier Markup",V1291+V1291*SupplierMarkup,"Error at finding value"))</f>
        <v>2.99</v>
      </c>
      <c r="AB1291" s="15">
        <f t="shared" si="461"/>
        <v>0</v>
      </c>
    </row>
    <row r="1292" spans="1:28" x14ac:dyDescent="0.25">
      <c r="A1292" s="16">
        <f>OrdersTable!A1292</f>
        <v>331</v>
      </c>
      <c r="B1292" s="15" t="str">
        <f t="shared" si="441"/>
        <v>Mrs</v>
      </c>
      <c r="C1292" s="15" t="str">
        <f t="shared" si="462"/>
        <v>McKenzie</v>
      </c>
      <c r="D1292" s="15" t="str">
        <f t="shared" si="442"/>
        <v>Melinda Kate</v>
      </c>
      <c r="E1292" s="15" t="str">
        <f t="shared" si="443"/>
        <v>49 McKay Way</v>
      </c>
      <c r="F1292" s="15" t="str">
        <f t="shared" si="444"/>
        <v>Black Hills</v>
      </c>
      <c r="G1292" s="15" t="str">
        <f t="shared" si="445"/>
        <v>TAS</v>
      </c>
      <c r="H1292" s="15">
        <f t="shared" si="446"/>
        <v>7140</v>
      </c>
      <c r="I1292" s="15">
        <f t="shared" si="457"/>
        <v>2191</v>
      </c>
      <c r="J1292" s="15">
        <f>OrdersTable!B1292</f>
        <v>757</v>
      </c>
      <c r="K1292" s="15" t="str">
        <f t="shared" si="447"/>
        <v>Statues and Busts</v>
      </c>
      <c r="L1292" s="15" t="str">
        <f t="shared" si="448"/>
        <v>Doctor Who: Helmet: Ice Warrior</v>
      </c>
      <c r="M1292" s="15" t="str">
        <f t="shared" si="449"/>
        <v>-</v>
      </c>
      <c r="N1292" s="15">
        <f t="shared" si="450"/>
        <v>1.75</v>
      </c>
      <c r="O1292" s="15" t="str">
        <f t="shared" si="451"/>
        <v>A20</v>
      </c>
      <c r="P1292" s="15" t="str">
        <f t="shared" si="452"/>
        <v>Morbius Inc.</v>
      </c>
      <c r="Q1292" s="15" t="str">
        <f t="shared" si="453"/>
        <v>56 Michael Spice Hwy</v>
      </c>
      <c r="R1292" s="3">
        <f>OrdersTable!C1292</f>
        <v>44653</v>
      </c>
      <c r="S1292" s="15">
        <f>OrdersTable!E1292</f>
        <v>4</v>
      </c>
      <c r="T1292" s="15">
        <f t="shared" si="454"/>
        <v>34.99</v>
      </c>
      <c r="U1292" s="15">
        <f t="shared" si="455"/>
        <v>47.88</v>
      </c>
      <c r="V1292" s="15">
        <f t="shared" si="456"/>
        <v>56.68</v>
      </c>
      <c r="W1292" s="15">
        <f>IF(MarkupType="Store Markup",ROUND(V1292+V1292*StoreMarkup,2),IF(MarkupType="Supplier Markup",V1292+V1292*SupplierMarkup,"Error at finding value"))</f>
        <v>89.27</v>
      </c>
      <c r="X1292" s="32" t="str">
        <f t="shared" si="458"/>
        <v>0.00</v>
      </c>
      <c r="Y1292" s="15">
        <f t="shared" si="459"/>
        <v>226.72</v>
      </c>
      <c r="Z1292" s="15">
        <f t="shared" si="460"/>
        <v>357.08</v>
      </c>
      <c r="AA1292" s="15">
        <f>IF(FreightType="Lethbridge-Stewart Freight ",ROUND(2.99+IF(N1292&gt;0.75,(N1292-0.75)*2.25,0)*S1292,2),IF(MarkupType="Supplier Markup",V1292+V1292*SupplierMarkup,"Error at finding value"))</f>
        <v>11.99</v>
      </c>
      <c r="AB1292" s="15">
        <f t="shared" si="461"/>
        <v>0</v>
      </c>
    </row>
    <row r="1293" spans="1:28" x14ac:dyDescent="0.25">
      <c r="A1293" s="16">
        <f>OrdersTable!A1293</f>
        <v>338</v>
      </c>
      <c r="B1293" s="15" t="str">
        <f t="shared" si="441"/>
        <v>Miss</v>
      </c>
      <c r="C1293" s="15" t="str">
        <f t="shared" si="462"/>
        <v>Pellegrino</v>
      </c>
      <c r="D1293" s="15" t="str">
        <f t="shared" si="442"/>
        <v>Samantha</v>
      </c>
      <c r="E1293" s="15" t="str">
        <f t="shared" si="443"/>
        <v>38 McKeown Street</v>
      </c>
      <c r="F1293" s="15" t="str">
        <f t="shared" si="444"/>
        <v>Avon Plains</v>
      </c>
      <c r="G1293" s="15" t="str">
        <f t="shared" si="445"/>
        <v>VIC</v>
      </c>
      <c r="H1293" s="15">
        <f t="shared" si="446"/>
        <v>3477</v>
      </c>
      <c r="I1293" s="15">
        <f t="shared" si="457"/>
        <v>1565</v>
      </c>
      <c r="J1293" s="15">
        <f>OrdersTable!B1293</f>
        <v>316</v>
      </c>
      <c r="K1293" s="15" t="str">
        <f t="shared" si="447"/>
        <v>Clothing and Apparel</v>
      </c>
      <c r="L1293" s="15" t="str">
        <f t="shared" si="448"/>
        <v xml:space="preserve">Doctor Who: T-Shirts: 4th Doctor Costume </v>
      </c>
      <c r="M1293" s="15" t="str">
        <f t="shared" si="449"/>
        <v>S</v>
      </c>
      <c r="N1293" s="15">
        <f t="shared" si="450"/>
        <v>0.8</v>
      </c>
      <c r="O1293" s="15" t="str">
        <f t="shared" si="451"/>
        <v>A30</v>
      </c>
      <c r="P1293" s="15" t="str">
        <f t="shared" si="452"/>
        <v>Chesterton Enterprises</v>
      </c>
      <c r="Q1293" s="15" t="str">
        <f t="shared" si="453"/>
        <v>41 William Russell Road</v>
      </c>
      <c r="R1293" s="3">
        <f>OrdersTable!C1293</f>
        <v>44653</v>
      </c>
      <c r="S1293" s="15">
        <f>OrdersTable!E1293</f>
        <v>8</v>
      </c>
      <c r="T1293" s="15">
        <f t="shared" si="454"/>
        <v>15.99</v>
      </c>
      <c r="U1293" s="15">
        <f t="shared" si="455"/>
        <v>21.94</v>
      </c>
      <c r="V1293" s="15">
        <f t="shared" si="456"/>
        <v>25.9</v>
      </c>
      <c r="W1293" s="15">
        <f>IF(MarkupType="Store Markup",ROUND(V1293+V1293*StoreMarkup,2),IF(MarkupType="Supplier Markup",V1293+V1293*SupplierMarkup,"Error at finding value"))</f>
        <v>40.79</v>
      </c>
      <c r="X1293" s="32" t="str">
        <f t="shared" si="458"/>
        <v>0.00</v>
      </c>
      <c r="Y1293" s="15">
        <f t="shared" si="459"/>
        <v>207.2</v>
      </c>
      <c r="Z1293" s="15">
        <f t="shared" si="460"/>
        <v>326.32</v>
      </c>
      <c r="AA1293" s="15">
        <f>IF(FreightType="Lethbridge-Stewart Freight ",ROUND(2.99+IF(N1293&gt;0.75,(N1293-0.75)*2.25,0)*S1293,2),IF(MarkupType="Supplier Markup",V1293+V1293*SupplierMarkup,"Error at finding value"))</f>
        <v>3.89</v>
      </c>
      <c r="AB1293" s="15">
        <f t="shared" si="461"/>
        <v>0</v>
      </c>
    </row>
    <row r="1294" spans="1:28" x14ac:dyDescent="0.25">
      <c r="A1294" s="16">
        <f>OrdersTable!A1294</f>
        <v>491</v>
      </c>
      <c r="B1294" s="15" t="str">
        <f t="shared" si="441"/>
        <v>Miss</v>
      </c>
      <c r="C1294" s="15" t="str">
        <f t="shared" si="462"/>
        <v>Winks</v>
      </c>
      <c r="D1294" s="15" t="str">
        <f t="shared" si="442"/>
        <v>Lori-Ann</v>
      </c>
      <c r="E1294" s="15" t="str">
        <f t="shared" si="443"/>
        <v>40 Lyne Street</v>
      </c>
      <c r="F1294" s="15" t="str">
        <f t="shared" si="444"/>
        <v>Bray Park</v>
      </c>
      <c r="G1294" s="15" t="str">
        <f t="shared" si="445"/>
        <v>QLD</v>
      </c>
      <c r="H1294" s="15">
        <f t="shared" si="446"/>
        <v>4500</v>
      </c>
      <c r="I1294" s="15">
        <f t="shared" si="457"/>
        <v>139</v>
      </c>
      <c r="J1294" s="15">
        <f>OrdersTable!B1294</f>
        <v>757</v>
      </c>
      <c r="K1294" s="15" t="str">
        <f t="shared" si="447"/>
        <v>Statues and Busts</v>
      </c>
      <c r="L1294" s="15" t="str">
        <f t="shared" si="448"/>
        <v>Doctor Who: Helmet: Ice Warrior</v>
      </c>
      <c r="M1294" s="15" t="str">
        <f t="shared" si="449"/>
        <v>-</v>
      </c>
      <c r="N1294" s="15">
        <f t="shared" si="450"/>
        <v>1.75</v>
      </c>
      <c r="O1294" s="15" t="str">
        <f t="shared" si="451"/>
        <v>A20</v>
      </c>
      <c r="P1294" s="15" t="str">
        <f t="shared" si="452"/>
        <v>Morbius Inc.</v>
      </c>
      <c r="Q1294" s="15" t="str">
        <f t="shared" si="453"/>
        <v>56 Michael Spice Hwy</v>
      </c>
      <c r="R1294" s="3">
        <f>OrdersTable!C1294</f>
        <v>44653</v>
      </c>
      <c r="S1294" s="15">
        <f>OrdersTable!E1294</f>
        <v>3</v>
      </c>
      <c r="T1294" s="15">
        <f t="shared" si="454"/>
        <v>34.99</v>
      </c>
      <c r="U1294" s="15">
        <f t="shared" si="455"/>
        <v>47.88</v>
      </c>
      <c r="V1294" s="15">
        <f t="shared" si="456"/>
        <v>56.68</v>
      </c>
      <c r="W1294" s="15">
        <f>IF(MarkupType="Store Markup",ROUND(V1294+V1294*StoreMarkup,2),IF(MarkupType="Supplier Markup",V1294+V1294*SupplierMarkup,"Error at finding value"))</f>
        <v>89.27</v>
      </c>
      <c r="X1294" s="32" t="str">
        <f t="shared" si="458"/>
        <v>0.00</v>
      </c>
      <c r="Y1294" s="15">
        <f t="shared" si="459"/>
        <v>170.04</v>
      </c>
      <c r="Z1294" s="15">
        <f t="shared" si="460"/>
        <v>267.81</v>
      </c>
      <c r="AA1294" s="15">
        <f>IF(FreightType="Lethbridge-Stewart Freight ",ROUND(2.99+IF(N1294&gt;0.75,(N1294-0.75)*2.25,0)*S1294,2),IF(MarkupType="Supplier Markup",V1294+V1294*SupplierMarkup,"Error at finding value"))</f>
        <v>9.74</v>
      </c>
      <c r="AB1294" s="15">
        <f t="shared" si="461"/>
        <v>0</v>
      </c>
    </row>
    <row r="1295" spans="1:28" x14ac:dyDescent="0.25">
      <c r="A1295" s="16">
        <f>OrdersTable!A1295</f>
        <v>491</v>
      </c>
      <c r="B1295" s="15" t="str">
        <f t="shared" si="441"/>
        <v>Miss</v>
      </c>
      <c r="C1295" s="15" t="str">
        <f t="shared" si="462"/>
        <v>Winks</v>
      </c>
      <c r="D1295" s="15" t="str">
        <f t="shared" si="442"/>
        <v>Lori-Ann</v>
      </c>
      <c r="E1295" s="15" t="str">
        <f t="shared" si="443"/>
        <v>40 Lyne Street</v>
      </c>
      <c r="F1295" s="15" t="str">
        <f t="shared" si="444"/>
        <v>Bray Park</v>
      </c>
      <c r="G1295" s="15" t="str">
        <f t="shared" si="445"/>
        <v>QLD</v>
      </c>
      <c r="H1295" s="15">
        <f t="shared" si="446"/>
        <v>4500</v>
      </c>
      <c r="I1295" s="15">
        <f t="shared" si="457"/>
        <v>139</v>
      </c>
      <c r="J1295" s="15">
        <f>OrdersTable!B1295</f>
        <v>840</v>
      </c>
      <c r="K1295" s="15" t="str">
        <f t="shared" si="447"/>
        <v>Statues and Busts</v>
      </c>
      <c r="L1295" s="15" t="str">
        <f t="shared" si="448"/>
        <v>Doctor Who: Signature Edition Statue: Gallifrey Edition: Patrick Troughton</v>
      </c>
      <c r="M1295" s="15" t="str">
        <f t="shared" si="449"/>
        <v>-</v>
      </c>
      <c r="N1295" s="15">
        <f t="shared" si="450"/>
        <v>2.5</v>
      </c>
      <c r="O1295" s="15" t="str">
        <f t="shared" si="451"/>
        <v>A40</v>
      </c>
      <c r="P1295" s="15" t="str">
        <f t="shared" si="452"/>
        <v>Romana Imports</v>
      </c>
      <c r="Q1295" s="15" t="str">
        <f t="shared" si="453"/>
        <v>17 Lalla Ward Road</v>
      </c>
      <c r="R1295" s="3">
        <f>OrdersTable!C1295</f>
        <v>44653</v>
      </c>
      <c r="S1295" s="15">
        <f>OrdersTable!E1295</f>
        <v>10</v>
      </c>
      <c r="T1295" s="15">
        <f t="shared" si="454"/>
        <v>49.99</v>
      </c>
      <c r="U1295" s="15">
        <f t="shared" si="455"/>
        <v>68.510000000000005</v>
      </c>
      <c r="V1295" s="15">
        <f t="shared" si="456"/>
        <v>80.98</v>
      </c>
      <c r="W1295" s="15">
        <f>IF(MarkupType="Store Markup",ROUND(V1295+V1295*StoreMarkup,2),IF(MarkupType="Supplier Markup",V1295+V1295*SupplierMarkup,"Error at finding value"))</f>
        <v>127.54</v>
      </c>
      <c r="X1295" s="32">
        <f t="shared" si="458"/>
        <v>9.09</v>
      </c>
      <c r="Y1295" s="15">
        <f t="shared" si="459"/>
        <v>809.8</v>
      </c>
      <c r="Z1295" s="15">
        <f t="shared" si="460"/>
        <v>1184.5</v>
      </c>
      <c r="AA1295" s="15">
        <f>IF(FreightType="Lethbridge-Stewart Freight ",ROUND(2.99+IF(N1295&gt;0.75,(N1295-0.75)*2.25,0)*S1295,2),IF(MarkupType="Supplier Markup",V1295+V1295*SupplierMarkup,"Error at finding value"))</f>
        <v>42.37</v>
      </c>
      <c r="AB1295" s="15">
        <f t="shared" si="461"/>
        <v>90.9</v>
      </c>
    </row>
    <row r="1296" spans="1:28" x14ac:dyDescent="0.25">
      <c r="A1296" s="16">
        <f>OrdersTable!A1296</f>
        <v>540</v>
      </c>
      <c r="B1296" s="15" t="str">
        <f t="shared" si="441"/>
        <v>Dr</v>
      </c>
      <c r="C1296" s="15" t="str">
        <f t="shared" si="462"/>
        <v>Hackett</v>
      </c>
      <c r="D1296" s="15" t="str">
        <f t="shared" si="442"/>
        <v>Patrick</v>
      </c>
      <c r="E1296" s="15" t="str">
        <f t="shared" si="443"/>
        <v>25 Sweet Drive</v>
      </c>
      <c r="F1296" s="15" t="str">
        <f t="shared" si="444"/>
        <v>Bridgewater</v>
      </c>
      <c r="G1296" s="15" t="str">
        <f t="shared" si="445"/>
        <v>VIC</v>
      </c>
      <c r="H1296" s="15">
        <f t="shared" si="446"/>
        <v>3516</v>
      </c>
      <c r="I1296" s="15">
        <f t="shared" si="457"/>
        <v>1486</v>
      </c>
      <c r="J1296" s="15">
        <f>OrdersTable!B1296</f>
        <v>590</v>
      </c>
      <c r="K1296" s="15" t="str">
        <f t="shared" si="447"/>
        <v>iPhone Skins</v>
      </c>
      <c r="L1296" s="15" t="str">
        <f t="shared" si="448"/>
        <v>Doctor Who: iPhone Skin: Exploding TARDIS</v>
      </c>
      <c r="M1296" s="15" t="str">
        <f t="shared" si="449"/>
        <v>-</v>
      </c>
      <c r="N1296" s="15">
        <f t="shared" si="450"/>
        <v>0.5</v>
      </c>
      <c r="O1296" s="15" t="str">
        <f t="shared" si="451"/>
        <v>A20</v>
      </c>
      <c r="P1296" s="15" t="str">
        <f t="shared" si="452"/>
        <v>Morbius Inc.</v>
      </c>
      <c r="Q1296" s="15" t="str">
        <f t="shared" si="453"/>
        <v>56 Michael Spice Hwy</v>
      </c>
      <c r="R1296" s="3">
        <f>OrdersTable!C1296</f>
        <v>44653</v>
      </c>
      <c r="S1296" s="15">
        <f>OrdersTable!E1296</f>
        <v>9</v>
      </c>
      <c r="T1296" s="15">
        <f t="shared" si="454"/>
        <v>9.99</v>
      </c>
      <c r="U1296" s="15">
        <f t="shared" si="455"/>
        <v>13.86</v>
      </c>
      <c r="V1296" s="15">
        <f t="shared" si="456"/>
        <v>16.18</v>
      </c>
      <c r="W1296" s="15">
        <f>IF(MarkupType="Store Markup",ROUND(V1296+V1296*StoreMarkup,2),IF(MarkupType="Supplier Markup",V1296+V1296*SupplierMarkup,"Error at finding value"))</f>
        <v>25.48</v>
      </c>
      <c r="X1296" s="32" t="str">
        <f t="shared" si="458"/>
        <v>0.00</v>
      </c>
      <c r="Y1296" s="15">
        <f t="shared" si="459"/>
        <v>145.62</v>
      </c>
      <c r="Z1296" s="15">
        <f t="shared" si="460"/>
        <v>229.32</v>
      </c>
      <c r="AA1296" s="15">
        <f>IF(FreightType="Lethbridge-Stewart Freight ",ROUND(2.99+IF(N1296&gt;0.75,(N1296-0.75)*2.25,0)*S1296,2),IF(MarkupType="Supplier Markup",V1296+V1296*SupplierMarkup,"Error at finding value"))</f>
        <v>2.99</v>
      </c>
      <c r="AB1296" s="15">
        <f t="shared" si="461"/>
        <v>0</v>
      </c>
    </row>
    <row r="1297" spans="1:28" x14ac:dyDescent="0.25">
      <c r="A1297" s="16">
        <f>OrdersTable!A1297</f>
        <v>544</v>
      </c>
      <c r="B1297" s="15" t="str">
        <f t="shared" si="441"/>
        <v>Mr</v>
      </c>
      <c r="C1297" s="15" t="str">
        <f t="shared" si="462"/>
        <v>Sullivan</v>
      </c>
      <c r="D1297" s="15" t="str">
        <f t="shared" si="442"/>
        <v>Lawrence Bernard</v>
      </c>
      <c r="E1297" s="15" t="str">
        <f t="shared" si="443"/>
        <v>11 Haydon Boulevard</v>
      </c>
      <c r="F1297" s="15" t="str">
        <f t="shared" si="444"/>
        <v>Breakwater</v>
      </c>
      <c r="G1297" s="15" t="str">
        <f t="shared" si="445"/>
        <v>VIC</v>
      </c>
      <c r="H1297" s="15">
        <f t="shared" si="446"/>
        <v>3219</v>
      </c>
      <c r="I1297" s="15">
        <f t="shared" si="457"/>
        <v>1596</v>
      </c>
      <c r="J1297" s="15">
        <f>OrdersTable!B1297</f>
        <v>330</v>
      </c>
      <c r="K1297" s="15" t="str">
        <f t="shared" si="447"/>
        <v>Clothing and Apparel</v>
      </c>
      <c r="L1297" s="15" t="str">
        <f t="shared" si="448"/>
        <v xml:space="preserve">Doctor Who: T-Shirts: 4th Doctor Costume </v>
      </c>
      <c r="M1297" s="15" t="str">
        <f t="shared" si="449"/>
        <v>M</v>
      </c>
      <c r="N1297" s="15">
        <f t="shared" si="450"/>
        <v>0.8</v>
      </c>
      <c r="O1297" s="15" t="str">
        <f t="shared" si="451"/>
        <v>A20</v>
      </c>
      <c r="P1297" s="15" t="str">
        <f t="shared" si="452"/>
        <v>Morbius Inc.</v>
      </c>
      <c r="Q1297" s="15" t="str">
        <f t="shared" si="453"/>
        <v>56 Michael Spice Hwy</v>
      </c>
      <c r="R1297" s="3">
        <f>OrdersTable!C1297</f>
        <v>44653</v>
      </c>
      <c r="S1297" s="15">
        <f>OrdersTable!E1297</f>
        <v>7</v>
      </c>
      <c r="T1297" s="15">
        <f t="shared" si="454"/>
        <v>15.99</v>
      </c>
      <c r="U1297" s="15">
        <f t="shared" si="455"/>
        <v>22.03</v>
      </c>
      <c r="V1297" s="15">
        <f t="shared" si="456"/>
        <v>25.9</v>
      </c>
      <c r="W1297" s="15">
        <f>IF(MarkupType="Store Markup",ROUND(V1297+V1297*StoreMarkup,2),IF(MarkupType="Supplier Markup",V1297+V1297*SupplierMarkup,"Error at finding value"))</f>
        <v>40.79</v>
      </c>
      <c r="X1297" s="32" t="str">
        <f t="shared" si="458"/>
        <v>0.00</v>
      </c>
      <c r="Y1297" s="15">
        <f t="shared" si="459"/>
        <v>181.3</v>
      </c>
      <c r="Z1297" s="15">
        <f t="shared" si="460"/>
        <v>285.52999999999997</v>
      </c>
      <c r="AA1297" s="15">
        <f>IF(FreightType="Lethbridge-Stewart Freight ",ROUND(2.99+IF(N1297&gt;0.75,(N1297-0.75)*2.25,0)*S1297,2),IF(MarkupType="Supplier Markup",V1297+V1297*SupplierMarkup,"Error at finding value"))</f>
        <v>3.78</v>
      </c>
      <c r="AB1297" s="15">
        <f t="shared" si="461"/>
        <v>0</v>
      </c>
    </row>
    <row r="1298" spans="1:28" x14ac:dyDescent="0.25">
      <c r="A1298" s="16">
        <f>OrdersTable!A1298</f>
        <v>568</v>
      </c>
      <c r="B1298" s="15" t="str">
        <f t="shared" si="441"/>
        <v>Mr</v>
      </c>
      <c r="C1298" s="15" t="str">
        <f t="shared" si="462"/>
        <v>Byrne</v>
      </c>
      <c r="D1298" s="15" t="str">
        <f t="shared" si="442"/>
        <v>Gregory James</v>
      </c>
      <c r="E1298" s="15" t="str">
        <f t="shared" si="443"/>
        <v>18 Doroshenko Crescent</v>
      </c>
      <c r="F1298" s="15" t="str">
        <f t="shared" si="444"/>
        <v>Abington</v>
      </c>
      <c r="G1298" s="15" t="str">
        <f t="shared" si="445"/>
        <v>QLD</v>
      </c>
      <c r="H1298" s="15">
        <f t="shared" si="446"/>
        <v>4660</v>
      </c>
      <c r="I1298" s="15">
        <f t="shared" si="457"/>
        <v>336</v>
      </c>
      <c r="J1298" s="15">
        <f>OrdersTable!B1298</f>
        <v>805</v>
      </c>
      <c r="K1298" s="15" t="str">
        <f t="shared" si="447"/>
        <v>Statues and Busts</v>
      </c>
      <c r="L1298" s="15" t="str">
        <f t="shared" si="448"/>
        <v>Doctor Who: Masterpiece Collection Maxi Bust: 5th Doctor</v>
      </c>
      <c r="M1298" s="15" t="str">
        <f t="shared" si="449"/>
        <v>-</v>
      </c>
      <c r="N1298" s="15">
        <f t="shared" si="450"/>
        <v>2.5</v>
      </c>
      <c r="O1298" s="15" t="str">
        <f t="shared" si="451"/>
        <v>A20</v>
      </c>
      <c r="P1298" s="15" t="str">
        <f t="shared" si="452"/>
        <v>Morbius Inc.</v>
      </c>
      <c r="Q1298" s="15" t="str">
        <f t="shared" si="453"/>
        <v>56 Michael Spice Hwy</v>
      </c>
      <c r="R1298" s="3">
        <f>OrdersTable!C1298</f>
        <v>44653</v>
      </c>
      <c r="S1298" s="15">
        <f>OrdersTable!E1298</f>
        <v>7</v>
      </c>
      <c r="T1298" s="15">
        <f t="shared" si="454"/>
        <v>49.99</v>
      </c>
      <c r="U1298" s="15">
        <f t="shared" si="455"/>
        <v>68.42</v>
      </c>
      <c r="V1298" s="15">
        <f t="shared" si="456"/>
        <v>80.98</v>
      </c>
      <c r="W1298" s="15">
        <f>IF(MarkupType="Store Markup",ROUND(V1298+V1298*StoreMarkup,2),IF(MarkupType="Supplier Markup",V1298+V1298*SupplierMarkup,"Error at finding value"))</f>
        <v>127.54</v>
      </c>
      <c r="X1298" s="32">
        <f t="shared" si="458"/>
        <v>9.09</v>
      </c>
      <c r="Y1298" s="15">
        <f t="shared" si="459"/>
        <v>566.86</v>
      </c>
      <c r="Z1298" s="15">
        <f t="shared" si="460"/>
        <v>829.15</v>
      </c>
      <c r="AA1298" s="15">
        <f>IF(FreightType="Lethbridge-Stewart Freight ",ROUND(2.99+IF(N1298&gt;0.75,(N1298-0.75)*2.25,0)*S1298,2),IF(MarkupType="Supplier Markup",V1298+V1298*SupplierMarkup,"Error at finding value"))</f>
        <v>30.55</v>
      </c>
      <c r="AB1298" s="15">
        <f t="shared" si="461"/>
        <v>63.63</v>
      </c>
    </row>
    <row r="1299" spans="1:28" x14ac:dyDescent="0.25">
      <c r="A1299" s="16">
        <f>OrdersTable!A1299</f>
        <v>573</v>
      </c>
      <c r="B1299" s="15" t="str">
        <f t="shared" si="441"/>
        <v>Mrs</v>
      </c>
      <c r="C1299" s="15" t="str">
        <f t="shared" si="462"/>
        <v>Hollonds</v>
      </c>
      <c r="D1299" s="15" t="str">
        <f t="shared" si="442"/>
        <v>Suzan</v>
      </c>
      <c r="E1299" s="15" t="str">
        <f t="shared" si="443"/>
        <v>49 Patel Way</v>
      </c>
      <c r="F1299" s="15" t="str">
        <f t="shared" si="444"/>
        <v>Belconnen</v>
      </c>
      <c r="G1299" s="15" t="str">
        <f t="shared" si="445"/>
        <v>ACT</v>
      </c>
      <c r="H1299" s="15">
        <f t="shared" si="446"/>
        <v>2617</v>
      </c>
      <c r="I1299" s="15">
        <f t="shared" si="457"/>
        <v>1194</v>
      </c>
      <c r="J1299" s="15">
        <f>OrdersTable!B1299</f>
        <v>583</v>
      </c>
      <c r="K1299" s="15" t="str">
        <f t="shared" si="447"/>
        <v>iPhone Skins</v>
      </c>
      <c r="L1299" s="15" t="str">
        <f t="shared" si="448"/>
        <v>Doctor Who: iPhone Skin: Cyberman Delete</v>
      </c>
      <c r="M1299" s="15" t="str">
        <f t="shared" si="449"/>
        <v>-</v>
      </c>
      <c r="N1299" s="15">
        <f t="shared" si="450"/>
        <v>0.3</v>
      </c>
      <c r="O1299" s="15" t="str">
        <f t="shared" si="451"/>
        <v>A50</v>
      </c>
      <c r="P1299" s="15" t="str">
        <f t="shared" si="452"/>
        <v>Rassilon Ltd.</v>
      </c>
      <c r="Q1299" s="15" t="str">
        <f t="shared" si="453"/>
        <v>82 Richard Mathews Road</v>
      </c>
      <c r="R1299" s="3">
        <f>OrdersTable!C1299</f>
        <v>44653</v>
      </c>
      <c r="S1299" s="15">
        <f>OrdersTable!E1299</f>
        <v>5</v>
      </c>
      <c r="T1299" s="15">
        <f t="shared" si="454"/>
        <v>5.99</v>
      </c>
      <c r="U1299" s="15">
        <f t="shared" si="455"/>
        <v>8.23</v>
      </c>
      <c r="V1299" s="15">
        <f t="shared" si="456"/>
        <v>9.6999999999999993</v>
      </c>
      <c r="W1299" s="15">
        <f>IF(MarkupType="Store Markup",ROUND(V1299+V1299*StoreMarkup,2),IF(MarkupType="Supplier Markup",V1299+V1299*SupplierMarkup,"Error at finding value"))</f>
        <v>15.28</v>
      </c>
      <c r="X1299" s="32" t="str">
        <f t="shared" si="458"/>
        <v>0.00</v>
      </c>
      <c r="Y1299" s="15">
        <f t="shared" si="459"/>
        <v>48.5</v>
      </c>
      <c r="Z1299" s="15">
        <f t="shared" si="460"/>
        <v>76.400000000000006</v>
      </c>
      <c r="AA1299" s="15">
        <f>IF(FreightType="Lethbridge-Stewart Freight ",ROUND(2.99+IF(N1299&gt;0.75,(N1299-0.75)*2.25,0)*S1299,2),IF(MarkupType="Supplier Markup",V1299+V1299*SupplierMarkup,"Error at finding value"))</f>
        <v>2.99</v>
      </c>
      <c r="AB1299" s="15">
        <f t="shared" si="461"/>
        <v>0</v>
      </c>
    </row>
    <row r="1300" spans="1:28" x14ac:dyDescent="0.25">
      <c r="A1300" s="16">
        <f>OrdersTable!A1300</f>
        <v>611</v>
      </c>
      <c r="B1300" s="15" t="str">
        <f t="shared" si="441"/>
        <v>Mr</v>
      </c>
      <c r="C1300" s="15" t="str">
        <f t="shared" si="462"/>
        <v>Wittman</v>
      </c>
      <c r="D1300" s="15" t="str">
        <f t="shared" si="442"/>
        <v>Nicholas Jackson</v>
      </c>
      <c r="E1300" s="15" t="str">
        <f t="shared" si="443"/>
        <v>48 Sheppard-Kadel Way</v>
      </c>
      <c r="F1300" s="15" t="str">
        <f t="shared" si="444"/>
        <v>Nayook</v>
      </c>
      <c r="G1300" s="15" t="str">
        <f t="shared" si="445"/>
        <v>VIC</v>
      </c>
      <c r="H1300" s="15">
        <f t="shared" si="446"/>
        <v>3832</v>
      </c>
      <c r="I1300" s="15">
        <f t="shared" si="457"/>
        <v>1552</v>
      </c>
      <c r="J1300" s="15">
        <f>OrdersTable!B1300</f>
        <v>710</v>
      </c>
      <c r="K1300" s="15" t="str">
        <f t="shared" si="447"/>
        <v>Posters, Prints and Standees</v>
      </c>
      <c r="L1300" s="15" t="str">
        <f t="shared" si="448"/>
        <v>Doctor Who: Poster: Regenerate</v>
      </c>
      <c r="M1300" s="15" t="str">
        <f t="shared" si="449"/>
        <v>-</v>
      </c>
      <c r="N1300" s="15">
        <f t="shared" si="450"/>
        <v>0.2</v>
      </c>
      <c r="O1300" s="15" t="str">
        <f t="shared" si="451"/>
        <v>A40</v>
      </c>
      <c r="P1300" s="15" t="str">
        <f t="shared" si="452"/>
        <v>Romana Imports</v>
      </c>
      <c r="Q1300" s="15" t="str">
        <f t="shared" si="453"/>
        <v>17 Lalla Ward Road</v>
      </c>
      <c r="R1300" s="3">
        <f>OrdersTable!C1300</f>
        <v>44653</v>
      </c>
      <c r="S1300" s="15">
        <f>OrdersTable!E1300</f>
        <v>8</v>
      </c>
      <c r="T1300" s="15">
        <f t="shared" si="454"/>
        <v>3.99</v>
      </c>
      <c r="U1300" s="15">
        <f t="shared" si="455"/>
        <v>5.5</v>
      </c>
      <c r="V1300" s="15">
        <f t="shared" si="456"/>
        <v>6.46</v>
      </c>
      <c r="W1300" s="15">
        <f>IF(MarkupType="Store Markup",ROUND(V1300+V1300*StoreMarkup,2),IF(MarkupType="Supplier Markup",V1300+V1300*SupplierMarkup,"Error at finding value"))</f>
        <v>10.17</v>
      </c>
      <c r="X1300" s="32" t="str">
        <f t="shared" si="458"/>
        <v>0.00</v>
      </c>
      <c r="Y1300" s="15">
        <f t="shared" si="459"/>
        <v>51.68</v>
      </c>
      <c r="Z1300" s="15">
        <f t="shared" si="460"/>
        <v>81.36</v>
      </c>
      <c r="AA1300" s="15">
        <f>IF(FreightType="Lethbridge-Stewart Freight ",ROUND(2.99+IF(N1300&gt;0.75,(N1300-0.75)*2.25,0)*S1300,2),IF(MarkupType="Supplier Markup",V1300+V1300*SupplierMarkup,"Error at finding value"))</f>
        <v>2.99</v>
      </c>
      <c r="AB1300" s="15">
        <f t="shared" si="461"/>
        <v>0</v>
      </c>
    </row>
    <row r="1301" spans="1:28" x14ac:dyDescent="0.25">
      <c r="A1301" s="16">
        <f>OrdersTable!A1301</f>
        <v>659</v>
      </c>
      <c r="B1301" s="15" t="str">
        <f t="shared" si="441"/>
        <v>Mr</v>
      </c>
      <c r="C1301" s="15" t="str">
        <f t="shared" si="462"/>
        <v>Douglas</v>
      </c>
      <c r="D1301" s="15" t="str">
        <f t="shared" si="442"/>
        <v>Jason Richard</v>
      </c>
      <c r="E1301" s="15" t="str">
        <f t="shared" si="443"/>
        <v>14 Young Crescent</v>
      </c>
      <c r="F1301" s="15" t="str">
        <f t="shared" si="444"/>
        <v>Caliph</v>
      </c>
      <c r="G1301" s="15" t="str">
        <f t="shared" si="445"/>
        <v>SA</v>
      </c>
      <c r="H1301" s="15">
        <f t="shared" si="446"/>
        <v>5310</v>
      </c>
      <c r="I1301" s="15">
        <f t="shared" si="457"/>
        <v>1720</v>
      </c>
      <c r="J1301" s="15">
        <f>OrdersTable!B1301</f>
        <v>436</v>
      </c>
      <c r="K1301" s="15" t="str">
        <f t="shared" si="447"/>
        <v>Giftware</v>
      </c>
      <c r="L1301" s="15" t="str">
        <f t="shared" si="448"/>
        <v>Doctor Who: Adult Watch: TARDIS</v>
      </c>
      <c r="M1301" s="15" t="str">
        <f t="shared" si="449"/>
        <v>-</v>
      </c>
      <c r="N1301" s="15">
        <f t="shared" si="450"/>
        <v>1.5</v>
      </c>
      <c r="O1301" s="15" t="str">
        <f t="shared" si="451"/>
        <v>A20</v>
      </c>
      <c r="P1301" s="15" t="str">
        <f t="shared" si="452"/>
        <v>Morbius Inc.</v>
      </c>
      <c r="Q1301" s="15" t="str">
        <f t="shared" si="453"/>
        <v>56 Michael Spice Hwy</v>
      </c>
      <c r="R1301" s="3">
        <f>OrdersTable!C1301</f>
        <v>44653</v>
      </c>
      <c r="S1301" s="15">
        <f>OrdersTable!E1301</f>
        <v>7</v>
      </c>
      <c r="T1301" s="15">
        <f t="shared" si="454"/>
        <v>29.99</v>
      </c>
      <c r="U1301" s="15">
        <f t="shared" si="455"/>
        <v>40.96</v>
      </c>
      <c r="V1301" s="15">
        <f t="shared" si="456"/>
        <v>48.58</v>
      </c>
      <c r="W1301" s="15">
        <f>IF(MarkupType="Store Markup",ROUND(V1301+V1301*StoreMarkup,2),IF(MarkupType="Supplier Markup",V1301+V1301*SupplierMarkup,"Error at finding value"))</f>
        <v>76.510000000000005</v>
      </c>
      <c r="X1301" s="32" t="str">
        <f t="shared" si="458"/>
        <v>0.00</v>
      </c>
      <c r="Y1301" s="15">
        <f t="shared" si="459"/>
        <v>340.06</v>
      </c>
      <c r="Z1301" s="15">
        <f t="shared" si="460"/>
        <v>535.57000000000005</v>
      </c>
      <c r="AA1301" s="15">
        <f>IF(FreightType="Lethbridge-Stewart Freight ",ROUND(2.99+IF(N1301&gt;0.75,(N1301-0.75)*2.25,0)*S1301,2),IF(MarkupType="Supplier Markup",V1301+V1301*SupplierMarkup,"Error at finding value"))</f>
        <v>14.8</v>
      </c>
      <c r="AB1301" s="15">
        <f t="shared" si="461"/>
        <v>0</v>
      </c>
    </row>
    <row r="1302" spans="1:28" x14ac:dyDescent="0.25">
      <c r="A1302" s="16">
        <f>OrdersTable!A1302</f>
        <v>730</v>
      </c>
      <c r="B1302" s="15" t="str">
        <f t="shared" si="441"/>
        <v>Mr</v>
      </c>
      <c r="C1302" s="15" t="str">
        <f t="shared" si="462"/>
        <v>Romer</v>
      </c>
      <c r="D1302" s="15" t="str">
        <f t="shared" si="442"/>
        <v>Leo Alexander</v>
      </c>
      <c r="E1302" s="15" t="str">
        <f t="shared" si="443"/>
        <v>47 Bennett Circuit</v>
      </c>
      <c r="F1302" s="15" t="str">
        <f t="shared" si="444"/>
        <v>Caliph</v>
      </c>
      <c r="G1302" s="15" t="str">
        <f t="shared" si="445"/>
        <v>SA</v>
      </c>
      <c r="H1302" s="15">
        <f t="shared" si="446"/>
        <v>5310</v>
      </c>
      <c r="I1302" s="15">
        <f t="shared" si="457"/>
        <v>1720</v>
      </c>
      <c r="J1302" s="15">
        <f>OrdersTable!B1302</f>
        <v>585</v>
      </c>
      <c r="K1302" s="15" t="str">
        <f t="shared" si="447"/>
        <v>iPhone Skins</v>
      </c>
      <c r="L1302" s="15" t="str">
        <f t="shared" si="448"/>
        <v>Doctor Who: iPhone Skin: Dalek To Victory</v>
      </c>
      <c r="M1302" s="15" t="str">
        <f t="shared" si="449"/>
        <v>-</v>
      </c>
      <c r="N1302" s="15">
        <f t="shared" si="450"/>
        <v>0.5</v>
      </c>
      <c r="O1302" s="15" t="str">
        <f t="shared" si="451"/>
        <v>A10</v>
      </c>
      <c r="P1302" s="15" t="str">
        <f t="shared" si="452"/>
        <v>Gallifrey International</v>
      </c>
      <c r="Q1302" s="15" t="str">
        <f t="shared" si="453"/>
        <v>181 Arcadia Street</v>
      </c>
      <c r="R1302" s="3">
        <f>OrdersTable!C1302</f>
        <v>44653</v>
      </c>
      <c r="S1302" s="15">
        <f>OrdersTable!E1302</f>
        <v>3</v>
      </c>
      <c r="T1302" s="15">
        <f t="shared" si="454"/>
        <v>9.99</v>
      </c>
      <c r="U1302" s="15">
        <f t="shared" si="455"/>
        <v>13.7</v>
      </c>
      <c r="V1302" s="15">
        <f t="shared" si="456"/>
        <v>16.18</v>
      </c>
      <c r="W1302" s="15">
        <f>IF(MarkupType="Store Markup",ROUND(V1302+V1302*StoreMarkup,2),IF(MarkupType="Supplier Markup",V1302+V1302*SupplierMarkup,"Error at finding value"))</f>
        <v>25.48</v>
      </c>
      <c r="X1302" s="32" t="str">
        <f t="shared" si="458"/>
        <v>0.00</v>
      </c>
      <c r="Y1302" s="15">
        <f t="shared" si="459"/>
        <v>48.54</v>
      </c>
      <c r="Z1302" s="15">
        <f t="shared" si="460"/>
        <v>76.44</v>
      </c>
      <c r="AA1302" s="15">
        <f>IF(FreightType="Lethbridge-Stewart Freight ",ROUND(2.99+IF(N1302&gt;0.75,(N1302-0.75)*2.25,0)*S1302,2),IF(MarkupType="Supplier Markup",V1302+V1302*SupplierMarkup,"Error at finding value"))</f>
        <v>2.99</v>
      </c>
      <c r="AB1302" s="15">
        <f t="shared" si="461"/>
        <v>0</v>
      </c>
    </row>
    <row r="1303" spans="1:28" x14ac:dyDescent="0.25">
      <c r="A1303" s="16">
        <f>OrdersTable!A1303</f>
        <v>750</v>
      </c>
      <c r="B1303" s="15" t="str">
        <f t="shared" si="441"/>
        <v>Ms</v>
      </c>
      <c r="C1303" s="15" t="str">
        <f t="shared" si="462"/>
        <v>Talbot</v>
      </c>
      <c r="D1303" s="15" t="str">
        <f t="shared" si="442"/>
        <v>Carlie Wenderly</v>
      </c>
      <c r="E1303" s="15" t="str">
        <f t="shared" si="443"/>
        <v>31 Somerville Way</v>
      </c>
      <c r="F1303" s="15" t="str">
        <f t="shared" si="444"/>
        <v>Boston</v>
      </c>
      <c r="G1303" s="15" t="str">
        <f t="shared" si="445"/>
        <v>SA</v>
      </c>
      <c r="H1303" s="15">
        <f t="shared" si="446"/>
        <v>5607</v>
      </c>
      <c r="I1303" s="15">
        <f t="shared" si="457"/>
        <v>2076</v>
      </c>
      <c r="J1303" s="15">
        <f>OrdersTable!B1303</f>
        <v>652</v>
      </c>
      <c r="K1303" s="15" t="str">
        <f t="shared" si="447"/>
        <v>Mugs</v>
      </c>
      <c r="L1303" s="15" t="str">
        <f t="shared" si="448"/>
        <v>Doctor Who: Mug: Dalek 2D</v>
      </c>
      <c r="M1303" s="15" t="str">
        <f t="shared" si="449"/>
        <v>-</v>
      </c>
      <c r="N1303" s="15">
        <f t="shared" si="450"/>
        <v>0.35</v>
      </c>
      <c r="O1303" s="15" t="str">
        <f t="shared" si="451"/>
        <v>A10</v>
      </c>
      <c r="P1303" s="15" t="str">
        <f t="shared" si="452"/>
        <v>Gallifrey International</v>
      </c>
      <c r="Q1303" s="15" t="str">
        <f t="shared" si="453"/>
        <v>181 Arcadia Street</v>
      </c>
      <c r="R1303" s="3">
        <f>OrdersTable!C1303</f>
        <v>44653</v>
      </c>
      <c r="S1303" s="15">
        <f>OrdersTable!E1303</f>
        <v>9</v>
      </c>
      <c r="T1303" s="15">
        <f t="shared" si="454"/>
        <v>6.99</v>
      </c>
      <c r="U1303" s="15">
        <f t="shared" si="455"/>
        <v>9.8800000000000008</v>
      </c>
      <c r="V1303" s="15">
        <f t="shared" si="456"/>
        <v>11.32</v>
      </c>
      <c r="W1303" s="15">
        <f>IF(MarkupType="Store Markup",ROUND(V1303+V1303*StoreMarkup,2),IF(MarkupType="Supplier Markup",V1303+V1303*SupplierMarkup,"Error at finding value"))</f>
        <v>17.829999999999998</v>
      </c>
      <c r="X1303" s="32" t="str">
        <f t="shared" si="458"/>
        <v>0.00</v>
      </c>
      <c r="Y1303" s="15">
        <f t="shared" si="459"/>
        <v>101.88</v>
      </c>
      <c r="Z1303" s="15">
        <f t="shared" si="460"/>
        <v>160.47</v>
      </c>
      <c r="AA1303" s="15">
        <f>IF(FreightType="Lethbridge-Stewart Freight ",ROUND(2.99+IF(N1303&gt;0.75,(N1303-0.75)*2.25,0)*S1303,2),IF(MarkupType="Supplier Markup",V1303+V1303*SupplierMarkup,"Error at finding value"))</f>
        <v>2.99</v>
      </c>
      <c r="AB1303" s="15">
        <f t="shared" si="461"/>
        <v>0</v>
      </c>
    </row>
    <row r="1304" spans="1:28" x14ac:dyDescent="0.25">
      <c r="A1304" s="16">
        <f>OrdersTable!A1304</f>
        <v>296</v>
      </c>
      <c r="B1304" s="15" t="str">
        <f t="shared" si="441"/>
        <v>Miss</v>
      </c>
      <c r="C1304" s="15" t="str">
        <f t="shared" si="462"/>
        <v>Kussrow</v>
      </c>
      <c r="D1304" s="15" t="str">
        <f t="shared" si="442"/>
        <v>Katherine Anne</v>
      </c>
      <c r="E1304" s="15" t="str">
        <f t="shared" si="443"/>
        <v>10 Downes Street</v>
      </c>
      <c r="F1304" s="15" t="str">
        <f t="shared" si="444"/>
        <v>Breakwater</v>
      </c>
      <c r="G1304" s="15" t="str">
        <f t="shared" si="445"/>
        <v>VIC</v>
      </c>
      <c r="H1304" s="15">
        <f t="shared" si="446"/>
        <v>3219</v>
      </c>
      <c r="I1304" s="15">
        <f t="shared" si="457"/>
        <v>1596</v>
      </c>
      <c r="J1304" s="15">
        <f>OrdersTable!B1304</f>
        <v>128</v>
      </c>
      <c r="K1304" s="15" t="str">
        <f t="shared" si="447"/>
        <v>Bobbleheads</v>
      </c>
      <c r="L1304" s="15" t="str">
        <f t="shared" si="448"/>
        <v>Doctor Who: Bobblehead: Davros</v>
      </c>
      <c r="M1304" s="15" t="str">
        <f t="shared" si="449"/>
        <v>-</v>
      </c>
      <c r="N1304" s="15">
        <f t="shared" si="450"/>
        <v>0.85</v>
      </c>
      <c r="O1304" s="15" t="str">
        <f t="shared" si="451"/>
        <v>A50</v>
      </c>
      <c r="P1304" s="15" t="str">
        <f t="shared" si="452"/>
        <v>Rassilon Ltd.</v>
      </c>
      <c r="Q1304" s="15" t="str">
        <f t="shared" si="453"/>
        <v>82 Richard Mathews Road</v>
      </c>
      <c r="R1304" s="3">
        <f>OrdersTable!C1304</f>
        <v>44654</v>
      </c>
      <c r="S1304" s="15">
        <f>OrdersTable!E1304</f>
        <v>7</v>
      </c>
      <c r="T1304" s="15">
        <f t="shared" si="454"/>
        <v>16.989999999999998</v>
      </c>
      <c r="U1304" s="15">
        <f t="shared" si="455"/>
        <v>23.27</v>
      </c>
      <c r="V1304" s="15">
        <f t="shared" si="456"/>
        <v>27.52</v>
      </c>
      <c r="W1304" s="15">
        <f>IF(MarkupType="Store Markup",ROUND(V1304+V1304*StoreMarkup,2),IF(MarkupType="Supplier Markup",V1304+V1304*SupplierMarkup,"Error at finding value"))</f>
        <v>43.34</v>
      </c>
      <c r="X1304" s="32" t="str">
        <f t="shared" si="458"/>
        <v>0.00</v>
      </c>
      <c r="Y1304" s="15">
        <f t="shared" si="459"/>
        <v>192.64</v>
      </c>
      <c r="Z1304" s="15">
        <f t="shared" si="460"/>
        <v>303.38</v>
      </c>
      <c r="AA1304" s="15">
        <f>IF(FreightType="Lethbridge-Stewart Freight ",ROUND(2.99+IF(N1304&gt;0.75,(N1304-0.75)*2.25,0)*S1304,2),IF(MarkupType="Supplier Markup",V1304+V1304*SupplierMarkup,"Error at finding value"))</f>
        <v>4.57</v>
      </c>
      <c r="AB1304" s="15">
        <f t="shared" si="461"/>
        <v>0</v>
      </c>
    </row>
    <row r="1305" spans="1:28" x14ac:dyDescent="0.25">
      <c r="A1305" s="16">
        <f>OrdersTable!A1305</f>
        <v>296</v>
      </c>
      <c r="B1305" s="15" t="str">
        <f t="shared" si="441"/>
        <v>Miss</v>
      </c>
      <c r="C1305" s="15" t="str">
        <f t="shared" si="462"/>
        <v>Kussrow</v>
      </c>
      <c r="D1305" s="15" t="str">
        <f t="shared" si="442"/>
        <v>Katherine Anne</v>
      </c>
      <c r="E1305" s="15" t="str">
        <f t="shared" si="443"/>
        <v>10 Downes Street</v>
      </c>
      <c r="F1305" s="15" t="str">
        <f t="shared" si="444"/>
        <v>Breakwater</v>
      </c>
      <c r="G1305" s="15" t="str">
        <f t="shared" si="445"/>
        <v>VIC</v>
      </c>
      <c r="H1305" s="15">
        <f t="shared" si="446"/>
        <v>3219</v>
      </c>
      <c r="I1305" s="15">
        <f t="shared" si="457"/>
        <v>1596</v>
      </c>
      <c r="J1305" s="15">
        <f>OrdersTable!B1305</f>
        <v>418</v>
      </c>
      <c r="K1305" s="15" t="str">
        <f t="shared" si="447"/>
        <v>Clothing and Apparel</v>
      </c>
      <c r="L1305" s="15" t="str">
        <f t="shared" si="448"/>
        <v>Doctor Who: Women's Winter Pyjamas</v>
      </c>
      <c r="M1305" s="15" t="str">
        <f t="shared" si="449"/>
        <v>M</v>
      </c>
      <c r="N1305" s="15">
        <f t="shared" si="450"/>
        <v>1.5</v>
      </c>
      <c r="O1305" s="15" t="str">
        <f t="shared" si="451"/>
        <v>A30</v>
      </c>
      <c r="P1305" s="15" t="str">
        <f t="shared" si="452"/>
        <v>Chesterton Enterprises</v>
      </c>
      <c r="Q1305" s="15" t="str">
        <f t="shared" si="453"/>
        <v>41 William Russell Road</v>
      </c>
      <c r="R1305" s="3">
        <f>OrdersTable!C1305</f>
        <v>44654</v>
      </c>
      <c r="S1305" s="15">
        <f>OrdersTable!E1305</f>
        <v>7</v>
      </c>
      <c r="T1305" s="15">
        <f t="shared" si="454"/>
        <v>29.99</v>
      </c>
      <c r="U1305" s="15">
        <f t="shared" si="455"/>
        <v>40.96</v>
      </c>
      <c r="V1305" s="15">
        <f t="shared" si="456"/>
        <v>48.58</v>
      </c>
      <c r="W1305" s="15">
        <f>IF(MarkupType="Store Markup",ROUND(V1305+V1305*StoreMarkup,2),IF(MarkupType="Supplier Markup",V1305+V1305*SupplierMarkup,"Error at finding value"))</f>
        <v>76.510000000000005</v>
      </c>
      <c r="X1305" s="32" t="str">
        <f t="shared" si="458"/>
        <v>0.00</v>
      </c>
      <c r="Y1305" s="15">
        <f t="shared" si="459"/>
        <v>340.06</v>
      </c>
      <c r="Z1305" s="15">
        <f t="shared" si="460"/>
        <v>535.57000000000005</v>
      </c>
      <c r="AA1305" s="15">
        <f>IF(FreightType="Lethbridge-Stewart Freight ",ROUND(2.99+IF(N1305&gt;0.75,(N1305-0.75)*2.25,0)*S1305,2),IF(MarkupType="Supplier Markup",V1305+V1305*SupplierMarkup,"Error at finding value"))</f>
        <v>14.8</v>
      </c>
      <c r="AB1305" s="15">
        <f t="shared" si="461"/>
        <v>0</v>
      </c>
    </row>
    <row r="1306" spans="1:28" x14ac:dyDescent="0.25">
      <c r="A1306" s="16">
        <f>OrdersTable!A1306</f>
        <v>302</v>
      </c>
      <c r="B1306" s="15" t="str">
        <f t="shared" si="441"/>
        <v>Ms</v>
      </c>
      <c r="C1306" s="15" t="str">
        <f t="shared" si="462"/>
        <v>Lamshed</v>
      </c>
      <c r="D1306" s="15" t="str">
        <f t="shared" si="442"/>
        <v>Laura Clare</v>
      </c>
      <c r="E1306" s="15" t="str">
        <f t="shared" si="443"/>
        <v>22 Edser Drive</v>
      </c>
      <c r="F1306" s="15" t="str">
        <f t="shared" si="444"/>
        <v>Caliph</v>
      </c>
      <c r="G1306" s="15" t="str">
        <f t="shared" si="445"/>
        <v>SA</v>
      </c>
      <c r="H1306" s="15">
        <f t="shared" si="446"/>
        <v>5310</v>
      </c>
      <c r="I1306" s="15">
        <f t="shared" si="457"/>
        <v>1720</v>
      </c>
      <c r="J1306" s="15">
        <f>OrdersTable!B1306</f>
        <v>541</v>
      </c>
      <c r="K1306" s="15" t="str">
        <f t="shared" si="447"/>
        <v>Giftware</v>
      </c>
      <c r="L1306" s="15" t="str">
        <f t="shared" si="448"/>
        <v>Doctor Who: Salt and Pepper Shakers: TARDIS</v>
      </c>
      <c r="M1306" s="15" t="str">
        <f t="shared" si="449"/>
        <v>-</v>
      </c>
      <c r="N1306" s="15">
        <f t="shared" si="450"/>
        <v>0.6</v>
      </c>
      <c r="O1306" s="15" t="str">
        <f t="shared" si="451"/>
        <v>A10</v>
      </c>
      <c r="P1306" s="15" t="str">
        <f t="shared" si="452"/>
        <v>Gallifrey International</v>
      </c>
      <c r="Q1306" s="15" t="str">
        <f t="shared" si="453"/>
        <v>181 Arcadia Street</v>
      </c>
      <c r="R1306" s="3">
        <f>OrdersTable!C1306</f>
        <v>44654</v>
      </c>
      <c r="S1306" s="15">
        <f>OrdersTable!E1306</f>
        <v>1</v>
      </c>
      <c r="T1306" s="15">
        <f t="shared" si="454"/>
        <v>11.99</v>
      </c>
      <c r="U1306" s="15">
        <f t="shared" si="455"/>
        <v>16.62</v>
      </c>
      <c r="V1306" s="15">
        <f t="shared" si="456"/>
        <v>19.420000000000002</v>
      </c>
      <c r="W1306" s="15">
        <f>IF(MarkupType="Store Markup",ROUND(V1306+V1306*StoreMarkup,2),IF(MarkupType="Supplier Markup",V1306+V1306*SupplierMarkup,"Error at finding value"))</f>
        <v>30.59</v>
      </c>
      <c r="X1306" s="32" t="str">
        <f t="shared" si="458"/>
        <v>0.00</v>
      </c>
      <c r="Y1306" s="15">
        <f t="shared" si="459"/>
        <v>19.420000000000002</v>
      </c>
      <c r="Z1306" s="15">
        <f t="shared" si="460"/>
        <v>30.59</v>
      </c>
      <c r="AA1306" s="15">
        <f>IF(FreightType="Lethbridge-Stewart Freight ",ROUND(2.99+IF(N1306&gt;0.75,(N1306-0.75)*2.25,0)*S1306,2),IF(MarkupType="Supplier Markup",V1306+V1306*SupplierMarkup,"Error at finding value"))</f>
        <v>2.99</v>
      </c>
      <c r="AB1306" s="15">
        <f t="shared" si="461"/>
        <v>0</v>
      </c>
    </row>
    <row r="1307" spans="1:28" x14ac:dyDescent="0.25">
      <c r="A1307" s="16">
        <f>OrdersTable!A1307</f>
        <v>390</v>
      </c>
      <c r="B1307" s="15" t="str">
        <f t="shared" si="441"/>
        <v>Ms</v>
      </c>
      <c r="C1307" s="15" t="str">
        <f t="shared" si="462"/>
        <v>Queen</v>
      </c>
      <c r="D1307" s="15" t="str">
        <f t="shared" si="442"/>
        <v>Joanne</v>
      </c>
      <c r="E1307" s="15" t="str">
        <f t="shared" si="443"/>
        <v>30 Hall Drive</v>
      </c>
      <c r="F1307" s="15" t="str">
        <f t="shared" si="444"/>
        <v>Belconnen</v>
      </c>
      <c r="G1307" s="15" t="str">
        <f t="shared" si="445"/>
        <v>ACT</v>
      </c>
      <c r="H1307" s="15">
        <f t="shared" si="446"/>
        <v>2617</v>
      </c>
      <c r="I1307" s="15">
        <f t="shared" si="457"/>
        <v>1194</v>
      </c>
      <c r="J1307" s="15">
        <f>OrdersTable!B1307</f>
        <v>201</v>
      </c>
      <c r="K1307" s="15" t="str">
        <f t="shared" si="447"/>
        <v>Clothing and Apparel</v>
      </c>
      <c r="L1307" s="15" t="str">
        <f t="shared" si="448"/>
        <v>Doctor Who: Dalek Beanie</v>
      </c>
      <c r="M1307" s="15" t="str">
        <f t="shared" si="449"/>
        <v>-</v>
      </c>
      <c r="N1307" s="15">
        <f t="shared" si="450"/>
        <v>1.1399999999999999</v>
      </c>
      <c r="O1307" s="15" t="str">
        <f t="shared" si="451"/>
        <v>A50</v>
      </c>
      <c r="P1307" s="15" t="str">
        <f t="shared" si="452"/>
        <v>Rassilon Ltd.</v>
      </c>
      <c r="Q1307" s="15" t="str">
        <f t="shared" si="453"/>
        <v>82 Richard Mathews Road</v>
      </c>
      <c r="R1307" s="3">
        <f>OrdersTable!C1307</f>
        <v>44654</v>
      </c>
      <c r="S1307" s="15">
        <f>OrdersTable!E1307</f>
        <v>3</v>
      </c>
      <c r="T1307" s="15">
        <f t="shared" si="454"/>
        <v>22.75</v>
      </c>
      <c r="U1307" s="15">
        <f t="shared" si="455"/>
        <v>31.26</v>
      </c>
      <c r="V1307" s="15">
        <f t="shared" si="456"/>
        <v>36.86</v>
      </c>
      <c r="W1307" s="15">
        <f>IF(MarkupType="Store Markup",ROUND(V1307+V1307*StoreMarkup,2),IF(MarkupType="Supplier Markup",V1307+V1307*SupplierMarkup,"Error at finding value"))</f>
        <v>58.05</v>
      </c>
      <c r="X1307" s="32" t="str">
        <f t="shared" si="458"/>
        <v>0.00</v>
      </c>
      <c r="Y1307" s="15">
        <f t="shared" si="459"/>
        <v>110.58</v>
      </c>
      <c r="Z1307" s="15">
        <f t="shared" si="460"/>
        <v>174.15</v>
      </c>
      <c r="AA1307" s="15">
        <f>IF(FreightType="Lethbridge-Stewart Freight ",ROUND(2.99+IF(N1307&gt;0.75,(N1307-0.75)*2.25,0)*S1307,2),IF(MarkupType="Supplier Markup",V1307+V1307*SupplierMarkup,"Error at finding value"))</f>
        <v>5.62</v>
      </c>
      <c r="AB1307" s="15">
        <f t="shared" si="461"/>
        <v>0</v>
      </c>
    </row>
    <row r="1308" spans="1:28" x14ac:dyDescent="0.25">
      <c r="A1308" s="16">
        <f>OrdersTable!A1308</f>
        <v>501</v>
      </c>
      <c r="B1308" s="15" t="str">
        <f t="shared" si="441"/>
        <v>Miss</v>
      </c>
      <c r="C1308" s="15" t="str">
        <f t="shared" si="462"/>
        <v>Tharenou</v>
      </c>
      <c r="D1308" s="15" t="str">
        <f t="shared" si="442"/>
        <v>Kimberley Jacinta</v>
      </c>
      <c r="E1308" s="15" t="str">
        <f t="shared" si="443"/>
        <v>49 Moncada Circuit</v>
      </c>
      <c r="F1308" s="15" t="str">
        <f t="shared" si="444"/>
        <v>Belford</v>
      </c>
      <c r="G1308" s="15" t="str">
        <f t="shared" si="445"/>
        <v>NSW</v>
      </c>
      <c r="H1308" s="15">
        <f t="shared" si="446"/>
        <v>2335</v>
      </c>
      <c r="I1308" s="15">
        <f t="shared" si="457"/>
        <v>716</v>
      </c>
      <c r="J1308" s="15">
        <f>OrdersTable!B1308</f>
        <v>853</v>
      </c>
      <c r="K1308" s="15" t="str">
        <f t="shared" si="447"/>
        <v>Statues and Busts</v>
      </c>
      <c r="L1308" s="15" t="str">
        <f t="shared" si="448"/>
        <v>Doctor Who: Statue: The Master And Auton</v>
      </c>
      <c r="M1308" s="15" t="str">
        <f t="shared" si="449"/>
        <v>-</v>
      </c>
      <c r="N1308" s="15">
        <f t="shared" si="450"/>
        <v>3.5</v>
      </c>
      <c r="O1308" s="15" t="str">
        <f t="shared" si="451"/>
        <v>A50</v>
      </c>
      <c r="P1308" s="15" t="str">
        <f t="shared" si="452"/>
        <v>Rassilon Ltd.</v>
      </c>
      <c r="Q1308" s="15" t="str">
        <f t="shared" si="453"/>
        <v>82 Richard Mathews Road</v>
      </c>
      <c r="R1308" s="3">
        <f>OrdersTable!C1308</f>
        <v>44654</v>
      </c>
      <c r="S1308" s="15">
        <f>OrdersTable!E1308</f>
        <v>5</v>
      </c>
      <c r="T1308" s="15">
        <f t="shared" si="454"/>
        <v>69.989999999999995</v>
      </c>
      <c r="U1308" s="15">
        <f t="shared" si="455"/>
        <v>95.51</v>
      </c>
      <c r="V1308" s="15">
        <f t="shared" si="456"/>
        <v>113.38</v>
      </c>
      <c r="W1308" s="15">
        <f>IF(MarkupType="Store Markup",ROUND(V1308+V1308*StoreMarkup,2),IF(MarkupType="Supplier Markup",V1308+V1308*SupplierMarkup,"Error at finding value"))</f>
        <v>178.57</v>
      </c>
      <c r="X1308" s="32">
        <f t="shared" si="458"/>
        <v>12.72</v>
      </c>
      <c r="Y1308" s="15">
        <f t="shared" si="459"/>
        <v>566.9</v>
      </c>
      <c r="Z1308" s="15">
        <f t="shared" si="460"/>
        <v>829.25</v>
      </c>
      <c r="AA1308" s="15">
        <f>IF(FreightType="Lethbridge-Stewart Freight ",ROUND(2.99+IF(N1308&gt;0.75,(N1308-0.75)*2.25,0)*S1308,2),IF(MarkupType="Supplier Markup",V1308+V1308*SupplierMarkup,"Error at finding value"))</f>
        <v>33.93</v>
      </c>
      <c r="AB1308" s="15">
        <f t="shared" si="461"/>
        <v>63.6</v>
      </c>
    </row>
    <row r="1309" spans="1:28" x14ac:dyDescent="0.25">
      <c r="A1309" s="16">
        <f>OrdersTable!A1309</f>
        <v>526</v>
      </c>
      <c r="B1309" s="15" t="str">
        <f t="shared" si="441"/>
        <v>Mrs</v>
      </c>
      <c r="C1309" s="15" t="str">
        <f t="shared" si="462"/>
        <v>Bradford</v>
      </c>
      <c r="D1309" s="15" t="str">
        <f t="shared" si="442"/>
        <v>Haleigh Renae Ann</v>
      </c>
      <c r="E1309" s="15" t="str">
        <f t="shared" si="443"/>
        <v>31 Johnston Road</v>
      </c>
      <c r="F1309" s="15" t="str">
        <f t="shared" si="444"/>
        <v>Ashford</v>
      </c>
      <c r="G1309" s="15" t="str">
        <f t="shared" si="445"/>
        <v>SA</v>
      </c>
      <c r="H1309" s="15">
        <f t="shared" si="446"/>
        <v>5035</v>
      </c>
      <c r="I1309" s="15">
        <f t="shared" si="457"/>
        <v>1877</v>
      </c>
      <c r="J1309" s="15">
        <f>OrdersTable!B1309</f>
        <v>543</v>
      </c>
      <c r="K1309" s="15" t="str">
        <f t="shared" si="447"/>
        <v>Giftware</v>
      </c>
      <c r="L1309" s="15" t="str">
        <f t="shared" si="448"/>
        <v>Doctor Who: Sonic Screwdriver Pen</v>
      </c>
      <c r="M1309" s="15" t="str">
        <f t="shared" si="449"/>
        <v>-</v>
      </c>
      <c r="N1309" s="15">
        <f t="shared" si="450"/>
        <v>0.65</v>
      </c>
      <c r="O1309" s="15" t="str">
        <f t="shared" si="451"/>
        <v>A20</v>
      </c>
      <c r="P1309" s="15" t="str">
        <f t="shared" si="452"/>
        <v>Morbius Inc.</v>
      </c>
      <c r="Q1309" s="15" t="str">
        <f t="shared" si="453"/>
        <v>56 Michael Spice Hwy</v>
      </c>
      <c r="R1309" s="3">
        <f>OrdersTable!C1309</f>
        <v>44654</v>
      </c>
      <c r="S1309" s="15">
        <f>OrdersTable!E1309</f>
        <v>2</v>
      </c>
      <c r="T1309" s="15">
        <f t="shared" si="454"/>
        <v>12.99</v>
      </c>
      <c r="U1309" s="15">
        <f t="shared" si="455"/>
        <v>18.02</v>
      </c>
      <c r="V1309" s="15">
        <f t="shared" si="456"/>
        <v>21.04</v>
      </c>
      <c r="W1309" s="15">
        <f>IF(MarkupType="Store Markup",ROUND(V1309+V1309*StoreMarkup,2),IF(MarkupType="Supplier Markup",V1309+V1309*SupplierMarkup,"Error at finding value"))</f>
        <v>33.14</v>
      </c>
      <c r="X1309" s="32" t="str">
        <f t="shared" si="458"/>
        <v>0.00</v>
      </c>
      <c r="Y1309" s="15">
        <f t="shared" si="459"/>
        <v>42.08</v>
      </c>
      <c r="Z1309" s="15">
        <f t="shared" si="460"/>
        <v>66.28</v>
      </c>
      <c r="AA1309" s="15">
        <f>IF(FreightType="Lethbridge-Stewart Freight ",ROUND(2.99+IF(N1309&gt;0.75,(N1309-0.75)*2.25,0)*S1309,2),IF(MarkupType="Supplier Markup",V1309+V1309*SupplierMarkup,"Error at finding value"))</f>
        <v>2.99</v>
      </c>
      <c r="AB1309" s="15">
        <f t="shared" si="461"/>
        <v>0</v>
      </c>
    </row>
    <row r="1310" spans="1:28" x14ac:dyDescent="0.25">
      <c r="A1310" s="16">
        <f>OrdersTable!A1310</f>
        <v>526</v>
      </c>
      <c r="B1310" s="15" t="str">
        <f t="shared" si="441"/>
        <v>Mrs</v>
      </c>
      <c r="C1310" s="15" t="str">
        <f t="shared" si="462"/>
        <v>Bradford</v>
      </c>
      <c r="D1310" s="15" t="str">
        <f t="shared" si="442"/>
        <v>Haleigh Renae Ann</v>
      </c>
      <c r="E1310" s="15" t="str">
        <f t="shared" si="443"/>
        <v>31 Johnston Road</v>
      </c>
      <c r="F1310" s="15" t="str">
        <f t="shared" si="444"/>
        <v>Ashford</v>
      </c>
      <c r="G1310" s="15" t="str">
        <f t="shared" si="445"/>
        <v>SA</v>
      </c>
      <c r="H1310" s="15">
        <f t="shared" si="446"/>
        <v>5035</v>
      </c>
      <c r="I1310" s="15">
        <f t="shared" si="457"/>
        <v>1877</v>
      </c>
      <c r="J1310" s="15">
        <f>OrdersTable!B1310</f>
        <v>759</v>
      </c>
      <c r="K1310" s="15" t="str">
        <f t="shared" si="447"/>
        <v>Statues and Busts</v>
      </c>
      <c r="L1310" s="15" t="str">
        <f t="shared" si="448"/>
        <v>Doctor Who: Legends Forever Bust: Jon Pertwee</v>
      </c>
      <c r="M1310" s="15" t="str">
        <f t="shared" si="449"/>
        <v>-</v>
      </c>
      <c r="N1310" s="15">
        <f t="shared" si="450"/>
        <v>1.375</v>
      </c>
      <c r="O1310" s="15" t="str">
        <f t="shared" si="451"/>
        <v>A30</v>
      </c>
      <c r="P1310" s="15" t="str">
        <f t="shared" si="452"/>
        <v>Chesterton Enterprises</v>
      </c>
      <c r="Q1310" s="15" t="str">
        <f t="shared" si="453"/>
        <v>41 William Russell Road</v>
      </c>
      <c r="R1310" s="3">
        <f>OrdersTable!C1310</f>
        <v>44654</v>
      </c>
      <c r="S1310" s="15">
        <f>OrdersTable!E1310</f>
        <v>7</v>
      </c>
      <c r="T1310" s="15">
        <f t="shared" si="454"/>
        <v>27.5</v>
      </c>
      <c r="U1310" s="15">
        <f t="shared" si="455"/>
        <v>37.630000000000003</v>
      </c>
      <c r="V1310" s="15">
        <f t="shared" si="456"/>
        <v>44.55</v>
      </c>
      <c r="W1310" s="15">
        <f>IF(MarkupType="Store Markup",ROUND(V1310+V1310*StoreMarkup,2),IF(MarkupType="Supplier Markup",V1310+V1310*SupplierMarkup,"Error at finding value"))</f>
        <v>70.17</v>
      </c>
      <c r="X1310" s="32" t="str">
        <f t="shared" si="458"/>
        <v>0.00</v>
      </c>
      <c r="Y1310" s="15">
        <f t="shared" si="459"/>
        <v>311.85000000000002</v>
      </c>
      <c r="Z1310" s="15">
        <f t="shared" si="460"/>
        <v>491.19</v>
      </c>
      <c r="AA1310" s="15">
        <f>IF(FreightType="Lethbridge-Stewart Freight ",ROUND(2.99+IF(N1310&gt;0.75,(N1310-0.75)*2.25,0)*S1310,2),IF(MarkupType="Supplier Markup",V1310+V1310*SupplierMarkup,"Error at finding value"))</f>
        <v>12.83</v>
      </c>
      <c r="AB1310" s="15">
        <f t="shared" si="461"/>
        <v>0</v>
      </c>
    </row>
    <row r="1311" spans="1:28" x14ac:dyDescent="0.25">
      <c r="A1311" s="16">
        <f>OrdersTable!A1311</f>
        <v>526</v>
      </c>
      <c r="B1311" s="15" t="str">
        <f t="shared" si="441"/>
        <v>Mrs</v>
      </c>
      <c r="C1311" s="15" t="str">
        <f t="shared" si="462"/>
        <v>Bradford</v>
      </c>
      <c r="D1311" s="15" t="str">
        <f t="shared" si="442"/>
        <v>Haleigh Renae Ann</v>
      </c>
      <c r="E1311" s="15" t="str">
        <f t="shared" si="443"/>
        <v>31 Johnston Road</v>
      </c>
      <c r="F1311" s="15" t="str">
        <f t="shared" si="444"/>
        <v>Ashford</v>
      </c>
      <c r="G1311" s="15" t="str">
        <f t="shared" si="445"/>
        <v>SA</v>
      </c>
      <c r="H1311" s="15">
        <f t="shared" si="446"/>
        <v>5035</v>
      </c>
      <c r="I1311" s="15">
        <f t="shared" si="457"/>
        <v>1877</v>
      </c>
      <c r="J1311" s="15">
        <f>OrdersTable!B1311</f>
        <v>778</v>
      </c>
      <c r="K1311" s="15" t="str">
        <f t="shared" si="447"/>
        <v>Statues and Busts</v>
      </c>
      <c r="L1311" s="15" t="str">
        <f t="shared" si="448"/>
        <v>Doctor Who: Legends Forever Bust: William Hartnell</v>
      </c>
      <c r="M1311" s="15" t="str">
        <f t="shared" si="449"/>
        <v>-</v>
      </c>
      <c r="N1311" s="15">
        <f t="shared" si="450"/>
        <v>1.375</v>
      </c>
      <c r="O1311" s="15" t="str">
        <f t="shared" si="451"/>
        <v>A40</v>
      </c>
      <c r="P1311" s="15" t="str">
        <f t="shared" si="452"/>
        <v>Romana Imports</v>
      </c>
      <c r="Q1311" s="15" t="str">
        <f t="shared" si="453"/>
        <v>17 Lalla Ward Road</v>
      </c>
      <c r="R1311" s="3">
        <f>OrdersTable!C1311</f>
        <v>44654</v>
      </c>
      <c r="S1311" s="15">
        <f>OrdersTable!E1311</f>
        <v>10</v>
      </c>
      <c r="T1311" s="15">
        <f t="shared" si="454"/>
        <v>27.5</v>
      </c>
      <c r="U1311" s="15">
        <f t="shared" si="455"/>
        <v>37.520000000000003</v>
      </c>
      <c r="V1311" s="15">
        <f t="shared" si="456"/>
        <v>44.55</v>
      </c>
      <c r="W1311" s="15">
        <f>IF(MarkupType="Store Markup",ROUND(V1311+V1311*StoreMarkup,2),IF(MarkupType="Supplier Markup",V1311+V1311*SupplierMarkup,"Error at finding value"))</f>
        <v>70.17</v>
      </c>
      <c r="X1311" s="32" t="str">
        <f t="shared" si="458"/>
        <v>0.00</v>
      </c>
      <c r="Y1311" s="15">
        <f t="shared" si="459"/>
        <v>445.5</v>
      </c>
      <c r="Z1311" s="15">
        <f t="shared" si="460"/>
        <v>701.7</v>
      </c>
      <c r="AA1311" s="15">
        <f>IF(FreightType="Lethbridge-Stewart Freight ",ROUND(2.99+IF(N1311&gt;0.75,(N1311-0.75)*2.25,0)*S1311,2),IF(MarkupType="Supplier Markup",V1311+V1311*SupplierMarkup,"Error at finding value"))</f>
        <v>17.05</v>
      </c>
      <c r="AB1311" s="15">
        <f t="shared" si="461"/>
        <v>0</v>
      </c>
    </row>
    <row r="1312" spans="1:28" x14ac:dyDescent="0.25">
      <c r="A1312" s="16">
        <f>OrdersTable!A1312</f>
        <v>527</v>
      </c>
      <c r="B1312" s="15" t="str">
        <f t="shared" si="441"/>
        <v>Mr</v>
      </c>
      <c r="C1312" s="15" t="str">
        <f t="shared" si="462"/>
        <v>McTaggart</v>
      </c>
      <c r="D1312" s="15" t="str">
        <f t="shared" si="442"/>
        <v>Daniel</v>
      </c>
      <c r="E1312" s="15" t="str">
        <f t="shared" si="443"/>
        <v>24 Mulholland Avenue</v>
      </c>
      <c r="F1312" s="15" t="str">
        <f t="shared" si="444"/>
        <v>Belconnen</v>
      </c>
      <c r="G1312" s="15" t="str">
        <f t="shared" si="445"/>
        <v>ACT</v>
      </c>
      <c r="H1312" s="15">
        <f t="shared" si="446"/>
        <v>2617</v>
      </c>
      <c r="I1312" s="15">
        <f t="shared" si="457"/>
        <v>1194</v>
      </c>
      <c r="J1312" s="15">
        <f>OrdersTable!B1312</f>
        <v>703</v>
      </c>
      <c r="K1312" s="15" t="str">
        <f t="shared" si="447"/>
        <v>Posters, Prints and Standees</v>
      </c>
      <c r="L1312" s="15" t="str">
        <f t="shared" si="448"/>
        <v>Doctor Who: Poster: Doctor With Sonic Screwdriver</v>
      </c>
      <c r="M1312" s="15" t="str">
        <f t="shared" si="449"/>
        <v>-</v>
      </c>
      <c r="N1312" s="15">
        <f t="shared" si="450"/>
        <v>0.2</v>
      </c>
      <c r="O1312" s="15" t="str">
        <f t="shared" si="451"/>
        <v>A50</v>
      </c>
      <c r="P1312" s="15" t="str">
        <f t="shared" si="452"/>
        <v>Rassilon Ltd.</v>
      </c>
      <c r="Q1312" s="15" t="str">
        <f t="shared" si="453"/>
        <v>82 Richard Mathews Road</v>
      </c>
      <c r="R1312" s="3">
        <f>OrdersTable!C1312</f>
        <v>44654</v>
      </c>
      <c r="S1312" s="15">
        <f>OrdersTable!E1312</f>
        <v>5</v>
      </c>
      <c r="T1312" s="15">
        <f t="shared" si="454"/>
        <v>3.99</v>
      </c>
      <c r="U1312" s="15">
        <f t="shared" si="455"/>
        <v>5.51</v>
      </c>
      <c r="V1312" s="15">
        <f t="shared" si="456"/>
        <v>6.46</v>
      </c>
      <c r="W1312" s="15">
        <f>IF(MarkupType="Store Markup",ROUND(V1312+V1312*StoreMarkup,2),IF(MarkupType="Supplier Markup",V1312+V1312*SupplierMarkup,"Error at finding value"))</f>
        <v>10.17</v>
      </c>
      <c r="X1312" s="32" t="str">
        <f t="shared" si="458"/>
        <v>0.00</v>
      </c>
      <c r="Y1312" s="15">
        <f t="shared" si="459"/>
        <v>32.299999999999997</v>
      </c>
      <c r="Z1312" s="15">
        <f t="shared" si="460"/>
        <v>50.85</v>
      </c>
      <c r="AA1312" s="15">
        <f>IF(FreightType="Lethbridge-Stewart Freight ",ROUND(2.99+IF(N1312&gt;0.75,(N1312-0.75)*2.25,0)*S1312,2),IF(MarkupType="Supplier Markup",V1312+V1312*SupplierMarkup,"Error at finding value"))</f>
        <v>2.99</v>
      </c>
      <c r="AB1312" s="15">
        <f t="shared" si="461"/>
        <v>0</v>
      </c>
    </row>
    <row r="1313" spans="1:28" x14ac:dyDescent="0.25">
      <c r="A1313" s="16">
        <f>OrdersTable!A1313</f>
        <v>546</v>
      </c>
      <c r="B1313" s="15" t="str">
        <f t="shared" si="441"/>
        <v>Ms</v>
      </c>
      <c r="C1313" s="15" t="str">
        <f t="shared" si="462"/>
        <v>Shortt</v>
      </c>
      <c r="D1313" s="15" t="str">
        <f t="shared" si="442"/>
        <v>Rickylee Sidonia</v>
      </c>
      <c r="E1313" s="15" t="str">
        <f t="shared" si="443"/>
        <v>4 Hughes Road</v>
      </c>
      <c r="F1313" s="15" t="str">
        <f t="shared" si="444"/>
        <v>Glenfern</v>
      </c>
      <c r="G1313" s="15" t="str">
        <f t="shared" si="445"/>
        <v>QLD</v>
      </c>
      <c r="H1313" s="15">
        <f t="shared" si="446"/>
        <v>4515</v>
      </c>
      <c r="I1313" s="15">
        <f t="shared" si="457"/>
        <v>128</v>
      </c>
      <c r="J1313" s="15">
        <f>OrdersTable!B1313</f>
        <v>541</v>
      </c>
      <c r="K1313" s="15" t="str">
        <f t="shared" si="447"/>
        <v>Giftware</v>
      </c>
      <c r="L1313" s="15" t="str">
        <f t="shared" si="448"/>
        <v>Doctor Who: Salt and Pepper Shakers: TARDIS</v>
      </c>
      <c r="M1313" s="15" t="str">
        <f t="shared" si="449"/>
        <v>-</v>
      </c>
      <c r="N1313" s="15">
        <f t="shared" si="450"/>
        <v>0.6</v>
      </c>
      <c r="O1313" s="15" t="str">
        <f t="shared" si="451"/>
        <v>A10</v>
      </c>
      <c r="P1313" s="15" t="str">
        <f t="shared" si="452"/>
        <v>Gallifrey International</v>
      </c>
      <c r="Q1313" s="15" t="str">
        <f t="shared" si="453"/>
        <v>181 Arcadia Street</v>
      </c>
      <c r="R1313" s="3">
        <f>OrdersTable!C1313</f>
        <v>44654</v>
      </c>
      <c r="S1313" s="15">
        <f>OrdersTable!E1313</f>
        <v>5</v>
      </c>
      <c r="T1313" s="15">
        <f t="shared" si="454"/>
        <v>11.99</v>
      </c>
      <c r="U1313" s="15">
        <f t="shared" si="455"/>
        <v>16.62</v>
      </c>
      <c r="V1313" s="15">
        <f t="shared" si="456"/>
        <v>19.420000000000002</v>
      </c>
      <c r="W1313" s="15">
        <f>IF(MarkupType="Store Markup",ROUND(V1313+V1313*StoreMarkup,2),IF(MarkupType="Supplier Markup",V1313+V1313*SupplierMarkup,"Error at finding value"))</f>
        <v>30.59</v>
      </c>
      <c r="X1313" s="32" t="str">
        <f t="shared" si="458"/>
        <v>0.00</v>
      </c>
      <c r="Y1313" s="15">
        <f t="shared" si="459"/>
        <v>97.1</v>
      </c>
      <c r="Z1313" s="15">
        <f t="shared" si="460"/>
        <v>152.94999999999999</v>
      </c>
      <c r="AA1313" s="15">
        <f>IF(FreightType="Lethbridge-Stewart Freight ",ROUND(2.99+IF(N1313&gt;0.75,(N1313-0.75)*2.25,0)*S1313,2),IF(MarkupType="Supplier Markup",V1313+V1313*SupplierMarkup,"Error at finding value"))</f>
        <v>2.99</v>
      </c>
      <c r="AB1313" s="15">
        <f t="shared" si="461"/>
        <v>0</v>
      </c>
    </row>
    <row r="1314" spans="1:28" x14ac:dyDescent="0.25">
      <c r="A1314" s="16">
        <f>OrdersTable!A1314</f>
        <v>557</v>
      </c>
      <c r="B1314" s="15" t="str">
        <f t="shared" si="441"/>
        <v>Mrs</v>
      </c>
      <c r="C1314" s="15" t="str">
        <f t="shared" si="462"/>
        <v>Allen</v>
      </c>
      <c r="D1314" s="15" t="str">
        <f t="shared" si="442"/>
        <v>Morgan</v>
      </c>
      <c r="E1314" s="15" t="str">
        <f t="shared" si="443"/>
        <v>15 Winsor Street</v>
      </c>
      <c r="F1314" s="15" t="str">
        <f t="shared" si="444"/>
        <v>Appletree Flat</v>
      </c>
      <c r="G1314" s="15" t="str">
        <f t="shared" si="445"/>
        <v>NSW</v>
      </c>
      <c r="H1314" s="15">
        <f t="shared" si="446"/>
        <v>2330</v>
      </c>
      <c r="I1314" s="15">
        <f t="shared" si="457"/>
        <v>691</v>
      </c>
      <c r="J1314" s="15">
        <f>OrdersTable!B1314</f>
        <v>530</v>
      </c>
      <c r="K1314" s="15" t="str">
        <f t="shared" si="447"/>
        <v>Giftware</v>
      </c>
      <c r="L1314" s="15" t="str">
        <f t="shared" si="448"/>
        <v>Doctor Who: Keyring TARDIS</v>
      </c>
      <c r="M1314" s="15" t="str">
        <f t="shared" si="449"/>
        <v>-</v>
      </c>
      <c r="N1314" s="15">
        <f t="shared" si="450"/>
        <v>0.25</v>
      </c>
      <c r="O1314" s="15" t="str">
        <f t="shared" si="451"/>
        <v>A20</v>
      </c>
      <c r="P1314" s="15" t="str">
        <f t="shared" si="452"/>
        <v>Morbius Inc.</v>
      </c>
      <c r="Q1314" s="15" t="str">
        <f t="shared" si="453"/>
        <v>56 Michael Spice Hwy</v>
      </c>
      <c r="R1314" s="3">
        <f>OrdersTable!C1314</f>
        <v>44654</v>
      </c>
      <c r="S1314" s="15">
        <f>OrdersTable!E1314</f>
        <v>1</v>
      </c>
      <c r="T1314" s="15">
        <f t="shared" si="454"/>
        <v>4.99</v>
      </c>
      <c r="U1314" s="15">
        <f t="shared" si="455"/>
        <v>7.1</v>
      </c>
      <c r="V1314" s="15">
        <f t="shared" si="456"/>
        <v>8.08</v>
      </c>
      <c r="W1314" s="15">
        <f>IF(MarkupType="Store Markup",ROUND(V1314+V1314*StoreMarkup,2),IF(MarkupType="Supplier Markup",V1314+V1314*SupplierMarkup,"Error at finding value"))</f>
        <v>12.73</v>
      </c>
      <c r="X1314" s="32" t="str">
        <f t="shared" si="458"/>
        <v>0.00</v>
      </c>
      <c r="Y1314" s="15">
        <f t="shared" si="459"/>
        <v>8.08</v>
      </c>
      <c r="Z1314" s="15">
        <f t="shared" si="460"/>
        <v>12.73</v>
      </c>
      <c r="AA1314" s="15">
        <f>IF(FreightType="Lethbridge-Stewart Freight ",ROUND(2.99+IF(N1314&gt;0.75,(N1314-0.75)*2.25,0)*S1314,2),IF(MarkupType="Supplier Markup",V1314+V1314*SupplierMarkup,"Error at finding value"))</f>
        <v>2.99</v>
      </c>
      <c r="AB1314" s="15">
        <f t="shared" si="461"/>
        <v>0</v>
      </c>
    </row>
    <row r="1315" spans="1:28" x14ac:dyDescent="0.25">
      <c r="A1315" s="16">
        <f>OrdersTable!A1315</f>
        <v>669</v>
      </c>
      <c r="B1315" s="15" t="str">
        <f t="shared" si="441"/>
        <v>Dr</v>
      </c>
      <c r="C1315" s="15" t="str">
        <f t="shared" si="462"/>
        <v>Ferjani</v>
      </c>
      <c r="D1315" s="15" t="str">
        <f t="shared" si="442"/>
        <v>Rabah</v>
      </c>
      <c r="E1315" s="15" t="str">
        <f t="shared" si="443"/>
        <v>2 Codrington Street</v>
      </c>
      <c r="F1315" s="15" t="str">
        <f t="shared" si="444"/>
        <v>Belford</v>
      </c>
      <c r="G1315" s="15" t="str">
        <f t="shared" si="445"/>
        <v>NSW</v>
      </c>
      <c r="H1315" s="15">
        <f t="shared" si="446"/>
        <v>2335</v>
      </c>
      <c r="I1315" s="15">
        <f t="shared" si="457"/>
        <v>716</v>
      </c>
      <c r="J1315" s="15">
        <f>OrdersTable!B1315</f>
        <v>530</v>
      </c>
      <c r="K1315" s="15" t="str">
        <f t="shared" si="447"/>
        <v>Giftware</v>
      </c>
      <c r="L1315" s="15" t="str">
        <f t="shared" si="448"/>
        <v>Doctor Who: Keyring TARDIS</v>
      </c>
      <c r="M1315" s="15" t="str">
        <f t="shared" si="449"/>
        <v>-</v>
      </c>
      <c r="N1315" s="15">
        <f t="shared" si="450"/>
        <v>0.25</v>
      </c>
      <c r="O1315" s="15" t="str">
        <f t="shared" si="451"/>
        <v>A20</v>
      </c>
      <c r="P1315" s="15" t="str">
        <f t="shared" si="452"/>
        <v>Morbius Inc.</v>
      </c>
      <c r="Q1315" s="15" t="str">
        <f t="shared" si="453"/>
        <v>56 Michael Spice Hwy</v>
      </c>
      <c r="R1315" s="3">
        <f>OrdersTable!C1315</f>
        <v>44654</v>
      </c>
      <c r="S1315" s="15">
        <f>OrdersTable!E1315</f>
        <v>4</v>
      </c>
      <c r="T1315" s="15">
        <f t="shared" si="454"/>
        <v>4.99</v>
      </c>
      <c r="U1315" s="15">
        <f t="shared" si="455"/>
        <v>7.1</v>
      </c>
      <c r="V1315" s="15">
        <f t="shared" si="456"/>
        <v>8.08</v>
      </c>
      <c r="W1315" s="15">
        <f>IF(MarkupType="Store Markup",ROUND(V1315+V1315*StoreMarkup,2),IF(MarkupType="Supplier Markup",V1315+V1315*SupplierMarkup,"Error at finding value"))</f>
        <v>12.73</v>
      </c>
      <c r="X1315" s="32" t="str">
        <f t="shared" si="458"/>
        <v>0.00</v>
      </c>
      <c r="Y1315" s="15">
        <f t="shared" si="459"/>
        <v>32.32</v>
      </c>
      <c r="Z1315" s="15">
        <f t="shared" si="460"/>
        <v>50.92</v>
      </c>
      <c r="AA1315" s="15">
        <f>IF(FreightType="Lethbridge-Stewart Freight ",ROUND(2.99+IF(N1315&gt;0.75,(N1315-0.75)*2.25,0)*S1315,2),IF(MarkupType="Supplier Markup",V1315+V1315*SupplierMarkup,"Error at finding value"))</f>
        <v>2.99</v>
      </c>
      <c r="AB1315" s="15">
        <f t="shared" si="461"/>
        <v>0</v>
      </c>
    </row>
    <row r="1316" spans="1:28" x14ac:dyDescent="0.25">
      <c r="A1316" s="16">
        <f>OrdersTable!A1316</f>
        <v>802</v>
      </c>
      <c r="B1316" s="15" t="str">
        <f t="shared" si="441"/>
        <v>Mr</v>
      </c>
      <c r="C1316" s="15" t="str">
        <f t="shared" si="462"/>
        <v>Carlton</v>
      </c>
      <c r="D1316" s="15" t="str">
        <f t="shared" si="442"/>
        <v>Lawrence</v>
      </c>
      <c r="E1316" s="15" t="str">
        <f t="shared" si="443"/>
        <v>39 Walsh Way</v>
      </c>
      <c r="F1316" s="15" t="str">
        <f t="shared" si="444"/>
        <v>Breakwater</v>
      </c>
      <c r="G1316" s="15" t="str">
        <f t="shared" si="445"/>
        <v>VIC</v>
      </c>
      <c r="H1316" s="15">
        <f t="shared" si="446"/>
        <v>3219</v>
      </c>
      <c r="I1316" s="15">
        <f t="shared" si="457"/>
        <v>1596</v>
      </c>
      <c r="J1316" s="15">
        <f>OrdersTable!B1316</f>
        <v>590</v>
      </c>
      <c r="K1316" s="15" t="str">
        <f t="shared" si="447"/>
        <v>iPhone Skins</v>
      </c>
      <c r="L1316" s="15" t="str">
        <f t="shared" si="448"/>
        <v>Doctor Who: iPhone Skin: Exploding TARDIS</v>
      </c>
      <c r="M1316" s="15" t="str">
        <f t="shared" si="449"/>
        <v>-</v>
      </c>
      <c r="N1316" s="15">
        <f t="shared" si="450"/>
        <v>0.5</v>
      </c>
      <c r="O1316" s="15" t="str">
        <f t="shared" si="451"/>
        <v>A20</v>
      </c>
      <c r="P1316" s="15" t="str">
        <f t="shared" si="452"/>
        <v>Morbius Inc.</v>
      </c>
      <c r="Q1316" s="15" t="str">
        <f t="shared" si="453"/>
        <v>56 Michael Spice Hwy</v>
      </c>
      <c r="R1316" s="3">
        <f>OrdersTable!C1316</f>
        <v>44654</v>
      </c>
      <c r="S1316" s="15">
        <f>OrdersTable!E1316</f>
        <v>4</v>
      </c>
      <c r="T1316" s="15">
        <f t="shared" si="454"/>
        <v>9.99</v>
      </c>
      <c r="U1316" s="15">
        <f t="shared" si="455"/>
        <v>13.86</v>
      </c>
      <c r="V1316" s="15">
        <f t="shared" si="456"/>
        <v>16.18</v>
      </c>
      <c r="W1316" s="15">
        <f>IF(MarkupType="Store Markup",ROUND(V1316+V1316*StoreMarkup,2),IF(MarkupType="Supplier Markup",V1316+V1316*SupplierMarkup,"Error at finding value"))</f>
        <v>25.48</v>
      </c>
      <c r="X1316" s="32" t="str">
        <f t="shared" si="458"/>
        <v>0.00</v>
      </c>
      <c r="Y1316" s="15">
        <f t="shared" si="459"/>
        <v>64.72</v>
      </c>
      <c r="Z1316" s="15">
        <f t="shared" si="460"/>
        <v>101.92</v>
      </c>
      <c r="AA1316" s="15">
        <f>IF(FreightType="Lethbridge-Stewart Freight ",ROUND(2.99+IF(N1316&gt;0.75,(N1316-0.75)*2.25,0)*S1316,2),IF(MarkupType="Supplier Markup",V1316+V1316*SupplierMarkup,"Error at finding value"))</f>
        <v>2.99</v>
      </c>
      <c r="AB1316" s="15">
        <f t="shared" si="461"/>
        <v>0</v>
      </c>
    </row>
    <row r="1317" spans="1:28" x14ac:dyDescent="0.25">
      <c r="A1317" s="16">
        <f>OrdersTable!A1317</f>
        <v>989</v>
      </c>
      <c r="B1317" s="15" t="str">
        <f t="shared" si="441"/>
        <v>Miss</v>
      </c>
      <c r="C1317" s="15" t="str">
        <f t="shared" si="462"/>
        <v>McInnes</v>
      </c>
      <c r="D1317" s="15" t="str">
        <f t="shared" si="442"/>
        <v>Nina Marie</v>
      </c>
      <c r="E1317" s="15" t="str">
        <f t="shared" si="443"/>
        <v>28 Caruss Road</v>
      </c>
      <c r="F1317" s="15" t="str">
        <f t="shared" si="444"/>
        <v>Belford</v>
      </c>
      <c r="G1317" s="15" t="str">
        <f t="shared" si="445"/>
        <v>NSW</v>
      </c>
      <c r="H1317" s="15">
        <f t="shared" si="446"/>
        <v>2335</v>
      </c>
      <c r="I1317" s="15">
        <f t="shared" si="457"/>
        <v>716</v>
      </c>
      <c r="J1317" s="15">
        <f>OrdersTable!B1317</f>
        <v>817</v>
      </c>
      <c r="K1317" s="15" t="str">
        <f t="shared" si="447"/>
        <v>Statues and Busts</v>
      </c>
      <c r="L1317" s="15" t="str">
        <f t="shared" si="448"/>
        <v>Doctor Who: Masterpiece Collection Maxi Bust: Torchwood Captain Jack Harkness</v>
      </c>
      <c r="M1317" s="15" t="str">
        <f t="shared" si="449"/>
        <v>-</v>
      </c>
      <c r="N1317" s="15">
        <f t="shared" si="450"/>
        <v>2.5</v>
      </c>
      <c r="O1317" s="15" t="str">
        <f t="shared" si="451"/>
        <v>A10</v>
      </c>
      <c r="P1317" s="15" t="str">
        <f t="shared" si="452"/>
        <v>Gallifrey International</v>
      </c>
      <c r="Q1317" s="15" t="str">
        <f t="shared" si="453"/>
        <v>181 Arcadia Street</v>
      </c>
      <c r="R1317" s="3">
        <f>OrdersTable!C1317</f>
        <v>44654</v>
      </c>
      <c r="S1317" s="15">
        <f>OrdersTable!E1317</f>
        <v>4</v>
      </c>
      <c r="T1317" s="15">
        <f t="shared" si="454"/>
        <v>49.99</v>
      </c>
      <c r="U1317" s="15">
        <f t="shared" si="455"/>
        <v>68.44</v>
      </c>
      <c r="V1317" s="15">
        <f t="shared" si="456"/>
        <v>80.98</v>
      </c>
      <c r="W1317" s="15">
        <f>IF(MarkupType="Store Markup",ROUND(V1317+V1317*StoreMarkup,2),IF(MarkupType="Supplier Markup",V1317+V1317*SupplierMarkup,"Error at finding value"))</f>
        <v>127.54</v>
      </c>
      <c r="X1317" s="32">
        <f t="shared" si="458"/>
        <v>9.09</v>
      </c>
      <c r="Y1317" s="15">
        <f t="shared" si="459"/>
        <v>323.92</v>
      </c>
      <c r="Z1317" s="15">
        <f t="shared" si="460"/>
        <v>473.8</v>
      </c>
      <c r="AA1317" s="15">
        <f>IF(FreightType="Lethbridge-Stewart Freight ",ROUND(2.99+IF(N1317&gt;0.75,(N1317-0.75)*2.25,0)*S1317,2),IF(MarkupType="Supplier Markup",V1317+V1317*SupplierMarkup,"Error at finding value"))</f>
        <v>18.739999999999998</v>
      </c>
      <c r="AB1317" s="15">
        <f t="shared" si="461"/>
        <v>36.36</v>
      </c>
    </row>
    <row r="1318" spans="1:28" x14ac:dyDescent="0.25">
      <c r="A1318" s="16">
        <f>OrdersTable!A1318</f>
        <v>47</v>
      </c>
      <c r="B1318" s="15" t="str">
        <f t="shared" si="441"/>
        <v>Dr</v>
      </c>
      <c r="C1318" s="15" t="str">
        <f t="shared" si="462"/>
        <v>Kaur</v>
      </c>
      <c r="D1318" s="15" t="str">
        <f t="shared" si="442"/>
        <v>Jasleen</v>
      </c>
      <c r="E1318" s="15" t="str">
        <f t="shared" si="443"/>
        <v>7 Hong Road</v>
      </c>
      <c r="F1318" s="15" t="str">
        <f t="shared" si="444"/>
        <v>Belconnen</v>
      </c>
      <c r="G1318" s="15" t="str">
        <f t="shared" si="445"/>
        <v>ACT</v>
      </c>
      <c r="H1318" s="15">
        <f t="shared" si="446"/>
        <v>2617</v>
      </c>
      <c r="I1318" s="15">
        <f t="shared" si="457"/>
        <v>1194</v>
      </c>
      <c r="J1318" s="15">
        <f>OrdersTable!B1318</f>
        <v>747</v>
      </c>
      <c r="K1318" s="15" t="str">
        <f t="shared" si="447"/>
        <v>Props and Replicas</v>
      </c>
      <c r="L1318" s="15" t="str">
        <f t="shared" si="448"/>
        <v>Doctor Who: The Master's Fob Watch</v>
      </c>
      <c r="M1318" s="15" t="str">
        <f t="shared" si="449"/>
        <v>-</v>
      </c>
      <c r="N1318" s="15">
        <f t="shared" si="450"/>
        <v>2.25</v>
      </c>
      <c r="O1318" s="15" t="str">
        <f t="shared" si="451"/>
        <v>A10</v>
      </c>
      <c r="P1318" s="15" t="str">
        <f t="shared" si="452"/>
        <v>Gallifrey International</v>
      </c>
      <c r="Q1318" s="15" t="str">
        <f t="shared" si="453"/>
        <v>181 Arcadia Street</v>
      </c>
      <c r="R1318" s="3">
        <f>OrdersTable!C1318</f>
        <v>44655</v>
      </c>
      <c r="S1318" s="15">
        <f>OrdersTable!E1318</f>
        <v>2</v>
      </c>
      <c r="T1318" s="15">
        <f t="shared" si="454"/>
        <v>44.99</v>
      </c>
      <c r="U1318" s="15">
        <f t="shared" si="455"/>
        <v>61.7</v>
      </c>
      <c r="V1318" s="15">
        <f t="shared" si="456"/>
        <v>72.88</v>
      </c>
      <c r="W1318" s="15">
        <f>IF(MarkupType="Store Markup",ROUND(V1318+V1318*StoreMarkup,2),IF(MarkupType="Supplier Markup",V1318+V1318*SupplierMarkup,"Error at finding value"))</f>
        <v>114.79</v>
      </c>
      <c r="X1318" s="32" t="str">
        <f t="shared" si="458"/>
        <v>0.00</v>
      </c>
      <c r="Y1318" s="15">
        <f t="shared" si="459"/>
        <v>145.76</v>
      </c>
      <c r="Z1318" s="15">
        <f t="shared" si="460"/>
        <v>229.58</v>
      </c>
      <c r="AA1318" s="15">
        <f>IF(FreightType="Lethbridge-Stewart Freight ",ROUND(2.99+IF(N1318&gt;0.75,(N1318-0.75)*2.25,0)*S1318,2),IF(MarkupType="Supplier Markup",V1318+V1318*SupplierMarkup,"Error at finding value"))</f>
        <v>9.74</v>
      </c>
      <c r="AB1318" s="15">
        <f t="shared" si="461"/>
        <v>0</v>
      </c>
    </row>
    <row r="1319" spans="1:28" x14ac:dyDescent="0.25">
      <c r="A1319" s="16">
        <f>OrdersTable!A1319</f>
        <v>139</v>
      </c>
      <c r="B1319" s="15" t="str">
        <f t="shared" si="441"/>
        <v>Mrs</v>
      </c>
      <c r="C1319" s="15" t="str">
        <f t="shared" si="462"/>
        <v>Atkinson</v>
      </c>
      <c r="D1319" s="15" t="str">
        <f t="shared" si="442"/>
        <v>Leanne</v>
      </c>
      <c r="E1319" s="15" t="str">
        <f t="shared" si="443"/>
        <v>45 Maloney Boulevard</v>
      </c>
      <c r="F1319" s="15" t="str">
        <f t="shared" si="444"/>
        <v>Avon Plains</v>
      </c>
      <c r="G1319" s="15" t="str">
        <f t="shared" si="445"/>
        <v>VIC</v>
      </c>
      <c r="H1319" s="15">
        <f t="shared" si="446"/>
        <v>3477</v>
      </c>
      <c r="I1319" s="15">
        <f t="shared" si="457"/>
        <v>1565</v>
      </c>
      <c r="J1319" s="15">
        <f>OrdersTable!B1319</f>
        <v>703</v>
      </c>
      <c r="K1319" s="15" t="str">
        <f t="shared" si="447"/>
        <v>Posters, Prints and Standees</v>
      </c>
      <c r="L1319" s="15" t="str">
        <f t="shared" si="448"/>
        <v>Doctor Who: Poster: Doctor With Sonic Screwdriver</v>
      </c>
      <c r="M1319" s="15" t="str">
        <f t="shared" si="449"/>
        <v>-</v>
      </c>
      <c r="N1319" s="15">
        <f t="shared" si="450"/>
        <v>0.2</v>
      </c>
      <c r="O1319" s="15" t="str">
        <f t="shared" si="451"/>
        <v>A50</v>
      </c>
      <c r="P1319" s="15" t="str">
        <f t="shared" si="452"/>
        <v>Rassilon Ltd.</v>
      </c>
      <c r="Q1319" s="15" t="str">
        <f t="shared" si="453"/>
        <v>82 Richard Mathews Road</v>
      </c>
      <c r="R1319" s="3">
        <f>OrdersTable!C1319</f>
        <v>44655</v>
      </c>
      <c r="S1319" s="15">
        <f>OrdersTable!E1319</f>
        <v>5</v>
      </c>
      <c r="T1319" s="15">
        <f t="shared" si="454"/>
        <v>3.99</v>
      </c>
      <c r="U1319" s="15">
        <f t="shared" si="455"/>
        <v>5.51</v>
      </c>
      <c r="V1319" s="15">
        <f t="shared" si="456"/>
        <v>6.46</v>
      </c>
      <c r="W1319" s="15">
        <f>IF(MarkupType="Store Markup",ROUND(V1319+V1319*StoreMarkup,2),IF(MarkupType="Supplier Markup",V1319+V1319*SupplierMarkup,"Error at finding value"))</f>
        <v>10.17</v>
      </c>
      <c r="X1319" s="32" t="str">
        <f t="shared" si="458"/>
        <v>0.00</v>
      </c>
      <c r="Y1319" s="15">
        <f t="shared" si="459"/>
        <v>32.299999999999997</v>
      </c>
      <c r="Z1319" s="15">
        <f t="shared" si="460"/>
        <v>50.85</v>
      </c>
      <c r="AA1319" s="15">
        <f>IF(FreightType="Lethbridge-Stewart Freight ",ROUND(2.99+IF(N1319&gt;0.75,(N1319-0.75)*2.25,0)*S1319,2),IF(MarkupType="Supplier Markup",V1319+V1319*SupplierMarkup,"Error at finding value"))</f>
        <v>2.99</v>
      </c>
      <c r="AB1319" s="15">
        <f t="shared" si="461"/>
        <v>0</v>
      </c>
    </row>
    <row r="1320" spans="1:28" x14ac:dyDescent="0.25">
      <c r="A1320" s="16">
        <f>OrdersTable!A1320</f>
        <v>150</v>
      </c>
      <c r="B1320" s="15" t="str">
        <f t="shared" si="441"/>
        <v>Dr</v>
      </c>
      <c r="C1320" s="15" t="str">
        <f t="shared" si="462"/>
        <v>Taumalolo</v>
      </c>
      <c r="D1320" s="15" t="str">
        <f t="shared" si="442"/>
        <v>Latai Fono-Ki-Moana</v>
      </c>
      <c r="E1320" s="15" t="str">
        <f t="shared" si="443"/>
        <v>13 Taylor Way</v>
      </c>
      <c r="F1320" s="15" t="str">
        <f t="shared" si="444"/>
        <v>Bamboo</v>
      </c>
      <c r="G1320" s="15" t="str">
        <f t="shared" si="445"/>
        <v>QLD</v>
      </c>
      <c r="H1320" s="15">
        <f t="shared" si="446"/>
        <v>4873</v>
      </c>
      <c r="I1320" s="15">
        <f t="shared" si="457"/>
        <v>1741</v>
      </c>
      <c r="J1320" s="15">
        <f>OrdersTable!B1320</f>
        <v>607</v>
      </c>
      <c r="K1320" s="15" t="str">
        <f t="shared" si="447"/>
        <v>iPhone Skins</v>
      </c>
      <c r="L1320" s="15" t="str">
        <f t="shared" si="448"/>
        <v>Doctor Who: iPhone Skin: Keep Calm I'm The Doctor</v>
      </c>
      <c r="M1320" s="15" t="str">
        <f t="shared" si="449"/>
        <v>-</v>
      </c>
      <c r="N1320" s="15">
        <f t="shared" si="450"/>
        <v>0.5</v>
      </c>
      <c r="O1320" s="15" t="str">
        <f t="shared" si="451"/>
        <v>A40</v>
      </c>
      <c r="P1320" s="15" t="str">
        <f t="shared" si="452"/>
        <v>Romana Imports</v>
      </c>
      <c r="Q1320" s="15" t="str">
        <f t="shared" si="453"/>
        <v>17 Lalla Ward Road</v>
      </c>
      <c r="R1320" s="3">
        <f>OrdersTable!C1320</f>
        <v>44655</v>
      </c>
      <c r="S1320" s="15">
        <f>OrdersTable!E1320</f>
        <v>5</v>
      </c>
      <c r="T1320" s="15">
        <f t="shared" si="454"/>
        <v>9.99</v>
      </c>
      <c r="U1320" s="15">
        <f t="shared" si="455"/>
        <v>13.81</v>
      </c>
      <c r="V1320" s="15">
        <f t="shared" si="456"/>
        <v>16.18</v>
      </c>
      <c r="W1320" s="15">
        <f>IF(MarkupType="Store Markup",ROUND(V1320+V1320*StoreMarkup,2),IF(MarkupType="Supplier Markup",V1320+V1320*SupplierMarkup,"Error at finding value"))</f>
        <v>25.48</v>
      </c>
      <c r="X1320" s="32" t="str">
        <f t="shared" si="458"/>
        <v>0.00</v>
      </c>
      <c r="Y1320" s="15">
        <f t="shared" si="459"/>
        <v>80.900000000000006</v>
      </c>
      <c r="Z1320" s="15">
        <f t="shared" si="460"/>
        <v>127.4</v>
      </c>
      <c r="AA1320" s="15">
        <f>IF(FreightType="Lethbridge-Stewart Freight ",ROUND(2.99+IF(N1320&gt;0.75,(N1320-0.75)*2.25,0)*S1320,2),IF(MarkupType="Supplier Markup",V1320+V1320*SupplierMarkup,"Error at finding value"))</f>
        <v>2.99</v>
      </c>
      <c r="AB1320" s="15">
        <f t="shared" si="461"/>
        <v>0</v>
      </c>
    </row>
    <row r="1321" spans="1:28" x14ac:dyDescent="0.25">
      <c r="A1321" s="16">
        <f>OrdersTable!A1321</f>
        <v>150</v>
      </c>
      <c r="B1321" s="15" t="str">
        <f t="shared" si="441"/>
        <v>Dr</v>
      </c>
      <c r="C1321" s="15" t="str">
        <f t="shared" si="462"/>
        <v>Taumalolo</v>
      </c>
      <c r="D1321" s="15" t="str">
        <f t="shared" si="442"/>
        <v>Latai Fono-Ki-Moana</v>
      </c>
      <c r="E1321" s="15" t="str">
        <f t="shared" si="443"/>
        <v>13 Taylor Way</v>
      </c>
      <c r="F1321" s="15" t="str">
        <f t="shared" si="444"/>
        <v>Bamboo</v>
      </c>
      <c r="G1321" s="15" t="str">
        <f t="shared" si="445"/>
        <v>QLD</v>
      </c>
      <c r="H1321" s="15">
        <f t="shared" si="446"/>
        <v>4873</v>
      </c>
      <c r="I1321" s="15">
        <f t="shared" si="457"/>
        <v>1741</v>
      </c>
      <c r="J1321" s="15">
        <f>OrdersTable!B1321</f>
        <v>762</v>
      </c>
      <c r="K1321" s="15" t="str">
        <f t="shared" si="447"/>
        <v>Statues and Busts</v>
      </c>
      <c r="L1321" s="15" t="str">
        <f t="shared" si="448"/>
        <v>Doctor Who: Legends Forever Bust: Patrick Troughton</v>
      </c>
      <c r="M1321" s="15" t="str">
        <f t="shared" si="449"/>
        <v>-</v>
      </c>
      <c r="N1321" s="15">
        <f t="shared" si="450"/>
        <v>1.375</v>
      </c>
      <c r="O1321" s="15" t="str">
        <f t="shared" si="451"/>
        <v>A40</v>
      </c>
      <c r="P1321" s="15" t="str">
        <f t="shared" si="452"/>
        <v>Romana Imports</v>
      </c>
      <c r="Q1321" s="15" t="str">
        <f t="shared" si="453"/>
        <v>17 Lalla Ward Road</v>
      </c>
      <c r="R1321" s="3">
        <f>OrdersTable!C1321</f>
        <v>44655</v>
      </c>
      <c r="S1321" s="15">
        <f>OrdersTable!E1321</f>
        <v>5</v>
      </c>
      <c r="T1321" s="15">
        <f t="shared" si="454"/>
        <v>27.5</v>
      </c>
      <c r="U1321" s="15">
        <f t="shared" si="455"/>
        <v>37.799999999999997</v>
      </c>
      <c r="V1321" s="15">
        <f t="shared" si="456"/>
        <v>44.55</v>
      </c>
      <c r="W1321" s="15">
        <f>IF(MarkupType="Store Markup",ROUND(V1321+V1321*StoreMarkup,2),IF(MarkupType="Supplier Markup",V1321+V1321*SupplierMarkup,"Error at finding value"))</f>
        <v>70.17</v>
      </c>
      <c r="X1321" s="32" t="str">
        <f t="shared" si="458"/>
        <v>0.00</v>
      </c>
      <c r="Y1321" s="15">
        <f t="shared" si="459"/>
        <v>222.75</v>
      </c>
      <c r="Z1321" s="15">
        <f t="shared" si="460"/>
        <v>350.85</v>
      </c>
      <c r="AA1321" s="15">
        <f>IF(FreightType="Lethbridge-Stewart Freight ",ROUND(2.99+IF(N1321&gt;0.75,(N1321-0.75)*2.25,0)*S1321,2),IF(MarkupType="Supplier Markup",V1321+V1321*SupplierMarkup,"Error at finding value"))</f>
        <v>10.02</v>
      </c>
      <c r="AB1321" s="15">
        <f t="shared" si="461"/>
        <v>0</v>
      </c>
    </row>
    <row r="1322" spans="1:28" x14ac:dyDescent="0.25">
      <c r="A1322" s="16">
        <f>OrdersTable!A1322</f>
        <v>224</v>
      </c>
      <c r="B1322" s="15" t="str">
        <f t="shared" si="441"/>
        <v>Miss</v>
      </c>
      <c r="C1322" s="15" t="str">
        <f t="shared" si="462"/>
        <v>Baruwal</v>
      </c>
      <c r="D1322" s="15" t="str">
        <f t="shared" si="442"/>
        <v>Pratikshya</v>
      </c>
      <c r="E1322" s="15" t="str">
        <f t="shared" si="443"/>
        <v>43 Gilloway Street</v>
      </c>
      <c r="F1322" s="15" t="str">
        <f t="shared" si="444"/>
        <v>Iluka</v>
      </c>
      <c r="G1322" s="15" t="str">
        <f t="shared" si="445"/>
        <v>NSW</v>
      </c>
      <c r="H1322" s="15">
        <f t="shared" si="446"/>
        <v>2466</v>
      </c>
      <c r="I1322" s="15">
        <f t="shared" si="457"/>
        <v>347</v>
      </c>
      <c r="J1322" s="15">
        <f>OrdersTable!B1322</f>
        <v>757</v>
      </c>
      <c r="K1322" s="15" t="str">
        <f t="shared" si="447"/>
        <v>Statues and Busts</v>
      </c>
      <c r="L1322" s="15" t="str">
        <f t="shared" si="448"/>
        <v>Doctor Who: Helmet: Ice Warrior</v>
      </c>
      <c r="M1322" s="15" t="str">
        <f t="shared" si="449"/>
        <v>-</v>
      </c>
      <c r="N1322" s="15">
        <f t="shared" si="450"/>
        <v>1.75</v>
      </c>
      <c r="O1322" s="15" t="str">
        <f t="shared" si="451"/>
        <v>A20</v>
      </c>
      <c r="P1322" s="15" t="str">
        <f t="shared" si="452"/>
        <v>Morbius Inc.</v>
      </c>
      <c r="Q1322" s="15" t="str">
        <f t="shared" si="453"/>
        <v>56 Michael Spice Hwy</v>
      </c>
      <c r="R1322" s="3">
        <f>OrdersTable!C1322</f>
        <v>44655</v>
      </c>
      <c r="S1322" s="15">
        <f>OrdersTable!E1322</f>
        <v>1</v>
      </c>
      <c r="T1322" s="15">
        <f t="shared" si="454"/>
        <v>34.99</v>
      </c>
      <c r="U1322" s="15">
        <f t="shared" si="455"/>
        <v>47.88</v>
      </c>
      <c r="V1322" s="15">
        <f t="shared" si="456"/>
        <v>56.68</v>
      </c>
      <c r="W1322" s="15">
        <f>IF(MarkupType="Store Markup",ROUND(V1322+V1322*StoreMarkup,2),IF(MarkupType="Supplier Markup",V1322+V1322*SupplierMarkup,"Error at finding value"))</f>
        <v>89.27</v>
      </c>
      <c r="X1322" s="32" t="str">
        <f t="shared" si="458"/>
        <v>0.00</v>
      </c>
      <c r="Y1322" s="15">
        <f t="shared" si="459"/>
        <v>56.68</v>
      </c>
      <c r="Z1322" s="15">
        <f t="shared" si="460"/>
        <v>89.27</v>
      </c>
      <c r="AA1322" s="15">
        <f>IF(FreightType="Lethbridge-Stewart Freight ",ROUND(2.99+IF(N1322&gt;0.75,(N1322-0.75)*2.25,0)*S1322,2),IF(MarkupType="Supplier Markup",V1322+V1322*SupplierMarkup,"Error at finding value"))</f>
        <v>5.24</v>
      </c>
      <c r="AB1322" s="15">
        <f t="shared" si="461"/>
        <v>0</v>
      </c>
    </row>
    <row r="1323" spans="1:28" x14ac:dyDescent="0.25">
      <c r="A1323" s="16">
        <f>OrdersTable!A1323</f>
        <v>284</v>
      </c>
      <c r="B1323" s="15" t="str">
        <f t="shared" si="441"/>
        <v>Mr</v>
      </c>
      <c r="C1323" s="15" t="str">
        <f t="shared" si="462"/>
        <v>Aitcheson</v>
      </c>
      <c r="D1323" s="15" t="str">
        <f t="shared" si="442"/>
        <v>Ben James</v>
      </c>
      <c r="E1323" s="15" t="str">
        <f t="shared" si="443"/>
        <v>32 Evans Avenue</v>
      </c>
      <c r="F1323" s="15" t="str">
        <f t="shared" si="444"/>
        <v>Batlow</v>
      </c>
      <c r="G1323" s="15" t="str">
        <f t="shared" si="445"/>
        <v>NSW</v>
      </c>
      <c r="H1323" s="15">
        <f t="shared" si="446"/>
        <v>2730</v>
      </c>
      <c r="I1323" s="15">
        <f t="shared" si="457"/>
        <v>1138</v>
      </c>
      <c r="J1323" s="15">
        <f>OrdersTable!B1323</f>
        <v>852</v>
      </c>
      <c r="K1323" s="15" t="str">
        <f t="shared" si="447"/>
        <v>Statues and Busts</v>
      </c>
      <c r="L1323" s="15" t="str">
        <f t="shared" si="448"/>
        <v>Doctor Who: Statue: Revenge Of The Cybermen Cyberleader</v>
      </c>
      <c r="M1323" s="15" t="str">
        <f t="shared" si="449"/>
        <v>-</v>
      </c>
      <c r="N1323" s="15">
        <f t="shared" si="450"/>
        <v>5.4</v>
      </c>
      <c r="O1323" s="15" t="str">
        <f t="shared" si="451"/>
        <v>A50</v>
      </c>
      <c r="P1323" s="15" t="str">
        <f t="shared" si="452"/>
        <v>Rassilon Ltd.</v>
      </c>
      <c r="Q1323" s="15" t="str">
        <f t="shared" si="453"/>
        <v>82 Richard Mathews Road</v>
      </c>
      <c r="R1323" s="3">
        <f>OrdersTable!C1323</f>
        <v>44655</v>
      </c>
      <c r="S1323" s="15">
        <f>OrdersTable!E1323</f>
        <v>2</v>
      </c>
      <c r="T1323" s="15">
        <f t="shared" si="454"/>
        <v>108</v>
      </c>
      <c r="U1323" s="15">
        <f t="shared" si="455"/>
        <v>147.29</v>
      </c>
      <c r="V1323" s="15">
        <f t="shared" si="456"/>
        <v>174.96</v>
      </c>
      <c r="W1323" s="15">
        <f>IF(MarkupType="Store Markup",ROUND(V1323+V1323*StoreMarkup,2),IF(MarkupType="Supplier Markup",V1323+V1323*SupplierMarkup,"Error at finding value"))</f>
        <v>275.56</v>
      </c>
      <c r="X1323" s="32" t="str">
        <f t="shared" si="458"/>
        <v>0.00</v>
      </c>
      <c r="Y1323" s="15">
        <f t="shared" si="459"/>
        <v>349.92</v>
      </c>
      <c r="Z1323" s="15">
        <f t="shared" si="460"/>
        <v>551.12</v>
      </c>
      <c r="AA1323" s="15">
        <f>IF(FreightType="Lethbridge-Stewart Freight ",ROUND(2.99+IF(N1323&gt;0.75,(N1323-0.75)*2.25,0)*S1323,2),IF(MarkupType="Supplier Markup",V1323+V1323*SupplierMarkup,"Error at finding value"))</f>
        <v>23.92</v>
      </c>
      <c r="AB1323" s="15">
        <f t="shared" si="461"/>
        <v>0</v>
      </c>
    </row>
    <row r="1324" spans="1:28" x14ac:dyDescent="0.25">
      <c r="A1324" s="16">
        <f>OrdersTable!A1324</f>
        <v>561</v>
      </c>
      <c r="B1324" s="15" t="str">
        <f t="shared" si="441"/>
        <v>Ms</v>
      </c>
      <c r="C1324" s="15" t="str">
        <f t="shared" si="462"/>
        <v>Mulcahy</v>
      </c>
      <c r="D1324" s="15" t="str">
        <f t="shared" si="442"/>
        <v>Jodie Leigh</v>
      </c>
      <c r="E1324" s="15" t="str">
        <f t="shared" si="443"/>
        <v>32 Scott Crescent</v>
      </c>
      <c r="F1324" s="15" t="str">
        <f t="shared" si="444"/>
        <v>Bray Park</v>
      </c>
      <c r="G1324" s="15" t="str">
        <f t="shared" si="445"/>
        <v>QLD</v>
      </c>
      <c r="H1324" s="15">
        <f t="shared" si="446"/>
        <v>4500</v>
      </c>
      <c r="I1324" s="15">
        <f t="shared" si="457"/>
        <v>139</v>
      </c>
      <c r="J1324" s="15">
        <f>OrdersTable!B1324</f>
        <v>769</v>
      </c>
      <c r="K1324" s="15" t="str">
        <f t="shared" si="447"/>
        <v>Statues and Busts</v>
      </c>
      <c r="L1324" s="15" t="str">
        <f t="shared" si="448"/>
        <v>Doctor Who: Legends Forever Bust: Tom Baker</v>
      </c>
      <c r="M1324" s="15" t="str">
        <f t="shared" si="449"/>
        <v>-</v>
      </c>
      <c r="N1324" s="15">
        <f t="shared" si="450"/>
        <v>1.375</v>
      </c>
      <c r="O1324" s="15" t="str">
        <f t="shared" si="451"/>
        <v>A30</v>
      </c>
      <c r="P1324" s="15" t="str">
        <f t="shared" si="452"/>
        <v>Chesterton Enterprises</v>
      </c>
      <c r="Q1324" s="15" t="str">
        <f t="shared" si="453"/>
        <v>41 William Russell Road</v>
      </c>
      <c r="R1324" s="3">
        <f>OrdersTable!C1324</f>
        <v>44655</v>
      </c>
      <c r="S1324" s="15">
        <f>OrdersTable!E1324</f>
        <v>7</v>
      </c>
      <c r="T1324" s="15">
        <f t="shared" si="454"/>
        <v>27.5</v>
      </c>
      <c r="U1324" s="15">
        <f t="shared" si="455"/>
        <v>37.76</v>
      </c>
      <c r="V1324" s="15">
        <f t="shared" si="456"/>
        <v>44.55</v>
      </c>
      <c r="W1324" s="15">
        <f>IF(MarkupType="Store Markup",ROUND(V1324+V1324*StoreMarkup,2),IF(MarkupType="Supplier Markup",V1324+V1324*SupplierMarkup,"Error at finding value"))</f>
        <v>70.17</v>
      </c>
      <c r="X1324" s="32" t="str">
        <f t="shared" si="458"/>
        <v>0.00</v>
      </c>
      <c r="Y1324" s="15">
        <f t="shared" si="459"/>
        <v>311.85000000000002</v>
      </c>
      <c r="Z1324" s="15">
        <f t="shared" si="460"/>
        <v>491.19</v>
      </c>
      <c r="AA1324" s="15">
        <f>IF(FreightType="Lethbridge-Stewart Freight ",ROUND(2.99+IF(N1324&gt;0.75,(N1324-0.75)*2.25,0)*S1324,2),IF(MarkupType="Supplier Markup",V1324+V1324*SupplierMarkup,"Error at finding value"))</f>
        <v>12.83</v>
      </c>
      <c r="AB1324" s="15">
        <f t="shared" si="461"/>
        <v>0</v>
      </c>
    </row>
    <row r="1325" spans="1:28" x14ac:dyDescent="0.25">
      <c r="A1325" s="16">
        <f>OrdersTable!A1325</f>
        <v>730</v>
      </c>
      <c r="B1325" s="15" t="str">
        <f t="shared" si="441"/>
        <v>Mr</v>
      </c>
      <c r="C1325" s="15" t="str">
        <f t="shared" si="462"/>
        <v>Romer</v>
      </c>
      <c r="D1325" s="15" t="str">
        <f t="shared" si="442"/>
        <v>Leo Alexander</v>
      </c>
      <c r="E1325" s="15" t="str">
        <f t="shared" si="443"/>
        <v>47 Bennett Circuit</v>
      </c>
      <c r="F1325" s="15" t="str">
        <f t="shared" si="444"/>
        <v>Caliph</v>
      </c>
      <c r="G1325" s="15" t="str">
        <f t="shared" si="445"/>
        <v>SA</v>
      </c>
      <c r="H1325" s="15">
        <f t="shared" si="446"/>
        <v>5310</v>
      </c>
      <c r="I1325" s="15">
        <f t="shared" si="457"/>
        <v>1720</v>
      </c>
      <c r="J1325" s="15">
        <f>OrdersTable!B1325</f>
        <v>683</v>
      </c>
      <c r="K1325" s="15" t="str">
        <f t="shared" si="447"/>
        <v>Mugs</v>
      </c>
      <c r="L1325" s="15" t="str">
        <f t="shared" si="448"/>
        <v>Doctor Who: Mug: The Tenth Doctor</v>
      </c>
      <c r="M1325" s="15" t="str">
        <f t="shared" si="449"/>
        <v>-</v>
      </c>
      <c r="N1325" s="15">
        <f t="shared" si="450"/>
        <v>0.45</v>
      </c>
      <c r="O1325" s="15" t="str">
        <f t="shared" si="451"/>
        <v>A20</v>
      </c>
      <c r="P1325" s="15" t="str">
        <f t="shared" si="452"/>
        <v>Morbius Inc.</v>
      </c>
      <c r="Q1325" s="15" t="str">
        <f t="shared" si="453"/>
        <v>56 Michael Spice Hwy</v>
      </c>
      <c r="R1325" s="3">
        <f>OrdersTable!C1325</f>
        <v>44655</v>
      </c>
      <c r="S1325" s="15">
        <f>OrdersTable!E1325</f>
        <v>4</v>
      </c>
      <c r="T1325" s="15">
        <f t="shared" si="454"/>
        <v>8.99</v>
      </c>
      <c r="U1325" s="15">
        <f t="shared" si="455"/>
        <v>12.54</v>
      </c>
      <c r="V1325" s="15">
        <f t="shared" si="456"/>
        <v>14.56</v>
      </c>
      <c r="W1325" s="15">
        <f>IF(MarkupType="Store Markup",ROUND(V1325+V1325*StoreMarkup,2),IF(MarkupType="Supplier Markup",V1325+V1325*SupplierMarkup,"Error at finding value"))</f>
        <v>22.93</v>
      </c>
      <c r="X1325" s="32" t="str">
        <f t="shared" si="458"/>
        <v>0.00</v>
      </c>
      <c r="Y1325" s="15">
        <f t="shared" si="459"/>
        <v>58.24</v>
      </c>
      <c r="Z1325" s="15">
        <f t="shared" si="460"/>
        <v>91.72</v>
      </c>
      <c r="AA1325" s="15">
        <f>IF(FreightType="Lethbridge-Stewart Freight ",ROUND(2.99+IF(N1325&gt;0.75,(N1325-0.75)*2.25,0)*S1325,2),IF(MarkupType="Supplier Markup",V1325+V1325*SupplierMarkup,"Error at finding value"))</f>
        <v>2.99</v>
      </c>
      <c r="AB1325" s="15">
        <f t="shared" si="461"/>
        <v>0</v>
      </c>
    </row>
    <row r="1326" spans="1:28" x14ac:dyDescent="0.25">
      <c r="A1326" s="16">
        <f>OrdersTable!A1326</f>
        <v>730</v>
      </c>
      <c r="B1326" s="15" t="str">
        <f t="shared" si="441"/>
        <v>Mr</v>
      </c>
      <c r="C1326" s="15" t="str">
        <f t="shared" si="462"/>
        <v>Romer</v>
      </c>
      <c r="D1326" s="15" t="str">
        <f t="shared" si="442"/>
        <v>Leo Alexander</v>
      </c>
      <c r="E1326" s="15" t="str">
        <f t="shared" si="443"/>
        <v>47 Bennett Circuit</v>
      </c>
      <c r="F1326" s="15" t="str">
        <f t="shared" si="444"/>
        <v>Caliph</v>
      </c>
      <c r="G1326" s="15" t="str">
        <f t="shared" si="445"/>
        <v>SA</v>
      </c>
      <c r="H1326" s="15">
        <f t="shared" si="446"/>
        <v>5310</v>
      </c>
      <c r="I1326" s="15">
        <f t="shared" si="457"/>
        <v>1720</v>
      </c>
      <c r="J1326" s="15">
        <f>OrdersTable!B1326</f>
        <v>694</v>
      </c>
      <c r="K1326" s="15" t="str">
        <f t="shared" si="447"/>
        <v>Posters, Prints and Standees</v>
      </c>
      <c r="L1326" s="15" t="str">
        <f t="shared" si="448"/>
        <v>Doctor Who: 16'x12' Framed Print: Hide</v>
      </c>
      <c r="M1326" s="15" t="str">
        <f t="shared" si="449"/>
        <v>-</v>
      </c>
      <c r="N1326" s="15">
        <f t="shared" si="450"/>
        <v>0.75</v>
      </c>
      <c r="O1326" s="15" t="str">
        <f t="shared" si="451"/>
        <v>A40</v>
      </c>
      <c r="P1326" s="15" t="str">
        <f t="shared" si="452"/>
        <v>Romana Imports</v>
      </c>
      <c r="Q1326" s="15" t="str">
        <f t="shared" si="453"/>
        <v>17 Lalla Ward Road</v>
      </c>
      <c r="R1326" s="3">
        <f>OrdersTable!C1326</f>
        <v>44655</v>
      </c>
      <c r="S1326" s="15">
        <f>OrdersTable!E1326</f>
        <v>9</v>
      </c>
      <c r="T1326" s="15">
        <f t="shared" si="454"/>
        <v>14.99</v>
      </c>
      <c r="U1326" s="15">
        <f t="shared" si="455"/>
        <v>20.49</v>
      </c>
      <c r="V1326" s="15">
        <f t="shared" si="456"/>
        <v>24.28</v>
      </c>
      <c r="W1326" s="15">
        <f>IF(MarkupType="Store Markup",ROUND(V1326+V1326*StoreMarkup,2),IF(MarkupType="Supplier Markup",V1326+V1326*SupplierMarkup,"Error at finding value"))</f>
        <v>38.24</v>
      </c>
      <c r="X1326" s="32" t="str">
        <f t="shared" si="458"/>
        <v>0.00</v>
      </c>
      <c r="Y1326" s="15">
        <f t="shared" si="459"/>
        <v>218.52</v>
      </c>
      <c r="Z1326" s="15">
        <f t="shared" si="460"/>
        <v>344.16</v>
      </c>
      <c r="AA1326" s="15">
        <f>IF(FreightType="Lethbridge-Stewart Freight ",ROUND(2.99+IF(N1326&gt;0.75,(N1326-0.75)*2.25,0)*S1326,2),IF(MarkupType="Supplier Markup",V1326+V1326*SupplierMarkup,"Error at finding value"))</f>
        <v>2.99</v>
      </c>
      <c r="AB1326" s="15">
        <f t="shared" si="461"/>
        <v>0</v>
      </c>
    </row>
    <row r="1327" spans="1:28" x14ac:dyDescent="0.25">
      <c r="A1327" s="16">
        <f>OrdersTable!A1327</f>
        <v>972</v>
      </c>
      <c r="B1327" s="15" t="str">
        <f t="shared" si="441"/>
        <v>Miss</v>
      </c>
      <c r="C1327" s="15" t="str">
        <f t="shared" si="462"/>
        <v>Walsh</v>
      </c>
      <c r="D1327" s="15" t="str">
        <f t="shared" si="442"/>
        <v>Alana Jane</v>
      </c>
      <c r="E1327" s="15" t="str">
        <f t="shared" si="443"/>
        <v>40 Betts Crescent</v>
      </c>
      <c r="F1327" s="15" t="str">
        <f t="shared" si="444"/>
        <v>Alleena</v>
      </c>
      <c r="G1327" s="15" t="str">
        <f t="shared" si="445"/>
        <v>NSW</v>
      </c>
      <c r="H1327" s="15">
        <f t="shared" si="446"/>
        <v>2671</v>
      </c>
      <c r="I1327" s="15">
        <f t="shared" si="457"/>
        <v>988</v>
      </c>
      <c r="J1327" s="15">
        <f>OrdersTable!B1327</f>
        <v>679</v>
      </c>
      <c r="K1327" s="15" t="str">
        <f t="shared" si="447"/>
        <v>Mugs</v>
      </c>
      <c r="L1327" s="15" t="str">
        <f t="shared" si="448"/>
        <v>Doctor Who: Mug: The Fifth Doctor</v>
      </c>
      <c r="M1327" s="15" t="str">
        <f t="shared" si="449"/>
        <v>-</v>
      </c>
      <c r="N1327" s="15">
        <f t="shared" si="450"/>
        <v>0.45</v>
      </c>
      <c r="O1327" s="15" t="str">
        <f t="shared" si="451"/>
        <v>A40</v>
      </c>
      <c r="P1327" s="15" t="str">
        <f t="shared" si="452"/>
        <v>Romana Imports</v>
      </c>
      <c r="Q1327" s="15" t="str">
        <f t="shared" si="453"/>
        <v>17 Lalla Ward Road</v>
      </c>
      <c r="R1327" s="3">
        <f>OrdersTable!C1327</f>
        <v>44655</v>
      </c>
      <c r="S1327" s="15">
        <f>OrdersTable!E1327</f>
        <v>4</v>
      </c>
      <c r="T1327" s="15">
        <f t="shared" si="454"/>
        <v>8.99</v>
      </c>
      <c r="U1327" s="15">
        <f t="shared" si="455"/>
        <v>12.28</v>
      </c>
      <c r="V1327" s="15">
        <f t="shared" si="456"/>
        <v>14.56</v>
      </c>
      <c r="W1327" s="15">
        <f>IF(MarkupType="Store Markup",ROUND(V1327+V1327*StoreMarkup,2),IF(MarkupType="Supplier Markup",V1327+V1327*SupplierMarkup,"Error at finding value"))</f>
        <v>22.93</v>
      </c>
      <c r="X1327" s="32" t="str">
        <f t="shared" si="458"/>
        <v>0.00</v>
      </c>
      <c r="Y1327" s="15">
        <f t="shared" si="459"/>
        <v>58.24</v>
      </c>
      <c r="Z1327" s="15">
        <f t="shared" si="460"/>
        <v>91.72</v>
      </c>
      <c r="AA1327" s="15">
        <f>IF(FreightType="Lethbridge-Stewart Freight ",ROUND(2.99+IF(N1327&gt;0.75,(N1327-0.75)*2.25,0)*S1327,2),IF(MarkupType="Supplier Markup",V1327+V1327*SupplierMarkup,"Error at finding value"))</f>
        <v>2.99</v>
      </c>
      <c r="AB1327" s="15">
        <f t="shared" si="461"/>
        <v>0</v>
      </c>
    </row>
    <row r="1328" spans="1:28" x14ac:dyDescent="0.25">
      <c r="A1328" s="16">
        <f>OrdersTable!A1328</f>
        <v>42</v>
      </c>
      <c r="B1328" s="15" t="str">
        <f t="shared" si="441"/>
        <v>Mr</v>
      </c>
      <c r="C1328" s="15" t="str">
        <f t="shared" si="462"/>
        <v>Ballantyne</v>
      </c>
      <c r="D1328" s="15" t="str">
        <f t="shared" si="442"/>
        <v>Barry John</v>
      </c>
      <c r="E1328" s="15" t="str">
        <f t="shared" si="443"/>
        <v>14 Bachmann Drive</v>
      </c>
      <c r="F1328" s="15" t="str">
        <f t="shared" si="444"/>
        <v>Alleena</v>
      </c>
      <c r="G1328" s="15" t="str">
        <f t="shared" si="445"/>
        <v>NSW</v>
      </c>
      <c r="H1328" s="15">
        <f t="shared" si="446"/>
        <v>2671</v>
      </c>
      <c r="I1328" s="15">
        <f t="shared" si="457"/>
        <v>988</v>
      </c>
      <c r="J1328" s="15">
        <f>OrdersTable!B1328</f>
        <v>719</v>
      </c>
      <c r="K1328" s="15" t="str">
        <f t="shared" si="447"/>
        <v>Posters, Prints and Standees</v>
      </c>
      <c r="L1328" s="15" t="str">
        <f t="shared" si="448"/>
        <v>Doctor Who: Standee: Supreme Dalek</v>
      </c>
      <c r="M1328" s="15" t="str">
        <f t="shared" si="449"/>
        <v>-</v>
      </c>
      <c r="N1328" s="15">
        <f t="shared" si="450"/>
        <v>1.125</v>
      </c>
      <c r="O1328" s="15" t="str">
        <f t="shared" si="451"/>
        <v>A50</v>
      </c>
      <c r="P1328" s="15" t="str">
        <f t="shared" si="452"/>
        <v>Rassilon Ltd.</v>
      </c>
      <c r="Q1328" s="15" t="str">
        <f t="shared" si="453"/>
        <v>82 Richard Mathews Road</v>
      </c>
      <c r="R1328" s="3">
        <f>OrdersTable!C1328</f>
        <v>44656</v>
      </c>
      <c r="S1328" s="15">
        <f>OrdersTable!E1328</f>
        <v>10</v>
      </c>
      <c r="T1328" s="15">
        <f t="shared" si="454"/>
        <v>22.49</v>
      </c>
      <c r="U1328" s="15">
        <f t="shared" si="455"/>
        <v>30.76</v>
      </c>
      <c r="V1328" s="15">
        <f t="shared" si="456"/>
        <v>36.43</v>
      </c>
      <c r="W1328" s="15">
        <f>IF(MarkupType="Store Markup",ROUND(V1328+V1328*StoreMarkup,2),IF(MarkupType="Supplier Markup",V1328+V1328*SupplierMarkup,"Error at finding value"))</f>
        <v>57.38</v>
      </c>
      <c r="X1328" s="32" t="str">
        <f t="shared" si="458"/>
        <v>0.00</v>
      </c>
      <c r="Y1328" s="15">
        <f t="shared" si="459"/>
        <v>364.3</v>
      </c>
      <c r="Z1328" s="15">
        <f t="shared" si="460"/>
        <v>573.79999999999995</v>
      </c>
      <c r="AA1328" s="15">
        <f>IF(FreightType="Lethbridge-Stewart Freight ",ROUND(2.99+IF(N1328&gt;0.75,(N1328-0.75)*2.25,0)*S1328,2),IF(MarkupType="Supplier Markup",V1328+V1328*SupplierMarkup,"Error at finding value"))</f>
        <v>11.43</v>
      </c>
      <c r="AB1328" s="15">
        <f t="shared" si="461"/>
        <v>0</v>
      </c>
    </row>
    <row r="1329" spans="1:28" x14ac:dyDescent="0.25">
      <c r="A1329" s="16">
        <f>OrdersTable!A1329</f>
        <v>66</v>
      </c>
      <c r="B1329" s="15" t="str">
        <f t="shared" si="441"/>
        <v>Mr</v>
      </c>
      <c r="C1329" s="15" t="str">
        <f t="shared" si="462"/>
        <v>Bachmann</v>
      </c>
      <c r="D1329" s="15" t="str">
        <f t="shared" si="442"/>
        <v>Aaron</v>
      </c>
      <c r="E1329" s="15" t="str">
        <f t="shared" si="443"/>
        <v>3 Csabai Avenue</v>
      </c>
      <c r="F1329" s="15" t="str">
        <f t="shared" si="444"/>
        <v>Bridgewater</v>
      </c>
      <c r="G1329" s="15" t="str">
        <f t="shared" si="445"/>
        <v>VIC</v>
      </c>
      <c r="H1329" s="15">
        <f t="shared" si="446"/>
        <v>3516</v>
      </c>
      <c r="I1329" s="15">
        <f t="shared" si="457"/>
        <v>1486</v>
      </c>
      <c r="J1329" s="15">
        <f>OrdersTable!B1329</f>
        <v>580</v>
      </c>
      <c r="K1329" s="15" t="str">
        <f t="shared" si="447"/>
        <v>Giftware</v>
      </c>
      <c r="L1329" s="15" t="str">
        <f t="shared" si="448"/>
        <v>Doctor Who: Wallpaper: Classic TARDIS Columns</v>
      </c>
      <c r="M1329" s="15" t="str">
        <f t="shared" si="449"/>
        <v>-</v>
      </c>
      <c r="N1329" s="15">
        <f t="shared" si="450"/>
        <v>0.65500000000000003</v>
      </c>
      <c r="O1329" s="15" t="str">
        <f t="shared" si="451"/>
        <v>A50</v>
      </c>
      <c r="P1329" s="15" t="str">
        <f t="shared" si="452"/>
        <v>Rassilon Ltd.</v>
      </c>
      <c r="Q1329" s="15" t="str">
        <f t="shared" si="453"/>
        <v>82 Richard Mathews Road</v>
      </c>
      <c r="R1329" s="3">
        <f>OrdersTable!C1329</f>
        <v>44656</v>
      </c>
      <c r="S1329" s="15">
        <f>OrdersTable!E1329</f>
        <v>5</v>
      </c>
      <c r="T1329" s="15">
        <f t="shared" si="454"/>
        <v>13.11</v>
      </c>
      <c r="U1329" s="15">
        <f t="shared" si="455"/>
        <v>18.18</v>
      </c>
      <c r="V1329" s="15">
        <f t="shared" si="456"/>
        <v>21.24</v>
      </c>
      <c r="W1329" s="15">
        <f>IF(MarkupType="Store Markup",ROUND(V1329+V1329*StoreMarkup,2),IF(MarkupType="Supplier Markup",V1329+V1329*SupplierMarkup,"Error at finding value"))</f>
        <v>33.450000000000003</v>
      </c>
      <c r="X1329" s="32" t="str">
        <f t="shared" si="458"/>
        <v>0.00</v>
      </c>
      <c r="Y1329" s="15">
        <f t="shared" si="459"/>
        <v>106.2</v>
      </c>
      <c r="Z1329" s="15">
        <f t="shared" si="460"/>
        <v>167.25</v>
      </c>
      <c r="AA1329" s="15">
        <f>IF(FreightType="Lethbridge-Stewart Freight ",ROUND(2.99+IF(N1329&gt;0.75,(N1329-0.75)*2.25,0)*S1329,2),IF(MarkupType="Supplier Markup",V1329+V1329*SupplierMarkup,"Error at finding value"))</f>
        <v>2.99</v>
      </c>
      <c r="AB1329" s="15">
        <f t="shared" si="461"/>
        <v>0</v>
      </c>
    </row>
    <row r="1330" spans="1:28" x14ac:dyDescent="0.25">
      <c r="A1330" s="16">
        <f>OrdersTable!A1330</f>
        <v>329</v>
      </c>
      <c r="B1330" s="15" t="str">
        <f t="shared" si="441"/>
        <v>Ms</v>
      </c>
      <c r="C1330" s="15" t="str">
        <f t="shared" si="462"/>
        <v>Hubbard</v>
      </c>
      <c r="D1330" s="15" t="str">
        <f t="shared" si="442"/>
        <v>Sonya Marie</v>
      </c>
      <c r="E1330" s="15" t="str">
        <f t="shared" si="443"/>
        <v>42 Keable Crescent</v>
      </c>
      <c r="F1330" s="15" t="str">
        <f t="shared" si="444"/>
        <v>Boston</v>
      </c>
      <c r="G1330" s="15" t="str">
        <f t="shared" si="445"/>
        <v>SA</v>
      </c>
      <c r="H1330" s="15">
        <f t="shared" si="446"/>
        <v>5607</v>
      </c>
      <c r="I1330" s="15">
        <f t="shared" si="457"/>
        <v>2076</v>
      </c>
      <c r="J1330" s="15">
        <f>OrdersTable!B1330</f>
        <v>541</v>
      </c>
      <c r="K1330" s="15" t="str">
        <f t="shared" si="447"/>
        <v>Giftware</v>
      </c>
      <c r="L1330" s="15" t="str">
        <f t="shared" si="448"/>
        <v>Doctor Who: Salt and Pepper Shakers: TARDIS</v>
      </c>
      <c r="M1330" s="15" t="str">
        <f t="shared" si="449"/>
        <v>-</v>
      </c>
      <c r="N1330" s="15">
        <f t="shared" si="450"/>
        <v>0.6</v>
      </c>
      <c r="O1330" s="15" t="str">
        <f t="shared" si="451"/>
        <v>A10</v>
      </c>
      <c r="P1330" s="15" t="str">
        <f t="shared" si="452"/>
        <v>Gallifrey International</v>
      </c>
      <c r="Q1330" s="15" t="str">
        <f t="shared" si="453"/>
        <v>181 Arcadia Street</v>
      </c>
      <c r="R1330" s="3">
        <f>OrdersTable!C1330</f>
        <v>44656</v>
      </c>
      <c r="S1330" s="15">
        <f>OrdersTable!E1330</f>
        <v>9</v>
      </c>
      <c r="T1330" s="15">
        <f t="shared" si="454"/>
        <v>11.99</v>
      </c>
      <c r="U1330" s="15">
        <f t="shared" si="455"/>
        <v>16.62</v>
      </c>
      <c r="V1330" s="15">
        <f t="shared" si="456"/>
        <v>19.420000000000002</v>
      </c>
      <c r="W1330" s="15">
        <f>IF(MarkupType="Store Markup",ROUND(V1330+V1330*StoreMarkup,2),IF(MarkupType="Supplier Markup",V1330+V1330*SupplierMarkup,"Error at finding value"))</f>
        <v>30.59</v>
      </c>
      <c r="X1330" s="32" t="str">
        <f t="shared" si="458"/>
        <v>0.00</v>
      </c>
      <c r="Y1330" s="15">
        <f t="shared" si="459"/>
        <v>174.78</v>
      </c>
      <c r="Z1330" s="15">
        <f t="shared" si="460"/>
        <v>275.31</v>
      </c>
      <c r="AA1330" s="15">
        <f>IF(FreightType="Lethbridge-Stewart Freight ",ROUND(2.99+IF(N1330&gt;0.75,(N1330-0.75)*2.25,0)*S1330,2),IF(MarkupType="Supplier Markup",V1330+V1330*SupplierMarkup,"Error at finding value"))</f>
        <v>2.99</v>
      </c>
      <c r="AB1330" s="15">
        <f t="shared" si="461"/>
        <v>0</v>
      </c>
    </row>
    <row r="1331" spans="1:28" x14ac:dyDescent="0.25">
      <c r="A1331" s="16">
        <f>OrdersTable!A1331</f>
        <v>334</v>
      </c>
      <c r="B1331" s="15" t="str">
        <f t="shared" si="441"/>
        <v>Mrs</v>
      </c>
      <c r="C1331" s="15" t="str">
        <f t="shared" si="462"/>
        <v>Wilson</v>
      </c>
      <c r="D1331" s="15" t="str">
        <f t="shared" si="442"/>
        <v>Hayley Lauren</v>
      </c>
      <c r="E1331" s="15" t="str">
        <f t="shared" si="443"/>
        <v>3 Ashley Crescent</v>
      </c>
      <c r="F1331" s="15" t="str">
        <f t="shared" si="444"/>
        <v>Black Hills</v>
      </c>
      <c r="G1331" s="15" t="str">
        <f t="shared" si="445"/>
        <v>TAS</v>
      </c>
      <c r="H1331" s="15">
        <f t="shared" si="446"/>
        <v>7140</v>
      </c>
      <c r="I1331" s="15">
        <f t="shared" si="457"/>
        <v>2191</v>
      </c>
      <c r="J1331" s="15">
        <f>OrdersTable!B1331</f>
        <v>817</v>
      </c>
      <c r="K1331" s="15" t="str">
        <f t="shared" si="447"/>
        <v>Statues and Busts</v>
      </c>
      <c r="L1331" s="15" t="str">
        <f t="shared" si="448"/>
        <v>Doctor Who: Masterpiece Collection Maxi Bust: Torchwood Captain Jack Harkness</v>
      </c>
      <c r="M1331" s="15" t="str">
        <f t="shared" si="449"/>
        <v>-</v>
      </c>
      <c r="N1331" s="15">
        <f t="shared" si="450"/>
        <v>2.5</v>
      </c>
      <c r="O1331" s="15" t="str">
        <f t="shared" si="451"/>
        <v>A10</v>
      </c>
      <c r="P1331" s="15" t="str">
        <f t="shared" si="452"/>
        <v>Gallifrey International</v>
      </c>
      <c r="Q1331" s="15" t="str">
        <f t="shared" si="453"/>
        <v>181 Arcadia Street</v>
      </c>
      <c r="R1331" s="3">
        <f>OrdersTable!C1331</f>
        <v>44656</v>
      </c>
      <c r="S1331" s="15">
        <f>OrdersTable!E1331</f>
        <v>8</v>
      </c>
      <c r="T1331" s="15">
        <f t="shared" si="454"/>
        <v>49.99</v>
      </c>
      <c r="U1331" s="15">
        <f t="shared" si="455"/>
        <v>68.44</v>
      </c>
      <c r="V1331" s="15">
        <f t="shared" si="456"/>
        <v>80.98</v>
      </c>
      <c r="W1331" s="15">
        <f>IF(MarkupType="Store Markup",ROUND(V1331+V1331*StoreMarkup,2),IF(MarkupType="Supplier Markup",V1331+V1331*SupplierMarkup,"Error at finding value"))</f>
        <v>127.54</v>
      </c>
      <c r="X1331" s="32">
        <f t="shared" si="458"/>
        <v>9.09</v>
      </c>
      <c r="Y1331" s="15">
        <f t="shared" si="459"/>
        <v>647.84</v>
      </c>
      <c r="Z1331" s="15">
        <f t="shared" si="460"/>
        <v>947.6</v>
      </c>
      <c r="AA1331" s="15">
        <f>IF(FreightType="Lethbridge-Stewart Freight ",ROUND(2.99+IF(N1331&gt;0.75,(N1331-0.75)*2.25,0)*S1331,2),IF(MarkupType="Supplier Markup",V1331+V1331*SupplierMarkup,"Error at finding value"))</f>
        <v>34.49</v>
      </c>
      <c r="AB1331" s="15">
        <f t="shared" si="461"/>
        <v>72.72</v>
      </c>
    </row>
    <row r="1332" spans="1:28" x14ac:dyDescent="0.25">
      <c r="A1332" s="16">
        <f>OrdersTable!A1332</f>
        <v>360</v>
      </c>
      <c r="B1332" s="15" t="str">
        <f t="shared" si="441"/>
        <v>Ms</v>
      </c>
      <c r="C1332" s="15" t="str">
        <f t="shared" si="462"/>
        <v>Bobonica</v>
      </c>
      <c r="D1332" s="15" t="str">
        <f t="shared" si="442"/>
        <v>Claudia</v>
      </c>
      <c r="E1332" s="15" t="str">
        <f t="shared" si="443"/>
        <v>47 Klein Way</v>
      </c>
      <c r="F1332" s="15" t="str">
        <f t="shared" si="444"/>
        <v>Avon Plains</v>
      </c>
      <c r="G1332" s="15" t="str">
        <f t="shared" si="445"/>
        <v>VIC</v>
      </c>
      <c r="H1332" s="15">
        <f t="shared" si="446"/>
        <v>3477</v>
      </c>
      <c r="I1332" s="15">
        <f t="shared" si="457"/>
        <v>1565</v>
      </c>
      <c r="J1332" s="15">
        <f>OrdersTable!B1332</f>
        <v>282</v>
      </c>
      <c r="K1332" s="15" t="str">
        <f t="shared" si="447"/>
        <v>Clothing and Apparel</v>
      </c>
      <c r="L1332" s="15" t="str">
        <f t="shared" si="448"/>
        <v>Doctor Who: Tardis Laplander Hat</v>
      </c>
      <c r="M1332" s="15" t="str">
        <f t="shared" si="449"/>
        <v>-</v>
      </c>
      <c r="N1332" s="15">
        <f t="shared" si="450"/>
        <v>0.97499999999999998</v>
      </c>
      <c r="O1332" s="15" t="str">
        <f t="shared" si="451"/>
        <v>A10</v>
      </c>
      <c r="P1332" s="15" t="str">
        <f t="shared" si="452"/>
        <v>Gallifrey International</v>
      </c>
      <c r="Q1332" s="15" t="str">
        <f t="shared" si="453"/>
        <v>181 Arcadia Street</v>
      </c>
      <c r="R1332" s="3">
        <f>OrdersTable!C1332</f>
        <v>44656</v>
      </c>
      <c r="S1332" s="15">
        <f>OrdersTable!E1332</f>
        <v>6</v>
      </c>
      <c r="T1332" s="15">
        <f t="shared" si="454"/>
        <v>19.5</v>
      </c>
      <c r="U1332" s="15">
        <f t="shared" si="455"/>
        <v>26.93</v>
      </c>
      <c r="V1332" s="15">
        <f t="shared" si="456"/>
        <v>31.59</v>
      </c>
      <c r="W1332" s="15">
        <f>IF(MarkupType="Store Markup",ROUND(V1332+V1332*StoreMarkup,2),IF(MarkupType="Supplier Markup",V1332+V1332*SupplierMarkup,"Error at finding value"))</f>
        <v>49.75</v>
      </c>
      <c r="X1332" s="32" t="str">
        <f t="shared" si="458"/>
        <v>0.00</v>
      </c>
      <c r="Y1332" s="15">
        <f t="shared" si="459"/>
        <v>189.54</v>
      </c>
      <c r="Z1332" s="15">
        <f t="shared" si="460"/>
        <v>298.5</v>
      </c>
      <c r="AA1332" s="15">
        <f>IF(FreightType="Lethbridge-Stewart Freight ",ROUND(2.99+IF(N1332&gt;0.75,(N1332-0.75)*2.25,0)*S1332,2),IF(MarkupType="Supplier Markup",V1332+V1332*SupplierMarkup,"Error at finding value"))</f>
        <v>6.03</v>
      </c>
      <c r="AB1332" s="15">
        <f t="shared" si="461"/>
        <v>0</v>
      </c>
    </row>
    <row r="1333" spans="1:28" x14ac:dyDescent="0.25">
      <c r="A1333" s="16">
        <f>OrdersTable!A1333</f>
        <v>360</v>
      </c>
      <c r="B1333" s="15" t="str">
        <f t="shared" si="441"/>
        <v>Ms</v>
      </c>
      <c r="C1333" s="15" t="str">
        <f t="shared" si="462"/>
        <v>Bobonica</v>
      </c>
      <c r="D1333" s="15" t="str">
        <f t="shared" si="442"/>
        <v>Claudia</v>
      </c>
      <c r="E1333" s="15" t="str">
        <f t="shared" si="443"/>
        <v>47 Klein Way</v>
      </c>
      <c r="F1333" s="15" t="str">
        <f t="shared" si="444"/>
        <v>Avon Plains</v>
      </c>
      <c r="G1333" s="15" t="str">
        <f t="shared" si="445"/>
        <v>VIC</v>
      </c>
      <c r="H1333" s="15">
        <f t="shared" si="446"/>
        <v>3477</v>
      </c>
      <c r="I1333" s="15">
        <f t="shared" si="457"/>
        <v>1565</v>
      </c>
      <c r="J1333" s="15">
        <f>OrdersTable!B1333</f>
        <v>685</v>
      </c>
      <c r="K1333" s="15" t="str">
        <f t="shared" si="447"/>
        <v>Mugs</v>
      </c>
      <c r="L1333" s="15" t="str">
        <f t="shared" si="448"/>
        <v>Doctor Who: Teapot: Sliver TARDIS</v>
      </c>
      <c r="M1333" s="15" t="str">
        <f t="shared" si="449"/>
        <v>-</v>
      </c>
      <c r="N1333" s="15">
        <f t="shared" si="450"/>
        <v>1.35</v>
      </c>
      <c r="O1333" s="15" t="str">
        <f t="shared" si="451"/>
        <v>A30</v>
      </c>
      <c r="P1333" s="15" t="str">
        <f t="shared" si="452"/>
        <v>Chesterton Enterprises</v>
      </c>
      <c r="Q1333" s="15" t="str">
        <f t="shared" si="453"/>
        <v>41 William Russell Road</v>
      </c>
      <c r="R1333" s="3">
        <f>OrdersTable!C1333</f>
        <v>44656</v>
      </c>
      <c r="S1333" s="15">
        <f>OrdersTable!E1333</f>
        <v>6</v>
      </c>
      <c r="T1333" s="15">
        <f t="shared" si="454"/>
        <v>26.99</v>
      </c>
      <c r="U1333" s="15">
        <f t="shared" si="455"/>
        <v>36.869999999999997</v>
      </c>
      <c r="V1333" s="15">
        <f t="shared" si="456"/>
        <v>43.72</v>
      </c>
      <c r="W1333" s="15">
        <f>IF(MarkupType="Store Markup",ROUND(V1333+V1333*StoreMarkup,2),IF(MarkupType="Supplier Markup",V1333+V1333*SupplierMarkup,"Error at finding value"))</f>
        <v>68.86</v>
      </c>
      <c r="X1333" s="32" t="str">
        <f t="shared" si="458"/>
        <v>0.00</v>
      </c>
      <c r="Y1333" s="15">
        <f t="shared" si="459"/>
        <v>262.32</v>
      </c>
      <c r="Z1333" s="15">
        <f t="shared" si="460"/>
        <v>413.16</v>
      </c>
      <c r="AA1333" s="15">
        <f>IF(FreightType="Lethbridge-Stewart Freight ",ROUND(2.99+IF(N1333&gt;0.75,(N1333-0.75)*2.25,0)*S1333,2),IF(MarkupType="Supplier Markup",V1333+V1333*SupplierMarkup,"Error at finding value"))</f>
        <v>11.09</v>
      </c>
      <c r="AB1333" s="15">
        <f t="shared" si="461"/>
        <v>0</v>
      </c>
    </row>
    <row r="1334" spans="1:28" x14ac:dyDescent="0.25">
      <c r="A1334" s="16">
        <f>OrdersTable!A1334</f>
        <v>362</v>
      </c>
      <c r="B1334" s="15" t="str">
        <f t="shared" si="441"/>
        <v>Mr</v>
      </c>
      <c r="C1334" s="15" t="str">
        <f t="shared" si="462"/>
        <v>Hurst</v>
      </c>
      <c r="D1334" s="15" t="str">
        <f t="shared" si="442"/>
        <v>Ralph Gregory</v>
      </c>
      <c r="E1334" s="15" t="str">
        <f t="shared" si="443"/>
        <v>45 Blakeney Road</v>
      </c>
      <c r="F1334" s="15" t="str">
        <f t="shared" si="444"/>
        <v>Iluka</v>
      </c>
      <c r="G1334" s="15" t="str">
        <f t="shared" si="445"/>
        <v>NSW</v>
      </c>
      <c r="H1334" s="15">
        <f t="shared" si="446"/>
        <v>2466</v>
      </c>
      <c r="I1334" s="15">
        <f t="shared" si="457"/>
        <v>347</v>
      </c>
      <c r="J1334" s="15">
        <f>OrdersTable!B1334</f>
        <v>259</v>
      </c>
      <c r="K1334" s="15" t="str">
        <f t="shared" si="447"/>
        <v>Clothing and Apparel</v>
      </c>
      <c r="L1334" s="15" t="str">
        <f t="shared" si="448"/>
        <v>Doctor Who: Men's Winter Pyjamas</v>
      </c>
      <c r="M1334" s="15" t="str">
        <f t="shared" si="449"/>
        <v>XL</v>
      </c>
      <c r="N1334" s="15">
        <f t="shared" si="450"/>
        <v>1.5</v>
      </c>
      <c r="O1334" s="15" t="str">
        <f t="shared" si="451"/>
        <v>A50</v>
      </c>
      <c r="P1334" s="15" t="str">
        <f t="shared" si="452"/>
        <v>Rassilon Ltd.</v>
      </c>
      <c r="Q1334" s="15" t="str">
        <f t="shared" si="453"/>
        <v>82 Richard Mathews Road</v>
      </c>
      <c r="R1334" s="3">
        <f>OrdersTable!C1334</f>
        <v>44656</v>
      </c>
      <c r="S1334" s="15">
        <f>OrdersTable!E1334</f>
        <v>1</v>
      </c>
      <c r="T1334" s="15">
        <f t="shared" si="454"/>
        <v>29.99</v>
      </c>
      <c r="U1334" s="15">
        <f t="shared" si="455"/>
        <v>41.15</v>
      </c>
      <c r="V1334" s="15">
        <f t="shared" si="456"/>
        <v>48.58</v>
      </c>
      <c r="W1334" s="15">
        <f>IF(MarkupType="Store Markup",ROUND(V1334+V1334*StoreMarkup,2),IF(MarkupType="Supplier Markup",V1334+V1334*SupplierMarkup,"Error at finding value"))</f>
        <v>76.510000000000005</v>
      </c>
      <c r="X1334" s="32" t="str">
        <f t="shared" si="458"/>
        <v>0.00</v>
      </c>
      <c r="Y1334" s="15">
        <f t="shared" si="459"/>
        <v>48.58</v>
      </c>
      <c r="Z1334" s="15">
        <f t="shared" si="460"/>
        <v>76.510000000000005</v>
      </c>
      <c r="AA1334" s="15">
        <f>IF(FreightType="Lethbridge-Stewart Freight ",ROUND(2.99+IF(N1334&gt;0.75,(N1334-0.75)*2.25,0)*S1334,2),IF(MarkupType="Supplier Markup",V1334+V1334*SupplierMarkup,"Error at finding value"))</f>
        <v>4.68</v>
      </c>
      <c r="AB1334" s="15">
        <f t="shared" si="461"/>
        <v>0</v>
      </c>
    </row>
    <row r="1335" spans="1:28" x14ac:dyDescent="0.25">
      <c r="A1335" s="16">
        <f>OrdersTable!A1335</f>
        <v>364</v>
      </c>
      <c r="B1335" s="15" t="str">
        <f t="shared" si="441"/>
        <v>Dr</v>
      </c>
      <c r="C1335" s="15" t="str">
        <f t="shared" si="462"/>
        <v>Reibelt</v>
      </c>
      <c r="D1335" s="15" t="str">
        <f t="shared" si="442"/>
        <v>Corey James</v>
      </c>
      <c r="E1335" s="15" t="str">
        <f t="shared" si="443"/>
        <v>23 Burns Drive</v>
      </c>
      <c r="F1335" s="15" t="str">
        <f t="shared" si="444"/>
        <v>Caliph</v>
      </c>
      <c r="G1335" s="15" t="str">
        <f t="shared" si="445"/>
        <v>SA</v>
      </c>
      <c r="H1335" s="15">
        <f t="shared" si="446"/>
        <v>5310</v>
      </c>
      <c r="I1335" s="15">
        <f t="shared" si="457"/>
        <v>1720</v>
      </c>
      <c r="J1335" s="15">
        <f>OrdersTable!B1335</f>
        <v>843</v>
      </c>
      <c r="K1335" s="15" t="str">
        <f t="shared" si="447"/>
        <v>Statues and Busts</v>
      </c>
      <c r="L1335" s="15" t="str">
        <f t="shared" si="448"/>
        <v>Doctor Who: Signature Edition Statue: Gallifrey Edition: Tom Baker</v>
      </c>
      <c r="M1335" s="15" t="str">
        <f t="shared" si="449"/>
        <v>-</v>
      </c>
      <c r="N1335" s="15">
        <f t="shared" si="450"/>
        <v>2.5</v>
      </c>
      <c r="O1335" s="15" t="str">
        <f t="shared" si="451"/>
        <v>A20</v>
      </c>
      <c r="P1335" s="15" t="str">
        <f t="shared" si="452"/>
        <v>Morbius Inc.</v>
      </c>
      <c r="Q1335" s="15" t="str">
        <f t="shared" si="453"/>
        <v>56 Michael Spice Hwy</v>
      </c>
      <c r="R1335" s="3">
        <f>OrdersTable!C1335</f>
        <v>44656</v>
      </c>
      <c r="S1335" s="15">
        <f>OrdersTable!E1335</f>
        <v>7</v>
      </c>
      <c r="T1335" s="15">
        <f t="shared" si="454"/>
        <v>49.99</v>
      </c>
      <c r="U1335" s="15">
        <f t="shared" si="455"/>
        <v>68.33</v>
      </c>
      <c r="V1335" s="15">
        <f t="shared" si="456"/>
        <v>80.98</v>
      </c>
      <c r="W1335" s="15">
        <f>IF(MarkupType="Store Markup",ROUND(V1335+V1335*StoreMarkup,2),IF(MarkupType="Supplier Markup",V1335+V1335*SupplierMarkup,"Error at finding value"))</f>
        <v>127.54</v>
      </c>
      <c r="X1335" s="32">
        <f t="shared" si="458"/>
        <v>9.09</v>
      </c>
      <c r="Y1335" s="15">
        <f t="shared" si="459"/>
        <v>566.86</v>
      </c>
      <c r="Z1335" s="15">
        <f t="shared" si="460"/>
        <v>829.15</v>
      </c>
      <c r="AA1335" s="15">
        <f>IF(FreightType="Lethbridge-Stewart Freight ",ROUND(2.99+IF(N1335&gt;0.75,(N1335-0.75)*2.25,0)*S1335,2),IF(MarkupType="Supplier Markup",V1335+V1335*SupplierMarkup,"Error at finding value"))</f>
        <v>30.55</v>
      </c>
      <c r="AB1335" s="15">
        <f t="shared" si="461"/>
        <v>63.63</v>
      </c>
    </row>
    <row r="1336" spans="1:28" x14ac:dyDescent="0.25">
      <c r="A1336" s="16">
        <f>OrdersTable!A1336</f>
        <v>568</v>
      </c>
      <c r="B1336" s="15" t="str">
        <f t="shared" si="441"/>
        <v>Mr</v>
      </c>
      <c r="C1336" s="15" t="str">
        <f t="shared" si="462"/>
        <v>Byrne</v>
      </c>
      <c r="D1336" s="15" t="str">
        <f t="shared" si="442"/>
        <v>Gregory James</v>
      </c>
      <c r="E1336" s="15" t="str">
        <f t="shared" si="443"/>
        <v>18 Doroshenko Crescent</v>
      </c>
      <c r="F1336" s="15" t="str">
        <f t="shared" si="444"/>
        <v>Abington</v>
      </c>
      <c r="G1336" s="15" t="str">
        <f t="shared" si="445"/>
        <v>QLD</v>
      </c>
      <c r="H1336" s="15">
        <f t="shared" si="446"/>
        <v>4660</v>
      </c>
      <c r="I1336" s="15">
        <f t="shared" si="457"/>
        <v>336</v>
      </c>
      <c r="J1336" s="15">
        <f>OrdersTable!B1336</f>
        <v>843</v>
      </c>
      <c r="K1336" s="15" t="str">
        <f t="shared" si="447"/>
        <v>Statues and Busts</v>
      </c>
      <c r="L1336" s="15" t="str">
        <f t="shared" si="448"/>
        <v>Doctor Who: Signature Edition Statue: Gallifrey Edition: Tom Baker</v>
      </c>
      <c r="M1336" s="15" t="str">
        <f t="shared" si="449"/>
        <v>-</v>
      </c>
      <c r="N1336" s="15">
        <f t="shared" si="450"/>
        <v>2.5</v>
      </c>
      <c r="O1336" s="15" t="str">
        <f t="shared" si="451"/>
        <v>A20</v>
      </c>
      <c r="P1336" s="15" t="str">
        <f t="shared" si="452"/>
        <v>Morbius Inc.</v>
      </c>
      <c r="Q1336" s="15" t="str">
        <f t="shared" si="453"/>
        <v>56 Michael Spice Hwy</v>
      </c>
      <c r="R1336" s="3">
        <f>OrdersTable!C1336</f>
        <v>44656</v>
      </c>
      <c r="S1336" s="15">
        <f>OrdersTable!E1336</f>
        <v>8</v>
      </c>
      <c r="T1336" s="15">
        <f t="shared" si="454"/>
        <v>49.99</v>
      </c>
      <c r="U1336" s="15">
        <f t="shared" si="455"/>
        <v>68.33</v>
      </c>
      <c r="V1336" s="15">
        <f t="shared" si="456"/>
        <v>80.98</v>
      </c>
      <c r="W1336" s="15">
        <f>IF(MarkupType="Store Markup",ROUND(V1336+V1336*StoreMarkup,2),IF(MarkupType="Supplier Markup",V1336+V1336*SupplierMarkup,"Error at finding value"))</f>
        <v>127.54</v>
      </c>
      <c r="X1336" s="32">
        <f t="shared" si="458"/>
        <v>9.09</v>
      </c>
      <c r="Y1336" s="15">
        <f t="shared" si="459"/>
        <v>647.84</v>
      </c>
      <c r="Z1336" s="15">
        <f t="shared" si="460"/>
        <v>947.6</v>
      </c>
      <c r="AA1336" s="15">
        <f>IF(FreightType="Lethbridge-Stewart Freight ",ROUND(2.99+IF(N1336&gt;0.75,(N1336-0.75)*2.25,0)*S1336,2),IF(MarkupType="Supplier Markup",V1336+V1336*SupplierMarkup,"Error at finding value"))</f>
        <v>34.49</v>
      </c>
      <c r="AB1336" s="15">
        <f t="shared" si="461"/>
        <v>72.72</v>
      </c>
    </row>
    <row r="1337" spans="1:28" x14ac:dyDescent="0.25">
      <c r="A1337" s="16">
        <f>OrdersTable!A1337</f>
        <v>570</v>
      </c>
      <c r="B1337" s="15" t="str">
        <f t="shared" si="441"/>
        <v>Mr</v>
      </c>
      <c r="C1337" s="15" t="str">
        <f t="shared" si="462"/>
        <v>Adams</v>
      </c>
      <c r="D1337" s="15" t="str">
        <f t="shared" si="442"/>
        <v>Matthew</v>
      </c>
      <c r="E1337" s="15" t="str">
        <f t="shared" si="443"/>
        <v>36 Fenech Avenue</v>
      </c>
      <c r="F1337" s="15" t="str">
        <f t="shared" si="444"/>
        <v>Bray Park</v>
      </c>
      <c r="G1337" s="15" t="str">
        <f t="shared" si="445"/>
        <v>QLD</v>
      </c>
      <c r="H1337" s="15">
        <f t="shared" si="446"/>
        <v>4500</v>
      </c>
      <c r="I1337" s="15">
        <f t="shared" si="457"/>
        <v>139</v>
      </c>
      <c r="J1337" s="15">
        <f>OrdersTable!B1337</f>
        <v>177</v>
      </c>
      <c r="K1337" s="15" t="str">
        <f t="shared" si="447"/>
        <v>Bobbleheads</v>
      </c>
      <c r="L1337" s="15" t="str">
        <f t="shared" si="448"/>
        <v>Doctor Who: Bobblehead: TARDIS (With Sound)</v>
      </c>
      <c r="M1337" s="15" t="str">
        <f t="shared" si="449"/>
        <v>-</v>
      </c>
      <c r="N1337" s="15">
        <f t="shared" si="450"/>
        <v>1</v>
      </c>
      <c r="O1337" s="15" t="str">
        <f t="shared" si="451"/>
        <v>A30</v>
      </c>
      <c r="P1337" s="15" t="str">
        <f t="shared" si="452"/>
        <v>Chesterton Enterprises</v>
      </c>
      <c r="Q1337" s="15" t="str">
        <f t="shared" si="453"/>
        <v>41 William Russell Road</v>
      </c>
      <c r="R1337" s="3">
        <f>OrdersTable!C1337</f>
        <v>44656</v>
      </c>
      <c r="S1337" s="15">
        <f>OrdersTable!E1337</f>
        <v>9</v>
      </c>
      <c r="T1337" s="15">
        <f t="shared" si="454"/>
        <v>19.989999999999998</v>
      </c>
      <c r="U1337" s="15">
        <f t="shared" si="455"/>
        <v>27.6</v>
      </c>
      <c r="V1337" s="15">
        <f t="shared" si="456"/>
        <v>32.380000000000003</v>
      </c>
      <c r="W1337" s="15">
        <f>IF(MarkupType="Store Markup",ROUND(V1337+V1337*StoreMarkup,2),IF(MarkupType="Supplier Markup",V1337+V1337*SupplierMarkup,"Error at finding value"))</f>
        <v>51</v>
      </c>
      <c r="X1337" s="32" t="str">
        <f t="shared" si="458"/>
        <v>0.00</v>
      </c>
      <c r="Y1337" s="15">
        <f t="shared" si="459"/>
        <v>291.42</v>
      </c>
      <c r="Z1337" s="15">
        <f t="shared" si="460"/>
        <v>459</v>
      </c>
      <c r="AA1337" s="15">
        <f>IF(FreightType="Lethbridge-Stewart Freight ",ROUND(2.99+IF(N1337&gt;0.75,(N1337-0.75)*2.25,0)*S1337,2),IF(MarkupType="Supplier Markup",V1337+V1337*SupplierMarkup,"Error at finding value"))</f>
        <v>8.0500000000000007</v>
      </c>
      <c r="AB1337" s="15">
        <f t="shared" si="461"/>
        <v>0</v>
      </c>
    </row>
    <row r="1338" spans="1:28" x14ac:dyDescent="0.25">
      <c r="A1338" s="16">
        <f>OrdersTable!A1338</f>
        <v>586</v>
      </c>
      <c r="B1338" s="15" t="str">
        <f t="shared" si="441"/>
        <v>Dr</v>
      </c>
      <c r="C1338" s="15" t="str">
        <f t="shared" si="462"/>
        <v>Coetzee</v>
      </c>
      <c r="D1338" s="15" t="str">
        <f t="shared" si="442"/>
        <v>Riekert</v>
      </c>
      <c r="E1338" s="15" t="str">
        <f t="shared" si="443"/>
        <v>5 Western Road</v>
      </c>
      <c r="F1338" s="15" t="str">
        <f t="shared" si="444"/>
        <v>Alfredtown</v>
      </c>
      <c r="G1338" s="15" t="str">
        <f t="shared" si="445"/>
        <v>NSW</v>
      </c>
      <c r="H1338" s="15">
        <f t="shared" si="446"/>
        <v>2650</v>
      </c>
      <c r="I1338" s="15">
        <f t="shared" si="457"/>
        <v>1124</v>
      </c>
      <c r="J1338" s="15">
        <f>OrdersTable!B1338</f>
        <v>418</v>
      </c>
      <c r="K1338" s="15" t="str">
        <f t="shared" si="447"/>
        <v>Clothing and Apparel</v>
      </c>
      <c r="L1338" s="15" t="str">
        <f t="shared" si="448"/>
        <v>Doctor Who: Women's Winter Pyjamas</v>
      </c>
      <c r="M1338" s="15" t="str">
        <f t="shared" si="449"/>
        <v>M</v>
      </c>
      <c r="N1338" s="15">
        <f t="shared" si="450"/>
        <v>1.5</v>
      </c>
      <c r="O1338" s="15" t="str">
        <f t="shared" si="451"/>
        <v>A30</v>
      </c>
      <c r="P1338" s="15" t="str">
        <f t="shared" si="452"/>
        <v>Chesterton Enterprises</v>
      </c>
      <c r="Q1338" s="15" t="str">
        <f t="shared" si="453"/>
        <v>41 William Russell Road</v>
      </c>
      <c r="R1338" s="3">
        <f>OrdersTable!C1338</f>
        <v>44656</v>
      </c>
      <c r="S1338" s="15">
        <f>OrdersTable!E1338</f>
        <v>4</v>
      </c>
      <c r="T1338" s="15">
        <f t="shared" si="454"/>
        <v>29.99</v>
      </c>
      <c r="U1338" s="15">
        <f t="shared" si="455"/>
        <v>40.96</v>
      </c>
      <c r="V1338" s="15">
        <f t="shared" si="456"/>
        <v>48.58</v>
      </c>
      <c r="W1338" s="15">
        <f>IF(MarkupType="Store Markup",ROUND(V1338+V1338*StoreMarkup,2),IF(MarkupType="Supplier Markup",V1338+V1338*SupplierMarkup,"Error at finding value"))</f>
        <v>76.510000000000005</v>
      </c>
      <c r="X1338" s="32" t="str">
        <f t="shared" si="458"/>
        <v>0.00</v>
      </c>
      <c r="Y1338" s="15">
        <f t="shared" si="459"/>
        <v>194.32</v>
      </c>
      <c r="Z1338" s="15">
        <f t="shared" si="460"/>
        <v>306.04000000000002</v>
      </c>
      <c r="AA1338" s="15">
        <f>IF(FreightType="Lethbridge-Stewart Freight ",ROUND(2.99+IF(N1338&gt;0.75,(N1338-0.75)*2.25,0)*S1338,2),IF(MarkupType="Supplier Markup",V1338+V1338*SupplierMarkup,"Error at finding value"))</f>
        <v>9.74</v>
      </c>
      <c r="AB1338" s="15">
        <f t="shared" si="461"/>
        <v>0</v>
      </c>
    </row>
    <row r="1339" spans="1:28" x14ac:dyDescent="0.25">
      <c r="A1339" s="16">
        <f>OrdersTable!A1339</f>
        <v>594</v>
      </c>
      <c r="B1339" s="15" t="str">
        <f t="shared" si="441"/>
        <v>Mrs</v>
      </c>
      <c r="C1339" s="15" t="str">
        <f t="shared" si="462"/>
        <v>Entriken</v>
      </c>
      <c r="D1339" s="15" t="str">
        <f t="shared" si="442"/>
        <v>Gwenda Dawn</v>
      </c>
      <c r="E1339" s="15" t="str">
        <f t="shared" si="443"/>
        <v>8 Miljkovic Drive</v>
      </c>
      <c r="F1339" s="15" t="str">
        <f t="shared" si="444"/>
        <v>Nayook</v>
      </c>
      <c r="G1339" s="15" t="str">
        <f t="shared" si="445"/>
        <v>VIC</v>
      </c>
      <c r="H1339" s="15">
        <f t="shared" si="446"/>
        <v>3832</v>
      </c>
      <c r="I1339" s="15">
        <f t="shared" si="457"/>
        <v>1552</v>
      </c>
      <c r="J1339" s="15">
        <f>OrdersTable!B1339</f>
        <v>724</v>
      </c>
      <c r="K1339" s="15" t="str">
        <f t="shared" si="447"/>
        <v>Posters, Prints and Standees</v>
      </c>
      <c r="L1339" s="15" t="str">
        <f t="shared" si="448"/>
        <v>Doctor Who: Standee: The 10th Doctor</v>
      </c>
      <c r="M1339" s="15" t="str">
        <f t="shared" si="449"/>
        <v>-</v>
      </c>
      <c r="N1339" s="15">
        <f t="shared" si="450"/>
        <v>1.125</v>
      </c>
      <c r="O1339" s="15" t="str">
        <f t="shared" si="451"/>
        <v>A50</v>
      </c>
      <c r="P1339" s="15" t="str">
        <f t="shared" si="452"/>
        <v>Rassilon Ltd.</v>
      </c>
      <c r="Q1339" s="15" t="str">
        <f t="shared" si="453"/>
        <v>82 Richard Mathews Road</v>
      </c>
      <c r="R1339" s="3">
        <f>OrdersTable!C1339</f>
        <v>44656</v>
      </c>
      <c r="S1339" s="15">
        <f>OrdersTable!E1339</f>
        <v>1</v>
      </c>
      <c r="T1339" s="15">
        <f t="shared" si="454"/>
        <v>22.49</v>
      </c>
      <c r="U1339" s="15">
        <f t="shared" si="455"/>
        <v>30.77</v>
      </c>
      <c r="V1339" s="15">
        <f t="shared" si="456"/>
        <v>36.43</v>
      </c>
      <c r="W1339" s="15">
        <f>IF(MarkupType="Store Markup",ROUND(V1339+V1339*StoreMarkup,2),IF(MarkupType="Supplier Markup",V1339+V1339*SupplierMarkup,"Error at finding value"))</f>
        <v>57.38</v>
      </c>
      <c r="X1339" s="32" t="str">
        <f t="shared" si="458"/>
        <v>0.00</v>
      </c>
      <c r="Y1339" s="15">
        <f t="shared" si="459"/>
        <v>36.43</v>
      </c>
      <c r="Z1339" s="15">
        <f t="shared" si="460"/>
        <v>57.38</v>
      </c>
      <c r="AA1339" s="15">
        <f>IF(FreightType="Lethbridge-Stewart Freight ",ROUND(2.99+IF(N1339&gt;0.75,(N1339-0.75)*2.25,0)*S1339,2),IF(MarkupType="Supplier Markup",V1339+V1339*SupplierMarkup,"Error at finding value"))</f>
        <v>3.83</v>
      </c>
      <c r="AB1339" s="15">
        <f t="shared" si="461"/>
        <v>0</v>
      </c>
    </row>
    <row r="1340" spans="1:28" x14ac:dyDescent="0.25">
      <c r="A1340" s="16">
        <f>OrdersTable!A1340</f>
        <v>659</v>
      </c>
      <c r="B1340" s="15" t="str">
        <f t="shared" si="441"/>
        <v>Mr</v>
      </c>
      <c r="C1340" s="15" t="str">
        <f t="shared" si="462"/>
        <v>Douglas</v>
      </c>
      <c r="D1340" s="15" t="str">
        <f t="shared" si="442"/>
        <v>Jason Richard</v>
      </c>
      <c r="E1340" s="15" t="str">
        <f t="shared" si="443"/>
        <v>14 Young Crescent</v>
      </c>
      <c r="F1340" s="15" t="str">
        <f t="shared" si="444"/>
        <v>Caliph</v>
      </c>
      <c r="G1340" s="15" t="str">
        <f t="shared" si="445"/>
        <v>SA</v>
      </c>
      <c r="H1340" s="15">
        <f t="shared" si="446"/>
        <v>5310</v>
      </c>
      <c r="I1340" s="15">
        <f t="shared" si="457"/>
        <v>1720</v>
      </c>
      <c r="J1340" s="15">
        <f>OrdersTable!B1340</f>
        <v>186</v>
      </c>
      <c r="K1340" s="15" t="str">
        <f t="shared" si="447"/>
        <v>Bobbleheads</v>
      </c>
      <c r="L1340" s="15" t="str">
        <f t="shared" si="448"/>
        <v>Doctor Who: Monitor Mate: 50th Anniversary Original TARDIS</v>
      </c>
      <c r="M1340" s="15" t="str">
        <f t="shared" si="449"/>
        <v>-</v>
      </c>
      <c r="N1340" s="15">
        <f t="shared" si="450"/>
        <v>0.45</v>
      </c>
      <c r="O1340" s="15" t="str">
        <f t="shared" si="451"/>
        <v>A20</v>
      </c>
      <c r="P1340" s="15" t="str">
        <f t="shared" si="452"/>
        <v>Morbius Inc.</v>
      </c>
      <c r="Q1340" s="15" t="str">
        <f t="shared" si="453"/>
        <v>56 Michael Spice Hwy</v>
      </c>
      <c r="R1340" s="3">
        <f>OrdersTable!C1340</f>
        <v>44656</v>
      </c>
      <c r="S1340" s="15">
        <f>OrdersTable!E1340</f>
        <v>3</v>
      </c>
      <c r="T1340" s="15">
        <f t="shared" si="454"/>
        <v>8.99</v>
      </c>
      <c r="U1340" s="15">
        <f t="shared" si="455"/>
        <v>12.46</v>
      </c>
      <c r="V1340" s="15">
        <f t="shared" si="456"/>
        <v>14.56</v>
      </c>
      <c r="W1340" s="15">
        <f>IF(MarkupType="Store Markup",ROUND(V1340+V1340*StoreMarkup,2),IF(MarkupType="Supplier Markup",V1340+V1340*SupplierMarkup,"Error at finding value"))</f>
        <v>22.93</v>
      </c>
      <c r="X1340" s="32" t="str">
        <f t="shared" si="458"/>
        <v>0.00</v>
      </c>
      <c r="Y1340" s="15">
        <f t="shared" si="459"/>
        <v>43.68</v>
      </c>
      <c r="Z1340" s="15">
        <f t="shared" si="460"/>
        <v>68.790000000000006</v>
      </c>
      <c r="AA1340" s="15">
        <f>IF(FreightType="Lethbridge-Stewart Freight ",ROUND(2.99+IF(N1340&gt;0.75,(N1340-0.75)*2.25,0)*S1340,2),IF(MarkupType="Supplier Markup",V1340+V1340*SupplierMarkup,"Error at finding value"))</f>
        <v>2.99</v>
      </c>
      <c r="AB1340" s="15">
        <f t="shared" si="461"/>
        <v>0</v>
      </c>
    </row>
    <row r="1341" spans="1:28" x14ac:dyDescent="0.25">
      <c r="A1341" s="16">
        <f>OrdersTable!A1341</f>
        <v>884</v>
      </c>
      <c r="B1341" s="15" t="str">
        <f t="shared" si="441"/>
        <v>Mr</v>
      </c>
      <c r="C1341" s="15" t="str">
        <f t="shared" si="462"/>
        <v>Smy</v>
      </c>
      <c r="D1341" s="15" t="str">
        <f t="shared" si="442"/>
        <v>Corey Alexander</v>
      </c>
      <c r="E1341" s="15" t="str">
        <f t="shared" si="443"/>
        <v>47 Lindsay Circuit</v>
      </c>
      <c r="F1341" s="15" t="str">
        <f t="shared" si="444"/>
        <v>Boston</v>
      </c>
      <c r="G1341" s="15" t="str">
        <f t="shared" si="445"/>
        <v>SA</v>
      </c>
      <c r="H1341" s="15">
        <f t="shared" si="446"/>
        <v>5607</v>
      </c>
      <c r="I1341" s="15">
        <f t="shared" si="457"/>
        <v>2076</v>
      </c>
      <c r="J1341" s="15">
        <f>OrdersTable!B1341</f>
        <v>196</v>
      </c>
      <c r="K1341" s="15" t="str">
        <f t="shared" si="447"/>
        <v>Clothing and Apparel</v>
      </c>
      <c r="L1341" s="15" t="str">
        <f t="shared" si="448"/>
        <v>Doctor Who: 12 Foot Tom Baker Scarf</v>
      </c>
      <c r="M1341" s="15" t="str">
        <f t="shared" si="449"/>
        <v>-</v>
      </c>
      <c r="N1341" s="15">
        <f t="shared" si="450"/>
        <v>2.5</v>
      </c>
      <c r="O1341" s="15" t="str">
        <f t="shared" si="451"/>
        <v>A40</v>
      </c>
      <c r="P1341" s="15" t="str">
        <f t="shared" si="452"/>
        <v>Romana Imports</v>
      </c>
      <c r="Q1341" s="15" t="str">
        <f t="shared" si="453"/>
        <v>17 Lalla Ward Road</v>
      </c>
      <c r="R1341" s="3">
        <f>OrdersTable!C1341</f>
        <v>44656</v>
      </c>
      <c r="S1341" s="15">
        <f>OrdersTable!E1341</f>
        <v>2</v>
      </c>
      <c r="T1341" s="15">
        <f t="shared" si="454"/>
        <v>49.99</v>
      </c>
      <c r="U1341" s="15">
        <f t="shared" si="455"/>
        <v>68.28</v>
      </c>
      <c r="V1341" s="15">
        <f t="shared" si="456"/>
        <v>80.98</v>
      </c>
      <c r="W1341" s="15">
        <f>IF(MarkupType="Store Markup",ROUND(V1341+V1341*StoreMarkup,2),IF(MarkupType="Supplier Markup",V1341+V1341*SupplierMarkup,"Error at finding value"))</f>
        <v>127.54</v>
      </c>
      <c r="X1341" s="32" t="str">
        <f t="shared" si="458"/>
        <v>0.00</v>
      </c>
      <c r="Y1341" s="15">
        <f t="shared" si="459"/>
        <v>161.96</v>
      </c>
      <c r="Z1341" s="15">
        <f t="shared" si="460"/>
        <v>255.08</v>
      </c>
      <c r="AA1341" s="15">
        <f>IF(FreightType="Lethbridge-Stewart Freight ",ROUND(2.99+IF(N1341&gt;0.75,(N1341-0.75)*2.25,0)*S1341,2),IF(MarkupType="Supplier Markup",V1341+V1341*SupplierMarkup,"Error at finding value"))</f>
        <v>10.87</v>
      </c>
      <c r="AB1341" s="15">
        <f t="shared" si="461"/>
        <v>0</v>
      </c>
    </row>
    <row r="1342" spans="1:28" x14ac:dyDescent="0.25">
      <c r="A1342" s="16">
        <f>OrdersTable!A1342</f>
        <v>47</v>
      </c>
      <c r="B1342" s="15" t="str">
        <f t="shared" si="441"/>
        <v>Dr</v>
      </c>
      <c r="C1342" s="15" t="str">
        <f t="shared" si="462"/>
        <v>Kaur</v>
      </c>
      <c r="D1342" s="15" t="str">
        <f t="shared" si="442"/>
        <v>Jasleen</v>
      </c>
      <c r="E1342" s="15" t="str">
        <f t="shared" si="443"/>
        <v>7 Hong Road</v>
      </c>
      <c r="F1342" s="15" t="str">
        <f t="shared" si="444"/>
        <v>Belconnen</v>
      </c>
      <c r="G1342" s="15" t="str">
        <f t="shared" si="445"/>
        <v>ACT</v>
      </c>
      <c r="H1342" s="15">
        <f t="shared" si="446"/>
        <v>2617</v>
      </c>
      <c r="I1342" s="15">
        <f t="shared" si="457"/>
        <v>1194</v>
      </c>
      <c r="J1342" s="15">
        <f>OrdersTable!B1342</f>
        <v>376</v>
      </c>
      <c r="K1342" s="15" t="str">
        <f t="shared" si="447"/>
        <v>Clothing and Apparel</v>
      </c>
      <c r="L1342" s="15" t="str">
        <f t="shared" si="448"/>
        <v xml:space="preserve">Doctor Who: T-Shirts: 7th Doctor Costume </v>
      </c>
      <c r="M1342" s="15" t="str">
        <f t="shared" si="449"/>
        <v>S</v>
      </c>
      <c r="N1342" s="15">
        <f t="shared" si="450"/>
        <v>0.8</v>
      </c>
      <c r="O1342" s="15" t="str">
        <f t="shared" si="451"/>
        <v>A10</v>
      </c>
      <c r="P1342" s="15" t="str">
        <f t="shared" si="452"/>
        <v>Gallifrey International</v>
      </c>
      <c r="Q1342" s="15" t="str">
        <f t="shared" si="453"/>
        <v>181 Arcadia Street</v>
      </c>
      <c r="R1342" s="3">
        <f>OrdersTable!C1342</f>
        <v>44657</v>
      </c>
      <c r="S1342" s="15">
        <f>OrdersTable!E1342</f>
        <v>9</v>
      </c>
      <c r="T1342" s="15">
        <f t="shared" si="454"/>
        <v>15.99</v>
      </c>
      <c r="U1342" s="15">
        <f t="shared" si="455"/>
        <v>21.83</v>
      </c>
      <c r="V1342" s="15">
        <f t="shared" si="456"/>
        <v>25.9</v>
      </c>
      <c r="W1342" s="15">
        <f>IF(MarkupType="Store Markup",ROUND(V1342+V1342*StoreMarkup,2),IF(MarkupType="Supplier Markup",V1342+V1342*SupplierMarkup,"Error at finding value"))</f>
        <v>40.79</v>
      </c>
      <c r="X1342" s="32" t="str">
        <f t="shared" si="458"/>
        <v>0.00</v>
      </c>
      <c r="Y1342" s="15">
        <f t="shared" si="459"/>
        <v>233.1</v>
      </c>
      <c r="Z1342" s="15">
        <f t="shared" si="460"/>
        <v>367.11</v>
      </c>
      <c r="AA1342" s="15">
        <f>IF(FreightType="Lethbridge-Stewart Freight ",ROUND(2.99+IF(N1342&gt;0.75,(N1342-0.75)*2.25,0)*S1342,2),IF(MarkupType="Supplier Markup",V1342+V1342*SupplierMarkup,"Error at finding value"))</f>
        <v>4</v>
      </c>
      <c r="AB1342" s="15">
        <f t="shared" si="461"/>
        <v>0</v>
      </c>
    </row>
    <row r="1343" spans="1:28" x14ac:dyDescent="0.25">
      <c r="A1343" s="16">
        <f>OrdersTable!A1343</f>
        <v>139</v>
      </c>
      <c r="B1343" s="15" t="str">
        <f t="shared" si="441"/>
        <v>Mrs</v>
      </c>
      <c r="C1343" s="15" t="str">
        <f t="shared" si="462"/>
        <v>Atkinson</v>
      </c>
      <c r="D1343" s="15" t="str">
        <f t="shared" si="442"/>
        <v>Leanne</v>
      </c>
      <c r="E1343" s="15" t="str">
        <f t="shared" si="443"/>
        <v>45 Maloney Boulevard</v>
      </c>
      <c r="F1343" s="15" t="str">
        <f t="shared" si="444"/>
        <v>Avon Plains</v>
      </c>
      <c r="G1343" s="15" t="str">
        <f t="shared" si="445"/>
        <v>VIC</v>
      </c>
      <c r="H1343" s="15">
        <f t="shared" si="446"/>
        <v>3477</v>
      </c>
      <c r="I1343" s="15">
        <f t="shared" si="457"/>
        <v>1565</v>
      </c>
      <c r="J1343" s="15">
        <f>OrdersTable!B1343</f>
        <v>701</v>
      </c>
      <c r="K1343" s="15" t="str">
        <f t="shared" si="447"/>
        <v>Posters, Prints and Standees</v>
      </c>
      <c r="L1343" s="15" t="str">
        <f t="shared" si="448"/>
        <v>Doctor Who: Half Sized Standee: The TARDIS</v>
      </c>
      <c r="M1343" s="15" t="str">
        <f t="shared" si="449"/>
        <v>-</v>
      </c>
      <c r="N1343" s="15">
        <f t="shared" si="450"/>
        <v>0.5</v>
      </c>
      <c r="O1343" s="15" t="str">
        <f t="shared" si="451"/>
        <v>A40</v>
      </c>
      <c r="P1343" s="15" t="str">
        <f t="shared" si="452"/>
        <v>Romana Imports</v>
      </c>
      <c r="Q1343" s="15" t="str">
        <f t="shared" si="453"/>
        <v>17 Lalla Ward Road</v>
      </c>
      <c r="R1343" s="3">
        <f>OrdersTable!C1343</f>
        <v>44657</v>
      </c>
      <c r="S1343" s="15">
        <f>OrdersTable!E1343</f>
        <v>5</v>
      </c>
      <c r="T1343" s="15">
        <f t="shared" si="454"/>
        <v>9.99</v>
      </c>
      <c r="U1343" s="15">
        <f t="shared" si="455"/>
        <v>13.83</v>
      </c>
      <c r="V1343" s="15">
        <f t="shared" si="456"/>
        <v>16.18</v>
      </c>
      <c r="W1343" s="15">
        <f>IF(MarkupType="Store Markup",ROUND(V1343+V1343*StoreMarkup,2),IF(MarkupType="Supplier Markup",V1343+V1343*SupplierMarkup,"Error at finding value"))</f>
        <v>25.48</v>
      </c>
      <c r="X1343" s="32" t="str">
        <f t="shared" si="458"/>
        <v>0.00</v>
      </c>
      <c r="Y1343" s="15">
        <f t="shared" si="459"/>
        <v>80.900000000000006</v>
      </c>
      <c r="Z1343" s="15">
        <f t="shared" si="460"/>
        <v>127.4</v>
      </c>
      <c r="AA1343" s="15">
        <f>IF(FreightType="Lethbridge-Stewart Freight ",ROUND(2.99+IF(N1343&gt;0.75,(N1343-0.75)*2.25,0)*S1343,2),IF(MarkupType="Supplier Markup",V1343+V1343*SupplierMarkup,"Error at finding value"))</f>
        <v>2.99</v>
      </c>
      <c r="AB1343" s="15">
        <f t="shared" si="461"/>
        <v>0</v>
      </c>
    </row>
    <row r="1344" spans="1:28" x14ac:dyDescent="0.25">
      <c r="A1344" s="16">
        <f>OrdersTable!A1344</f>
        <v>232</v>
      </c>
      <c r="B1344" s="15" t="str">
        <f t="shared" si="441"/>
        <v>Mrs</v>
      </c>
      <c r="C1344" s="15" t="str">
        <f t="shared" si="462"/>
        <v>Bishop</v>
      </c>
      <c r="D1344" s="15" t="str">
        <f t="shared" si="442"/>
        <v>Katherine Marie</v>
      </c>
      <c r="E1344" s="15" t="str">
        <f t="shared" si="443"/>
        <v>19 Whitehorn Circuit</v>
      </c>
      <c r="F1344" s="15" t="str">
        <f t="shared" si="444"/>
        <v>Black Hills</v>
      </c>
      <c r="G1344" s="15" t="str">
        <f t="shared" si="445"/>
        <v>TAS</v>
      </c>
      <c r="H1344" s="15">
        <f t="shared" si="446"/>
        <v>7140</v>
      </c>
      <c r="I1344" s="15">
        <f t="shared" si="457"/>
        <v>2191</v>
      </c>
      <c r="J1344" s="15">
        <f>OrdersTable!B1344</f>
        <v>726</v>
      </c>
      <c r="K1344" s="15" t="str">
        <f t="shared" si="447"/>
        <v>Props and Replicas</v>
      </c>
      <c r="L1344" s="15" t="str">
        <f t="shared" si="448"/>
        <v>Doctor Who: Dalek Death Ray</v>
      </c>
      <c r="M1344" s="15" t="str">
        <f t="shared" si="449"/>
        <v>-</v>
      </c>
      <c r="N1344" s="15">
        <f t="shared" si="450"/>
        <v>18</v>
      </c>
      <c r="O1344" s="15" t="str">
        <f t="shared" si="451"/>
        <v>A30</v>
      </c>
      <c r="P1344" s="15" t="str">
        <f t="shared" si="452"/>
        <v>Chesterton Enterprises</v>
      </c>
      <c r="Q1344" s="15" t="str">
        <f t="shared" si="453"/>
        <v>41 William Russell Road</v>
      </c>
      <c r="R1344" s="3">
        <f>OrdersTable!C1344</f>
        <v>44657</v>
      </c>
      <c r="S1344" s="15">
        <f>OrdersTable!E1344</f>
        <v>10</v>
      </c>
      <c r="T1344" s="15">
        <f t="shared" si="454"/>
        <v>359.99</v>
      </c>
      <c r="U1344" s="15">
        <f t="shared" si="455"/>
        <v>491.12</v>
      </c>
      <c r="V1344" s="15">
        <f t="shared" si="456"/>
        <v>583.17999999999995</v>
      </c>
      <c r="W1344" s="15">
        <f>IF(MarkupType="Store Markup",ROUND(V1344+V1344*StoreMarkup,2),IF(MarkupType="Supplier Markup",V1344+V1344*SupplierMarkup,"Error at finding value"))</f>
        <v>918.51</v>
      </c>
      <c r="X1344" s="32">
        <f t="shared" si="458"/>
        <v>65.44</v>
      </c>
      <c r="Y1344" s="15">
        <f t="shared" si="459"/>
        <v>5831.8</v>
      </c>
      <c r="Z1344" s="15">
        <f t="shared" si="460"/>
        <v>8530.7000000000007</v>
      </c>
      <c r="AA1344" s="15">
        <f>IF(FreightType="Lethbridge-Stewart Freight ",ROUND(2.99+IF(N1344&gt;0.75,(N1344-0.75)*2.25,0)*S1344,2),IF(MarkupType="Supplier Markup",V1344+V1344*SupplierMarkup,"Error at finding value"))</f>
        <v>391.12</v>
      </c>
      <c r="AB1344" s="15">
        <f t="shared" si="461"/>
        <v>654.4</v>
      </c>
    </row>
    <row r="1345" spans="1:28" x14ac:dyDescent="0.25">
      <c r="A1345" s="16">
        <f>OrdersTable!A1345</f>
        <v>302</v>
      </c>
      <c r="B1345" s="15" t="str">
        <f t="shared" si="441"/>
        <v>Ms</v>
      </c>
      <c r="C1345" s="15" t="str">
        <f t="shared" si="462"/>
        <v>Lamshed</v>
      </c>
      <c r="D1345" s="15" t="str">
        <f t="shared" si="442"/>
        <v>Laura Clare</v>
      </c>
      <c r="E1345" s="15" t="str">
        <f t="shared" si="443"/>
        <v>22 Edser Drive</v>
      </c>
      <c r="F1345" s="15" t="str">
        <f t="shared" si="444"/>
        <v>Caliph</v>
      </c>
      <c r="G1345" s="15" t="str">
        <f t="shared" si="445"/>
        <v>SA</v>
      </c>
      <c r="H1345" s="15">
        <f t="shared" si="446"/>
        <v>5310</v>
      </c>
      <c r="I1345" s="15">
        <f t="shared" si="457"/>
        <v>1720</v>
      </c>
      <c r="J1345" s="15">
        <f>OrdersTable!B1345</f>
        <v>643</v>
      </c>
      <c r="K1345" s="15" t="str">
        <f t="shared" si="447"/>
        <v>Mugs</v>
      </c>
      <c r="L1345" s="15" t="str">
        <f t="shared" si="448"/>
        <v>Doctor Who: Giant Mug: Logo</v>
      </c>
      <c r="M1345" s="15" t="str">
        <f t="shared" si="449"/>
        <v>-</v>
      </c>
      <c r="N1345" s="15">
        <f t="shared" si="450"/>
        <v>0.44500000000000001</v>
      </c>
      <c r="O1345" s="15" t="str">
        <f t="shared" si="451"/>
        <v>A10</v>
      </c>
      <c r="P1345" s="15" t="str">
        <f t="shared" si="452"/>
        <v>Gallifrey International</v>
      </c>
      <c r="Q1345" s="15" t="str">
        <f t="shared" si="453"/>
        <v>181 Arcadia Street</v>
      </c>
      <c r="R1345" s="3">
        <f>OrdersTable!C1345</f>
        <v>44657</v>
      </c>
      <c r="S1345" s="15">
        <f>OrdersTable!E1345</f>
        <v>4</v>
      </c>
      <c r="T1345" s="15">
        <f t="shared" si="454"/>
        <v>8.89</v>
      </c>
      <c r="U1345" s="15">
        <f t="shared" si="455"/>
        <v>12.19</v>
      </c>
      <c r="V1345" s="15">
        <f t="shared" si="456"/>
        <v>14.4</v>
      </c>
      <c r="W1345" s="15">
        <f>IF(MarkupType="Store Markup",ROUND(V1345+V1345*StoreMarkup,2),IF(MarkupType="Supplier Markup",V1345+V1345*SupplierMarkup,"Error at finding value"))</f>
        <v>22.68</v>
      </c>
      <c r="X1345" s="32" t="str">
        <f t="shared" si="458"/>
        <v>0.00</v>
      </c>
      <c r="Y1345" s="15">
        <f t="shared" si="459"/>
        <v>57.6</v>
      </c>
      <c r="Z1345" s="15">
        <f t="shared" si="460"/>
        <v>90.72</v>
      </c>
      <c r="AA1345" s="15">
        <f>IF(FreightType="Lethbridge-Stewart Freight ",ROUND(2.99+IF(N1345&gt;0.75,(N1345-0.75)*2.25,0)*S1345,2),IF(MarkupType="Supplier Markup",V1345+V1345*SupplierMarkup,"Error at finding value"))</f>
        <v>2.99</v>
      </c>
      <c r="AB1345" s="15">
        <f t="shared" si="461"/>
        <v>0</v>
      </c>
    </row>
    <row r="1346" spans="1:28" x14ac:dyDescent="0.25">
      <c r="A1346" s="16">
        <f>OrdersTable!A1346</f>
        <v>333</v>
      </c>
      <c r="B1346" s="15" t="str">
        <f t="shared" si="441"/>
        <v>Mr</v>
      </c>
      <c r="C1346" s="15" t="str">
        <f t="shared" si="462"/>
        <v>Martin</v>
      </c>
      <c r="D1346" s="15" t="str">
        <f t="shared" si="442"/>
        <v>Damien Roger</v>
      </c>
      <c r="E1346" s="15" t="str">
        <f t="shared" si="443"/>
        <v>23 Quennell Way</v>
      </c>
      <c r="F1346" s="15" t="str">
        <f t="shared" si="444"/>
        <v>Aberfoyle</v>
      </c>
      <c r="G1346" s="15" t="str">
        <f t="shared" si="445"/>
        <v>NSW</v>
      </c>
      <c r="H1346" s="15">
        <f t="shared" si="446"/>
        <v>2350</v>
      </c>
      <c r="I1346" s="15">
        <f t="shared" si="457"/>
        <v>363</v>
      </c>
      <c r="J1346" s="15">
        <f>OrdersTable!B1346</f>
        <v>780</v>
      </c>
      <c r="K1346" s="15" t="str">
        <f t="shared" si="447"/>
        <v>Statues and Busts</v>
      </c>
      <c r="L1346" s="15" t="str">
        <f t="shared" si="448"/>
        <v>Doctor Who: Masterpiece Collection Dalek: Genesis Of The Daleks</v>
      </c>
      <c r="M1346" s="15" t="str">
        <f t="shared" si="449"/>
        <v>-</v>
      </c>
      <c r="N1346" s="15">
        <f t="shared" si="450"/>
        <v>2.5</v>
      </c>
      <c r="O1346" s="15" t="str">
        <f t="shared" si="451"/>
        <v>A30</v>
      </c>
      <c r="P1346" s="15" t="str">
        <f t="shared" si="452"/>
        <v>Chesterton Enterprises</v>
      </c>
      <c r="Q1346" s="15" t="str">
        <f t="shared" si="453"/>
        <v>41 William Russell Road</v>
      </c>
      <c r="R1346" s="3">
        <f>OrdersTable!C1346</f>
        <v>44657</v>
      </c>
      <c r="S1346" s="15">
        <f>OrdersTable!E1346</f>
        <v>2</v>
      </c>
      <c r="T1346" s="15">
        <f t="shared" si="454"/>
        <v>49.99</v>
      </c>
      <c r="U1346" s="15">
        <f t="shared" si="455"/>
        <v>68.23</v>
      </c>
      <c r="V1346" s="15">
        <f t="shared" si="456"/>
        <v>80.98</v>
      </c>
      <c r="W1346" s="15">
        <f>IF(MarkupType="Store Markup",ROUND(V1346+V1346*StoreMarkup,2),IF(MarkupType="Supplier Markup",V1346+V1346*SupplierMarkup,"Error at finding value"))</f>
        <v>127.54</v>
      </c>
      <c r="X1346" s="32" t="str">
        <f t="shared" si="458"/>
        <v>0.00</v>
      </c>
      <c r="Y1346" s="15">
        <f t="shared" si="459"/>
        <v>161.96</v>
      </c>
      <c r="Z1346" s="15">
        <f t="shared" si="460"/>
        <v>255.08</v>
      </c>
      <c r="AA1346" s="15">
        <f>IF(FreightType="Lethbridge-Stewart Freight ",ROUND(2.99+IF(N1346&gt;0.75,(N1346-0.75)*2.25,0)*S1346,2),IF(MarkupType="Supplier Markup",V1346+V1346*SupplierMarkup,"Error at finding value"))</f>
        <v>10.87</v>
      </c>
      <c r="AB1346" s="15">
        <f t="shared" si="461"/>
        <v>0</v>
      </c>
    </row>
    <row r="1347" spans="1:28" x14ac:dyDescent="0.25">
      <c r="A1347" s="16">
        <f>OrdersTable!A1347</f>
        <v>334</v>
      </c>
      <c r="B1347" s="15" t="str">
        <f t="shared" si="441"/>
        <v>Mrs</v>
      </c>
      <c r="C1347" s="15" t="str">
        <f t="shared" si="462"/>
        <v>Wilson</v>
      </c>
      <c r="D1347" s="15" t="str">
        <f t="shared" si="442"/>
        <v>Hayley Lauren</v>
      </c>
      <c r="E1347" s="15" t="str">
        <f t="shared" si="443"/>
        <v>3 Ashley Crescent</v>
      </c>
      <c r="F1347" s="15" t="str">
        <f t="shared" si="444"/>
        <v>Black Hills</v>
      </c>
      <c r="G1347" s="15" t="str">
        <f t="shared" si="445"/>
        <v>TAS</v>
      </c>
      <c r="H1347" s="15">
        <f t="shared" si="446"/>
        <v>7140</v>
      </c>
      <c r="I1347" s="15">
        <f t="shared" si="457"/>
        <v>2191</v>
      </c>
      <c r="J1347" s="15">
        <f>OrdersTable!B1347</f>
        <v>752</v>
      </c>
      <c r="K1347" s="15" t="str">
        <f t="shared" si="447"/>
        <v>Statues and Busts</v>
      </c>
      <c r="L1347" s="15" t="str">
        <f t="shared" si="448"/>
        <v>Doctor Who: Helmet: Cyberman Leader</v>
      </c>
      <c r="M1347" s="15" t="str">
        <f t="shared" si="449"/>
        <v>-</v>
      </c>
      <c r="N1347" s="15">
        <f t="shared" si="450"/>
        <v>2</v>
      </c>
      <c r="O1347" s="15" t="str">
        <f t="shared" si="451"/>
        <v>A30</v>
      </c>
      <c r="P1347" s="15" t="str">
        <f t="shared" si="452"/>
        <v>Chesterton Enterprises</v>
      </c>
      <c r="Q1347" s="15" t="str">
        <f t="shared" si="453"/>
        <v>41 William Russell Road</v>
      </c>
      <c r="R1347" s="3">
        <f>OrdersTable!C1347</f>
        <v>44657</v>
      </c>
      <c r="S1347" s="15">
        <f>OrdersTable!E1347</f>
        <v>6</v>
      </c>
      <c r="T1347" s="15">
        <f t="shared" si="454"/>
        <v>39.99</v>
      </c>
      <c r="U1347" s="15">
        <f t="shared" si="455"/>
        <v>54.85</v>
      </c>
      <c r="V1347" s="15">
        <f t="shared" si="456"/>
        <v>64.78</v>
      </c>
      <c r="W1347" s="15">
        <f>IF(MarkupType="Store Markup",ROUND(V1347+V1347*StoreMarkup,2),IF(MarkupType="Supplier Markup",V1347+V1347*SupplierMarkup,"Error at finding value"))</f>
        <v>102.03</v>
      </c>
      <c r="X1347" s="32">
        <f t="shared" si="458"/>
        <v>7.27</v>
      </c>
      <c r="Y1347" s="15">
        <f t="shared" si="459"/>
        <v>388.68</v>
      </c>
      <c r="Z1347" s="15">
        <f t="shared" si="460"/>
        <v>568.55999999999995</v>
      </c>
      <c r="AA1347" s="15">
        <f>IF(FreightType="Lethbridge-Stewart Freight ",ROUND(2.99+IF(N1347&gt;0.75,(N1347-0.75)*2.25,0)*S1347,2),IF(MarkupType="Supplier Markup",V1347+V1347*SupplierMarkup,"Error at finding value"))</f>
        <v>19.87</v>
      </c>
      <c r="AB1347" s="15">
        <f t="shared" si="461"/>
        <v>43.62</v>
      </c>
    </row>
    <row r="1348" spans="1:28" x14ac:dyDescent="0.25">
      <c r="A1348" s="16">
        <f>OrdersTable!A1348</f>
        <v>338</v>
      </c>
      <c r="B1348" s="15" t="str">
        <f t="shared" ref="B1348:B1411" si="463">VLOOKUP($A1348,Cust,2,0)</f>
        <v>Miss</v>
      </c>
      <c r="C1348" s="15" t="str">
        <f t="shared" si="462"/>
        <v>Pellegrino</v>
      </c>
      <c r="D1348" s="15" t="str">
        <f t="shared" ref="D1348:D1411" si="464">VLOOKUP($A1348,Cust,4,0)</f>
        <v>Samantha</v>
      </c>
      <c r="E1348" s="15" t="str">
        <f t="shared" ref="E1348:E1411" si="465">VLOOKUP($A1348,Cust,6,0)</f>
        <v>38 McKeown Street</v>
      </c>
      <c r="F1348" s="15" t="str">
        <f t="shared" ref="F1348:F1411" si="466">VLOOKUP($A1348,Cust,7,0)</f>
        <v>Avon Plains</v>
      </c>
      <c r="G1348" s="15" t="str">
        <f t="shared" ref="G1348:G1411" si="467">VLOOKUP($A1348,Cust,8,0)</f>
        <v>VIC</v>
      </c>
      <c r="H1348" s="15">
        <f t="shared" ref="H1348:H1411" si="468">VLOOKUP($A1348,Cust,9,0)</f>
        <v>3477</v>
      </c>
      <c r="I1348" s="15">
        <f t="shared" si="457"/>
        <v>1565</v>
      </c>
      <c r="J1348" s="15">
        <f>OrdersTable!B1348</f>
        <v>853</v>
      </c>
      <c r="K1348" s="15" t="str">
        <f t="shared" ref="K1348:K1411" si="469">VLOOKUP($J1348,Itms,2,0)</f>
        <v>Statues and Busts</v>
      </c>
      <c r="L1348" s="15" t="str">
        <f t="shared" ref="L1348:L1411" si="470">VLOOKUP($J1348,Itms,3,0)</f>
        <v>Doctor Who: Statue: The Master And Auton</v>
      </c>
      <c r="M1348" s="15" t="str">
        <f t="shared" ref="M1348:M1411" si="471">VLOOKUP($J1348,Itms,4,0)</f>
        <v>-</v>
      </c>
      <c r="N1348" s="15">
        <f t="shared" ref="N1348:N1411" si="472">VLOOKUP($J1348,Itms,5,0)</f>
        <v>3.5</v>
      </c>
      <c r="O1348" s="15" t="str">
        <f t="shared" ref="O1348:O1411" si="473">VLOOKUP($J1348,Itms,6,0)</f>
        <v>A50</v>
      </c>
      <c r="P1348" s="15" t="str">
        <f t="shared" ref="P1348:P1411" si="474">VLOOKUP($O1348,Supp,2,0)</f>
        <v>Rassilon Ltd.</v>
      </c>
      <c r="Q1348" s="15" t="str">
        <f t="shared" ref="Q1348:Q1411" si="475">VLOOKUP($O1348,Supp,3,0)</f>
        <v>82 Richard Mathews Road</v>
      </c>
      <c r="R1348" s="3">
        <f>OrdersTable!C1348</f>
        <v>44657</v>
      </c>
      <c r="S1348" s="15">
        <f>OrdersTable!E1348</f>
        <v>9</v>
      </c>
      <c r="T1348" s="15">
        <f t="shared" ref="T1348:T1411" si="476">VLOOKUP($J1348,Itms,9,0)</f>
        <v>69.989999999999995</v>
      </c>
      <c r="U1348" s="15">
        <f t="shared" ref="U1348:U1411" si="477">VLOOKUP($J1348,Itms,10,0)</f>
        <v>95.51</v>
      </c>
      <c r="V1348" s="15">
        <f t="shared" ref="V1348:V1411" si="478">IF(ExchRateType="IR",ROUND(T1348*ExchRateIR,2),IF(ExchRateType="CA",ROUND(U1348*ExchRateCA,2),"Error at finding value"))</f>
        <v>113.38</v>
      </c>
      <c r="W1348" s="15">
        <f>IF(MarkupType="Store Markup",ROUND(V1348+V1348*StoreMarkup,2),IF(MarkupType="Supplier Markup",V1348+V1348*SupplierMarkup,"Error at finding value"))</f>
        <v>178.57</v>
      </c>
      <c r="X1348" s="32">
        <f t="shared" si="458"/>
        <v>12.72</v>
      </c>
      <c r="Y1348" s="15">
        <f t="shared" si="459"/>
        <v>1020.42</v>
      </c>
      <c r="Z1348" s="15">
        <f t="shared" si="460"/>
        <v>1492.65</v>
      </c>
      <c r="AA1348" s="15">
        <f>IF(FreightType="Lethbridge-Stewart Freight ",ROUND(2.99+IF(N1348&gt;0.75,(N1348-0.75)*2.25,0)*S1348,2),IF(MarkupType="Supplier Markup",V1348+V1348*SupplierMarkup,"Error at finding value"))</f>
        <v>58.68</v>
      </c>
      <c r="AB1348" s="15">
        <f t="shared" si="461"/>
        <v>114.48</v>
      </c>
    </row>
    <row r="1349" spans="1:28" x14ac:dyDescent="0.25">
      <c r="A1349" s="16">
        <f>OrdersTable!A1349</f>
        <v>491</v>
      </c>
      <c r="B1349" s="15" t="str">
        <f t="shared" si="463"/>
        <v>Miss</v>
      </c>
      <c r="C1349" s="15" t="str">
        <f t="shared" si="462"/>
        <v>Winks</v>
      </c>
      <c r="D1349" s="15" t="str">
        <f t="shared" si="464"/>
        <v>Lori-Ann</v>
      </c>
      <c r="E1349" s="15" t="str">
        <f t="shared" si="465"/>
        <v>40 Lyne Street</v>
      </c>
      <c r="F1349" s="15" t="str">
        <f t="shared" si="466"/>
        <v>Bray Park</v>
      </c>
      <c r="G1349" s="15" t="str">
        <f t="shared" si="467"/>
        <v>QLD</v>
      </c>
      <c r="H1349" s="15">
        <f t="shared" si="468"/>
        <v>4500</v>
      </c>
      <c r="I1349" s="15">
        <f t="shared" ref="I1349:I1412" si="479">VLOOKUP($A1349,Cust,10,0)</f>
        <v>139</v>
      </c>
      <c r="J1349" s="15">
        <f>OrdersTable!B1349</f>
        <v>696</v>
      </c>
      <c r="K1349" s="15" t="str">
        <f t="shared" si="469"/>
        <v>Posters, Prints and Standees</v>
      </c>
      <c r="L1349" s="15" t="str">
        <f t="shared" si="470"/>
        <v xml:space="preserve">Doctor Who: 50th Anniversary: Poster: To Victory </v>
      </c>
      <c r="M1349" s="15" t="str">
        <f t="shared" si="471"/>
        <v>-</v>
      </c>
      <c r="N1349" s="15">
        <f t="shared" si="472"/>
        <v>0.2</v>
      </c>
      <c r="O1349" s="15" t="str">
        <f t="shared" si="473"/>
        <v>A40</v>
      </c>
      <c r="P1349" s="15" t="str">
        <f t="shared" si="474"/>
        <v>Romana Imports</v>
      </c>
      <c r="Q1349" s="15" t="str">
        <f t="shared" si="475"/>
        <v>17 Lalla Ward Road</v>
      </c>
      <c r="R1349" s="3">
        <f>OrdersTable!C1349</f>
        <v>44657</v>
      </c>
      <c r="S1349" s="15">
        <f>OrdersTable!E1349</f>
        <v>7</v>
      </c>
      <c r="T1349" s="15">
        <f t="shared" si="476"/>
        <v>3.99</v>
      </c>
      <c r="U1349" s="15">
        <f t="shared" si="477"/>
        <v>5.6</v>
      </c>
      <c r="V1349" s="15">
        <f t="shared" si="478"/>
        <v>6.46</v>
      </c>
      <c r="W1349" s="15">
        <f>IF(MarkupType="Store Markup",ROUND(V1349+V1349*StoreMarkup,2),IF(MarkupType="Supplier Markup",V1349+V1349*SupplierMarkup,"Error at finding value"))</f>
        <v>10.17</v>
      </c>
      <c r="X1349" s="32" t="str">
        <f t="shared" ref="X1349:X1412" si="480">IF(AND(W1349&gt;100,S1349&gt;=3),ROUND(0.07125*W1349,2),"0.00")</f>
        <v>0.00</v>
      </c>
      <c r="Y1349" s="15">
        <f t="shared" ref="Y1349:Y1412" si="481">ROUND(V1349*S1349,2)</f>
        <v>45.22</v>
      </c>
      <c r="Z1349" s="15">
        <f t="shared" ref="Z1349:Z1412" si="482">ROUND((W1349-X1349)*S1349,2)</f>
        <v>71.19</v>
      </c>
      <c r="AA1349" s="15">
        <f>IF(FreightType="Lethbridge-Stewart Freight ",ROUND(2.99+IF(N1349&gt;0.75,(N1349-0.75)*2.25,0)*S1349,2),IF(MarkupType="Supplier Markup",V1349+V1349*SupplierMarkup,"Error at finding value"))</f>
        <v>2.99</v>
      </c>
      <c r="AB1349" s="15">
        <f t="shared" ref="AB1349:AB1412" si="483">ROUND(X1349*S1349,2)</f>
        <v>0</v>
      </c>
    </row>
    <row r="1350" spans="1:28" x14ac:dyDescent="0.25">
      <c r="A1350" s="16">
        <f>OrdersTable!A1350</f>
        <v>496</v>
      </c>
      <c r="B1350" s="15" t="str">
        <f t="shared" si="463"/>
        <v>Dr</v>
      </c>
      <c r="C1350" s="15" t="str">
        <f t="shared" si="462"/>
        <v>Johnston</v>
      </c>
      <c r="D1350" s="15" t="str">
        <f t="shared" si="464"/>
        <v>Karrina</v>
      </c>
      <c r="E1350" s="15" t="str">
        <f t="shared" si="465"/>
        <v>11 Bishop Drive</v>
      </c>
      <c r="F1350" s="15" t="str">
        <f t="shared" si="466"/>
        <v>Belford</v>
      </c>
      <c r="G1350" s="15" t="str">
        <f t="shared" si="467"/>
        <v>NSW</v>
      </c>
      <c r="H1350" s="15">
        <f t="shared" si="468"/>
        <v>2335</v>
      </c>
      <c r="I1350" s="15">
        <f t="shared" si="479"/>
        <v>716</v>
      </c>
      <c r="J1350" s="15">
        <f>OrdersTable!B1350</f>
        <v>826</v>
      </c>
      <c r="K1350" s="15" t="str">
        <f t="shared" si="469"/>
        <v>Statues and Busts</v>
      </c>
      <c r="L1350" s="15" t="str">
        <f t="shared" si="470"/>
        <v>Doctor Who: Mini Bust: Cyberman</v>
      </c>
      <c r="M1350" s="15" t="str">
        <f t="shared" si="471"/>
        <v>-</v>
      </c>
      <c r="N1350" s="15">
        <f t="shared" si="472"/>
        <v>1.8</v>
      </c>
      <c r="O1350" s="15" t="str">
        <f t="shared" si="473"/>
        <v>A40</v>
      </c>
      <c r="P1350" s="15" t="str">
        <f t="shared" si="474"/>
        <v>Romana Imports</v>
      </c>
      <c r="Q1350" s="15" t="str">
        <f t="shared" si="475"/>
        <v>17 Lalla Ward Road</v>
      </c>
      <c r="R1350" s="3">
        <f>OrdersTable!C1350</f>
        <v>44657</v>
      </c>
      <c r="S1350" s="15">
        <f>OrdersTable!E1350</f>
        <v>4</v>
      </c>
      <c r="T1350" s="15">
        <f t="shared" si="476"/>
        <v>35.99</v>
      </c>
      <c r="U1350" s="15">
        <f t="shared" si="477"/>
        <v>49.13</v>
      </c>
      <c r="V1350" s="15">
        <f t="shared" si="478"/>
        <v>58.3</v>
      </c>
      <c r="W1350" s="15">
        <f>IF(MarkupType="Store Markup",ROUND(V1350+V1350*StoreMarkup,2),IF(MarkupType="Supplier Markup",V1350+V1350*SupplierMarkup,"Error at finding value"))</f>
        <v>91.82</v>
      </c>
      <c r="X1350" s="32" t="str">
        <f t="shared" si="480"/>
        <v>0.00</v>
      </c>
      <c r="Y1350" s="15">
        <f t="shared" si="481"/>
        <v>233.2</v>
      </c>
      <c r="Z1350" s="15">
        <f t="shared" si="482"/>
        <v>367.28</v>
      </c>
      <c r="AA1350" s="15">
        <f>IF(FreightType="Lethbridge-Stewart Freight ",ROUND(2.99+IF(N1350&gt;0.75,(N1350-0.75)*2.25,0)*S1350,2),IF(MarkupType="Supplier Markup",V1350+V1350*SupplierMarkup,"Error at finding value"))</f>
        <v>12.44</v>
      </c>
      <c r="AB1350" s="15">
        <f t="shared" si="483"/>
        <v>0</v>
      </c>
    </row>
    <row r="1351" spans="1:28" x14ac:dyDescent="0.25">
      <c r="A1351" s="16">
        <f>OrdersTable!A1351</f>
        <v>500</v>
      </c>
      <c r="B1351" s="15" t="str">
        <f t="shared" si="463"/>
        <v>Ms</v>
      </c>
      <c r="C1351" s="15" t="str">
        <f t="shared" si="462"/>
        <v>Helmers</v>
      </c>
      <c r="D1351" s="15" t="str">
        <f t="shared" si="464"/>
        <v>Kristy-Lee</v>
      </c>
      <c r="E1351" s="15" t="str">
        <f t="shared" si="465"/>
        <v>43 Welthagen Court</v>
      </c>
      <c r="F1351" s="15" t="str">
        <f t="shared" si="466"/>
        <v>Areegra</v>
      </c>
      <c r="G1351" s="15" t="str">
        <f t="shared" si="467"/>
        <v>VIC</v>
      </c>
      <c r="H1351" s="15">
        <f t="shared" si="468"/>
        <v>3480</v>
      </c>
      <c r="I1351" s="15">
        <f t="shared" si="479"/>
        <v>1559</v>
      </c>
      <c r="J1351" s="15">
        <f>OrdersTable!B1351</f>
        <v>701</v>
      </c>
      <c r="K1351" s="15" t="str">
        <f t="shared" si="469"/>
        <v>Posters, Prints and Standees</v>
      </c>
      <c r="L1351" s="15" t="str">
        <f t="shared" si="470"/>
        <v>Doctor Who: Half Sized Standee: The TARDIS</v>
      </c>
      <c r="M1351" s="15" t="str">
        <f t="shared" si="471"/>
        <v>-</v>
      </c>
      <c r="N1351" s="15">
        <f t="shared" si="472"/>
        <v>0.5</v>
      </c>
      <c r="O1351" s="15" t="str">
        <f t="shared" si="473"/>
        <v>A40</v>
      </c>
      <c r="P1351" s="15" t="str">
        <f t="shared" si="474"/>
        <v>Romana Imports</v>
      </c>
      <c r="Q1351" s="15" t="str">
        <f t="shared" si="475"/>
        <v>17 Lalla Ward Road</v>
      </c>
      <c r="R1351" s="3">
        <f>OrdersTable!C1351</f>
        <v>44657</v>
      </c>
      <c r="S1351" s="15">
        <f>OrdersTable!E1351</f>
        <v>8</v>
      </c>
      <c r="T1351" s="15">
        <f t="shared" si="476"/>
        <v>9.99</v>
      </c>
      <c r="U1351" s="15">
        <f t="shared" si="477"/>
        <v>13.83</v>
      </c>
      <c r="V1351" s="15">
        <f t="shared" si="478"/>
        <v>16.18</v>
      </c>
      <c r="W1351" s="15">
        <f>IF(MarkupType="Store Markup",ROUND(V1351+V1351*StoreMarkup,2),IF(MarkupType="Supplier Markup",V1351+V1351*SupplierMarkup,"Error at finding value"))</f>
        <v>25.48</v>
      </c>
      <c r="X1351" s="32" t="str">
        <f t="shared" si="480"/>
        <v>0.00</v>
      </c>
      <c r="Y1351" s="15">
        <f t="shared" si="481"/>
        <v>129.44</v>
      </c>
      <c r="Z1351" s="15">
        <f t="shared" si="482"/>
        <v>203.84</v>
      </c>
      <c r="AA1351" s="15">
        <f>IF(FreightType="Lethbridge-Stewart Freight ",ROUND(2.99+IF(N1351&gt;0.75,(N1351-0.75)*2.25,0)*S1351,2),IF(MarkupType="Supplier Markup",V1351+V1351*SupplierMarkup,"Error at finding value"))</f>
        <v>2.99</v>
      </c>
      <c r="AB1351" s="15">
        <f t="shared" si="483"/>
        <v>0</v>
      </c>
    </row>
    <row r="1352" spans="1:28" x14ac:dyDescent="0.25">
      <c r="A1352" s="16">
        <f>OrdersTable!A1352</f>
        <v>527</v>
      </c>
      <c r="B1352" s="15" t="str">
        <f t="shared" si="463"/>
        <v>Mr</v>
      </c>
      <c r="C1352" s="15" t="str">
        <f t="shared" si="462"/>
        <v>McTaggart</v>
      </c>
      <c r="D1352" s="15" t="str">
        <f t="shared" si="464"/>
        <v>Daniel</v>
      </c>
      <c r="E1352" s="15" t="str">
        <f t="shared" si="465"/>
        <v>24 Mulholland Avenue</v>
      </c>
      <c r="F1352" s="15" t="str">
        <f t="shared" si="466"/>
        <v>Belconnen</v>
      </c>
      <c r="G1352" s="15" t="str">
        <f t="shared" si="467"/>
        <v>ACT</v>
      </c>
      <c r="H1352" s="15">
        <f t="shared" si="468"/>
        <v>2617</v>
      </c>
      <c r="I1352" s="15">
        <f t="shared" si="479"/>
        <v>1194</v>
      </c>
      <c r="J1352" s="15">
        <f>OrdersTable!B1352</f>
        <v>707</v>
      </c>
      <c r="K1352" s="15" t="str">
        <f t="shared" si="469"/>
        <v>Posters, Prints and Standees</v>
      </c>
      <c r="L1352" s="15" t="str">
        <f t="shared" si="470"/>
        <v>Doctor Who: Poster: Ironside Dalek Blueprint</v>
      </c>
      <c r="M1352" s="15" t="str">
        <f t="shared" si="471"/>
        <v>-</v>
      </c>
      <c r="N1352" s="15">
        <f t="shared" si="472"/>
        <v>0.2</v>
      </c>
      <c r="O1352" s="15" t="str">
        <f t="shared" si="473"/>
        <v>A20</v>
      </c>
      <c r="P1352" s="15" t="str">
        <f t="shared" si="474"/>
        <v>Morbius Inc.</v>
      </c>
      <c r="Q1352" s="15" t="str">
        <f t="shared" si="475"/>
        <v>56 Michael Spice Hwy</v>
      </c>
      <c r="R1352" s="3">
        <f>OrdersTable!C1352</f>
        <v>44657</v>
      </c>
      <c r="S1352" s="15">
        <f>OrdersTable!E1352</f>
        <v>3</v>
      </c>
      <c r="T1352" s="15">
        <f t="shared" si="476"/>
        <v>3.99</v>
      </c>
      <c r="U1352" s="15">
        <f t="shared" si="477"/>
        <v>5.48</v>
      </c>
      <c r="V1352" s="15">
        <f t="shared" si="478"/>
        <v>6.46</v>
      </c>
      <c r="W1352" s="15">
        <f>IF(MarkupType="Store Markup",ROUND(V1352+V1352*StoreMarkup,2),IF(MarkupType="Supplier Markup",V1352+V1352*SupplierMarkup,"Error at finding value"))</f>
        <v>10.17</v>
      </c>
      <c r="X1352" s="32" t="str">
        <f t="shared" si="480"/>
        <v>0.00</v>
      </c>
      <c r="Y1352" s="15">
        <f t="shared" si="481"/>
        <v>19.38</v>
      </c>
      <c r="Z1352" s="15">
        <f t="shared" si="482"/>
        <v>30.51</v>
      </c>
      <c r="AA1352" s="15">
        <f>IF(FreightType="Lethbridge-Stewart Freight ",ROUND(2.99+IF(N1352&gt;0.75,(N1352-0.75)*2.25,0)*S1352,2),IF(MarkupType="Supplier Markup",V1352+V1352*SupplierMarkup,"Error at finding value"))</f>
        <v>2.99</v>
      </c>
      <c r="AB1352" s="15">
        <f t="shared" si="483"/>
        <v>0</v>
      </c>
    </row>
    <row r="1353" spans="1:28" x14ac:dyDescent="0.25">
      <c r="A1353" s="16">
        <f>OrdersTable!A1353</f>
        <v>573</v>
      </c>
      <c r="B1353" s="15" t="str">
        <f t="shared" si="463"/>
        <v>Mrs</v>
      </c>
      <c r="C1353" s="15" t="str">
        <f t="shared" si="462"/>
        <v>Hollonds</v>
      </c>
      <c r="D1353" s="15" t="str">
        <f t="shared" si="464"/>
        <v>Suzan</v>
      </c>
      <c r="E1353" s="15" t="str">
        <f t="shared" si="465"/>
        <v>49 Patel Way</v>
      </c>
      <c r="F1353" s="15" t="str">
        <f t="shared" si="466"/>
        <v>Belconnen</v>
      </c>
      <c r="G1353" s="15" t="str">
        <f t="shared" si="467"/>
        <v>ACT</v>
      </c>
      <c r="H1353" s="15">
        <f t="shared" si="468"/>
        <v>2617</v>
      </c>
      <c r="I1353" s="15">
        <f t="shared" si="479"/>
        <v>1194</v>
      </c>
      <c r="J1353" s="15">
        <f>OrdersTable!B1353</f>
        <v>679</v>
      </c>
      <c r="K1353" s="15" t="str">
        <f t="shared" si="469"/>
        <v>Mugs</v>
      </c>
      <c r="L1353" s="15" t="str">
        <f t="shared" si="470"/>
        <v>Doctor Who: Mug: The Fifth Doctor</v>
      </c>
      <c r="M1353" s="15" t="str">
        <f t="shared" si="471"/>
        <v>-</v>
      </c>
      <c r="N1353" s="15">
        <f t="shared" si="472"/>
        <v>0.45</v>
      </c>
      <c r="O1353" s="15" t="str">
        <f t="shared" si="473"/>
        <v>A40</v>
      </c>
      <c r="P1353" s="15" t="str">
        <f t="shared" si="474"/>
        <v>Romana Imports</v>
      </c>
      <c r="Q1353" s="15" t="str">
        <f t="shared" si="475"/>
        <v>17 Lalla Ward Road</v>
      </c>
      <c r="R1353" s="3">
        <f>OrdersTable!C1353</f>
        <v>44657</v>
      </c>
      <c r="S1353" s="15">
        <f>OrdersTable!E1353</f>
        <v>3</v>
      </c>
      <c r="T1353" s="15">
        <f t="shared" si="476"/>
        <v>8.99</v>
      </c>
      <c r="U1353" s="15">
        <f t="shared" si="477"/>
        <v>12.28</v>
      </c>
      <c r="V1353" s="15">
        <f t="shared" si="478"/>
        <v>14.56</v>
      </c>
      <c r="W1353" s="15">
        <f>IF(MarkupType="Store Markup",ROUND(V1353+V1353*StoreMarkup,2),IF(MarkupType="Supplier Markup",V1353+V1353*SupplierMarkup,"Error at finding value"))</f>
        <v>22.93</v>
      </c>
      <c r="X1353" s="32" t="str">
        <f t="shared" si="480"/>
        <v>0.00</v>
      </c>
      <c r="Y1353" s="15">
        <f t="shared" si="481"/>
        <v>43.68</v>
      </c>
      <c r="Z1353" s="15">
        <f t="shared" si="482"/>
        <v>68.790000000000006</v>
      </c>
      <c r="AA1353" s="15">
        <f>IF(FreightType="Lethbridge-Stewart Freight ",ROUND(2.99+IF(N1353&gt;0.75,(N1353-0.75)*2.25,0)*S1353,2),IF(MarkupType="Supplier Markup",V1353+V1353*SupplierMarkup,"Error at finding value"))</f>
        <v>2.99</v>
      </c>
      <c r="AB1353" s="15">
        <f t="shared" si="483"/>
        <v>0</v>
      </c>
    </row>
    <row r="1354" spans="1:28" x14ac:dyDescent="0.25">
      <c r="A1354" s="16">
        <f>OrdersTable!A1354</f>
        <v>600</v>
      </c>
      <c r="B1354" s="15" t="str">
        <f t="shared" si="463"/>
        <v>Dr</v>
      </c>
      <c r="C1354" s="15" t="str">
        <f t="shared" si="462"/>
        <v>McConnell</v>
      </c>
      <c r="D1354" s="15" t="str">
        <f t="shared" si="464"/>
        <v>Hannah Clair</v>
      </c>
      <c r="E1354" s="15" t="str">
        <f t="shared" si="465"/>
        <v>27 Mccarthy Circuit</v>
      </c>
      <c r="F1354" s="15" t="str">
        <f t="shared" si="466"/>
        <v>Ashford</v>
      </c>
      <c r="G1354" s="15" t="str">
        <f t="shared" si="467"/>
        <v>SA</v>
      </c>
      <c r="H1354" s="15">
        <f t="shared" si="468"/>
        <v>5035</v>
      </c>
      <c r="I1354" s="15">
        <f t="shared" si="479"/>
        <v>1877</v>
      </c>
      <c r="J1354" s="15">
        <f>OrdersTable!B1354</f>
        <v>585</v>
      </c>
      <c r="K1354" s="15" t="str">
        <f t="shared" si="469"/>
        <v>iPhone Skins</v>
      </c>
      <c r="L1354" s="15" t="str">
        <f t="shared" si="470"/>
        <v>Doctor Who: iPhone Skin: Dalek To Victory</v>
      </c>
      <c r="M1354" s="15" t="str">
        <f t="shared" si="471"/>
        <v>-</v>
      </c>
      <c r="N1354" s="15">
        <f t="shared" si="472"/>
        <v>0.5</v>
      </c>
      <c r="O1354" s="15" t="str">
        <f t="shared" si="473"/>
        <v>A10</v>
      </c>
      <c r="P1354" s="15" t="str">
        <f t="shared" si="474"/>
        <v>Gallifrey International</v>
      </c>
      <c r="Q1354" s="15" t="str">
        <f t="shared" si="475"/>
        <v>181 Arcadia Street</v>
      </c>
      <c r="R1354" s="3">
        <f>OrdersTable!C1354</f>
        <v>44657</v>
      </c>
      <c r="S1354" s="15">
        <f>OrdersTable!E1354</f>
        <v>6</v>
      </c>
      <c r="T1354" s="15">
        <f t="shared" si="476"/>
        <v>9.99</v>
      </c>
      <c r="U1354" s="15">
        <f t="shared" si="477"/>
        <v>13.7</v>
      </c>
      <c r="V1354" s="15">
        <f t="shared" si="478"/>
        <v>16.18</v>
      </c>
      <c r="W1354" s="15">
        <f>IF(MarkupType="Store Markup",ROUND(V1354+V1354*StoreMarkup,2),IF(MarkupType="Supplier Markup",V1354+V1354*SupplierMarkup,"Error at finding value"))</f>
        <v>25.48</v>
      </c>
      <c r="X1354" s="32" t="str">
        <f t="shared" si="480"/>
        <v>0.00</v>
      </c>
      <c r="Y1354" s="15">
        <f t="shared" si="481"/>
        <v>97.08</v>
      </c>
      <c r="Z1354" s="15">
        <f t="shared" si="482"/>
        <v>152.88</v>
      </c>
      <c r="AA1354" s="15">
        <f>IF(FreightType="Lethbridge-Stewart Freight ",ROUND(2.99+IF(N1354&gt;0.75,(N1354-0.75)*2.25,0)*S1354,2),IF(MarkupType="Supplier Markup",V1354+V1354*SupplierMarkup,"Error at finding value"))</f>
        <v>2.99</v>
      </c>
      <c r="AB1354" s="15">
        <f t="shared" si="483"/>
        <v>0</v>
      </c>
    </row>
    <row r="1355" spans="1:28" x14ac:dyDescent="0.25">
      <c r="A1355" s="16">
        <f>OrdersTable!A1355</f>
        <v>669</v>
      </c>
      <c r="B1355" s="15" t="str">
        <f t="shared" si="463"/>
        <v>Dr</v>
      </c>
      <c r="C1355" s="15" t="str">
        <f t="shared" ref="C1355:C1418" si="484">VLOOKUP($A1355,Cust,3,0)</f>
        <v>Ferjani</v>
      </c>
      <c r="D1355" s="15" t="str">
        <f t="shared" si="464"/>
        <v>Rabah</v>
      </c>
      <c r="E1355" s="15" t="str">
        <f t="shared" si="465"/>
        <v>2 Codrington Street</v>
      </c>
      <c r="F1355" s="15" t="str">
        <f t="shared" si="466"/>
        <v>Belford</v>
      </c>
      <c r="G1355" s="15" t="str">
        <f t="shared" si="467"/>
        <v>NSW</v>
      </c>
      <c r="H1355" s="15">
        <f t="shared" si="468"/>
        <v>2335</v>
      </c>
      <c r="I1355" s="15">
        <f t="shared" si="479"/>
        <v>716</v>
      </c>
      <c r="J1355" s="15">
        <f>OrdersTable!B1355</f>
        <v>358</v>
      </c>
      <c r="K1355" s="15" t="str">
        <f t="shared" si="469"/>
        <v>Clothing and Apparel</v>
      </c>
      <c r="L1355" s="15" t="str">
        <f t="shared" si="470"/>
        <v xml:space="preserve">Doctor Who: T-Shirts: 5th Doctor Costume </v>
      </c>
      <c r="M1355" s="15" t="str">
        <f t="shared" si="471"/>
        <v>M</v>
      </c>
      <c r="N1355" s="15">
        <f t="shared" si="472"/>
        <v>0.8</v>
      </c>
      <c r="O1355" s="15" t="str">
        <f t="shared" si="473"/>
        <v>A30</v>
      </c>
      <c r="P1355" s="15" t="str">
        <f t="shared" si="474"/>
        <v>Chesterton Enterprises</v>
      </c>
      <c r="Q1355" s="15" t="str">
        <f t="shared" si="475"/>
        <v>41 William Russell Road</v>
      </c>
      <c r="R1355" s="3">
        <f>OrdersTable!C1355</f>
        <v>44657</v>
      </c>
      <c r="S1355" s="15">
        <f>OrdersTable!E1355</f>
        <v>7</v>
      </c>
      <c r="T1355" s="15">
        <f t="shared" si="476"/>
        <v>15.99</v>
      </c>
      <c r="U1355" s="15">
        <f t="shared" si="477"/>
        <v>21.96</v>
      </c>
      <c r="V1355" s="15">
        <f t="shared" si="478"/>
        <v>25.9</v>
      </c>
      <c r="W1355" s="15">
        <f>IF(MarkupType="Store Markup",ROUND(V1355+V1355*StoreMarkup,2),IF(MarkupType="Supplier Markup",V1355+V1355*SupplierMarkup,"Error at finding value"))</f>
        <v>40.79</v>
      </c>
      <c r="X1355" s="32" t="str">
        <f t="shared" si="480"/>
        <v>0.00</v>
      </c>
      <c r="Y1355" s="15">
        <f t="shared" si="481"/>
        <v>181.3</v>
      </c>
      <c r="Z1355" s="15">
        <f t="shared" si="482"/>
        <v>285.52999999999997</v>
      </c>
      <c r="AA1355" s="15">
        <f>IF(FreightType="Lethbridge-Stewart Freight ",ROUND(2.99+IF(N1355&gt;0.75,(N1355-0.75)*2.25,0)*S1355,2),IF(MarkupType="Supplier Markup",V1355+V1355*SupplierMarkup,"Error at finding value"))</f>
        <v>3.78</v>
      </c>
      <c r="AB1355" s="15">
        <f t="shared" si="483"/>
        <v>0</v>
      </c>
    </row>
    <row r="1356" spans="1:28" x14ac:dyDescent="0.25">
      <c r="A1356" s="16">
        <f>OrdersTable!A1356</f>
        <v>747</v>
      </c>
      <c r="B1356" s="15" t="str">
        <f t="shared" si="463"/>
        <v>Miss</v>
      </c>
      <c r="C1356" s="15" t="str">
        <f t="shared" si="484"/>
        <v>Coom</v>
      </c>
      <c r="D1356" s="15" t="str">
        <f t="shared" si="464"/>
        <v>Mackenzie Megan</v>
      </c>
      <c r="E1356" s="15" t="str">
        <f t="shared" si="465"/>
        <v>2 Tsalikis Road</v>
      </c>
      <c r="F1356" s="15" t="str">
        <f t="shared" si="466"/>
        <v>Aberfoyle</v>
      </c>
      <c r="G1356" s="15" t="str">
        <f t="shared" si="467"/>
        <v>NSW</v>
      </c>
      <c r="H1356" s="15">
        <f t="shared" si="468"/>
        <v>2350</v>
      </c>
      <c r="I1356" s="15">
        <f t="shared" si="479"/>
        <v>363</v>
      </c>
      <c r="J1356" s="15">
        <f>OrdersTable!B1356</f>
        <v>186</v>
      </c>
      <c r="K1356" s="15" t="str">
        <f t="shared" si="469"/>
        <v>Bobbleheads</v>
      </c>
      <c r="L1356" s="15" t="str">
        <f t="shared" si="470"/>
        <v>Doctor Who: Monitor Mate: 50th Anniversary Original TARDIS</v>
      </c>
      <c r="M1356" s="15" t="str">
        <f t="shared" si="471"/>
        <v>-</v>
      </c>
      <c r="N1356" s="15">
        <f t="shared" si="472"/>
        <v>0.45</v>
      </c>
      <c r="O1356" s="15" t="str">
        <f t="shared" si="473"/>
        <v>A20</v>
      </c>
      <c r="P1356" s="15" t="str">
        <f t="shared" si="474"/>
        <v>Morbius Inc.</v>
      </c>
      <c r="Q1356" s="15" t="str">
        <f t="shared" si="475"/>
        <v>56 Michael Spice Hwy</v>
      </c>
      <c r="R1356" s="3">
        <f>OrdersTable!C1356</f>
        <v>44657</v>
      </c>
      <c r="S1356" s="15">
        <f>OrdersTable!E1356</f>
        <v>6</v>
      </c>
      <c r="T1356" s="15">
        <f t="shared" si="476"/>
        <v>8.99</v>
      </c>
      <c r="U1356" s="15">
        <f t="shared" si="477"/>
        <v>12.46</v>
      </c>
      <c r="V1356" s="15">
        <f t="shared" si="478"/>
        <v>14.56</v>
      </c>
      <c r="W1356" s="15">
        <f>IF(MarkupType="Store Markup",ROUND(V1356+V1356*StoreMarkup,2),IF(MarkupType="Supplier Markup",V1356+V1356*SupplierMarkup,"Error at finding value"))</f>
        <v>22.93</v>
      </c>
      <c r="X1356" s="32" t="str">
        <f t="shared" si="480"/>
        <v>0.00</v>
      </c>
      <c r="Y1356" s="15">
        <f t="shared" si="481"/>
        <v>87.36</v>
      </c>
      <c r="Z1356" s="15">
        <f t="shared" si="482"/>
        <v>137.58000000000001</v>
      </c>
      <c r="AA1356" s="15">
        <f>IF(FreightType="Lethbridge-Stewart Freight ",ROUND(2.99+IF(N1356&gt;0.75,(N1356-0.75)*2.25,0)*S1356,2),IF(MarkupType="Supplier Markup",V1356+V1356*SupplierMarkup,"Error at finding value"))</f>
        <v>2.99</v>
      </c>
      <c r="AB1356" s="15">
        <f t="shared" si="483"/>
        <v>0</v>
      </c>
    </row>
    <row r="1357" spans="1:28" x14ac:dyDescent="0.25">
      <c r="A1357" s="16">
        <f>OrdersTable!A1357</f>
        <v>747</v>
      </c>
      <c r="B1357" s="15" t="str">
        <f t="shared" si="463"/>
        <v>Miss</v>
      </c>
      <c r="C1357" s="15" t="str">
        <f t="shared" si="484"/>
        <v>Coom</v>
      </c>
      <c r="D1357" s="15" t="str">
        <f t="shared" si="464"/>
        <v>Mackenzie Megan</v>
      </c>
      <c r="E1357" s="15" t="str">
        <f t="shared" si="465"/>
        <v>2 Tsalikis Road</v>
      </c>
      <c r="F1357" s="15" t="str">
        <f t="shared" si="466"/>
        <v>Aberfoyle</v>
      </c>
      <c r="G1357" s="15" t="str">
        <f t="shared" si="467"/>
        <v>NSW</v>
      </c>
      <c r="H1357" s="15">
        <f t="shared" si="468"/>
        <v>2350</v>
      </c>
      <c r="I1357" s="15">
        <f t="shared" si="479"/>
        <v>363</v>
      </c>
      <c r="J1357" s="15">
        <f>OrdersTable!B1357</f>
        <v>862</v>
      </c>
      <c r="K1357" s="15" t="str">
        <f t="shared" si="469"/>
        <v>Statues and Busts</v>
      </c>
      <c r="L1357" s="15" t="str">
        <f t="shared" si="470"/>
        <v>Doctor Who: TITANS: The 10th Doctor</v>
      </c>
      <c r="M1357" s="15" t="str">
        <f t="shared" si="471"/>
        <v>-</v>
      </c>
      <c r="N1357" s="15">
        <f t="shared" si="472"/>
        <v>0.4</v>
      </c>
      <c r="O1357" s="15" t="str">
        <f t="shared" si="473"/>
        <v>A40</v>
      </c>
      <c r="P1357" s="15" t="str">
        <f t="shared" si="474"/>
        <v>Romana Imports</v>
      </c>
      <c r="Q1357" s="15" t="str">
        <f t="shared" si="475"/>
        <v>17 Lalla Ward Road</v>
      </c>
      <c r="R1357" s="3">
        <f>OrdersTable!C1357</f>
        <v>44657</v>
      </c>
      <c r="S1357" s="15">
        <f>OrdersTable!E1357</f>
        <v>6</v>
      </c>
      <c r="T1357" s="15">
        <f t="shared" si="476"/>
        <v>7.99</v>
      </c>
      <c r="U1357" s="15">
        <f t="shared" si="477"/>
        <v>11.01</v>
      </c>
      <c r="V1357" s="15">
        <f t="shared" si="478"/>
        <v>12.94</v>
      </c>
      <c r="W1357" s="15">
        <f>IF(MarkupType="Store Markup",ROUND(V1357+V1357*StoreMarkup,2),IF(MarkupType="Supplier Markup",V1357+V1357*SupplierMarkup,"Error at finding value"))</f>
        <v>20.38</v>
      </c>
      <c r="X1357" s="32" t="str">
        <f t="shared" si="480"/>
        <v>0.00</v>
      </c>
      <c r="Y1357" s="15">
        <f t="shared" si="481"/>
        <v>77.64</v>
      </c>
      <c r="Z1357" s="15">
        <f t="shared" si="482"/>
        <v>122.28</v>
      </c>
      <c r="AA1357" s="15">
        <f>IF(FreightType="Lethbridge-Stewart Freight ",ROUND(2.99+IF(N1357&gt;0.75,(N1357-0.75)*2.25,0)*S1357,2),IF(MarkupType="Supplier Markup",V1357+V1357*SupplierMarkup,"Error at finding value"))</f>
        <v>2.99</v>
      </c>
      <c r="AB1357" s="15">
        <f t="shared" si="483"/>
        <v>0</v>
      </c>
    </row>
    <row r="1358" spans="1:28" x14ac:dyDescent="0.25">
      <c r="A1358" s="16">
        <f>OrdersTable!A1358</f>
        <v>827</v>
      </c>
      <c r="B1358" s="15" t="str">
        <f t="shared" si="463"/>
        <v>Ms</v>
      </c>
      <c r="C1358" s="15" t="str">
        <f t="shared" si="484"/>
        <v>Ottaway</v>
      </c>
      <c r="D1358" s="15" t="str">
        <f t="shared" si="464"/>
        <v>Katherine</v>
      </c>
      <c r="E1358" s="15" t="str">
        <f t="shared" si="465"/>
        <v>7 Morrison Street</v>
      </c>
      <c r="F1358" s="15" t="str">
        <f t="shared" si="466"/>
        <v>Glenfern</v>
      </c>
      <c r="G1358" s="15" t="str">
        <f t="shared" si="467"/>
        <v>QLD</v>
      </c>
      <c r="H1358" s="15">
        <f t="shared" si="468"/>
        <v>4515</v>
      </c>
      <c r="I1358" s="15">
        <f t="shared" si="479"/>
        <v>128</v>
      </c>
      <c r="J1358" s="15">
        <f>OrdersTable!B1358</f>
        <v>696</v>
      </c>
      <c r="K1358" s="15" t="str">
        <f t="shared" si="469"/>
        <v>Posters, Prints and Standees</v>
      </c>
      <c r="L1358" s="15" t="str">
        <f t="shared" si="470"/>
        <v xml:space="preserve">Doctor Who: 50th Anniversary: Poster: To Victory </v>
      </c>
      <c r="M1358" s="15" t="str">
        <f t="shared" si="471"/>
        <v>-</v>
      </c>
      <c r="N1358" s="15">
        <f t="shared" si="472"/>
        <v>0.2</v>
      </c>
      <c r="O1358" s="15" t="str">
        <f t="shared" si="473"/>
        <v>A40</v>
      </c>
      <c r="P1358" s="15" t="str">
        <f t="shared" si="474"/>
        <v>Romana Imports</v>
      </c>
      <c r="Q1358" s="15" t="str">
        <f t="shared" si="475"/>
        <v>17 Lalla Ward Road</v>
      </c>
      <c r="R1358" s="3">
        <f>OrdersTable!C1358</f>
        <v>44657</v>
      </c>
      <c r="S1358" s="15">
        <f>OrdersTable!E1358</f>
        <v>5</v>
      </c>
      <c r="T1358" s="15">
        <f t="shared" si="476"/>
        <v>3.99</v>
      </c>
      <c r="U1358" s="15">
        <f t="shared" si="477"/>
        <v>5.6</v>
      </c>
      <c r="V1358" s="15">
        <f t="shared" si="478"/>
        <v>6.46</v>
      </c>
      <c r="W1358" s="15">
        <f>IF(MarkupType="Store Markup",ROUND(V1358+V1358*StoreMarkup,2),IF(MarkupType="Supplier Markup",V1358+V1358*SupplierMarkup,"Error at finding value"))</f>
        <v>10.17</v>
      </c>
      <c r="X1358" s="32" t="str">
        <f t="shared" si="480"/>
        <v>0.00</v>
      </c>
      <c r="Y1358" s="15">
        <f t="shared" si="481"/>
        <v>32.299999999999997</v>
      </c>
      <c r="Z1358" s="15">
        <f t="shared" si="482"/>
        <v>50.85</v>
      </c>
      <c r="AA1358" s="15">
        <f>IF(FreightType="Lethbridge-Stewart Freight ",ROUND(2.99+IF(N1358&gt;0.75,(N1358-0.75)*2.25,0)*S1358,2),IF(MarkupType="Supplier Markup",V1358+V1358*SupplierMarkup,"Error at finding value"))</f>
        <v>2.99</v>
      </c>
      <c r="AB1358" s="15">
        <f t="shared" si="483"/>
        <v>0</v>
      </c>
    </row>
    <row r="1359" spans="1:28" x14ac:dyDescent="0.25">
      <c r="A1359" s="16">
        <f>OrdersTable!A1359</f>
        <v>961</v>
      </c>
      <c r="B1359" s="15" t="str">
        <f t="shared" si="463"/>
        <v>Ms</v>
      </c>
      <c r="C1359" s="15" t="str">
        <f t="shared" si="484"/>
        <v>Schuh</v>
      </c>
      <c r="D1359" s="15" t="str">
        <f t="shared" si="464"/>
        <v>Rebecca Anne</v>
      </c>
      <c r="E1359" s="15" t="str">
        <f t="shared" si="465"/>
        <v>48 Wilson Court</v>
      </c>
      <c r="F1359" s="15" t="str">
        <f t="shared" si="466"/>
        <v>Breakwater</v>
      </c>
      <c r="G1359" s="15" t="str">
        <f t="shared" si="467"/>
        <v>VIC</v>
      </c>
      <c r="H1359" s="15">
        <f t="shared" si="468"/>
        <v>3219</v>
      </c>
      <c r="I1359" s="15">
        <f t="shared" si="479"/>
        <v>1596</v>
      </c>
      <c r="J1359" s="15">
        <f>OrdersTable!B1359</f>
        <v>530</v>
      </c>
      <c r="K1359" s="15" t="str">
        <f t="shared" si="469"/>
        <v>Giftware</v>
      </c>
      <c r="L1359" s="15" t="str">
        <f t="shared" si="470"/>
        <v>Doctor Who: Keyring TARDIS</v>
      </c>
      <c r="M1359" s="15" t="str">
        <f t="shared" si="471"/>
        <v>-</v>
      </c>
      <c r="N1359" s="15">
        <f t="shared" si="472"/>
        <v>0.25</v>
      </c>
      <c r="O1359" s="15" t="str">
        <f t="shared" si="473"/>
        <v>A20</v>
      </c>
      <c r="P1359" s="15" t="str">
        <f t="shared" si="474"/>
        <v>Morbius Inc.</v>
      </c>
      <c r="Q1359" s="15" t="str">
        <f t="shared" si="475"/>
        <v>56 Michael Spice Hwy</v>
      </c>
      <c r="R1359" s="3">
        <f>OrdersTable!C1359</f>
        <v>44657</v>
      </c>
      <c r="S1359" s="15">
        <f>OrdersTable!E1359</f>
        <v>2</v>
      </c>
      <c r="T1359" s="15">
        <f t="shared" si="476"/>
        <v>4.99</v>
      </c>
      <c r="U1359" s="15">
        <f t="shared" si="477"/>
        <v>7.1</v>
      </c>
      <c r="V1359" s="15">
        <f t="shared" si="478"/>
        <v>8.08</v>
      </c>
      <c r="W1359" s="15">
        <f>IF(MarkupType="Store Markup",ROUND(V1359+V1359*StoreMarkup,2),IF(MarkupType="Supplier Markup",V1359+V1359*SupplierMarkup,"Error at finding value"))</f>
        <v>12.73</v>
      </c>
      <c r="X1359" s="32" t="str">
        <f t="shared" si="480"/>
        <v>0.00</v>
      </c>
      <c r="Y1359" s="15">
        <f t="shared" si="481"/>
        <v>16.16</v>
      </c>
      <c r="Z1359" s="15">
        <f t="shared" si="482"/>
        <v>25.46</v>
      </c>
      <c r="AA1359" s="15">
        <f>IF(FreightType="Lethbridge-Stewart Freight ",ROUND(2.99+IF(N1359&gt;0.75,(N1359-0.75)*2.25,0)*S1359,2),IF(MarkupType="Supplier Markup",V1359+V1359*SupplierMarkup,"Error at finding value"))</f>
        <v>2.99</v>
      </c>
      <c r="AB1359" s="15">
        <f t="shared" si="483"/>
        <v>0</v>
      </c>
    </row>
    <row r="1360" spans="1:28" x14ac:dyDescent="0.25">
      <c r="A1360" s="16">
        <f>OrdersTable!A1360</f>
        <v>42</v>
      </c>
      <c r="B1360" s="15" t="str">
        <f t="shared" si="463"/>
        <v>Mr</v>
      </c>
      <c r="C1360" s="15" t="str">
        <f t="shared" si="484"/>
        <v>Ballantyne</v>
      </c>
      <c r="D1360" s="15" t="str">
        <f t="shared" si="464"/>
        <v>Barry John</v>
      </c>
      <c r="E1360" s="15" t="str">
        <f t="shared" si="465"/>
        <v>14 Bachmann Drive</v>
      </c>
      <c r="F1360" s="15" t="str">
        <f t="shared" si="466"/>
        <v>Alleena</v>
      </c>
      <c r="G1360" s="15" t="str">
        <f t="shared" si="467"/>
        <v>NSW</v>
      </c>
      <c r="H1360" s="15">
        <f t="shared" si="468"/>
        <v>2671</v>
      </c>
      <c r="I1360" s="15">
        <f t="shared" si="479"/>
        <v>988</v>
      </c>
      <c r="J1360" s="15">
        <f>OrdersTable!B1360</f>
        <v>374</v>
      </c>
      <c r="K1360" s="15" t="str">
        <f t="shared" si="469"/>
        <v>Clothing and Apparel</v>
      </c>
      <c r="L1360" s="15" t="str">
        <f t="shared" si="470"/>
        <v xml:space="preserve">Doctor Who: T-Shirts: 5th Doctor Costume </v>
      </c>
      <c r="M1360" s="15" t="str">
        <f t="shared" si="471"/>
        <v>XL</v>
      </c>
      <c r="N1360" s="15">
        <f t="shared" si="472"/>
        <v>0.8</v>
      </c>
      <c r="O1360" s="15" t="str">
        <f t="shared" si="473"/>
        <v>A50</v>
      </c>
      <c r="P1360" s="15" t="str">
        <f t="shared" si="474"/>
        <v>Rassilon Ltd.</v>
      </c>
      <c r="Q1360" s="15" t="str">
        <f t="shared" si="475"/>
        <v>82 Richard Mathews Road</v>
      </c>
      <c r="R1360" s="3">
        <f>OrdersTable!C1360</f>
        <v>44658</v>
      </c>
      <c r="S1360" s="15">
        <f>OrdersTable!E1360</f>
        <v>9</v>
      </c>
      <c r="T1360" s="15">
        <f t="shared" si="476"/>
        <v>15.99</v>
      </c>
      <c r="U1360" s="15">
        <f t="shared" si="477"/>
        <v>21.97</v>
      </c>
      <c r="V1360" s="15">
        <f t="shared" si="478"/>
        <v>25.9</v>
      </c>
      <c r="W1360" s="15">
        <f>IF(MarkupType="Store Markup",ROUND(V1360+V1360*StoreMarkup,2),IF(MarkupType="Supplier Markup",V1360+V1360*SupplierMarkup,"Error at finding value"))</f>
        <v>40.79</v>
      </c>
      <c r="X1360" s="32" t="str">
        <f t="shared" si="480"/>
        <v>0.00</v>
      </c>
      <c r="Y1360" s="15">
        <f t="shared" si="481"/>
        <v>233.1</v>
      </c>
      <c r="Z1360" s="15">
        <f t="shared" si="482"/>
        <v>367.11</v>
      </c>
      <c r="AA1360" s="15">
        <f>IF(FreightType="Lethbridge-Stewart Freight ",ROUND(2.99+IF(N1360&gt;0.75,(N1360-0.75)*2.25,0)*S1360,2),IF(MarkupType="Supplier Markup",V1360+V1360*SupplierMarkup,"Error at finding value"))</f>
        <v>4</v>
      </c>
      <c r="AB1360" s="15">
        <f t="shared" si="483"/>
        <v>0</v>
      </c>
    </row>
    <row r="1361" spans="1:28" x14ac:dyDescent="0.25">
      <c r="A1361" s="16">
        <f>OrdersTable!A1361</f>
        <v>296</v>
      </c>
      <c r="B1361" s="15" t="str">
        <f t="shared" si="463"/>
        <v>Miss</v>
      </c>
      <c r="C1361" s="15" t="str">
        <f t="shared" si="484"/>
        <v>Kussrow</v>
      </c>
      <c r="D1361" s="15" t="str">
        <f t="shared" si="464"/>
        <v>Katherine Anne</v>
      </c>
      <c r="E1361" s="15" t="str">
        <f t="shared" si="465"/>
        <v>10 Downes Street</v>
      </c>
      <c r="F1361" s="15" t="str">
        <f t="shared" si="466"/>
        <v>Breakwater</v>
      </c>
      <c r="G1361" s="15" t="str">
        <f t="shared" si="467"/>
        <v>VIC</v>
      </c>
      <c r="H1361" s="15">
        <f t="shared" si="468"/>
        <v>3219</v>
      </c>
      <c r="I1361" s="15">
        <f t="shared" si="479"/>
        <v>1596</v>
      </c>
      <c r="J1361" s="15">
        <f>OrdersTable!B1361</f>
        <v>643</v>
      </c>
      <c r="K1361" s="15" t="str">
        <f t="shared" si="469"/>
        <v>Mugs</v>
      </c>
      <c r="L1361" s="15" t="str">
        <f t="shared" si="470"/>
        <v>Doctor Who: Giant Mug: Logo</v>
      </c>
      <c r="M1361" s="15" t="str">
        <f t="shared" si="471"/>
        <v>-</v>
      </c>
      <c r="N1361" s="15">
        <f t="shared" si="472"/>
        <v>0.44500000000000001</v>
      </c>
      <c r="O1361" s="15" t="str">
        <f t="shared" si="473"/>
        <v>A10</v>
      </c>
      <c r="P1361" s="15" t="str">
        <f t="shared" si="474"/>
        <v>Gallifrey International</v>
      </c>
      <c r="Q1361" s="15" t="str">
        <f t="shared" si="475"/>
        <v>181 Arcadia Street</v>
      </c>
      <c r="R1361" s="3">
        <f>OrdersTable!C1361</f>
        <v>44658</v>
      </c>
      <c r="S1361" s="15">
        <f>OrdersTable!E1361</f>
        <v>5</v>
      </c>
      <c r="T1361" s="15">
        <f t="shared" si="476"/>
        <v>8.89</v>
      </c>
      <c r="U1361" s="15">
        <f t="shared" si="477"/>
        <v>12.19</v>
      </c>
      <c r="V1361" s="15">
        <f t="shared" si="478"/>
        <v>14.4</v>
      </c>
      <c r="W1361" s="15">
        <f>IF(MarkupType="Store Markup",ROUND(V1361+V1361*StoreMarkup,2),IF(MarkupType="Supplier Markup",V1361+V1361*SupplierMarkup,"Error at finding value"))</f>
        <v>22.68</v>
      </c>
      <c r="X1361" s="32" t="str">
        <f t="shared" si="480"/>
        <v>0.00</v>
      </c>
      <c r="Y1361" s="15">
        <f t="shared" si="481"/>
        <v>72</v>
      </c>
      <c r="Z1361" s="15">
        <f t="shared" si="482"/>
        <v>113.4</v>
      </c>
      <c r="AA1361" s="15">
        <f>IF(FreightType="Lethbridge-Stewart Freight ",ROUND(2.99+IF(N1361&gt;0.75,(N1361-0.75)*2.25,0)*S1361,2),IF(MarkupType="Supplier Markup",V1361+V1361*SupplierMarkup,"Error at finding value"))</f>
        <v>2.99</v>
      </c>
      <c r="AB1361" s="15">
        <f t="shared" si="483"/>
        <v>0</v>
      </c>
    </row>
    <row r="1362" spans="1:28" x14ac:dyDescent="0.25">
      <c r="A1362" s="16">
        <f>OrdersTable!A1362</f>
        <v>362</v>
      </c>
      <c r="B1362" s="15" t="str">
        <f t="shared" si="463"/>
        <v>Mr</v>
      </c>
      <c r="C1362" s="15" t="str">
        <f t="shared" si="484"/>
        <v>Hurst</v>
      </c>
      <c r="D1362" s="15" t="str">
        <f t="shared" si="464"/>
        <v>Ralph Gregory</v>
      </c>
      <c r="E1362" s="15" t="str">
        <f t="shared" si="465"/>
        <v>45 Blakeney Road</v>
      </c>
      <c r="F1362" s="15" t="str">
        <f t="shared" si="466"/>
        <v>Iluka</v>
      </c>
      <c r="G1362" s="15" t="str">
        <f t="shared" si="467"/>
        <v>NSW</v>
      </c>
      <c r="H1362" s="15">
        <f t="shared" si="468"/>
        <v>2466</v>
      </c>
      <c r="I1362" s="15">
        <f t="shared" si="479"/>
        <v>347</v>
      </c>
      <c r="J1362" s="15">
        <f>OrdersTable!B1362</f>
        <v>840</v>
      </c>
      <c r="K1362" s="15" t="str">
        <f t="shared" si="469"/>
        <v>Statues and Busts</v>
      </c>
      <c r="L1362" s="15" t="str">
        <f t="shared" si="470"/>
        <v>Doctor Who: Signature Edition Statue: Gallifrey Edition: Patrick Troughton</v>
      </c>
      <c r="M1362" s="15" t="str">
        <f t="shared" si="471"/>
        <v>-</v>
      </c>
      <c r="N1362" s="15">
        <f t="shared" si="472"/>
        <v>2.5</v>
      </c>
      <c r="O1362" s="15" t="str">
        <f t="shared" si="473"/>
        <v>A40</v>
      </c>
      <c r="P1362" s="15" t="str">
        <f t="shared" si="474"/>
        <v>Romana Imports</v>
      </c>
      <c r="Q1362" s="15" t="str">
        <f t="shared" si="475"/>
        <v>17 Lalla Ward Road</v>
      </c>
      <c r="R1362" s="3">
        <f>OrdersTable!C1362</f>
        <v>44658</v>
      </c>
      <c r="S1362" s="15">
        <f>OrdersTable!E1362</f>
        <v>1</v>
      </c>
      <c r="T1362" s="15">
        <f t="shared" si="476"/>
        <v>49.99</v>
      </c>
      <c r="U1362" s="15">
        <f t="shared" si="477"/>
        <v>68.510000000000005</v>
      </c>
      <c r="V1362" s="15">
        <f t="shared" si="478"/>
        <v>80.98</v>
      </c>
      <c r="W1362" s="15">
        <f>IF(MarkupType="Store Markup",ROUND(V1362+V1362*StoreMarkup,2),IF(MarkupType="Supplier Markup",V1362+V1362*SupplierMarkup,"Error at finding value"))</f>
        <v>127.54</v>
      </c>
      <c r="X1362" s="32" t="str">
        <f t="shared" si="480"/>
        <v>0.00</v>
      </c>
      <c r="Y1362" s="15">
        <f t="shared" si="481"/>
        <v>80.98</v>
      </c>
      <c r="Z1362" s="15">
        <f t="shared" si="482"/>
        <v>127.54</v>
      </c>
      <c r="AA1362" s="15">
        <f>IF(FreightType="Lethbridge-Stewart Freight ",ROUND(2.99+IF(N1362&gt;0.75,(N1362-0.75)*2.25,0)*S1362,2),IF(MarkupType="Supplier Markup",V1362+V1362*SupplierMarkup,"Error at finding value"))</f>
        <v>6.93</v>
      </c>
      <c r="AB1362" s="15">
        <f t="shared" si="483"/>
        <v>0</v>
      </c>
    </row>
    <row r="1363" spans="1:28" x14ac:dyDescent="0.25">
      <c r="A1363" s="16">
        <f>OrdersTable!A1363</f>
        <v>501</v>
      </c>
      <c r="B1363" s="15" t="str">
        <f t="shared" si="463"/>
        <v>Miss</v>
      </c>
      <c r="C1363" s="15" t="str">
        <f t="shared" si="484"/>
        <v>Tharenou</v>
      </c>
      <c r="D1363" s="15" t="str">
        <f t="shared" si="464"/>
        <v>Kimberley Jacinta</v>
      </c>
      <c r="E1363" s="15" t="str">
        <f t="shared" si="465"/>
        <v>49 Moncada Circuit</v>
      </c>
      <c r="F1363" s="15" t="str">
        <f t="shared" si="466"/>
        <v>Belford</v>
      </c>
      <c r="G1363" s="15" t="str">
        <f t="shared" si="467"/>
        <v>NSW</v>
      </c>
      <c r="H1363" s="15">
        <f t="shared" si="468"/>
        <v>2335</v>
      </c>
      <c r="I1363" s="15">
        <f t="shared" si="479"/>
        <v>716</v>
      </c>
      <c r="J1363" s="15">
        <f>OrdersTable!B1363</f>
        <v>759</v>
      </c>
      <c r="K1363" s="15" t="str">
        <f t="shared" si="469"/>
        <v>Statues and Busts</v>
      </c>
      <c r="L1363" s="15" t="str">
        <f t="shared" si="470"/>
        <v>Doctor Who: Legends Forever Bust: Jon Pertwee</v>
      </c>
      <c r="M1363" s="15" t="str">
        <f t="shared" si="471"/>
        <v>-</v>
      </c>
      <c r="N1363" s="15">
        <f t="shared" si="472"/>
        <v>1.375</v>
      </c>
      <c r="O1363" s="15" t="str">
        <f t="shared" si="473"/>
        <v>A30</v>
      </c>
      <c r="P1363" s="15" t="str">
        <f t="shared" si="474"/>
        <v>Chesterton Enterprises</v>
      </c>
      <c r="Q1363" s="15" t="str">
        <f t="shared" si="475"/>
        <v>41 William Russell Road</v>
      </c>
      <c r="R1363" s="3">
        <f>OrdersTable!C1363</f>
        <v>44658</v>
      </c>
      <c r="S1363" s="15">
        <f>OrdersTable!E1363</f>
        <v>4</v>
      </c>
      <c r="T1363" s="15">
        <f t="shared" si="476"/>
        <v>27.5</v>
      </c>
      <c r="U1363" s="15">
        <f t="shared" si="477"/>
        <v>37.630000000000003</v>
      </c>
      <c r="V1363" s="15">
        <f t="shared" si="478"/>
        <v>44.55</v>
      </c>
      <c r="W1363" s="15">
        <f>IF(MarkupType="Store Markup",ROUND(V1363+V1363*StoreMarkup,2),IF(MarkupType="Supplier Markup",V1363+V1363*SupplierMarkup,"Error at finding value"))</f>
        <v>70.17</v>
      </c>
      <c r="X1363" s="32" t="str">
        <f t="shared" si="480"/>
        <v>0.00</v>
      </c>
      <c r="Y1363" s="15">
        <f t="shared" si="481"/>
        <v>178.2</v>
      </c>
      <c r="Z1363" s="15">
        <f t="shared" si="482"/>
        <v>280.68</v>
      </c>
      <c r="AA1363" s="15">
        <f>IF(FreightType="Lethbridge-Stewart Freight ",ROUND(2.99+IF(N1363&gt;0.75,(N1363-0.75)*2.25,0)*S1363,2),IF(MarkupType="Supplier Markup",V1363+V1363*SupplierMarkup,"Error at finding value"))</f>
        <v>8.6199999999999992</v>
      </c>
      <c r="AB1363" s="15">
        <f t="shared" si="483"/>
        <v>0</v>
      </c>
    </row>
    <row r="1364" spans="1:28" x14ac:dyDescent="0.25">
      <c r="A1364" s="16">
        <f>OrdersTable!A1364</f>
        <v>527</v>
      </c>
      <c r="B1364" s="15" t="str">
        <f t="shared" si="463"/>
        <v>Mr</v>
      </c>
      <c r="C1364" s="15" t="str">
        <f t="shared" si="484"/>
        <v>McTaggart</v>
      </c>
      <c r="D1364" s="15" t="str">
        <f t="shared" si="464"/>
        <v>Daniel</v>
      </c>
      <c r="E1364" s="15" t="str">
        <f t="shared" si="465"/>
        <v>24 Mulholland Avenue</v>
      </c>
      <c r="F1364" s="15" t="str">
        <f t="shared" si="466"/>
        <v>Belconnen</v>
      </c>
      <c r="G1364" s="15" t="str">
        <f t="shared" si="467"/>
        <v>ACT</v>
      </c>
      <c r="H1364" s="15">
        <f t="shared" si="468"/>
        <v>2617</v>
      </c>
      <c r="I1364" s="15">
        <f t="shared" si="479"/>
        <v>1194</v>
      </c>
      <c r="J1364" s="15">
        <f>OrdersTable!B1364</f>
        <v>219</v>
      </c>
      <c r="K1364" s="15" t="str">
        <f t="shared" si="469"/>
        <v>Clothing and Apparel</v>
      </c>
      <c r="L1364" s="15" t="str">
        <f t="shared" si="470"/>
        <v>Doctor Who: Men's Winter Pyjamas</v>
      </c>
      <c r="M1364" s="15" t="str">
        <f t="shared" si="471"/>
        <v>M</v>
      </c>
      <c r="N1364" s="15">
        <f t="shared" si="472"/>
        <v>1.5</v>
      </c>
      <c r="O1364" s="15" t="str">
        <f t="shared" si="473"/>
        <v>A40</v>
      </c>
      <c r="P1364" s="15" t="str">
        <f t="shared" si="474"/>
        <v>Romana Imports</v>
      </c>
      <c r="Q1364" s="15" t="str">
        <f t="shared" si="475"/>
        <v>17 Lalla Ward Road</v>
      </c>
      <c r="R1364" s="3">
        <f>OrdersTable!C1364</f>
        <v>44658</v>
      </c>
      <c r="S1364" s="15">
        <f>OrdersTable!E1364</f>
        <v>6</v>
      </c>
      <c r="T1364" s="15">
        <f t="shared" si="476"/>
        <v>29.99</v>
      </c>
      <c r="U1364" s="15">
        <f t="shared" si="477"/>
        <v>41.24</v>
      </c>
      <c r="V1364" s="15">
        <f t="shared" si="478"/>
        <v>48.58</v>
      </c>
      <c r="W1364" s="15">
        <f>IF(MarkupType="Store Markup",ROUND(V1364+V1364*StoreMarkup,2),IF(MarkupType="Supplier Markup",V1364+V1364*SupplierMarkup,"Error at finding value"))</f>
        <v>76.510000000000005</v>
      </c>
      <c r="X1364" s="32" t="str">
        <f t="shared" si="480"/>
        <v>0.00</v>
      </c>
      <c r="Y1364" s="15">
        <f t="shared" si="481"/>
        <v>291.48</v>
      </c>
      <c r="Z1364" s="15">
        <f t="shared" si="482"/>
        <v>459.06</v>
      </c>
      <c r="AA1364" s="15">
        <f>IF(FreightType="Lethbridge-Stewart Freight ",ROUND(2.99+IF(N1364&gt;0.75,(N1364-0.75)*2.25,0)*S1364,2),IF(MarkupType="Supplier Markup",V1364+V1364*SupplierMarkup,"Error at finding value"))</f>
        <v>13.12</v>
      </c>
      <c r="AB1364" s="15">
        <f t="shared" si="483"/>
        <v>0</v>
      </c>
    </row>
    <row r="1365" spans="1:28" x14ac:dyDescent="0.25">
      <c r="A1365" s="16">
        <f>OrdersTable!A1365</f>
        <v>531</v>
      </c>
      <c r="B1365" s="15" t="str">
        <f t="shared" si="463"/>
        <v>Ms</v>
      </c>
      <c r="C1365" s="15" t="str">
        <f t="shared" si="484"/>
        <v>Stanton</v>
      </c>
      <c r="D1365" s="15" t="str">
        <f t="shared" si="464"/>
        <v>Sharaze</v>
      </c>
      <c r="E1365" s="15" t="str">
        <f t="shared" si="465"/>
        <v>1 Siddons Crescent</v>
      </c>
      <c r="F1365" s="15" t="str">
        <f t="shared" si="466"/>
        <v>Alfredtown</v>
      </c>
      <c r="G1365" s="15" t="str">
        <f t="shared" si="467"/>
        <v>NSW</v>
      </c>
      <c r="H1365" s="15">
        <f t="shared" si="468"/>
        <v>2650</v>
      </c>
      <c r="I1365" s="15">
        <f t="shared" si="479"/>
        <v>1124</v>
      </c>
      <c r="J1365" s="15">
        <f>OrdersTable!B1365</f>
        <v>852</v>
      </c>
      <c r="K1365" s="15" t="str">
        <f t="shared" si="469"/>
        <v>Statues and Busts</v>
      </c>
      <c r="L1365" s="15" t="str">
        <f t="shared" si="470"/>
        <v>Doctor Who: Statue: Revenge Of The Cybermen Cyberleader</v>
      </c>
      <c r="M1365" s="15" t="str">
        <f t="shared" si="471"/>
        <v>-</v>
      </c>
      <c r="N1365" s="15">
        <f t="shared" si="472"/>
        <v>5.4</v>
      </c>
      <c r="O1365" s="15" t="str">
        <f t="shared" si="473"/>
        <v>A50</v>
      </c>
      <c r="P1365" s="15" t="str">
        <f t="shared" si="474"/>
        <v>Rassilon Ltd.</v>
      </c>
      <c r="Q1365" s="15" t="str">
        <f t="shared" si="475"/>
        <v>82 Richard Mathews Road</v>
      </c>
      <c r="R1365" s="3">
        <f>OrdersTable!C1365</f>
        <v>44658</v>
      </c>
      <c r="S1365" s="15">
        <f>OrdersTable!E1365</f>
        <v>1</v>
      </c>
      <c r="T1365" s="15">
        <f t="shared" si="476"/>
        <v>108</v>
      </c>
      <c r="U1365" s="15">
        <f t="shared" si="477"/>
        <v>147.29</v>
      </c>
      <c r="V1365" s="15">
        <f t="shared" si="478"/>
        <v>174.96</v>
      </c>
      <c r="W1365" s="15">
        <f>IF(MarkupType="Store Markup",ROUND(V1365+V1365*StoreMarkup,2),IF(MarkupType="Supplier Markup",V1365+V1365*SupplierMarkup,"Error at finding value"))</f>
        <v>275.56</v>
      </c>
      <c r="X1365" s="32" t="str">
        <f t="shared" si="480"/>
        <v>0.00</v>
      </c>
      <c r="Y1365" s="15">
        <f t="shared" si="481"/>
        <v>174.96</v>
      </c>
      <c r="Z1365" s="15">
        <f t="shared" si="482"/>
        <v>275.56</v>
      </c>
      <c r="AA1365" s="15">
        <f>IF(FreightType="Lethbridge-Stewart Freight ",ROUND(2.99+IF(N1365&gt;0.75,(N1365-0.75)*2.25,0)*S1365,2),IF(MarkupType="Supplier Markup",V1365+V1365*SupplierMarkup,"Error at finding value"))</f>
        <v>13.45</v>
      </c>
      <c r="AB1365" s="15">
        <f t="shared" si="483"/>
        <v>0</v>
      </c>
    </row>
    <row r="1366" spans="1:28" x14ac:dyDescent="0.25">
      <c r="A1366" s="16">
        <f>OrdersTable!A1366</f>
        <v>540</v>
      </c>
      <c r="B1366" s="15" t="str">
        <f t="shared" si="463"/>
        <v>Dr</v>
      </c>
      <c r="C1366" s="15" t="str">
        <f t="shared" si="484"/>
        <v>Hackett</v>
      </c>
      <c r="D1366" s="15" t="str">
        <f t="shared" si="464"/>
        <v>Patrick</v>
      </c>
      <c r="E1366" s="15" t="str">
        <f t="shared" si="465"/>
        <v>25 Sweet Drive</v>
      </c>
      <c r="F1366" s="15" t="str">
        <f t="shared" si="466"/>
        <v>Bridgewater</v>
      </c>
      <c r="G1366" s="15" t="str">
        <f t="shared" si="467"/>
        <v>VIC</v>
      </c>
      <c r="H1366" s="15">
        <f t="shared" si="468"/>
        <v>3516</v>
      </c>
      <c r="I1366" s="15">
        <f t="shared" si="479"/>
        <v>1486</v>
      </c>
      <c r="J1366" s="15">
        <f>OrdersTable!B1366</f>
        <v>702</v>
      </c>
      <c r="K1366" s="15" t="str">
        <f t="shared" si="469"/>
        <v>Posters, Prints and Standees</v>
      </c>
      <c r="L1366" s="15" t="str">
        <f t="shared" si="470"/>
        <v>Doctor Who: Poster: Daleks</v>
      </c>
      <c r="M1366" s="15" t="str">
        <f t="shared" si="471"/>
        <v>-</v>
      </c>
      <c r="N1366" s="15">
        <f t="shared" si="472"/>
        <v>0.2</v>
      </c>
      <c r="O1366" s="15" t="str">
        <f t="shared" si="473"/>
        <v>A50</v>
      </c>
      <c r="P1366" s="15" t="str">
        <f t="shared" si="474"/>
        <v>Rassilon Ltd.</v>
      </c>
      <c r="Q1366" s="15" t="str">
        <f t="shared" si="475"/>
        <v>82 Richard Mathews Road</v>
      </c>
      <c r="R1366" s="3">
        <f>OrdersTable!C1366</f>
        <v>44658</v>
      </c>
      <c r="S1366" s="15">
        <f>OrdersTable!E1366</f>
        <v>10</v>
      </c>
      <c r="T1366" s="15">
        <f t="shared" si="476"/>
        <v>3.99</v>
      </c>
      <c r="U1366" s="15">
        <f t="shared" si="477"/>
        <v>5.46</v>
      </c>
      <c r="V1366" s="15">
        <f t="shared" si="478"/>
        <v>6.46</v>
      </c>
      <c r="W1366" s="15">
        <f>IF(MarkupType="Store Markup",ROUND(V1366+V1366*StoreMarkup,2),IF(MarkupType="Supplier Markup",V1366+V1366*SupplierMarkup,"Error at finding value"))</f>
        <v>10.17</v>
      </c>
      <c r="X1366" s="32" t="str">
        <f t="shared" si="480"/>
        <v>0.00</v>
      </c>
      <c r="Y1366" s="15">
        <f t="shared" si="481"/>
        <v>64.599999999999994</v>
      </c>
      <c r="Z1366" s="15">
        <f t="shared" si="482"/>
        <v>101.7</v>
      </c>
      <c r="AA1366" s="15">
        <f>IF(FreightType="Lethbridge-Stewart Freight ",ROUND(2.99+IF(N1366&gt;0.75,(N1366-0.75)*2.25,0)*S1366,2),IF(MarkupType="Supplier Markup",V1366+V1366*SupplierMarkup,"Error at finding value"))</f>
        <v>2.99</v>
      </c>
      <c r="AB1366" s="15">
        <f t="shared" si="483"/>
        <v>0</v>
      </c>
    </row>
    <row r="1367" spans="1:28" x14ac:dyDescent="0.25">
      <c r="A1367" s="16">
        <f>OrdersTable!A1367</f>
        <v>570</v>
      </c>
      <c r="B1367" s="15" t="str">
        <f t="shared" si="463"/>
        <v>Mr</v>
      </c>
      <c r="C1367" s="15" t="str">
        <f t="shared" si="484"/>
        <v>Adams</v>
      </c>
      <c r="D1367" s="15" t="str">
        <f t="shared" si="464"/>
        <v>Matthew</v>
      </c>
      <c r="E1367" s="15" t="str">
        <f t="shared" si="465"/>
        <v>36 Fenech Avenue</v>
      </c>
      <c r="F1367" s="15" t="str">
        <f t="shared" si="466"/>
        <v>Bray Park</v>
      </c>
      <c r="G1367" s="15" t="str">
        <f t="shared" si="467"/>
        <v>QLD</v>
      </c>
      <c r="H1367" s="15">
        <f t="shared" si="468"/>
        <v>4500</v>
      </c>
      <c r="I1367" s="15">
        <f t="shared" si="479"/>
        <v>139</v>
      </c>
      <c r="J1367" s="15">
        <f>OrdersTable!B1367</f>
        <v>699</v>
      </c>
      <c r="K1367" s="15" t="str">
        <f t="shared" si="469"/>
        <v>Posters, Prints and Standees</v>
      </c>
      <c r="L1367" s="15" t="str">
        <f t="shared" si="470"/>
        <v>Doctor Who: Half Sized Standee: The Master</v>
      </c>
      <c r="M1367" s="15" t="str">
        <f t="shared" si="471"/>
        <v>-</v>
      </c>
      <c r="N1367" s="15">
        <f t="shared" si="472"/>
        <v>0.5</v>
      </c>
      <c r="O1367" s="15" t="str">
        <f t="shared" si="473"/>
        <v>A20</v>
      </c>
      <c r="P1367" s="15" t="str">
        <f t="shared" si="474"/>
        <v>Morbius Inc.</v>
      </c>
      <c r="Q1367" s="15" t="str">
        <f t="shared" si="475"/>
        <v>56 Michael Spice Hwy</v>
      </c>
      <c r="R1367" s="3">
        <f>OrdersTable!C1367</f>
        <v>44658</v>
      </c>
      <c r="S1367" s="15">
        <f>OrdersTable!E1367</f>
        <v>2</v>
      </c>
      <c r="T1367" s="15">
        <f t="shared" si="476"/>
        <v>9.99</v>
      </c>
      <c r="U1367" s="15">
        <f t="shared" si="477"/>
        <v>13.79</v>
      </c>
      <c r="V1367" s="15">
        <f t="shared" si="478"/>
        <v>16.18</v>
      </c>
      <c r="W1367" s="15">
        <f>IF(MarkupType="Store Markup",ROUND(V1367+V1367*StoreMarkup,2),IF(MarkupType="Supplier Markup",V1367+V1367*SupplierMarkup,"Error at finding value"))</f>
        <v>25.48</v>
      </c>
      <c r="X1367" s="32" t="str">
        <f t="shared" si="480"/>
        <v>0.00</v>
      </c>
      <c r="Y1367" s="15">
        <f t="shared" si="481"/>
        <v>32.36</v>
      </c>
      <c r="Z1367" s="15">
        <f t="shared" si="482"/>
        <v>50.96</v>
      </c>
      <c r="AA1367" s="15">
        <f>IF(FreightType="Lethbridge-Stewart Freight ",ROUND(2.99+IF(N1367&gt;0.75,(N1367-0.75)*2.25,0)*S1367,2),IF(MarkupType="Supplier Markup",V1367+V1367*SupplierMarkup,"Error at finding value"))</f>
        <v>2.99</v>
      </c>
      <c r="AB1367" s="15">
        <f t="shared" si="483"/>
        <v>0</v>
      </c>
    </row>
    <row r="1368" spans="1:28" x14ac:dyDescent="0.25">
      <c r="A1368" s="16">
        <f>OrdersTable!A1368</f>
        <v>585</v>
      </c>
      <c r="B1368" s="15" t="str">
        <f t="shared" si="463"/>
        <v>Miss</v>
      </c>
      <c r="C1368" s="15" t="str">
        <f t="shared" si="484"/>
        <v>Long</v>
      </c>
      <c r="D1368" s="15" t="str">
        <f t="shared" si="464"/>
        <v>Bellinda May</v>
      </c>
      <c r="E1368" s="15" t="str">
        <f t="shared" si="465"/>
        <v>5 Hutcheson Avenue</v>
      </c>
      <c r="F1368" s="15" t="str">
        <f t="shared" si="466"/>
        <v>Glenfern</v>
      </c>
      <c r="G1368" s="15" t="str">
        <f t="shared" si="467"/>
        <v>QLD</v>
      </c>
      <c r="H1368" s="15">
        <f t="shared" si="468"/>
        <v>4515</v>
      </c>
      <c r="I1368" s="15">
        <f t="shared" si="479"/>
        <v>128</v>
      </c>
      <c r="J1368" s="15">
        <f>OrdersTable!B1368</f>
        <v>515</v>
      </c>
      <c r="K1368" s="15" t="str">
        <f t="shared" si="469"/>
        <v>Giftware</v>
      </c>
      <c r="L1368" s="15" t="str">
        <f t="shared" si="470"/>
        <v>Doctor Who: Keyring K9</v>
      </c>
      <c r="M1368" s="15" t="str">
        <f t="shared" si="471"/>
        <v>-</v>
      </c>
      <c r="N1368" s="15">
        <f t="shared" si="472"/>
        <v>0.25</v>
      </c>
      <c r="O1368" s="15" t="str">
        <f t="shared" si="473"/>
        <v>A50</v>
      </c>
      <c r="P1368" s="15" t="str">
        <f t="shared" si="474"/>
        <v>Rassilon Ltd.</v>
      </c>
      <c r="Q1368" s="15" t="str">
        <f t="shared" si="475"/>
        <v>82 Richard Mathews Road</v>
      </c>
      <c r="R1368" s="3">
        <f>OrdersTable!C1368</f>
        <v>44658</v>
      </c>
      <c r="S1368" s="15">
        <f>OrdersTable!E1368</f>
        <v>2</v>
      </c>
      <c r="T1368" s="15">
        <f t="shared" si="476"/>
        <v>4.99</v>
      </c>
      <c r="U1368" s="15">
        <f t="shared" si="477"/>
        <v>6.91</v>
      </c>
      <c r="V1368" s="15">
        <f t="shared" si="478"/>
        <v>8.08</v>
      </c>
      <c r="W1368" s="15">
        <f>IF(MarkupType="Store Markup",ROUND(V1368+V1368*StoreMarkup,2),IF(MarkupType="Supplier Markup",V1368+V1368*SupplierMarkup,"Error at finding value"))</f>
        <v>12.73</v>
      </c>
      <c r="X1368" s="32" t="str">
        <f t="shared" si="480"/>
        <v>0.00</v>
      </c>
      <c r="Y1368" s="15">
        <f t="shared" si="481"/>
        <v>16.16</v>
      </c>
      <c r="Z1368" s="15">
        <f t="shared" si="482"/>
        <v>25.46</v>
      </c>
      <c r="AA1368" s="15">
        <f>IF(FreightType="Lethbridge-Stewart Freight ",ROUND(2.99+IF(N1368&gt;0.75,(N1368-0.75)*2.25,0)*S1368,2),IF(MarkupType="Supplier Markup",V1368+V1368*SupplierMarkup,"Error at finding value"))</f>
        <v>2.99</v>
      </c>
      <c r="AB1368" s="15">
        <f t="shared" si="483"/>
        <v>0</v>
      </c>
    </row>
    <row r="1369" spans="1:28" x14ac:dyDescent="0.25">
      <c r="A1369" s="16">
        <f>OrdersTable!A1369</f>
        <v>600</v>
      </c>
      <c r="B1369" s="15" t="str">
        <f t="shared" si="463"/>
        <v>Dr</v>
      </c>
      <c r="C1369" s="15" t="str">
        <f t="shared" si="484"/>
        <v>McConnell</v>
      </c>
      <c r="D1369" s="15" t="str">
        <f t="shared" si="464"/>
        <v>Hannah Clair</v>
      </c>
      <c r="E1369" s="15" t="str">
        <f t="shared" si="465"/>
        <v>27 Mccarthy Circuit</v>
      </c>
      <c r="F1369" s="15" t="str">
        <f t="shared" si="466"/>
        <v>Ashford</v>
      </c>
      <c r="G1369" s="15" t="str">
        <f t="shared" si="467"/>
        <v>SA</v>
      </c>
      <c r="H1369" s="15">
        <f t="shared" si="468"/>
        <v>5035</v>
      </c>
      <c r="I1369" s="15">
        <f t="shared" si="479"/>
        <v>1877</v>
      </c>
      <c r="J1369" s="15">
        <f>OrdersTable!B1369</f>
        <v>782</v>
      </c>
      <c r="K1369" s="15" t="str">
        <f t="shared" si="469"/>
        <v>Statues and Busts</v>
      </c>
      <c r="L1369" s="15" t="str">
        <f t="shared" si="470"/>
        <v>Doctor Who: Masterpiece Collection Maxi Bust: 10th Doctor</v>
      </c>
      <c r="M1369" s="15" t="str">
        <f t="shared" si="471"/>
        <v>-</v>
      </c>
      <c r="N1369" s="15">
        <f t="shared" si="472"/>
        <v>2.5</v>
      </c>
      <c r="O1369" s="15" t="str">
        <f t="shared" si="473"/>
        <v>A30</v>
      </c>
      <c r="P1369" s="15" t="str">
        <f t="shared" si="474"/>
        <v>Chesterton Enterprises</v>
      </c>
      <c r="Q1369" s="15" t="str">
        <f t="shared" si="475"/>
        <v>41 William Russell Road</v>
      </c>
      <c r="R1369" s="3">
        <f>OrdersTable!C1369</f>
        <v>44658</v>
      </c>
      <c r="S1369" s="15">
        <f>OrdersTable!E1369</f>
        <v>6</v>
      </c>
      <c r="T1369" s="15">
        <f t="shared" si="476"/>
        <v>49.99</v>
      </c>
      <c r="U1369" s="15">
        <f t="shared" si="477"/>
        <v>68.5</v>
      </c>
      <c r="V1369" s="15">
        <f t="shared" si="478"/>
        <v>80.98</v>
      </c>
      <c r="W1369" s="15">
        <f>IF(MarkupType="Store Markup",ROUND(V1369+V1369*StoreMarkup,2),IF(MarkupType="Supplier Markup",V1369+V1369*SupplierMarkup,"Error at finding value"))</f>
        <v>127.54</v>
      </c>
      <c r="X1369" s="32">
        <f t="shared" si="480"/>
        <v>9.09</v>
      </c>
      <c r="Y1369" s="15">
        <f t="shared" si="481"/>
        <v>485.88</v>
      </c>
      <c r="Z1369" s="15">
        <f t="shared" si="482"/>
        <v>710.7</v>
      </c>
      <c r="AA1369" s="15">
        <f>IF(FreightType="Lethbridge-Stewart Freight ",ROUND(2.99+IF(N1369&gt;0.75,(N1369-0.75)*2.25,0)*S1369,2),IF(MarkupType="Supplier Markup",V1369+V1369*SupplierMarkup,"Error at finding value"))</f>
        <v>26.62</v>
      </c>
      <c r="AB1369" s="15">
        <f t="shared" si="483"/>
        <v>54.54</v>
      </c>
    </row>
    <row r="1370" spans="1:28" x14ac:dyDescent="0.25">
      <c r="A1370" s="16">
        <f>OrdersTable!A1370</f>
        <v>609</v>
      </c>
      <c r="B1370" s="15" t="str">
        <f t="shared" si="463"/>
        <v>Ms</v>
      </c>
      <c r="C1370" s="15" t="str">
        <f t="shared" si="484"/>
        <v>Ashley</v>
      </c>
      <c r="D1370" s="15" t="str">
        <f t="shared" si="464"/>
        <v>Matthew</v>
      </c>
      <c r="E1370" s="15" t="str">
        <f t="shared" si="465"/>
        <v>3 Wagener Crescent</v>
      </c>
      <c r="F1370" s="15" t="str">
        <f t="shared" si="466"/>
        <v>Aberfoyle</v>
      </c>
      <c r="G1370" s="15" t="str">
        <f t="shared" si="467"/>
        <v>NSW</v>
      </c>
      <c r="H1370" s="15">
        <f t="shared" si="468"/>
        <v>2350</v>
      </c>
      <c r="I1370" s="15">
        <f t="shared" si="479"/>
        <v>363</v>
      </c>
      <c r="J1370" s="15">
        <f>OrdersTable!B1370</f>
        <v>694</v>
      </c>
      <c r="K1370" s="15" t="str">
        <f t="shared" si="469"/>
        <v>Posters, Prints and Standees</v>
      </c>
      <c r="L1370" s="15" t="str">
        <f t="shared" si="470"/>
        <v>Doctor Who: 16'x12' Framed Print: Hide</v>
      </c>
      <c r="M1370" s="15" t="str">
        <f t="shared" si="471"/>
        <v>-</v>
      </c>
      <c r="N1370" s="15">
        <f t="shared" si="472"/>
        <v>0.75</v>
      </c>
      <c r="O1370" s="15" t="str">
        <f t="shared" si="473"/>
        <v>A40</v>
      </c>
      <c r="P1370" s="15" t="str">
        <f t="shared" si="474"/>
        <v>Romana Imports</v>
      </c>
      <c r="Q1370" s="15" t="str">
        <f t="shared" si="475"/>
        <v>17 Lalla Ward Road</v>
      </c>
      <c r="R1370" s="3">
        <f>OrdersTable!C1370</f>
        <v>44658</v>
      </c>
      <c r="S1370" s="15">
        <f>OrdersTable!E1370</f>
        <v>8</v>
      </c>
      <c r="T1370" s="15">
        <f t="shared" si="476"/>
        <v>14.99</v>
      </c>
      <c r="U1370" s="15">
        <f t="shared" si="477"/>
        <v>20.49</v>
      </c>
      <c r="V1370" s="15">
        <f t="shared" si="478"/>
        <v>24.28</v>
      </c>
      <c r="W1370" s="15">
        <f>IF(MarkupType="Store Markup",ROUND(V1370+V1370*StoreMarkup,2),IF(MarkupType="Supplier Markup",V1370+V1370*SupplierMarkup,"Error at finding value"))</f>
        <v>38.24</v>
      </c>
      <c r="X1370" s="32" t="str">
        <f t="shared" si="480"/>
        <v>0.00</v>
      </c>
      <c r="Y1370" s="15">
        <f t="shared" si="481"/>
        <v>194.24</v>
      </c>
      <c r="Z1370" s="15">
        <f t="shared" si="482"/>
        <v>305.92</v>
      </c>
      <c r="AA1370" s="15">
        <f>IF(FreightType="Lethbridge-Stewart Freight ",ROUND(2.99+IF(N1370&gt;0.75,(N1370-0.75)*2.25,0)*S1370,2),IF(MarkupType="Supplier Markup",V1370+V1370*SupplierMarkup,"Error at finding value"))</f>
        <v>2.99</v>
      </c>
      <c r="AB1370" s="15">
        <f t="shared" si="483"/>
        <v>0</v>
      </c>
    </row>
    <row r="1371" spans="1:28" x14ac:dyDescent="0.25">
      <c r="A1371" s="16">
        <f>OrdersTable!A1371</f>
        <v>750</v>
      </c>
      <c r="B1371" s="15" t="str">
        <f t="shared" si="463"/>
        <v>Ms</v>
      </c>
      <c r="C1371" s="15" t="str">
        <f t="shared" si="484"/>
        <v>Talbot</v>
      </c>
      <c r="D1371" s="15" t="str">
        <f t="shared" si="464"/>
        <v>Carlie Wenderly</v>
      </c>
      <c r="E1371" s="15" t="str">
        <f t="shared" si="465"/>
        <v>31 Somerville Way</v>
      </c>
      <c r="F1371" s="15" t="str">
        <f t="shared" si="466"/>
        <v>Boston</v>
      </c>
      <c r="G1371" s="15" t="str">
        <f t="shared" si="467"/>
        <v>SA</v>
      </c>
      <c r="H1371" s="15">
        <f t="shared" si="468"/>
        <v>5607</v>
      </c>
      <c r="I1371" s="15">
        <f t="shared" si="479"/>
        <v>2076</v>
      </c>
      <c r="J1371" s="15">
        <f>OrdersTable!B1371</f>
        <v>853</v>
      </c>
      <c r="K1371" s="15" t="str">
        <f t="shared" si="469"/>
        <v>Statues and Busts</v>
      </c>
      <c r="L1371" s="15" t="str">
        <f t="shared" si="470"/>
        <v>Doctor Who: Statue: The Master And Auton</v>
      </c>
      <c r="M1371" s="15" t="str">
        <f t="shared" si="471"/>
        <v>-</v>
      </c>
      <c r="N1371" s="15">
        <f t="shared" si="472"/>
        <v>3.5</v>
      </c>
      <c r="O1371" s="15" t="str">
        <f t="shared" si="473"/>
        <v>A50</v>
      </c>
      <c r="P1371" s="15" t="str">
        <f t="shared" si="474"/>
        <v>Rassilon Ltd.</v>
      </c>
      <c r="Q1371" s="15" t="str">
        <f t="shared" si="475"/>
        <v>82 Richard Mathews Road</v>
      </c>
      <c r="R1371" s="3">
        <f>OrdersTable!C1371</f>
        <v>44658</v>
      </c>
      <c r="S1371" s="15">
        <f>OrdersTable!E1371</f>
        <v>1</v>
      </c>
      <c r="T1371" s="15">
        <f t="shared" si="476"/>
        <v>69.989999999999995</v>
      </c>
      <c r="U1371" s="15">
        <f t="shared" si="477"/>
        <v>95.51</v>
      </c>
      <c r="V1371" s="15">
        <f t="shared" si="478"/>
        <v>113.38</v>
      </c>
      <c r="W1371" s="15">
        <f>IF(MarkupType="Store Markup",ROUND(V1371+V1371*StoreMarkup,2),IF(MarkupType="Supplier Markup",V1371+V1371*SupplierMarkup,"Error at finding value"))</f>
        <v>178.57</v>
      </c>
      <c r="X1371" s="32" t="str">
        <f t="shared" si="480"/>
        <v>0.00</v>
      </c>
      <c r="Y1371" s="15">
        <f t="shared" si="481"/>
        <v>113.38</v>
      </c>
      <c r="Z1371" s="15">
        <f t="shared" si="482"/>
        <v>178.57</v>
      </c>
      <c r="AA1371" s="15">
        <f>IF(FreightType="Lethbridge-Stewart Freight ",ROUND(2.99+IF(N1371&gt;0.75,(N1371-0.75)*2.25,0)*S1371,2),IF(MarkupType="Supplier Markup",V1371+V1371*SupplierMarkup,"Error at finding value"))</f>
        <v>9.18</v>
      </c>
      <c r="AB1371" s="15">
        <f t="shared" si="483"/>
        <v>0</v>
      </c>
    </row>
    <row r="1372" spans="1:28" x14ac:dyDescent="0.25">
      <c r="A1372" s="16">
        <f>OrdersTable!A1372</f>
        <v>784</v>
      </c>
      <c r="B1372" s="15" t="str">
        <f t="shared" si="463"/>
        <v>Ms</v>
      </c>
      <c r="C1372" s="15" t="str">
        <f t="shared" si="484"/>
        <v>Hansen</v>
      </c>
      <c r="D1372" s="15" t="str">
        <f t="shared" si="464"/>
        <v>Courtney Michelle</v>
      </c>
      <c r="E1372" s="15" t="str">
        <f t="shared" si="465"/>
        <v>22 Elliot Crescent</v>
      </c>
      <c r="F1372" s="15" t="str">
        <f t="shared" si="466"/>
        <v>Alfredtown</v>
      </c>
      <c r="G1372" s="15" t="str">
        <f t="shared" si="467"/>
        <v>NSW</v>
      </c>
      <c r="H1372" s="15">
        <f t="shared" si="468"/>
        <v>2650</v>
      </c>
      <c r="I1372" s="15">
        <f t="shared" si="479"/>
        <v>1124</v>
      </c>
      <c r="J1372" s="15">
        <f>OrdersTable!B1372</f>
        <v>607</v>
      </c>
      <c r="K1372" s="15" t="str">
        <f t="shared" si="469"/>
        <v>iPhone Skins</v>
      </c>
      <c r="L1372" s="15" t="str">
        <f t="shared" si="470"/>
        <v>Doctor Who: iPhone Skin: Keep Calm I'm The Doctor</v>
      </c>
      <c r="M1372" s="15" t="str">
        <f t="shared" si="471"/>
        <v>-</v>
      </c>
      <c r="N1372" s="15">
        <f t="shared" si="472"/>
        <v>0.5</v>
      </c>
      <c r="O1372" s="15" t="str">
        <f t="shared" si="473"/>
        <v>A40</v>
      </c>
      <c r="P1372" s="15" t="str">
        <f t="shared" si="474"/>
        <v>Romana Imports</v>
      </c>
      <c r="Q1372" s="15" t="str">
        <f t="shared" si="475"/>
        <v>17 Lalla Ward Road</v>
      </c>
      <c r="R1372" s="3">
        <f>OrdersTable!C1372</f>
        <v>44658</v>
      </c>
      <c r="S1372" s="15">
        <f>OrdersTable!E1372</f>
        <v>10</v>
      </c>
      <c r="T1372" s="15">
        <f t="shared" si="476"/>
        <v>9.99</v>
      </c>
      <c r="U1372" s="15">
        <f t="shared" si="477"/>
        <v>13.81</v>
      </c>
      <c r="V1372" s="15">
        <f t="shared" si="478"/>
        <v>16.18</v>
      </c>
      <c r="W1372" s="15">
        <f>IF(MarkupType="Store Markup",ROUND(V1372+V1372*StoreMarkup,2),IF(MarkupType="Supplier Markup",V1372+V1372*SupplierMarkup,"Error at finding value"))</f>
        <v>25.48</v>
      </c>
      <c r="X1372" s="32" t="str">
        <f t="shared" si="480"/>
        <v>0.00</v>
      </c>
      <c r="Y1372" s="15">
        <f t="shared" si="481"/>
        <v>161.80000000000001</v>
      </c>
      <c r="Z1372" s="15">
        <f t="shared" si="482"/>
        <v>254.8</v>
      </c>
      <c r="AA1372" s="15">
        <f>IF(FreightType="Lethbridge-Stewart Freight ",ROUND(2.99+IF(N1372&gt;0.75,(N1372-0.75)*2.25,0)*S1372,2),IF(MarkupType="Supplier Markup",V1372+V1372*SupplierMarkup,"Error at finding value"))</f>
        <v>2.99</v>
      </c>
      <c r="AB1372" s="15">
        <f t="shared" si="483"/>
        <v>0</v>
      </c>
    </row>
    <row r="1373" spans="1:28" x14ac:dyDescent="0.25">
      <c r="A1373" s="16">
        <f>OrdersTable!A1373</f>
        <v>827</v>
      </c>
      <c r="B1373" s="15" t="str">
        <f t="shared" si="463"/>
        <v>Ms</v>
      </c>
      <c r="C1373" s="15" t="str">
        <f t="shared" si="484"/>
        <v>Ottaway</v>
      </c>
      <c r="D1373" s="15" t="str">
        <f t="shared" si="464"/>
        <v>Katherine</v>
      </c>
      <c r="E1373" s="15" t="str">
        <f t="shared" si="465"/>
        <v>7 Morrison Street</v>
      </c>
      <c r="F1373" s="15" t="str">
        <f t="shared" si="466"/>
        <v>Glenfern</v>
      </c>
      <c r="G1373" s="15" t="str">
        <f t="shared" si="467"/>
        <v>QLD</v>
      </c>
      <c r="H1373" s="15">
        <f t="shared" si="468"/>
        <v>4515</v>
      </c>
      <c r="I1373" s="15">
        <f t="shared" si="479"/>
        <v>128</v>
      </c>
      <c r="J1373" s="15">
        <f>OrdersTable!B1373</f>
        <v>853</v>
      </c>
      <c r="K1373" s="15" t="str">
        <f t="shared" si="469"/>
        <v>Statues and Busts</v>
      </c>
      <c r="L1373" s="15" t="str">
        <f t="shared" si="470"/>
        <v>Doctor Who: Statue: The Master And Auton</v>
      </c>
      <c r="M1373" s="15" t="str">
        <f t="shared" si="471"/>
        <v>-</v>
      </c>
      <c r="N1373" s="15">
        <f t="shared" si="472"/>
        <v>3.5</v>
      </c>
      <c r="O1373" s="15" t="str">
        <f t="shared" si="473"/>
        <v>A50</v>
      </c>
      <c r="P1373" s="15" t="str">
        <f t="shared" si="474"/>
        <v>Rassilon Ltd.</v>
      </c>
      <c r="Q1373" s="15" t="str">
        <f t="shared" si="475"/>
        <v>82 Richard Mathews Road</v>
      </c>
      <c r="R1373" s="3">
        <f>OrdersTable!C1373</f>
        <v>44658</v>
      </c>
      <c r="S1373" s="15">
        <f>OrdersTable!E1373</f>
        <v>9</v>
      </c>
      <c r="T1373" s="15">
        <f t="shared" si="476"/>
        <v>69.989999999999995</v>
      </c>
      <c r="U1373" s="15">
        <f t="shared" si="477"/>
        <v>95.51</v>
      </c>
      <c r="V1373" s="15">
        <f t="shared" si="478"/>
        <v>113.38</v>
      </c>
      <c r="W1373" s="15">
        <f>IF(MarkupType="Store Markup",ROUND(V1373+V1373*StoreMarkup,2),IF(MarkupType="Supplier Markup",V1373+V1373*SupplierMarkup,"Error at finding value"))</f>
        <v>178.57</v>
      </c>
      <c r="X1373" s="32">
        <f t="shared" si="480"/>
        <v>12.72</v>
      </c>
      <c r="Y1373" s="15">
        <f t="shared" si="481"/>
        <v>1020.42</v>
      </c>
      <c r="Z1373" s="15">
        <f t="shared" si="482"/>
        <v>1492.65</v>
      </c>
      <c r="AA1373" s="15">
        <f>IF(FreightType="Lethbridge-Stewart Freight ",ROUND(2.99+IF(N1373&gt;0.75,(N1373-0.75)*2.25,0)*S1373,2),IF(MarkupType="Supplier Markup",V1373+V1373*SupplierMarkup,"Error at finding value"))</f>
        <v>58.68</v>
      </c>
      <c r="AB1373" s="15">
        <f t="shared" si="483"/>
        <v>114.48</v>
      </c>
    </row>
    <row r="1374" spans="1:28" x14ac:dyDescent="0.25">
      <c r="A1374" s="16">
        <f>OrdersTable!A1374</f>
        <v>843</v>
      </c>
      <c r="B1374" s="15" t="str">
        <f t="shared" si="463"/>
        <v>Mr</v>
      </c>
      <c r="C1374" s="15" t="str">
        <f t="shared" si="484"/>
        <v>Goodwin</v>
      </c>
      <c r="D1374" s="15" t="str">
        <f t="shared" si="464"/>
        <v>Damon Joel</v>
      </c>
      <c r="E1374" s="15" t="str">
        <f t="shared" si="465"/>
        <v>40 Powell Boulevard</v>
      </c>
      <c r="F1374" s="15" t="str">
        <f t="shared" si="466"/>
        <v>Abington</v>
      </c>
      <c r="G1374" s="15" t="str">
        <f t="shared" si="467"/>
        <v>QLD</v>
      </c>
      <c r="H1374" s="15">
        <f t="shared" si="468"/>
        <v>4660</v>
      </c>
      <c r="I1374" s="15">
        <f t="shared" si="479"/>
        <v>336</v>
      </c>
      <c r="J1374" s="15">
        <f>OrdersTable!B1374</f>
        <v>652</v>
      </c>
      <c r="K1374" s="15" t="str">
        <f t="shared" si="469"/>
        <v>Mugs</v>
      </c>
      <c r="L1374" s="15" t="str">
        <f t="shared" si="470"/>
        <v>Doctor Who: Mug: Dalek 2D</v>
      </c>
      <c r="M1374" s="15" t="str">
        <f t="shared" si="471"/>
        <v>-</v>
      </c>
      <c r="N1374" s="15">
        <f t="shared" si="472"/>
        <v>0.35</v>
      </c>
      <c r="O1374" s="15" t="str">
        <f t="shared" si="473"/>
        <v>A10</v>
      </c>
      <c r="P1374" s="15" t="str">
        <f t="shared" si="474"/>
        <v>Gallifrey International</v>
      </c>
      <c r="Q1374" s="15" t="str">
        <f t="shared" si="475"/>
        <v>181 Arcadia Street</v>
      </c>
      <c r="R1374" s="3">
        <f>OrdersTable!C1374</f>
        <v>44658</v>
      </c>
      <c r="S1374" s="15">
        <f>OrdersTable!E1374</f>
        <v>5</v>
      </c>
      <c r="T1374" s="15">
        <f t="shared" si="476"/>
        <v>6.99</v>
      </c>
      <c r="U1374" s="15">
        <f t="shared" si="477"/>
        <v>9.8800000000000008</v>
      </c>
      <c r="V1374" s="15">
        <f t="shared" si="478"/>
        <v>11.32</v>
      </c>
      <c r="W1374" s="15">
        <f>IF(MarkupType="Store Markup",ROUND(V1374+V1374*StoreMarkup,2),IF(MarkupType="Supplier Markup",V1374+V1374*SupplierMarkup,"Error at finding value"))</f>
        <v>17.829999999999998</v>
      </c>
      <c r="X1374" s="32" t="str">
        <f t="shared" si="480"/>
        <v>0.00</v>
      </c>
      <c r="Y1374" s="15">
        <f t="shared" si="481"/>
        <v>56.6</v>
      </c>
      <c r="Z1374" s="15">
        <f t="shared" si="482"/>
        <v>89.15</v>
      </c>
      <c r="AA1374" s="15">
        <f>IF(FreightType="Lethbridge-Stewart Freight ",ROUND(2.99+IF(N1374&gt;0.75,(N1374-0.75)*2.25,0)*S1374,2),IF(MarkupType="Supplier Markup",V1374+V1374*SupplierMarkup,"Error at finding value"))</f>
        <v>2.99</v>
      </c>
      <c r="AB1374" s="15">
        <f t="shared" si="483"/>
        <v>0</v>
      </c>
    </row>
    <row r="1375" spans="1:28" x14ac:dyDescent="0.25">
      <c r="A1375" s="16">
        <f>OrdersTable!A1375</f>
        <v>906</v>
      </c>
      <c r="B1375" s="15" t="str">
        <f t="shared" si="463"/>
        <v>Mrs</v>
      </c>
      <c r="C1375" s="15" t="str">
        <f t="shared" si="484"/>
        <v>Turner</v>
      </c>
      <c r="D1375" s="15" t="str">
        <f t="shared" si="464"/>
        <v>Courtney</v>
      </c>
      <c r="E1375" s="15" t="str">
        <f t="shared" si="465"/>
        <v>42 Fearon Avenue</v>
      </c>
      <c r="F1375" s="15" t="str">
        <f t="shared" si="466"/>
        <v>Breakwater</v>
      </c>
      <c r="G1375" s="15" t="str">
        <f t="shared" si="467"/>
        <v>VIC</v>
      </c>
      <c r="H1375" s="15">
        <f t="shared" si="468"/>
        <v>3219</v>
      </c>
      <c r="I1375" s="15">
        <f t="shared" si="479"/>
        <v>1596</v>
      </c>
      <c r="J1375" s="15">
        <f>OrdersTable!B1375</f>
        <v>830</v>
      </c>
      <c r="K1375" s="15" t="str">
        <f t="shared" si="469"/>
        <v>Statues and Busts</v>
      </c>
      <c r="L1375" s="15" t="str">
        <f t="shared" si="470"/>
        <v>Doctor Who: Mini Bust: Weeping Angel</v>
      </c>
      <c r="M1375" s="15" t="str">
        <f t="shared" si="471"/>
        <v>-</v>
      </c>
      <c r="N1375" s="15">
        <f t="shared" si="472"/>
        <v>1.8</v>
      </c>
      <c r="O1375" s="15" t="str">
        <f t="shared" si="473"/>
        <v>A50</v>
      </c>
      <c r="P1375" s="15" t="str">
        <f t="shared" si="474"/>
        <v>Rassilon Ltd.</v>
      </c>
      <c r="Q1375" s="15" t="str">
        <f t="shared" si="475"/>
        <v>82 Richard Mathews Road</v>
      </c>
      <c r="R1375" s="3">
        <f>OrdersTable!C1375</f>
        <v>44658</v>
      </c>
      <c r="S1375" s="15">
        <f>OrdersTable!E1375</f>
        <v>10</v>
      </c>
      <c r="T1375" s="15">
        <f t="shared" si="476"/>
        <v>35.99</v>
      </c>
      <c r="U1375" s="15">
        <f t="shared" si="477"/>
        <v>49.35</v>
      </c>
      <c r="V1375" s="15">
        <f t="shared" si="478"/>
        <v>58.3</v>
      </c>
      <c r="W1375" s="15">
        <f>IF(MarkupType="Store Markup",ROUND(V1375+V1375*StoreMarkup,2),IF(MarkupType="Supplier Markup",V1375+V1375*SupplierMarkup,"Error at finding value"))</f>
        <v>91.82</v>
      </c>
      <c r="X1375" s="32" t="str">
        <f t="shared" si="480"/>
        <v>0.00</v>
      </c>
      <c r="Y1375" s="15">
        <f t="shared" si="481"/>
        <v>583</v>
      </c>
      <c r="Z1375" s="15">
        <f t="shared" si="482"/>
        <v>918.2</v>
      </c>
      <c r="AA1375" s="15">
        <f>IF(FreightType="Lethbridge-Stewart Freight ",ROUND(2.99+IF(N1375&gt;0.75,(N1375-0.75)*2.25,0)*S1375,2),IF(MarkupType="Supplier Markup",V1375+V1375*SupplierMarkup,"Error at finding value"))</f>
        <v>26.62</v>
      </c>
      <c r="AB1375" s="15">
        <f t="shared" si="483"/>
        <v>0</v>
      </c>
    </row>
    <row r="1376" spans="1:28" x14ac:dyDescent="0.25">
      <c r="A1376" s="16">
        <f>OrdersTable!A1376</f>
        <v>923</v>
      </c>
      <c r="B1376" s="15" t="str">
        <f t="shared" si="463"/>
        <v>Ms</v>
      </c>
      <c r="C1376" s="15" t="str">
        <f t="shared" si="484"/>
        <v>Savage</v>
      </c>
      <c r="D1376" s="15" t="str">
        <f t="shared" si="464"/>
        <v>Eliza Margaret</v>
      </c>
      <c r="E1376" s="15" t="str">
        <f t="shared" si="465"/>
        <v>28 Whisson Crescent</v>
      </c>
      <c r="F1376" s="15" t="str">
        <f t="shared" si="466"/>
        <v>Belconnen</v>
      </c>
      <c r="G1376" s="15" t="str">
        <f t="shared" si="467"/>
        <v>ACT</v>
      </c>
      <c r="H1376" s="15">
        <f t="shared" si="468"/>
        <v>2617</v>
      </c>
      <c r="I1376" s="15">
        <f t="shared" si="479"/>
        <v>1194</v>
      </c>
      <c r="J1376" s="15">
        <f>OrdersTable!B1376</f>
        <v>702</v>
      </c>
      <c r="K1376" s="15" t="str">
        <f t="shared" si="469"/>
        <v>Posters, Prints and Standees</v>
      </c>
      <c r="L1376" s="15" t="str">
        <f t="shared" si="470"/>
        <v>Doctor Who: Poster: Daleks</v>
      </c>
      <c r="M1376" s="15" t="str">
        <f t="shared" si="471"/>
        <v>-</v>
      </c>
      <c r="N1376" s="15">
        <f t="shared" si="472"/>
        <v>0.2</v>
      </c>
      <c r="O1376" s="15" t="str">
        <f t="shared" si="473"/>
        <v>A50</v>
      </c>
      <c r="P1376" s="15" t="str">
        <f t="shared" si="474"/>
        <v>Rassilon Ltd.</v>
      </c>
      <c r="Q1376" s="15" t="str">
        <f t="shared" si="475"/>
        <v>82 Richard Mathews Road</v>
      </c>
      <c r="R1376" s="3">
        <f>OrdersTable!C1376</f>
        <v>44658</v>
      </c>
      <c r="S1376" s="15">
        <f>OrdersTable!E1376</f>
        <v>8</v>
      </c>
      <c r="T1376" s="15">
        <f t="shared" si="476"/>
        <v>3.99</v>
      </c>
      <c r="U1376" s="15">
        <f t="shared" si="477"/>
        <v>5.46</v>
      </c>
      <c r="V1376" s="15">
        <f t="shared" si="478"/>
        <v>6.46</v>
      </c>
      <c r="W1376" s="15">
        <f>IF(MarkupType="Store Markup",ROUND(V1376+V1376*StoreMarkup,2),IF(MarkupType="Supplier Markup",V1376+V1376*SupplierMarkup,"Error at finding value"))</f>
        <v>10.17</v>
      </c>
      <c r="X1376" s="32" t="str">
        <f t="shared" si="480"/>
        <v>0.00</v>
      </c>
      <c r="Y1376" s="15">
        <f t="shared" si="481"/>
        <v>51.68</v>
      </c>
      <c r="Z1376" s="15">
        <f t="shared" si="482"/>
        <v>81.36</v>
      </c>
      <c r="AA1376" s="15">
        <f>IF(FreightType="Lethbridge-Stewart Freight ",ROUND(2.99+IF(N1376&gt;0.75,(N1376-0.75)*2.25,0)*S1376,2),IF(MarkupType="Supplier Markup",V1376+V1376*SupplierMarkup,"Error at finding value"))</f>
        <v>2.99</v>
      </c>
      <c r="AB1376" s="15">
        <f t="shared" si="483"/>
        <v>0</v>
      </c>
    </row>
    <row r="1377" spans="1:28" x14ac:dyDescent="0.25">
      <c r="A1377" s="16">
        <f>OrdersTable!A1377</f>
        <v>983</v>
      </c>
      <c r="B1377" s="15" t="str">
        <f t="shared" si="463"/>
        <v>Mrs</v>
      </c>
      <c r="C1377" s="15" t="str">
        <f t="shared" si="484"/>
        <v>Bennett</v>
      </c>
      <c r="D1377" s="15" t="str">
        <f t="shared" si="464"/>
        <v>Mikayla Elizabeth</v>
      </c>
      <c r="E1377" s="15" t="str">
        <f t="shared" si="465"/>
        <v>35 Khanal Crescent</v>
      </c>
      <c r="F1377" s="15" t="str">
        <f t="shared" si="466"/>
        <v>Bamboo</v>
      </c>
      <c r="G1377" s="15" t="str">
        <f t="shared" si="467"/>
        <v>QLD</v>
      </c>
      <c r="H1377" s="15">
        <f t="shared" si="468"/>
        <v>4873</v>
      </c>
      <c r="I1377" s="15">
        <f t="shared" si="479"/>
        <v>1741</v>
      </c>
      <c r="J1377" s="15">
        <f>OrdersTable!B1377</f>
        <v>330</v>
      </c>
      <c r="K1377" s="15" t="str">
        <f t="shared" si="469"/>
        <v>Clothing and Apparel</v>
      </c>
      <c r="L1377" s="15" t="str">
        <f t="shared" si="470"/>
        <v xml:space="preserve">Doctor Who: T-Shirts: 4th Doctor Costume </v>
      </c>
      <c r="M1377" s="15" t="str">
        <f t="shared" si="471"/>
        <v>M</v>
      </c>
      <c r="N1377" s="15">
        <f t="shared" si="472"/>
        <v>0.8</v>
      </c>
      <c r="O1377" s="15" t="str">
        <f t="shared" si="473"/>
        <v>A20</v>
      </c>
      <c r="P1377" s="15" t="str">
        <f t="shared" si="474"/>
        <v>Morbius Inc.</v>
      </c>
      <c r="Q1377" s="15" t="str">
        <f t="shared" si="475"/>
        <v>56 Michael Spice Hwy</v>
      </c>
      <c r="R1377" s="3">
        <f>OrdersTable!C1377</f>
        <v>44658</v>
      </c>
      <c r="S1377" s="15">
        <f>OrdersTable!E1377</f>
        <v>2</v>
      </c>
      <c r="T1377" s="15">
        <f t="shared" si="476"/>
        <v>15.99</v>
      </c>
      <c r="U1377" s="15">
        <f t="shared" si="477"/>
        <v>22.03</v>
      </c>
      <c r="V1377" s="15">
        <f t="shared" si="478"/>
        <v>25.9</v>
      </c>
      <c r="W1377" s="15">
        <f>IF(MarkupType="Store Markup",ROUND(V1377+V1377*StoreMarkup,2),IF(MarkupType="Supplier Markup",V1377+V1377*SupplierMarkup,"Error at finding value"))</f>
        <v>40.79</v>
      </c>
      <c r="X1377" s="32" t="str">
        <f t="shared" si="480"/>
        <v>0.00</v>
      </c>
      <c r="Y1377" s="15">
        <f t="shared" si="481"/>
        <v>51.8</v>
      </c>
      <c r="Z1377" s="15">
        <f t="shared" si="482"/>
        <v>81.58</v>
      </c>
      <c r="AA1377" s="15">
        <f>IF(FreightType="Lethbridge-Stewart Freight ",ROUND(2.99+IF(N1377&gt;0.75,(N1377-0.75)*2.25,0)*S1377,2),IF(MarkupType="Supplier Markup",V1377+V1377*SupplierMarkup,"Error at finding value"))</f>
        <v>3.22</v>
      </c>
      <c r="AB1377" s="15">
        <f t="shared" si="483"/>
        <v>0</v>
      </c>
    </row>
    <row r="1378" spans="1:28" x14ac:dyDescent="0.25">
      <c r="A1378" s="16">
        <f>OrdersTable!A1378</f>
        <v>66</v>
      </c>
      <c r="B1378" s="15" t="str">
        <f t="shared" si="463"/>
        <v>Mr</v>
      </c>
      <c r="C1378" s="15" t="str">
        <f t="shared" si="484"/>
        <v>Bachmann</v>
      </c>
      <c r="D1378" s="15" t="str">
        <f t="shared" si="464"/>
        <v>Aaron</v>
      </c>
      <c r="E1378" s="15" t="str">
        <f t="shared" si="465"/>
        <v>3 Csabai Avenue</v>
      </c>
      <c r="F1378" s="15" t="str">
        <f t="shared" si="466"/>
        <v>Bridgewater</v>
      </c>
      <c r="G1378" s="15" t="str">
        <f t="shared" si="467"/>
        <v>VIC</v>
      </c>
      <c r="H1378" s="15">
        <f t="shared" si="468"/>
        <v>3516</v>
      </c>
      <c r="I1378" s="15">
        <f t="shared" si="479"/>
        <v>1486</v>
      </c>
      <c r="J1378" s="15">
        <f>OrdersTable!B1378</f>
        <v>177</v>
      </c>
      <c r="K1378" s="15" t="str">
        <f t="shared" si="469"/>
        <v>Bobbleheads</v>
      </c>
      <c r="L1378" s="15" t="str">
        <f t="shared" si="470"/>
        <v>Doctor Who: Bobblehead: TARDIS (With Sound)</v>
      </c>
      <c r="M1378" s="15" t="str">
        <f t="shared" si="471"/>
        <v>-</v>
      </c>
      <c r="N1378" s="15">
        <f t="shared" si="472"/>
        <v>1</v>
      </c>
      <c r="O1378" s="15" t="str">
        <f t="shared" si="473"/>
        <v>A30</v>
      </c>
      <c r="P1378" s="15" t="str">
        <f t="shared" si="474"/>
        <v>Chesterton Enterprises</v>
      </c>
      <c r="Q1378" s="15" t="str">
        <f t="shared" si="475"/>
        <v>41 William Russell Road</v>
      </c>
      <c r="R1378" s="3">
        <f>OrdersTable!C1378</f>
        <v>44659</v>
      </c>
      <c r="S1378" s="15">
        <f>OrdersTable!E1378</f>
        <v>1</v>
      </c>
      <c r="T1378" s="15">
        <f t="shared" si="476"/>
        <v>19.989999999999998</v>
      </c>
      <c r="U1378" s="15">
        <f t="shared" si="477"/>
        <v>27.6</v>
      </c>
      <c r="V1378" s="15">
        <f t="shared" si="478"/>
        <v>32.380000000000003</v>
      </c>
      <c r="W1378" s="15">
        <f>IF(MarkupType="Store Markup",ROUND(V1378+V1378*StoreMarkup,2),IF(MarkupType="Supplier Markup",V1378+V1378*SupplierMarkup,"Error at finding value"))</f>
        <v>51</v>
      </c>
      <c r="X1378" s="32" t="str">
        <f t="shared" si="480"/>
        <v>0.00</v>
      </c>
      <c r="Y1378" s="15">
        <f t="shared" si="481"/>
        <v>32.380000000000003</v>
      </c>
      <c r="Z1378" s="15">
        <f t="shared" si="482"/>
        <v>51</v>
      </c>
      <c r="AA1378" s="15">
        <f>IF(FreightType="Lethbridge-Stewart Freight ",ROUND(2.99+IF(N1378&gt;0.75,(N1378-0.75)*2.25,0)*S1378,2),IF(MarkupType="Supplier Markup",V1378+V1378*SupplierMarkup,"Error at finding value"))</f>
        <v>3.55</v>
      </c>
      <c r="AB1378" s="15">
        <f t="shared" si="483"/>
        <v>0</v>
      </c>
    </row>
    <row r="1379" spans="1:28" x14ac:dyDescent="0.25">
      <c r="A1379" s="16">
        <f>OrdersTable!A1379</f>
        <v>142</v>
      </c>
      <c r="B1379" s="15" t="str">
        <f t="shared" si="463"/>
        <v>Miss</v>
      </c>
      <c r="C1379" s="15" t="str">
        <f t="shared" si="484"/>
        <v>Western</v>
      </c>
      <c r="D1379" s="15" t="str">
        <f t="shared" si="464"/>
        <v>Lee Reuben</v>
      </c>
      <c r="E1379" s="15" t="str">
        <f t="shared" si="465"/>
        <v>14 Fields Road</v>
      </c>
      <c r="F1379" s="15" t="str">
        <f t="shared" si="466"/>
        <v>Airly</v>
      </c>
      <c r="G1379" s="15" t="str">
        <f t="shared" si="467"/>
        <v>VIC</v>
      </c>
      <c r="H1379" s="15">
        <f t="shared" si="468"/>
        <v>3851</v>
      </c>
      <c r="I1379" s="15">
        <f t="shared" si="479"/>
        <v>1583</v>
      </c>
      <c r="J1379" s="15">
        <f>OrdersTable!B1379</f>
        <v>398</v>
      </c>
      <c r="K1379" s="15" t="str">
        <f t="shared" si="469"/>
        <v>Clothing and Apparel</v>
      </c>
      <c r="L1379" s="15" t="str">
        <f t="shared" si="470"/>
        <v>Doctor Who: Women's Winter Pyjamas</v>
      </c>
      <c r="M1379" s="15" t="str">
        <f t="shared" si="471"/>
        <v>S</v>
      </c>
      <c r="N1379" s="15">
        <f t="shared" si="472"/>
        <v>1.5</v>
      </c>
      <c r="O1379" s="15" t="str">
        <f t="shared" si="473"/>
        <v>A40</v>
      </c>
      <c r="P1379" s="15" t="str">
        <f t="shared" si="474"/>
        <v>Romana Imports</v>
      </c>
      <c r="Q1379" s="15" t="str">
        <f t="shared" si="475"/>
        <v>17 Lalla Ward Road</v>
      </c>
      <c r="R1379" s="3">
        <f>OrdersTable!C1379</f>
        <v>44659</v>
      </c>
      <c r="S1379" s="15">
        <f>OrdersTable!E1379</f>
        <v>5</v>
      </c>
      <c r="T1379" s="15">
        <f t="shared" si="476"/>
        <v>29.99</v>
      </c>
      <c r="U1379" s="15">
        <f t="shared" si="477"/>
        <v>41.07</v>
      </c>
      <c r="V1379" s="15">
        <f t="shared" si="478"/>
        <v>48.58</v>
      </c>
      <c r="W1379" s="15">
        <f>IF(MarkupType="Store Markup",ROUND(V1379+V1379*StoreMarkup,2),IF(MarkupType="Supplier Markup",V1379+V1379*SupplierMarkup,"Error at finding value"))</f>
        <v>76.510000000000005</v>
      </c>
      <c r="X1379" s="32" t="str">
        <f t="shared" si="480"/>
        <v>0.00</v>
      </c>
      <c r="Y1379" s="15">
        <f t="shared" si="481"/>
        <v>242.9</v>
      </c>
      <c r="Z1379" s="15">
        <f t="shared" si="482"/>
        <v>382.55</v>
      </c>
      <c r="AA1379" s="15">
        <f>IF(FreightType="Lethbridge-Stewart Freight ",ROUND(2.99+IF(N1379&gt;0.75,(N1379-0.75)*2.25,0)*S1379,2),IF(MarkupType="Supplier Markup",V1379+V1379*SupplierMarkup,"Error at finding value"))</f>
        <v>11.43</v>
      </c>
      <c r="AB1379" s="15">
        <f t="shared" si="483"/>
        <v>0</v>
      </c>
    </row>
    <row r="1380" spans="1:28" x14ac:dyDescent="0.25">
      <c r="A1380" s="16">
        <f>OrdersTable!A1380</f>
        <v>200</v>
      </c>
      <c r="B1380" s="15" t="str">
        <f t="shared" si="463"/>
        <v>Ms</v>
      </c>
      <c r="C1380" s="15" t="str">
        <f t="shared" si="484"/>
        <v>Barton</v>
      </c>
      <c r="D1380" s="15" t="str">
        <f t="shared" si="464"/>
        <v>Kimberley</v>
      </c>
      <c r="E1380" s="15" t="str">
        <f t="shared" si="465"/>
        <v>9 Decuyper Road</v>
      </c>
      <c r="F1380" s="15" t="str">
        <f t="shared" si="466"/>
        <v>Ashford</v>
      </c>
      <c r="G1380" s="15" t="str">
        <f t="shared" si="467"/>
        <v>SA</v>
      </c>
      <c r="H1380" s="15">
        <f t="shared" si="468"/>
        <v>5035</v>
      </c>
      <c r="I1380" s="15">
        <f t="shared" si="479"/>
        <v>1877</v>
      </c>
      <c r="J1380" s="15">
        <f>OrdersTable!B1380</f>
        <v>530</v>
      </c>
      <c r="K1380" s="15" t="str">
        <f t="shared" si="469"/>
        <v>Giftware</v>
      </c>
      <c r="L1380" s="15" t="str">
        <f t="shared" si="470"/>
        <v>Doctor Who: Keyring TARDIS</v>
      </c>
      <c r="M1380" s="15" t="str">
        <f t="shared" si="471"/>
        <v>-</v>
      </c>
      <c r="N1380" s="15">
        <f t="shared" si="472"/>
        <v>0.25</v>
      </c>
      <c r="O1380" s="15" t="str">
        <f t="shared" si="473"/>
        <v>A20</v>
      </c>
      <c r="P1380" s="15" t="str">
        <f t="shared" si="474"/>
        <v>Morbius Inc.</v>
      </c>
      <c r="Q1380" s="15" t="str">
        <f t="shared" si="475"/>
        <v>56 Michael Spice Hwy</v>
      </c>
      <c r="R1380" s="3">
        <f>OrdersTable!C1380</f>
        <v>44659</v>
      </c>
      <c r="S1380" s="15">
        <f>OrdersTable!E1380</f>
        <v>9</v>
      </c>
      <c r="T1380" s="15">
        <f t="shared" si="476"/>
        <v>4.99</v>
      </c>
      <c r="U1380" s="15">
        <f t="shared" si="477"/>
        <v>7.1</v>
      </c>
      <c r="V1380" s="15">
        <f t="shared" si="478"/>
        <v>8.08</v>
      </c>
      <c r="W1380" s="15">
        <f>IF(MarkupType="Store Markup",ROUND(V1380+V1380*StoreMarkup,2),IF(MarkupType="Supplier Markup",V1380+V1380*SupplierMarkup,"Error at finding value"))</f>
        <v>12.73</v>
      </c>
      <c r="X1380" s="32" t="str">
        <f t="shared" si="480"/>
        <v>0.00</v>
      </c>
      <c r="Y1380" s="15">
        <f t="shared" si="481"/>
        <v>72.72</v>
      </c>
      <c r="Z1380" s="15">
        <f t="shared" si="482"/>
        <v>114.57</v>
      </c>
      <c r="AA1380" s="15">
        <f>IF(FreightType="Lethbridge-Stewart Freight ",ROUND(2.99+IF(N1380&gt;0.75,(N1380-0.75)*2.25,0)*S1380,2),IF(MarkupType="Supplier Markup",V1380+V1380*SupplierMarkup,"Error at finding value"))</f>
        <v>2.99</v>
      </c>
      <c r="AB1380" s="15">
        <f t="shared" si="483"/>
        <v>0</v>
      </c>
    </row>
    <row r="1381" spans="1:28" x14ac:dyDescent="0.25">
      <c r="A1381" s="16">
        <f>OrdersTable!A1381</f>
        <v>200</v>
      </c>
      <c r="B1381" s="15" t="str">
        <f t="shared" si="463"/>
        <v>Ms</v>
      </c>
      <c r="C1381" s="15" t="str">
        <f t="shared" si="484"/>
        <v>Barton</v>
      </c>
      <c r="D1381" s="15" t="str">
        <f t="shared" si="464"/>
        <v>Kimberley</v>
      </c>
      <c r="E1381" s="15" t="str">
        <f t="shared" si="465"/>
        <v>9 Decuyper Road</v>
      </c>
      <c r="F1381" s="15" t="str">
        <f t="shared" si="466"/>
        <v>Ashford</v>
      </c>
      <c r="G1381" s="15" t="str">
        <f t="shared" si="467"/>
        <v>SA</v>
      </c>
      <c r="H1381" s="15">
        <f t="shared" si="468"/>
        <v>5035</v>
      </c>
      <c r="I1381" s="15">
        <f t="shared" si="479"/>
        <v>1877</v>
      </c>
      <c r="J1381" s="15">
        <f>OrdersTable!B1381</f>
        <v>812</v>
      </c>
      <c r="K1381" s="15" t="str">
        <f t="shared" si="469"/>
        <v>Statues and Busts</v>
      </c>
      <c r="L1381" s="15" t="str">
        <f t="shared" si="470"/>
        <v>Doctor Who: Masterpiece Collection Maxi Bust: Dalek: Day Of The Daleks</v>
      </c>
      <c r="M1381" s="15" t="str">
        <f t="shared" si="471"/>
        <v>-</v>
      </c>
      <c r="N1381" s="15">
        <f t="shared" si="472"/>
        <v>2.5</v>
      </c>
      <c r="O1381" s="15" t="str">
        <f t="shared" si="473"/>
        <v>A20</v>
      </c>
      <c r="P1381" s="15" t="str">
        <f t="shared" si="474"/>
        <v>Morbius Inc.</v>
      </c>
      <c r="Q1381" s="15" t="str">
        <f t="shared" si="475"/>
        <v>56 Michael Spice Hwy</v>
      </c>
      <c r="R1381" s="3">
        <f>OrdersTable!C1381</f>
        <v>44659</v>
      </c>
      <c r="S1381" s="15">
        <f>OrdersTable!E1381</f>
        <v>7</v>
      </c>
      <c r="T1381" s="15">
        <f t="shared" si="476"/>
        <v>49.99</v>
      </c>
      <c r="U1381" s="15">
        <f t="shared" si="477"/>
        <v>68.47</v>
      </c>
      <c r="V1381" s="15">
        <f t="shared" si="478"/>
        <v>80.98</v>
      </c>
      <c r="W1381" s="15">
        <f>IF(MarkupType="Store Markup",ROUND(V1381+V1381*StoreMarkup,2),IF(MarkupType="Supplier Markup",V1381+V1381*SupplierMarkup,"Error at finding value"))</f>
        <v>127.54</v>
      </c>
      <c r="X1381" s="32">
        <f t="shared" si="480"/>
        <v>9.09</v>
      </c>
      <c r="Y1381" s="15">
        <f t="shared" si="481"/>
        <v>566.86</v>
      </c>
      <c r="Z1381" s="15">
        <f t="shared" si="482"/>
        <v>829.15</v>
      </c>
      <c r="AA1381" s="15">
        <f>IF(FreightType="Lethbridge-Stewart Freight ",ROUND(2.99+IF(N1381&gt;0.75,(N1381-0.75)*2.25,0)*S1381,2),IF(MarkupType="Supplier Markup",V1381+V1381*SupplierMarkup,"Error at finding value"))</f>
        <v>30.55</v>
      </c>
      <c r="AB1381" s="15">
        <f t="shared" si="483"/>
        <v>63.63</v>
      </c>
    </row>
    <row r="1382" spans="1:28" x14ac:dyDescent="0.25">
      <c r="A1382" s="16">
        <f>OrdersTable!A1382</f>
        <v>224</v>
      </c>
      <c r="B1382" s="15" t="str">
        <f t="shared" si="463"/>
        <v>Miss</v>
      </c>
      <c r="C1382" s="15" t="str">
        <f t="shared" si="484"/>
        <v>Baruwal</v>
      </c>
      <c r="D1382" s="15" t="str">
        <f t="shared" si="464"/>
        <v>Pratikshya</v>
      </c>
      <c r="E1382" s="15" t="str">
        <f t="shared" si="465"/>
        <v>43 Gilloway Street</v>
      </c>
      <c r="F1382" s="15" t="str">
        <f t="shared" si="466"/>
        <v>Iluka</v>
      </c>
      <c r="G1382" s="15" t="str">
        <f t="shared" si="467"/>
        <v>NSW</v>
      </c>
      <c r="H1382" s="15">
        <f t="shared" si="468"/>
        <v>2466</v>
      </c>
      <c r="I1382" s="15">
        <f t="shared" si="479"/>
        <v>347</v>
      </c>
      <c r="J1382" s="15">
        <f>OrdersTable!B1382</f>
        <v>692</v>
      </c>
      <c r="K1382" s="15" t="str">
        <f t="shared" si="469"/>
        <v>Posters, Prints and Standees</v>
      </c>
      <c r="L1382" s="15" t="str">
        <f t="shared" si="470"/>
        <v>Doctor Who: 16'x12' Framed Print: Exploding TARDIS</v>
      </c>
      <c r="M1382" s="15" t="str">
        <f t="shared" si="471"/>
        <v>-</v>
      </c>
      <c r="N1382" s="15">
        <f t="shared" si="472"/>
        <v>0.75</v>
      </c>
      <c r="O1382" s="15" t="str">
        <f t="shared" si="473"/>
        <v>A30</v>
      </c>
      <c r="P1382" s="15" t="str">
        <f t="shared" si="474"/>
        <v>Chesterton Enterprises</v>
      </c>
      <c r="Q1382" s="15" t="str">
        <f t="shared" si="475"/>
        <v>41 William Russell Road</v>
      </c>
      <c r="R1382" s="3">
        <f>OrdersTable!C1382</f>
        <v>44659</v>
      </c>
      <c r="S1382" s="15">
        <f>OrdersTable!E1382</f>
        <v>4</v>
      </c>
      <c r="T1382" s="15">
        <f t="shared" si="476"/>
        <v>14.99</v>
      </c>
      <c r="U1382" s="15">
        <f t="shared" si="477"/>
        <v>20.54</v>
      </c>
      <c r="V1382" s="15">
        <f t="shared" si="478"/>
        <v>24.28</v>
      </c>
      <c r="W1382" s="15">
        <f>IF(MarkupType="Store Markup",ROUND(V1382+V1382*StoreMarkup,2),IF(MarkupType="Supplier Markup",V1382+V1382*SupplierMarkup,"Error at finding value"))</f>
        <v>38.24</v>
      </c>
      <c r="X1382" s="32" t="str">
        <f t="shared" si="480"/>
        <v>0.00</v>
      </c>
      <c r="Y1382" s="15">
        <f t="shared" si="481"/>
        <v>97.12</v>
      </c>
      <c r="Z1382" s="15">
        <f t="shared" si="482"/>
        <v>152.96</v>
      </c>
      <c r="AA1382" s="15">
        <f>IF(FreightType="Lethbridge-Stewart Freight ",ROUND(2.99+IF(N1382&gt;0.75,(N1382-0.75)*2.25,0)*S1382,2),IF(MarkupType="Supplier Markup",V1382+V1382*SupplierMarkup,"Error at finding value"))</f>
        <v>2.99</v>
      </c>
      <c r="AB1382" s="15">
        <f t="shared" si="483"/>
        <v>0</v>
      </c>
    </row>
    <row r="1383" spans="1:28" x14ac:dyDescent="0.25">
      <c r="A1383" s="16">
        <f>OrdersTable!A1383</f>
        <v>232</v>
      </c>
      <c r="B1383" s="15" t="str">
        <f t="shared" si="463"/>
        <v>Mrs</v>
      </c>
      <c r="C1383" s="15" t="str">
        <f t="shared" si="484"/>
        <v>Bishop</v>
      </c>
      <c r="D1383" s="15" t="str">
        <f t="shared" si="464"/>
        <v>Katherine Marie</v>
      </c>
      <c r="E1383" s="15" t="str">
        <f t="shared" si="465"/>
        <v>19 Whitehorn Circuit</v>
      </c>
      <c r="F1383" s="15" t="str">
        <f t="shared" si="466"/>
        <v>Black Hills</v>
      </c>
      <c r="G1383" s="15" t="str">
        <f t="shared" si="467"/>
        <v>TAS</v>
      </c>
      <c r="H1383" s="15">
        <f t="shared" si="468"/>
        <v>7140</v>
      </c>
      <c r="I1383" s="15">
        <f t="shared" si="479"/>
        <v>2191</v>
      </c>
      <c r="J1383" s="15">
        <f>OrdersTable!B1383</f>
        <v>762</v>
      </c>
      <c r="K1383" s="15" t="str">
        <f t="shared" si="469"/>
        <v>Statues and Busts</v>
      </c>
      <c r="L1383" s="15" t="str">
        <f t="shared" si="470"/>
        <v>Doctor Who: Legends Forever Bust: Patrick Troughton</v>
      </c>
      <c r="M1383" s="15" t="str">
        <f t="shared" si="471"/>
        <v>-</v>
      </c>
      <c r="N1383" s="15">
        <f t="shared" si="472"/>
        <v>1.375</v>
      </c>
      <c r="O1383" s="15" t="str">
        <f t="shared" si="473"/>
        <v>A40</v>
      </c>
      <c r="P1383" s="15" t="str">
        <f t="shared" si="474"/>
        <v>Romana Imports</v>
      </c>
      <c r="Q1383" s="15" t="str">
        <f t="shared" si="475"/>
        <v>17 Lalla Ward Road</v>
      </c>
      <c r="R1383" s="3">
        <f>OrdersTable!C1383</f>
        <v>44659</v>
      </c>
      <c r="S1383" s="15">
        <f>OrdersTable!E1383</f>
        <v>1</v>
      </c>
      <c r="T1383" s="15">
        <f t="shared" si="476"/>
        <v>27.5</v>
      </c>
      <c r="U1383" s="15">
        <f t="shared" si="477"/>
        <v>37.799999999999997</v>
      </c>
      <c r="V1383" s="15">
        <f t="shared" si="478"/>
        <v>44.55</v>
      </c>
      <c r="W1383" s="15">
        <f>IF(MarkupType="Store Markup",ROUND(V1383+V1383*StoreMarkup,2),IF(MarkupType="Supplier Markup",V1383+V1383*SupplierMarkup,"Error at finding value"))</f>
        <v>70.17</v>
      </c>
      <c r="X1383" s="32" t="str">
        <f t="shared" si="480"/>
        <v>0.00</v>
      </c>
      <c r="Y1383" s="15">
        <f t="shared" si="481"/>
        <v>44.55</v>
      </c>
      <c r="Z1383" s="15">
        <f t="shared" si="482"/>
        <v>70.17</v>
      </c>
      <c r="AA1383" s="15">
        <f>IF(FreightType="Lethbridge-Stewart Freight ",ROUND(2.99+IF(N1383&gt;0.75,(N1383-0.75)*2.25,0)*S1383,2),IF(MarkupType="Supplier Markup",V1383+V1383*SupplierMarkup,"Error at finding value"))</f>
        <v>4.4000000000000004</v>
      </c>
      <c r="AB1383" s="15">
        <f t="shared" si="483"/>
        <v>0</v>
      </c>
    </row>
    <row r="1384" spans="1:28" x14ac:dyDescent="0.25">
      <c r="A1384" s="16">
        <f>OrdersTable!A1384</f>
        <v>284</v>
      </c>
      <c r="B1384" s="15" t="str">
        <f t="shared" si="463"/>
        <v>Mr</v>
      </c>
      <c r="C1384" s="15" t="str">
        <f t="shared" si="484"/>
        <v>Aitcheson</v>
      </c>
      <c r="D1384" s="15" t="str">
        <f t="shared" si="464"/>
        <v>Ben James</v>
      </c>
      <c r="E1384" s="15" t="str">
        <f t="shared" si="465"/>
        <v>32 Evans Avenue</v>
      </c>
      <c r="F1384" s="15" t="str">
        <f t="shared" si="466"/>
        <v>Batlow</v>
      </c>
      <c r="G1384" s="15" t="str">
        <f t="shared" si="467"/>
        <v>NSW</v>
      </c>
      <c r="H1384" s="15">
        <f t="shared" si="468"/>
        <v>2730</v>
      </c>
      <c r="I1384" s="15">
        <f t="shared" si="479"/>
        <v>1138</v>
      </c>
      <c r="J1384" s="15">
        <f>OrdersTable!B1384</f>
        <v>479</v>
      </c>
      <c r="K1384" s="15" t="str">
        <f t="shared" si="469"/>
        <v>Giftware</v>
      </c>
      <c r="L1384" s="15" t="str">
        <f t="shared" si="470"/>
        <v>Doctor Who: Keyring Dalek</v>
      </c>
      <c r="M1384" s="15" t="str">
        <f t="shared" si="471"/>
        <v>-</v>
      </c>
      <c r="N1384" s="15">
        <f t="shared" si="472"/>
        <v>0.25</v>
      </c>
      <c r="O1384" s="15" t="str">
        <f t="shared" si="473"/>
        <v>A10</v>
      </c>
      <c r="P1384" s="15" t="str">
        <f t="shared" si="474"/>
        <v>Gallifrey International</v>
      </c>
      <c r="Q1384" s="15" t="str">
        <f t="shared" si="475"/>
        <v>181 Arcadia Street</v>
      </c>
      <c r="R1384" s="3">
        <f>OrdersTable!C1384</f>
        <v>44659</v>
      </c>
      <c r="S1384" s="15">
        <f>OrdersTable!E1384</f>
        <v>1</v>
      </c>
      <c r="T1384" s="15">
        <f t="shared" si="476"/>
        <v>4.99</v>
      </c>
      <c r="U1384" s="15">
        <f t="shared" si="477"/>
        <v>6.86</v>
      </c>
      <c r="V1384" s="15">
        <f t="shared" si="478"/>
        <v>8.08</v>
      </c>
      <c r="W1384" s="15">
        <f>IF(MarkupType="Store Markup",ROUND(V1384+V1384*StoreMarkup,2),IF(MarkupType="Supplier Markup",V1384+V1384*SupplierMarkup,"Error at finding value"))</f>
        <v>12.73</v>
      </c>
      <c r="X1384" s="32" t="str">
        <f t="shared" si="480"/>
        <v>0.00</v>
      </c>
      <c r="Y1384" s="15">
        <f t="shared" si="481"/>
        <v>8.08</v>
      </c>
      <c r="Z1384" s="15">
        <f t="shared" si="482"/>
        <v>12.73</v>
      </c>
      <c r="AA1384" s="15">
        <f>IF(FreightType="Lethbridge-Stewart Freight ",ROUND(2.99+IF(N1384&gt;0.75,(N1384-0.75)*2.25,0)*S1384,2),IF(MarkupType="Supplier Markup",V1384+V1384*SupplierMarkup,"Error at finding value"))</f>
        <v>2.99</v>
      </c>
      <c r="AB1384" s="15">
        <f t="shared" si="483"/>
        <v>0</v>
      </c>
    </row>
    <row r="1385" spans="1:28" x14ac:dyDescent="0.25">
      <c r="A1385" s="16">
        <f>OrdersTable!A1385</f>
        <v>312</v>
      </c>
      <c r="B1385" s="15" t="str">
        <f t="shared" si="463"/>
        <v>Mr</v>
      </c>
      <c r="C1385" s="15" t="str">
        <f t="shared" si="484"/>
        <v>Lloyd</v>
      </c>
      <c r="D1385" s="15" t="str">
        <f t="shared" si="464"/>
        <v>Ben</v>
      </c>
      <c r="E1385" s="15" t="str">
        <f t="shared" si="465"/>
        <v>13 Stark Avenue</v>
      </c>
      <c r="F1385" s="15" t="str">
        <f t="shared" si="466"/>
        <v>Iluka</v>
      </c>
      <c r="G1385" s="15" t="str">
        <f t="shared" si="467"/>
        <v>NSW</v>
      </c>
      <c r="H1385" s="15">
        <f t="shared" si="468"/>
        <v>2466</v>
      </c>
      <c r="I1385" s="15">
        <f t="shared" si="479"/>
        <v>347</v>
      </c>
      <c r="J1385" s="15">
        <f>OrdersTable!B1385</f>
        <v>607</v>
      </c>
      <c r="K1385" s="15" t="str">
        <f t="shared" si="469"/>
        <v>iPhone Skins</v>
      </c>
      <c r="L1385" s="15" t="str">
        <f t="shared" si="470"/>
        <v>Doctor Who: iPhone Skin: Keep Calm I'm The Doctor</v>
      </c>
      <c r="M1385" s="15" t="str">
        <f t="shared" si="471"/>
        <v>-</v>
      </c>
      <c r="N1385" s="15">
        <f t="shared" si="472"/>
        <v>0.5</v>
      </c>
      <c r="O1385" s="15" t="str">
        <f t="shared" si="473"/>
        <v>A40</v>
      </c>
      <c r="P1385" s="15" t="str">
        <f t="shared" si="474"/>
        <v>Romana Imports</v>
      </c>
      <c r="Q1385" s="15" t="str">
        <f t="shared" si="475"/>
        <v>17 Lalla Ward Road</v>
      </c>
      <c r="R1385" s="3">
        <f>OrdersTable!C1385</f>
        <v>44659</v>
      </c>
      <c r="S1385" s="15">
        <f>OrdersTable!E1385</f>
        <v>3</v>
      </c>
      <c r="T1385" s="15">
        <f t="shared" si="476"/>
        <v>9.99</v>
      </c>
      <c r="U1385" s="15">
        <f t="shared" si="477"/>
        <v>13.81</v>
      </c>
      <c r="V1385" s="15">
        <f t="shared" si="478"/>
        <v>16.18</v>
      </c>
      <c r="W1385" s="15">
        <f>IF(MarkupType="Store Markup",ROUND(V1385+V1385*StoreMarkup,2),IF(MarkupType="Supplier Markup",V1385+V1385*SupplierMarkup,"Error at finding value"))</f>
        <v>25.48</v>
      </c>
      <c r="X1385" s="32" t="str">
        <f t="shared" si="480"/>
        <v>0.00</v>
      </c>
      <c r="Y1385" s="15">
        <f t="shared" si="481"/>
        <v>48.54</v>
      </c>
      <c r="Z1385" s="15">
        <f t="shared" si="482"/>
        <v>76.44</v>
      </c>
      <c r="AA1385" s="15">
        <f>IF(FreightType="Lethbridge-Stewart Freight ",ROUND(2.99+IF(N1385&gt;0.75,(N1385-0.75)*2.25,0)*S1385,2),IF(MarkupType="Supplier Markup",V1385+V1385*SupplierMarkup,"Error at finding value"))</f>
        <v>2.99</v>
      </c>
      <c r="AB1385" s="15">
        <f t="shared" si="483"/>
        <v>0</v>
      </c>
    </row>
    <row r="1386" spans="1:28" x14ac:dyDescent="0.25">
      <c r="A1386" s="16">
        <f>OrdersTable!A1386</f>
        <v>329</v>
      </c>
      <c r="B1386" s="15" t="str">
        <f t="shared" si="463"/>
        <v>Ms</v>
      </c>
      <c r="C1386" s="15" t="str">
        <f t="shared" si="484"/>
        <v>Hubbard</v>
      </c>
      <c r="D1386" s="15" t="str">
        <f t="shared" si="464"/>
        <v>Sonya Marie</v>
      </c>
      <c r="E1386" s="15" t="str">
        <f t="shared" si="465"/>
        <v>42 Keable Crescent</v>
      </c>
      <c r="F1386" s="15" t="str">
        <f t="shared" si="466"/>
        <v>Boston</v>
      </c>
      <c r="G1386" s="15" t="str">
        <f t="shared" si="467"/>
        <v>SA</v>
      </c>
      <c r="H1386" s="15">
        <f t="shared" si="468"/>
        <v>5607</v>
      </c>
      <c r="I1386" s="15">
        <f t="shared" si="479"/>
        <v>2076</v>
      </c>
      <c r="J1386" s="15">
        <f>OrdersTable!B1386</f>
        <v>709</v>
      </c>
      <c r="K1386" s="15" t="str">
        <f t="shared" si="469"/>
        <v>Posters, Prints and Standees</v>
      </c>
      <c r="L1386" s="15" t="str">
        <f t="shared" si="470"/>
        <v>Doctor Who: Poster: Metallic TARDIS</v>
      </c>
      <c r="M1386" s="15" t="str">
        <f t="shared" si="471"/>
        <v>-</v>
      </c>
      <c r="N1386" s="15">
        <f t="shared" si="472"/>
        <v>0.2</v>
      </c>
      <c r="O1386" s="15" t="str">
        <f t="shared" si="473"/>
        <v>A10</v>
      </c>
      <c r="P1386" s="15" t="str">
        <f t="shared" si="474"/>
        <v>Gallifrey International</v>
      </c>
      <c r="Q1386" s="15" t="str">
        <f t="shared" si="475"/>
        <v>181 Arcadia Street</v>
      </c>
      <c r="R1386" s="3">
        <f>OrdersTable!C1386</f>
        <v>44659</v>
      </c>
      <c r="S1386" s="15">
        <f>OrdersTable!E1386</f>
        <v>2</v>
      </c>
      <c r="T1386" s="15">
        <f t="shared" si="476"/>
        <v>3.99</v>
      </c>
      <c r="U1386" s="15">
        <f t="shared" si="477"/>
        <v>5.71</v>
      </c>
      <c r="V1386" s="15">
        <f t="shared" si="478"/>
        <v>6.46</v>
      </c>
      <c r="W1386" s="15">
        <f>IF(MarkupType="Store Markup",ROUND(V1386+V1386*StoreMarkup,2),IF(MarkupType="Supplier Markup",V1386+V1386*SupplierMarkup,"Error at finding value"))</f>
        <v>10.17</v>
      </c>
      <c r="X1386" s="32" t="str">
        <f t="shared" si="480"/>
        <v>0.00</v>
      </c>
      <c r="Y1386" s="15">
        <f t="shared" si="481"/>
        <v>12.92</v>
      </c>
      <c r="Z1386" s="15">
        <f t="shared" si="482"/>
        <v>20.34</v>
      </c>
      <c r="AA1386" s="15">
        <f>IF(FreightType="Lethbridge-Stewart Freight ",ROUND(2.99+IF(N1386&gt;0.75,(N1386-0.75)*2.25,0)*S1386,2),IF(MarkupType="Supplier Markup",V1386+V1386*SupplierMarkup,"Error at finding value"))</f>
        <v>2.99</v>
      </c>
      <c r="AB1386" s="15">
        <f t="shared" si="483"/>
        <v>0</v>
      </c>
    </row>
    <row r="1387" spans="1:28" x14ac:dyDescent="0.25">
      <c r="A1387" s="16">
        <f>OrdersTable!A1387</f>
        <v>332</v>
      </c>
      <c r="B1387" s="15" t="str">
        <f t="shared" si="463"/>
        <v>Mr</v>
      </c>
      <c r="C1387" s="15" t="str">
        <f t="shared" si="484"/>
        <v>Selman</v>
      </c>
      <c r="D1387" s="15" t="str">
        <f t="shared" si="464"/>
        <v>Jack Ryan</v>
      </c>
      <c r="E1387" s="15" t="str">
        <f t="shared" si="465"/>
        <v>17 Van Essen Street</v>
      </c>
      <c r="F1387" s="15" t="str">
        <f t="shared" si="466"/>
        <v>Airly</v>
      </c>
      <c r="G1387" s="15" t="str">
        <f t="shared" si="467"/>
        <v>VIC</v>
      </c>
      <c r="H1387" s="15">
        <f t="shared" si="468"/>
        <v>3851</v>
      </c>
      <c r="I1387" s="15">
        <f t="shared" si="479"/>
        <v>1583</v>
      </c>
      <c r="J1387" s="15">
        <f>OrdersTable!B1387</f>
        <v>590</v>
      </c>
      <c r="K1387" s="15" t="str">
        <f t="shared" si="469"/>
        <v>iPhone Skins</v>
      </c>
      <c r="L1387" s="15" t="str">
        <f t="shared" si="470"/>
        <v>Doctor Who: iPhone Skin: Exploding TARDIS</v>
      </c>
      <c r="M1387" s="15" t="str">
        <f t="shared" si="471"/>
        <v>-</v>
      </c>
      <c r="N1387" s="15">
        <f t="shared" si="472"/>
        <v>0.5</v>
      </c>
      <c r="O1387" s="15" t="str">
        <f t="shared" si="473"/>
        <v>A20</v>
      </c>
      <c r="P1387" s="15" t="str">
        <f t="shared" si="474"/>
        <v>Morbius Inc.</v>
      </c>
      <c r="Q1387" s="15" t="str">
        <f t="shared" si="475"/>
        <v>56 Michael Spice Hwy</v>
      </c>
      <c r="R1387" s="3">
        <f>OrdersTable!C1387</f>
        <v>44659</v>
      </c>
      <c r="S1387" s="15">
        <f>OrdersTable!E1387</f>
        <v>1</v>
      </c>
      <c r="T1387" s="15">
        <f t="shared" si="476"/>
        <v>9.99</v>
      </c>
      <c r="U1387" s="15">
        <f t="shared" si="477"/>
        <v>13.86</v>
      </c>
      <c r="V1387" s="15">
        <f t="shared" si="478"/>
        <v>16.18</v>
      </c>
      <c r="W1387" s="15">
        <f>IF(MarkupType="Store Markup",ROUND(V1387+V1387*StoreMarkup,2),IF(MarkupType="Supplier Markup",V1387+V1387*SupplierMarkup,"Error at finding value"))</f>
        <v>25.48</v>
      </c>
      <c r="X1387" s="32" t="str">
        <f t="shared" si="480"/>
        <v>0.00</v>
      </c>
      <c r="Y1387" s="15">
        <f t="shared" si="481"/>
        <v>16.18</v>
      </c>
      <c r="Z1387" s="15">
        <f t="shared" si="482"/>
        <v>25.48</v>
      </c>
      <c r="AA1387" s="15">
        <f>IF(FreightType="Lethbridge-Stewart Freight ",ROUND(2.99+IF(N1387&gt;0.75,(N1387-0.75)*2.25,0)*S1387,2),IF(MarkupType="Supplier Markup",V1387+V1387*SupplierMarkup,"Error at finding value"))</f>
        <v>2.99</v>
      </c>
      <c r="AB1387" s="15">
        <f t="shared" si="483"/>
        <v>0</v>
      </c>
    </row>
    <row r="1388" spans="1:28" x14ac:dyDescent="0.25">
      <c r="A1388" s="16">
        <f>OrdersTable!A1388</f>
        <v>669</v>
      </c>
      <c r="B1388" s="15" t="str">
        <f t="shared" si="463"/>
        <v>Dr</v>
      </c>
      <c r="C1388" s="15" t="str">
        <f t="shared" si="484"/>
        <v>Ferjani</v>
      </c>
      <c r="D1388" s="15" t="str">
        <f t="shared" si="464"/>
        <v>Rabah</v>
      </c>
      <c r="E1388" s="15" t="str">
        <f t="shared" si="465"/>
        <v>2 Codrington Street</v>
      </c>
      <c r="F1388" s="15" t="str">
        <f t="shared" si="466"/>
        <v>Belford</v>
      </c>
      <c r="G1388" s="15" t="str">
        <f t="shared" si="467"/>
        <v>NSW</v>
      </c>
      <c r="H1388" s="15">
        <f t="shared" si="468"/>
        <v>2335</v>
      </c>
      <c r="I1388" s="15">
        <f t="shared" si="479"/>
        <v>716</v>
      </c>
      <c r="J1388" s="15">
        <f>OrdersTable!B1388</f>
        <v>282</v>
      </c>
      <c r="K1388" s="15" t="str">
        <f t="shared" si="469"/>
        <v>Clothing and Apparel</v>
      </c>
      <c r="L1388" s="15" t="str">
        <f t="shared" si="470"/>
        <v>Doctor Who: Tardis Laplander Hat</v>
      </c>
      <c r="M1388" s="15" t="str">
        <f t="shared" si="471"/>
        <v>-</v>
      </c>
      <c r="N1388" s="15">
        <f t="shared" si="472"/>
        <v>0.97499999999999998</v>
      </c>
      <c r="O1388" s="15" t="str">
        <f t="shared" si="473"/>
        <v>A10</v>
      </c>
      <c r="P1388" s="15" t="str">
        <f t="shared" si="474"/>
        <v>Gallifrey International</v>
      </c>
      <c r="Q1388" s="15" t="str">
        <f t="shared" si="475"/>
        <v>181 Arcadia Street</v>
      </c>
      <c r="R1388" s="3">
        <f>OrdersTable!C1388</f>
        <v>44659</v>
      </c>
      <c r="S1388" s="15">
        <f>OrdersTable!E1388</f>
        <v>5</v>
      </c>
      <c r="T1388" s="15">
        <f t="shared" si="476"/>
        <v>19.5</v>
      </c>
      <c r="U1388" s="15">
        <f t="shared" si="477"/>
        <v>26.93</v>
      </c>
      <c r="V1388" s="15">
        <f t="shared" si="478"/>
        <v>31.59</v>
      </c>
      <c r="W1388" s="15">
        <f>IF(MarkupType="Store Markup",ROUND(V1388+V1388*StoreMarkup,2),IF(MarkupType="Supplier Markup",V1388+V1388*SupplierMarkup,"Error at finding value"))</f>
        <v>49.75</v>
      </c>
      <c r="X1388" s="32" t="str">
        <f t="shared" si="480"/>
        <v>0.00</v>
      </c>
      <c r="Y1388" s="15">
        <f t="shared" si="481"/>
        <v>157.94999999999999</v>
      </c>
      <c r="Z1388" s="15">
        <f t="shared" si="482"/>
        <v>248.75</v>
      </c>
      <c r="AA1388" s="15">
        <f>IF(FreightType="Lethbridge-Stewart Freight ",ROUND(2.99+IF(N1388&gt;0.75,(N1388-0.75)*2.25,0)*S1388,2),IF(MarkupType="Supplier Markup",V1388+V1388*SupplierMarkup,"Error at finding value"))</f>
        <v>5.52</v>
      </c>
      <c r="AB1388" s="15">
        <f t="shared" si="483"/>
        <v>0</v>
      </c>
    </row>
    <row r="1389" spans="1:28" x14ac:dyDescent="0.25">
      <c r="A1389" s="16">
        <f>OrdersTable!A1389</f>
        <v>761</v>
      </c>
      <c r="B1389" s="15" t="str">
        <f t="shared" si="463"/>
        <v>Miss</v>
      </c>
      <c r="C1389" s="15" t="str">
        <f t="shared" si="484"/>
        <v>Randall</v>
      </c>
      <c r="D1389" s="15" t="str">
        <f t="shared" si="464"/>
        <v>Kylee</v>
      </c>
      <c r="E1389" s="15" t="str">
        <f t="shared" si="465"/>
        <v>45 Cremasco Avenue</v>
      </c>
      <c r="F1389" s="15" t="str">
        <f t="shared" si="466"/>
        <v>Breakwater</v>
      </c>
      <c r="G1389" s="15" t="str">
        <f t="shared" si="467"/>
        <v>VIC</v>
      </c>
      <c r="H1389" s="15">
        <f t="shared" si="468"/>
        <v>3219</v>
      </c>
      <c r="I1389" s="15">
        <f t="shared" si="479"/>
        <v>1596</v>
      </c>
      <c r="J1389" s="15">
        <f>OrdersTable!B1389</f>
        <v>358</v>
      </c>
      <c r="K1389" s="15" t="str">
        <f t="shared" si="469"/>
        <v>Clothing and Apparel</v>
      </c>
      <c r="L1389" s="15" t="str">
        <f t="shared" si="470"/>
        <v xml:space="preserve">Doctor Who: T-Shirts: 5th Doctor Costume </v>
      </c>
      <c r="M1389" s="15" t="str">
        <f t="shared" si="471"/>
        <v>M</v>
      </c>
      <c r="N1389" s="15">
        <f t="shared" si="472"/>
        <v>0.8</v>
      </c>
      <c r="O1389" s="15" t="str">
        <f t="shared" si="473"/>
        <v>A30</v>
      </c>
      <c r="P1389" s="15" t="str">
        <f t="shared" si="474"/>
        <v>Chesterton Enterprises</v>
      </c>
      <c r="Q1389" s="15" t="str">
        <f t="shared" si="475"/>
        <v>41 William Russell Road</v>
      </c>
      <c r="R1389" s="3">
        <f>OrdersTable!C1389</f>
        <v>44659</v>
      </c>
      <c r="S1389" s="15">
        <f>OrdersTable!E1389</f>
        <v>7</v>
      </c>
      <c r="T1389" s="15">
        <f t="shared" si="476"/>
        <v>15.99</v>
      </c>
      <c r="U1389" s="15">
        <f t="shared" si="477"/>
        <v>21.96</v>
      </c>
      <c r="V1389" s="15">
        <f t="shared" si="478"/>
        <v>25.9</v>
      </c>
      <c r="W1389" s="15">
        <f>IF(MarkupType="Store Markup",ROUND(V1389+V1389*StoreMarkup,2),IF(MarkupType="Supplier Markup",V1389+V1389*SupplierMarkup,"Error at finding value"))</f>
        <v>40.79</v>
      </c>
      <c r="X1389" s="32" t="str">
        <f t="shared" si="480"/>
        <v>0.00</v>
      </c>
      <c r="Y1389" s="15">
        <f t="shared" si="481"/>
        <v>181.3</v>
      </c>
      <c r="Z1389" s="15">
        <f t="shared" si="482"/>
        <v>285.52999999999997</v>
      </c>
      <c r="AA1389" s="15">
        <f>IF(FreightType="Lethbridge-Stewart Freight ",ROUND(2.99+IF(N1389&gt;0.75,(N1389-0.75)*2.25,0)*S1389,2),IF(MarkupType="Supplier Markup",V1389+V1389*SupplierMarkup,"Error at finding value"))</f>
        <v>3.78</v>
      </c>
      <c r="AB1389" s="15">
        <f t="shared" si="483"/>
        <v>0</v>
      </c>
    </row>
    <row r="1390" spans="1:28" x14ac:dyDescent="0.25">
      <c r="A1390" s="16">
        <f>OrdersTable!A1390</f>
        <v>823</v>
      </c>
      <c r="B1390" s="15" t="str">
        <f t="shared" si="463"/>
        <v>Mrs</v>
      </c>
      <c r="C1390" s="15" t="str">
        <f t="shared" si="484"/>
        <v>Riordan</v>
      </c>
      <c r="D1390" s="15" t="str">
        <f t="shared" si="464"/>
        <v>Brianna Leigh</v>
      </c>
      <c r="E1390" s="15" t="str">
        <f t="shared" si="465"/>
        <v>7 Boyd Crescent</v>
      </c>
      <c r="F1390" s="15" t="str">
        <f t="shared" si="466"/>
        <v>Bamboo</v>
      </c>
      <c r="G1390" s="15" t="str">
        <f t="shared" si="467"/>
        <v>QLD</v>
      </c>
      <c r="H1390" s="15">
        <f t="shared" si="468"/>
        <v>4873</v>
      </c>
      <c r="I1390" s="15">
        <f t="shared" si="479"/>
        <v>1741</v>
      </c>
      <c r="J1390" s="15">
        <f>OrdersTable!B1390</f>
        <v>563</v>
      </c>
      <c r="K1390" s="15" t="str">
        <f t="shared" si="469"/>
        <v>Giftware</v>
      </c>
      <c r="L1390" s="15" t="str">
        <f t="shared" si="470"/>
        <v>Doctor Who: TARDIS Jewellery Box</v>
      </c>
      <c r="M1390" s="15" t="str">
        <f t="shared" si="471"/>
        <v>-</v>
      </c>
      <c r="N1390" s="15">
        <f t="shared" si="472"/>
        <v>1.1499999999999999</v>
      </c>
      <c r="O1390" s="15" t="str">
        <f t="shared" si="473"/>
        <v>A50</v>
      </c>
      <c r="P1390" s="15" t="str">
        <f t="shared" si="474"/>
        <v>Rassilon Ltd.</v>
      </c>
      <c r="Q1390" s="15" t="str">
        <f t="shared" si="475"/>
        <v>82 Richard Mathews Road</v>
      </c>
      <c r="R1390" s="3">
        <f>OrdersTable!C1390</f>
        <v>44659</v>
      </c>
      <c r="S1390" s="15">
        <f>OrdersTable!E1390</f>
        <v>2</v>
      </c>
      <c r="T1390" s="15">
        <f t="shared" si="476"/>
        <v>22.99</v>
      </c>
      <c r="U1390" s="15">
        <f t="shared" si="477"/>
        <v>31.63</v>
      </c>
      <c r="V1390" s="15">
        <f t="shared" si="478"/>
        <v>37.24</v>
      </c>
      <c r="W1390" s="15">
        <f>IF(MarkupType="Store Markup",ROUND(V1390+V1390*StoreMarkup,2),IF(MarkupType="Supplier Markup",V1390+V1390*SupplierMarkup,"Error at finding value"))</f>
        <v>58.65</v>
      </c>
      <c r="X1390" s="32" t="str">
        <f t="shared" si="480"/>
        <v>0.00</v>
      </c>
      <c r="Y1390" s="15">
        <f t="shared" si="481"/>
        <v>74.48</v>
      </c>
      <c r="Z1390" s="15">
        <f t="shared" si="482"/>
        <v>117.3</v>
      </c>
      <c r="AA1390" s="15">
        <f>IF(FreightType="Lethbridge-Stewart Freight ",ROUND(2.99+IF(N1390&gt;0.75,(N1390-0.75)*2.25,0)*S1390,2),IF(MarkupType="Supplier Markup",V1390+V1390*SupplierMarkup,"Error at finding value"))</f>
        <v>4.79</v>
      </c>
      <c r="AB1390" s="15">
        <f t="shared" si="483"/>
        <v>0</v>
      </c>
    </row>
    <row r="1391" spans="1:28" x14ac:dyDescent="0.25">
      <c r="A1391" s="16">
        <f>OrdersTable!A1391</f>
        <v>142</v>
      </c>
      <c r="B1391" s="15" t="str">
        <f t="shared" si="463"/>
        <v>Miss</v>
      </c>
      <c r="C1391" s="15" t="str">
        <f t="shared" si="484"/>
        <v>Western</v>
      </c>
      <c r="D1391" s="15" t="str">
        <f t="shared" si="464"/>
        <v>Lee Reuben</v>
      </c>
      <c r="E1391" s="15" t="str">
        <f t="shared" si="465"/>
        <v>14 Fields Road</v>
      </c>
      <c r="F1391" s="15" t="str">
        <f t="shared" si="466"/>
        <v>Airly</v>
      </c>
      <c r="G1391" s="15" t="str">
        <f t="shared" si="467"/>
        <v>VIC</v>
      </c>
      <c r="H1391" s="15">
        <f t="shared" si="468"/>
        <v>3851</v>
      </c>
      <c r="I1391" s="15">
        <f t="shared" si="479"/>
        <v>1583</v>
      </c>
      <c r="J1391" s="15">
        <f>OrdersTable!B1391</f>
        <v>436</v>
      </c>
      <c r="K1391" s="15" t="str">
        <f t="shared" si="469"/>
        <v>Giftware</v>
      </c>
      <c r="L1391" s="15" t="str">
        <f t="shared" si="470"/>
        <v>Doctor Who: Adult Watch: TARDIS</v>
      </c>
      <c r="M1391" s="15" t="str">
        <f t="shared" si="471"/>
        <v>-</v>
      </c>
      <c r="N1391" s="15">
        <f t="shared" si="472"/>
        <v>1.5</v>
      </c>
      <c r="O1391" s="15" t="str">
        <f t="shared" si="473"/>
        <v>A20</v>
      </c>
      <c r="P1391" s="15" t="str">
        <f t="shared" si="474"/>
        <v>Morbius Inc.</v>
      </c>
      <c r="Q1391" s="15" t="str">
        <f t="shared" si="475"/>
        <v>56 Michael Spice Hwy</v>
      </c>
      <c r="R1391" s="3">
        <f>OrdersTable!C1391</f>
        <v>44660</v>
      </c>
      <c r="S1391" s="15">
        <f>OrdersTable!E1391</f>
        <v>4</v>
      </c>
      <c r="T1391" s="15">
        <f t="shared" si="476"/>
        <v>29.99</v>
      </c>
      <c r="U1391" s="15">
        <f t="shared" si="477"/>
        <v>40.96</v>
      </c>
      <c r="V1391" s="15">
        <f t="shared" si="478"/>
        <v>48.58</v>
      </c>
      <c r="W1391" s="15">
        <f>IF(MarkupType="Store Markup",ROUND(V1391+V1391*StoreMarkup,2),IF(MarkupType="Supplier Markup",V1391+V1391*SupplierMarkup,"Error at finding value"))</f>
        <v>76.510000000000005</v>
      </c>
      <c r="X1391" s="32" t="str">
        <f t="shared" si="480"/>
        <v>0.00</v>
      </c>
      <c r="Y1391" s="15">
        <f t="shared" si="481"/>
        <v>194.32</v>
      </c>
      <c r="Z1391" s="15">
        <f t="shared" si="482"/>
        <v>306.04000000000002</v>
      </c>
      <c r="AA1391" s="15">
        <f>IF(FreightType="Lethbridge-Stewart Freight ",ROUND(2.99+IF(N1391&gt;0.75,(N1391-0.75)*2.25,0)*S1391,2),IF(MarkupType="Supplier Markup",V1391+V1391*SupplierMarkup,"Error at finding value"))</f>
        <v>9.74</v>
      </c>
      <c r="AB1391" s="15">
        <f t="shared" si="483"/>
        <v>0</v>
      </c>
    </row>
    <row r="1392" spans="1:28" x14ac:dyDescent="0.25">
      <c r="A1392" s="16">
        <f>OrdersTable!A1392</f>
        <v>296</v>
      </c>
      <c r="B1392" s="15" t="str">
        <f t="shared" si="463"/>
        <v>Miss</v>
      </c>
      <c r="C1392" s="15" t="str">
        <f t="shared" si="484"/>
        <v>Kussrow</v>
      </c>
      <c r="D1392" s="15" t="str">
        <f t="shared" si="464"/>
        <v>Katherine Anne</v>
      </c>
      <c r="E1392" s="15" t="str">
        <f t="shared" si="465"/>
        <v>10 Downes Street</v>
      </c>
      <c r="F1392" s="15" t="str">
        <f t="shared" si="466"/>
        <v>Breakwater</v>
      </c>
      <c r="G1392" s="15" t="str">
        <f t="shared" si="467"/>
        <v>VIC</v>
      </c>
      <c r="H1392" s="15">
        <f t="shared" si="468"/>
        <v>3219</v>
      </c>
      <c r="I1392" s="15">
        <f t="shared" si="479"/>
        <v>1596</v>
      </c>
      <c r="J1392" s="15">
        <f>OrdersTable!B1392</f>
        <v>843</v>
      </c>
      <c r="K1392" s="15" t="str">
        <f t="shared" si="469"/>
        <v>Statues and Busts</v>
      </c>
      <c r="L1392" s="15" t="str">
        <f t="shared" si="470"/>
        <v>Doctor Who: Signature Edition Statue: Gallifrey Edition: Tom Baker</v>
      </c>
      <c r="M1392" s="15" t="str">
        <f t="shared" si="471"/>
        <v>-</v>
      </c>
      <c r="N1392" s="15">
        <f t="shared" si="472"/>
        <v>2.5</v>
      </c>
      <c r="O1392" s="15" t="str">
        <f t="shared" si="473"/>
        <v>A20</v>
      </c>
      <c r="P1392" s="15" t="str">
        <f t="shared" si="474"/>
        <v>Morbius Inc.</v>
      </c>
      <c r="Q1392" s="15" t="str">
        <f t="shared" si="475"/>
        <v>56 Michael Spice Hwy</v>
      </c>
      <c r="R1392" s="3">
        <f>OrdersTable!C1392</f>
        <v>44660</v>
      </c>
      <c r="S1392" s="15">
        <f>OrdersTable!E1392</f>
        <v>2</v>
      </c>
      <c r="T1392" s="15">
        <f t="shared" si="476"/>
        <v>49.99</v>
      </c>
      <c r="U1392" s="15">
        <f t="shared" si="477"/>
        <v>68.33</v>
      </c>
      <c r="V1392" s="15">
        <f t="shared" si="478"/>
        <v>80.98</v>
      </c>
      <c r="W1392" s="15">
        <f>IF(MarkupType="Store Markup",ROUND(V1392+V1392*StoreMarkup,2),IF(MarkupType="Supplier Markup",V1392+V1392*SupplierMarkup,"Error at finding value"))</f>
        <v>127.54</v>
      </c>
      <c r="X1392" s="32" t="str">
        <f t="shared" si="480"/>
        <v>0.00</v>
      </c>
      <c r="Y1392" s="15">
        <f t="shared" si="481"/>
        <v>161.96</v>
      </c>
      <c r="Z1392" s="15">
        <f t="shared" si="482"/>
        <v>255.08</v>
      </c>
      <c r="AA1392" s="15">
        <f>IF(FreightType="Lethbridge-Stewart Freight ",ROUND(2.99+IF(N1392&gt;0.75,(N1392-0.75)*2.25,0)*S1392,2),IF(MarkupType="Supplier Markup",V1392+V1392*SupplierMarkup,"Error at finding value"))</f>
        <v>10.87</v>
      </c>
      <c r="AB1392" s="15">
        <f t="shared" si="483"/>
        <v>0</v>
      </c>
    </row>
    <row r="1393" spans="1:28" x14ac:dyDescent="0.25">
      <c r="A1393" s="16">
        <f>OrdersTable!A1393</f>
        <v>312</v>
      </c>
      <c r="B1393" s="15" t="str">
        <f t="shared" si="463"/>
        <v>Mr</v>
      </c>
      <c r="C1393" s="15" t="str">
        <f t="shared" si="484"/>
        <v>Lloyd</v>
      </c>
      <c r="D1393" s="15" t="str">
        <f t="shared" si="464"/>
        <v>Ben</v>
      </c>
      <c r="E1393" s="15" t="str">
        <f t="shared" si="465"/>
        <v>13 Stark Avenue</v>
      </c>
      <c r="F1393" s="15" t="str">
        <f t="shared" si="466"/>
        <v>Iluka</v>
      </c>
      <c r="G1393" s="15" t="str">
        <f t="shared" si="467"/>
        <v>NSW</v>
      </c>
      <c r="H1393" s="15">
        <f t="shared" si="468"/>
        <v>2466</v>
      </c>
      <c r="I1393" s="15">
        <f t="shared" si="479"/>
        <v>347</v>
      </c>
      <c r="J1393" s="15">
        <f>OrdersTable!B1393</f>
        <v>812</v>
      </c>
      <c r="K1393" s="15" t="str">
        <f t="shared" si="469"/>
        <v>Statues and Busts</v>
      </c>
      <c r="L1393" s="15" t="str">
        <f t="shared" si="470"/>
        <v>Doctor Who: Masterpiece Collection Maxi Bust: Dalek: Day Of The Daleks</v>
      </c>
      <c r="M1393" s="15" t="str">
        <f t="shared" si="471"/>
        <v>-</v>
      </c>
      <c r="N1393" s="15">
        <f t="shared" si="472"/>
        <v>2.5</v>
      </c>
      <c r="O1393" s="15" t="str">
        <f t="shared" si="473"/>
        <v>A20</v>
      </c>
      <c r="P1393" s="15" t="str">
        <f t="shared" si="474"/>
        <v>Morbius Inc.</v>
      </c>
      <c r="Q1393" s="15" t="str">
        <f t="shared" si="475"/>
        <v>56 Michael Spice Hwy</v>
      </c>
      <c r="R1393" s="3">
        <f>OrdersTable!C1393</f>
        <v>44660</v>
      </c>
      <c r="S1393" s="15">
        <f>OrdersTable!E1393</f>
        <v>1</v>
      </c>
      <c r="T1393" s="15">
        <f t="shared" si="476"/>
        <v>49.99</v>
      </c>
      <c r="U1393" s="15">
        <f t="shared" si="477"/>
        <v>68.47</v>
      </c>
      <c r="V1393" s="15">
        <f t="shared" si="478"/>
        <v>80.98</v>
      </c>
      <c r="W1393" s="15">
        <f>IF(MarkupType="Store Markup",ROUND(V1393+V1393*StoreMarkup,2),IF(MarkupType="Supplier Markup",V1393+V1393*SupplierMarkup,"Error at finding value"))</f>
        <v>127.54</v>
      </c>
      <c r="X1393" s="32" t="str">
        <f t="shared" si="480"/>
        <v>0.00</v>
      </c>
      <c r="Y1393" s="15">
        <f t="shared" si="481"/>
        <v>80.98</v>
      </c>
      <c r="Z1393" s="15">
        <f t="shared" si="482"/>
        <v>127.54</v>
      </c>
      <c r="AA1393" s="15">
        <f>IF(FreightType="Lethbridge-Stewart Freight ",ROUND(2.99+IF(N1393&gt;0.75,(N1393-0.75)*2.25,0)*S1393,2),IF(MarkupType="Supplier Markup",V1393+V1393*SupplierMarkup,"Error at finding value"))</f>
        <v>6.93</v>
      </c>
      <c r="AB1393" s="15">
        <f t="shared" si="483"/>
        <v>0</v>
      </c>
    </row>
    <row r="1394" spans="1:28" x14ac:dyDescent="0.25">
      <c r="A1394" s="16">
        <f>OrdersTable!A1394</f>
        <v>364</v>
      </c>
      <c r="B1394" s="15" t="str">
        <f t="shared" si="463"/>
        <v>Dr</v>
      </c>
      <c r="C1394" s="15" t="str">
        <f t="shared" si="484"/>
        <v>Reibelt</v>
      </c>
      <c r="D1394" s="15" t="str">
        <f t="shared" si="464"/>
        <v>Corey James</v>
      </c>
      <c r="E1394" s="15" t="str">
        <f t="shared" si="465"/>
        <v>23 Burns Drive</v>
      </c>
      <c r="F1394" s="15" t="str">
        <f t="shared" si="466"/>
        <v>Caliph</v>
      </c>
      <c r="G1394" s="15" t="str">
        <f t="shared" si="467"/>
        <v>SA</v>
      </c>
      <c r="H1394" s="15">
        <f t="shared" si="468"/>
        <v>5310</v>
      </c>
      <c r="I1394" s="15">
        <f t="shared" si="479"/>
        <v>1720</v>
      </c>
      <c r="J1394" s="15">
        <f>OrdersTable!B1394</f>
        <v>709</v>
      </c>
      <c r="K1394" s="15" t="str">
        <f t="shared" si="469"/>
        <v>Posters, Prints and Standees</v>
      </c>
      <c r="L1394" s="15" t="str">
        <f t="shared" si="470"/>
        <v>Doctor Who: Poster: Metallic TARDIS</v>
      </c>
      <c r="M1394" s="15" t="str">
        <f t="shared" si="471"/>
        <v>-</v>
      </c>
      <c r="N1394" s="15">
        <f t="shared" si="472"/>
        <v>0.2</v>
      </c>
      <c r="O1394" s="15" t="str">
        <f t="shared" si="473"/>
        <v>A10</v>
      </c>
      <c r="P1394" s="15" t="str">
        <f t="shared" si="474"/>
        <v>Gallifrey International</v>
      </c>
      <c r="Q1394" s="15" t="str">
        <f t="shared" si="475"/>
        <v>181 Arcadia Street</v>
      </c>
      <c r="R1394" s="3">
        <f>OrdersTable!C1394</f>
        <v>44660</v>
      </c>
      <c r="S1394" s="15">
        <f>OrdersTable!E1394</f>
        <v>9</v>
      </c>
      <c r="T1394" s="15">
        <f t="shared" si="476"/>
        <v>3.99</v>
      </c>
      <c r="U1394" s="15">
        <f t="shared" si="477"/>
        <v>5.71</v>
      </c>
      <c r="V1394" s="15">
        <f t="shared" si="478"/>
        <v>6.46</v>
      </c>
      <c r="W1394" s="15">
        <f>IF(MarkupType="Store Markup",ROUND(V1394+V1394*StoreMarkup,2),IF(MarkupType="Supplier Markup",V1394+V1394*SupplierMarkup,"Error at finding value"))</f>
        <v>10.17</v>
      </c>
      <c r="X1394" s="32" t="str">
        <f t="shared" si="480"/>
        <v>0.00</v>
      </c>
      <c r="Y1394" s="15">
        <f t="shared" si="481"/>
        <v>58.14</v>
      </c>
      <c r="Z1394" s="15">
        <f t="shared" si="482"/>
        <v>91.53</v>
      </c>
      <c r="AA1394" s="15">
        <f>IF(FreightType="Lethbridge-Stewart Freight ",ROUND(2.99+IF(N1394&gt;0.75,(N1394-0.75)*2.25,0)*S1394,2),IF(MarkupType="Supplier Markup",V1394+V1394*SupplierMarkup,"Error at finding value"))</f>
        <v>2.99</v>
      </c>
      <c r="AB1394" s="15">
        <f t="shared" si="483"/>
        <v>0</v>
      </c>
    </row>
    <row r="1395" spans="1:28" x14ac:dyDescent="0.25">
      <c r="A1395" s="16">
        <f>OrdersTable!A1395</f>
        <v>585</v>
      </c>
      <c r="B1395" s="15" t="str">
        <f t="shared" si="463"/>
        <v>Miss</v>
      </c>
      <c r="C1395" s="15" t="str">
        <f t="shared" si="484"/>
        <v>Long</v>
      </c>
      <c r="D1395" s="15" t="str">
        <f t="shared" si="464"/>
        <v>Bellinda May</v>
      </c>
      <c r="E1395" s="15" t="str">
        <f t="shared" si="465"/>
        <v>5 Hutcheson Avenue</v>
      </c>
      <c r="F1395" s="15" t="str">
        <f t="shared" si="466"/>
        <v>Glenfern</v>
      </c>
      <c r="G1395" s="15" t="str">
        <f t="shared" si="467"/>
        <v>QLD</v>
      </c>
      <c r="H1395" s="15">
        <f t="shared" si="468"/>
        <v>4515</v>
      </c>
      <c r="I1395" s="15">
        <f t="shared" si="479"/>
        <v>128</v>
      </c>
      <c r="J1395" s="15">
        <f>OrdersTable!B1395</f>
        <v>702</v>
      </c>
      <c r="K1395" s="15" t="str">
        <f t="shared" si="469"/>
        <v>Posters, Prints and Standees</v>
      </c>
      <c r="L1395" s="15" t="str">
        <f t="shared" si="470"/>
        <v>Doctor Who: Poster: Daleks</v>
      </c>
      <c r="M1395" s="15" t="str">
        <f t="shared" si="471"/>
        <v>-</v>
      </c>
      <c r="N1395" s="15">
        <f t="shared" si="472"/>
        <v>0.2</v>
      </c>
      <c r="O1395" s="15" t="str">
        <f t="shared" si="473"/>
        <v>A50</v>
      </c>
      <c r="P1395" s="15" t="str">
        <f t="shared" si="474"/>
        <v>Rassilon Ltd.</v>
      </c>
      <c r="Q1395" s="15" t="str">
        <f t="shared" si="475"/>
        <v>82 Richard Mathews Road</v>
      </c>
      <c r="R1395" s="3">
        <f>OrdersTable!C1395</f>
        <v>44660</v>
      </c>
      <c r="S1395" s="15">
        <f>OrdersTable!E1395</f>
        <v>8</v>
      </c>
      <c r="T1395" s="15">
        <f t="shared" si="476"/>
        <v>3.99</v>
      </c>
      <c r="U1395" s="15">
        <f t="shared" si="477"/>
        <v>5.46</v>
      </c>
      <c r="V1395" s="15">
        <f t="shared" si="478"/>
        <v>6.46</v>
      </c>
      <c r="W1395" s="15">
        <f>IF(MarkupType="Store Markup",ROUND(V1395+V1395*StoreMarkup,2),IF(MarkupType="Supplier Markup",V1395+V1395*SupplierMarkup,"Error at finding value"))</f>
        <v>10.17</v>
      </c>
      <c r="X1395" s="32" t="str">
        <f t="shared" si="480"/>
        <v>0.00</v>
      </c>
      <c r="Y1395" s="15">
        <f t="shared" si="481"/>
        <v>51.68</v>
      </c>
      <c r="Z1395" s="15">
        <f t="shared" si="482"/>
        <v>81.36</v>
      </c>
      <c r="AA1395" s="15">
        <f>IF(FreightType="Lethbridge-Stewart Freight ",ROUND(2.99+IF(N1395&gt;0.75,(N1395-0.75)*2.25,0)*S1395,2),IF(MarkupType="Supplier Markup",V1395+V1395*SupplierMarkup,"Error at finding value"))</f>
        <v>2.99</v>
      </c>
      <c r="AB1395" s="15">
        <f t="shared" si="483"/>
        <v>0</v>
      </c>
    </row>
    <row r="1396" spans="1:28" x14ac:dyDescent="0.25">
      <c r="A1396" s="16">
        <f>OrdersTable!A1396</f>
        <v>586</v>
      </c>
      <c r="B1396" s="15" t="str">
        <f t="shared" si="463"/>
        <v>Dr</v>
      </c>
      <c r="C1396" s="15" t="str">
        <f t="shared" si="484"/>
        <v>Coetzee</v>
      </c>
      <c r="D1396" s="15" t="str">
        <f t="shared" si="464"/>
        <v>Riekert</v>
      </c>
      <c r="E1396" s="15" t="str">
        <f t="shared" si="465"/>
        <v>5 Western Road</v>
      </c>
      <c r="F1396" s="15" t="str">
        <f t="shared" si="466"/>
        <v>Alfredtown</v>
      </c>
      <c r="G1396" s="15" t="str">
        <f t="shared" si="467"/>
        <v>NSW</v>
      </c>
      <c r="H1396" s="15">
        <f t="shared" si="468"/>
        <v>2650</v>
      </c>
      <c r="I1396" s="15">
        <f t="shared" si="479"/>
        <v>1124</v>
      </c>
      <c r="J1396" s="15">
        <f>OrdersTable!B1396</f>
        <v>724</v>
      </c>
      <c r="K1396" s="15" t="str">
        <f t="shared" si="469"/>
        <v>Posters, Prints and Standees</v>
      </c>
      <c r="L1396" s="15" t="str">
        <f t="shared" si="470"/>
        <v>Doctor Who: Standee: The 10th Doctor</v>
      </c>
      <c r="M1396" s="15" t="str">
        <f t="shared" si="471"/>
        <v>-</v>
      </c>
      <c r="N1396" s="15">
        <f t="shared" si="472"/>
        <v>1.125</v>
      </c>
      <c r="O1396" s="15" t="str">
        <f t="shared" si="473"/>
        <v>A50</v>
      </c>
      <c r="P1396" s="15" t="str">
        <f t="shared" si="474"/>
        <v>Rassilon Ltd.</v>
      </c>
      <c r="Q1396" s="15" t="str">
        <f t="shared" si="475"/>
        <v>82 Richard Mathews Road</v>
      </c>
      <c r="R1396" s="3">
        <f>OrdersTable!C1396</f>
        <v>44660</v>
      </c>
      <c r="S1396" s="15">
        <f>OrdersTable!E1396</f>
        <v>10</v>
      </c>
      <c r="T1396" s="15">
        <f t="shared" si="476"/>
        <v>22.49</v>
      </c>
      <c r="U1396" s="15">
        <f t="shared" si="477"/>
        <v>30.77</v>
      </c>
      <c r="V1396" s="15">
        <f t="shared" si="478"/>
        <v>36.43</v>
      </c>
      <c r="W1396" s="15">
        <f>IF(MarkupType="Store Markup",ROUND(V1396+V1396*StoreMarkup,2),IF(MarkupType="Supplier Markup",V1396+V1396*SupplierMarkup,"Error at finding value"))</f>
        <v>57.38</v>
      </c>
      <c r="X1396" s="32" t="str">
        <f t="shared" si="480"/>
        <v>0.00</v>
      </c>
      <c r="Y1396" s="15">
        <f t="shared" si="481"/>
        <v>364.3</v>
      </c>
      <c r="Z1396" s="15">
        <f t="shared" si="482"/>
        <v>573.79999999999995</v>
      </c>
      <c r="AA1396" s="15">
        <f>IF(FreightType="Lethbridge-Stewart Freight ",ROUND(2.99+IF(N1396&gt;0.75,(N1396-0.75)*2.25,0)*S1396,2),IF(MarkupType="Supplier Markup",V1396+V1396*SupplierMarkup,"Error at finding value"))</f>
        <v>11.43</v>
      </c>
      <c r="AB1396" s="15">
        <f t="shared" si="483"/>
        <v>0</v>
      </c>
    </row>
    <row r="1397" spans="1:28" x14ac:dyDescent="0.25">
      <c r="A1397" s="16">
        <f>OrdersTable!A1397</f>
        <v>610</v>
      </c>
      <c r="B1397" s="15" t="str">
        <f t="shared" si="463"/>
        <v>Ms</v>
      </c>
      <c r="C1397" s="15" t="str">
        <f t="shared" si="484"/>
        <v>Bichel</v>
      </c>
      <c r="D1397" s="15" t="str">
        <f t="shared" si="464"/>
        <v>Abbey Kate</v>
      </c>
      <c r="E1397" s="15" t="str">
        <f t="shared" si="465"/>
        <v>32 Rambau Avenue</v>
      </c>
      <c r="F1397" s="15" t="str">
        <f t="shared" si="466"/>
        <v>Bamboo</v>
      </c>
      <c r="G1397" s="15" t="str">
        <f t="shared" si="467"/>
        <v>QLD</v>
      </c>
      <c r="H1397" s="15">
        <f t="shared" si="468"/>
        <v>4873</v>
      </c>
      <c r="I1397" s="15">
        <f t="shared" si="479"/>
        <v>1741</v>
      </c>
      <c r="J1397" s="15">
        <f>OrdersTable!B1397</f>
        <v>853</v>
      </c>
      <c r="K1397" s="15" t="str">
        <f t="shared" si="469"/>
        <v>Statues and Busts</v>
      </c>
      <c r="L1397" s="15" t="str">
        <f t="shared" si="470"/>
        <v>Doctor Who: Statue: The Master And Auton</v>
      </c>
      <c r="M1397" s="15" t="str">
        <f t="shared" si="471"/>
        <v>-</v>
      </c>
      <c r="N1397" s="15">
        <f t="shared" si="472"/>
        <v>3.5</v>
      </c>
      <c r="O1397" s="15" t="str">
        <f t="shared" si="473"/>
        <v>A50</v>
      </c>
      <c r="P1397" s="15" t="str">
        <f t="shared" si="474"/>
        <v>Rassilon Ltd.</v>
      </c>
      <c r="Q1397" s="15" t="str">
        <f t="shared" si="475"/>
        <v>82 Richard Mathews Road</v>
      </c>
      <c r="R1397" s="3">
        <f>OrdersTable!C1397</f>
        <v>44660</v>
      </c>
      <c r="S1397" s="15">
        <f>OrdersTable!E1397</f>
        <v>4</v>
      </c>
      <c r="T1397" s="15">
        <f t="shared" si="476"/>
        <v>69.989999999999995</v>
      </c>
      <c r="U1397" s="15">
        <f t="shared" si="477"/>
        <v>95.51</v>
      </c>
      <c r="V1397" s="15">
        <f t="shared" si="478"/>
        <v>113.38</v>
      </c>
      <c r="W1397" s="15">
        <f>IF(MarkupType="Store Markup",ROUND(V1397+V1397*StoreMarkup,2),IF(MarkupType="Supplier Markup",V1397+V1397*SupplierMarkup,"Error at finding value"))</f>
        <v>178.57</v>
      </c>
      <c r="X1397" s="32">
        <f t="shared" si="480"/>
        <v>12.72</v>
      </c>
      <c r="Y1397" s="15">
        <f t="shared" si="481"/>
        <v>453.52</v>
      </c>
      <c r="Z1397" s="15">
        <f t="shared" si="482"/>
        <v>663.4</v>
      </c>
      <c r="AA1397" s="15">
        <f>IF(FreightType="Lethbridge-Stewart Freight ",ROUND(2.99+IF(N1397&gt;0.75,(N1397-0.75)*2.25,0)*S1397,2),IF(MarkupType="Supplier Markup",V1397+V1397*SupplierMarkup,"Error at finding value"))</f>
        <v>27.74</v>
      </c>
      <c r="AB1397" s="15">
        <f t="shared" si="483"/>
        <v>50.88</v>
      </c>
    </row>
    <row r="1398" spans="1:28" x14ac:dyDescent="0.25">
      <c r="A1398" s="16">
        <f>OrdersTable!A1398</f>
        <v>611</v>
      </c>
      <c r="B1398" s="15" t="str">
        <f t="shared" si="463"/>
        <v>Mr</v>
      </c>
      <c r="C1398" s="15" t="str">
        <f t="shared" si="484"/>
        <v>Wittman</v>
      </c>
      <c r="D1398" s="15" t="str">
        <f t="shared" si="464"/>
        <v>Nicholas Jackson</v>
      </c>
      <c r="E1398" s="15" t="str">
        <f t="shared" si="465"/>
        <v>48 Sheppard-Kadel Way</v>
      </c>
      <c r="F1398" s="15" t="str">
        <f t="shared" si="466"/>
        <v>Nayook</v>
      </c>
      <c r="G1398" s="15" t="str">
        <f t="shared" si="467"/>
        <v>VIC</v>
      </c>
      <c r="H1398" s="15">
        <f t="shared" si="468"/>
        <v>3832</v>
      </c>
      <c r="I1398" s="15">
        <f t="shared" si="479"/>
        <v>1552</v>
      </c>
      <c r="J1398" s="15">
        <f>OrdersTable!B1398</f>
        <v>683</v>
      </c>
      <c r="K1398" s="15" t="str">
        <f t="shared" si="469"/>
        <v>Mugs</v>
      </c>
      <c r="L1398" s="15" t="str">
        <f t="shared" si="470"/>
        <v>Doctor Who: Mug: The Tenth Doctor</v>
      </c>
      <c r="M1398" s="15" t="str">
        <f t="shared" si="471"/>
        <v>-</v>
      </c>
      <c r="N1398" s="15">
        <f t="shared" si="472"/>
        <v>0.45</v>
      </c>
      <c r="O1398" s="15" t="str">
        <f t="shared" si="473"/>
        <v>A20</v>
      </c>
      <c r="P1398" s="15" t="str">
        <f t="shared" si="474"/>
        <v>Morbius Inc.</v>
      </c>
      <c r="Q1398" s="15" t="str">
        <f t="shared" si="475"/>
        <v>56 Michael Spice Hwy</v>
      </c>
      <c r="R1398" s="3">
        <f>OrdersTable!C1398</f>
        <v>44660</v>
      </c>
      <c r="S1398" s="15">
        <f>OrdersTable!E1398</f>
        <v>8</v>
      </c>
      <c r="T1398" s="15">
        <f t="shared" si="476"/>
        <v>8.99</v>
      </c>
      <c r="U1398" s="15">
        <f t="shared" si="477"/>
        <v>12.54</v>
      </c>
      <c r="V1398" s="15">
        <f t="shared" si="478"/>
        <v>14.56</v>
      </c>
      <c r="W1398" s="15">
        <f>IF(MarkupType="Store Markup",ROUND(V1398+V1398*StoreMarkup,2),IF(MarkupType="Supplier Markup",V1398+V1398*SupplierMarkup,"Error at finding value"))</f>
        <v>22.93</v>
      </c>
      <c r="X1398" s="32" t="str">
        <f t="shared" si="480"/>
        <v>0.00</v>
      </c>
      <c r="Y1398" s="15">
        <f t="shared" si="481"/>
        <v>116.48</v>
      </c>
      <c r="Z1398" s="15">
        <f t="shared" si="482"/>
        <v>183.44</v>
      </c>
      <c r="AA1398" s="15">
        <f>IF(FreightType="Lethbridge-Stewart Freight ",ROUND(2.99+IF(N1398&gt;0.75,(N1398-0.75)*2.25,0)*S1398,2),IF(MarkupType="Supplier Markup",V1398+V1398*SupplierMarkup,"Error at finding value"))</f>
        <v>2.99</v>
      </c>
      <c r="AB1398" s="15">
        <f t="shared" si="483"/>
        <v>0</v>
      </c>
    </row>
    <row r="1399" spans="1:28" x14ac:dyDescent="0.25">
      <c r="A1399" s="16">
        <f>OrdersTable!A1399</f>
        <v>634</v>
      </c>
      <c r="B1399" s="15" t="str">
        <f t="shared" si="463"/>
        <v>Miss</v>
      </c>
      <c r="C1399" s="15" t="str">
        <f t="shared" si="484"/>
        <v>Betts</v>
      </c>
      <c r="D1399" s="15" t="str">
        <f t="shared" si="464"/>
        <v>Melissa Leigh</v>
      </c>
      <c r="E1399" s="15" t="str">
        <f t="shared" si="465"/>
        <v>4 Aitcheson Drive</v>
      </c>
      <c r="F1399" s="15" t="str">
        <f t="shared" si="466"/>
        <v>Bray Park</v>
      </c>
      <c r="G1399" s="15" t="str">
        <f t="shared" si="467"/>
        <v>QLD</v>
      </c>
      <c r="H1399" s="15">
        <f t="shared" si="468"/>
        <v>4500</v>
      </c>
      <c r="I1399" s="15">
        <f t="shared" si="479"/>
        <v>139</v>
      </c>
      <c r="J1399" s="15">
        <f>OrdersTable!B1399</f>
        <v>541</v>
      </c>
      <c r="K1399" s="15" t="str">
        <f t="shared" si="469"/>
        <v>Giftware</v>
      </c>
      <c r="L1399" s="15" t="str">
        <f t="shared" si="470"/>
        <v>Doctor Who: Salt and Pepper Shakers: TARDIS</v>
      </c>
      <c r="M1399" s="15" t="str">
        <f t="shared" si="471"/>
        <v>-</v>
      </c>
      <c r="N1399" s="15">
        <f t="shared" si="472"/>
        <v>0.6</v>
      </c>
      <c r="O1399" s="15" t="str">
        <f t="shared" si="473"/>
        <v>A10</v>
      </c>
      <c r="P1399" s="15" t="str">
        <f t="shared" si="474"/>
        <v>Gallifrey International</v>
      </c>
      <c r="Q1399" s="15" t="str">
        <f t="shared" si="475"/>
        <v>181 Arcadia Street</v>
      </c>
      <c r="R1399" s="3">
        <f>OrdersTable!C1399</f>
        <v>44660</v>
      </c>
      <c r="S1399" s="15">
        <f>OrdersTable!E1399</f>
        <v>3</v>
      </c>
      <c r="T1399" s="15">
        <f t="shared" si="476"/>
        <v>11.99</v>
      </c>
      <c r="U1399" s="15">
        <f t="shared" si="477"/>
        <v>16.62</v>
      </c>
      <c r="V1399" s="15">
        <f t="shared" si="478"/>
        <v>19.420000000000002</v>
      </c>
      <c r="W1399" s="15">
        <f>IF(MarkupType="Store Markup",ROUND(V1399+V1399*StoreMarkup,2),IF(MarkupType="Supplier Markup",V1399+V1399*SupplierMarkup,"Error at finding value"))</f>
        <v>30.59</v>
      </c>
      <c r="X1399" s="32" t="str">
        <f t="shared" si="480"/>
        <v>0.00</v>
      </c>
      <c r="Y1399" s="15">
        <f t="shared" si="481"/>
        <v>58.26</v>
      </c>
      <c r="Z1399" s="15">
        <f t="shared" si="482"/>
        <v>91.77</v>
      </c>
      <c r="AA1399" s="15">
        <f>IF(FreightType="Lethbridge-Stewart Freight ",ROUND(2.99+IF(N1399&gt;0.75,(N1399-0.75)*2.25,0)*S1399,2),IF(MarkupType="Supplier Markup",V1399+V1399*SupplierMarkup,"Error at finding value"))</f>
        <v>2.99</v>
      </c>
      <c r="AB1399" s="15">
        <f t="shared" si="483"/>
        <v>0</v>
      </c>
    </row>
    <row r="1400" spans="1:28" x14ac:dyDescent="0.25">
      <c r="A1400" s="16">
        <f>OrdersTable!A1400</f>
        <v>634</v>
      </c>
      <c r="B1400" s="15" t="str">
        <f t="shared" si="463"/>
        <v>Miss</v>
      </c>
      <c r="C1400" s="15" t="str">
        <f t="shared" si="484"/>
        <v>Betts</v>
      </c>
      <c r="D1400" s="15" t="str">
        <f t="shared" si="464"/>
        <v>Melissa Leigh</v>
      </c>
      <c r="E1400" s="15" t="str">
        <f t="shared" si="465"/>
        <v>4 Aitcheson Drive</v>
      </c>
      <c r="F1400" s="15" t="str">
        <f t="shared" si="466"/>
        <v>Bray Park</v>
      </c>
      <c r="G1400" s="15" t="str">
        <f t="shared" si="467"/>
        <v>QLD</v>
      </c>
      <c r="H1400" s="15">
        <f t="shared" si="468"/>
        <v>4500</v>
      </c>
      <c r="I1400" s="15">
        <f t="shared" si="479"/>
        <v>139</v>
      </c>
      <c r="J1400" s="15">
        <f>OrdersTable!B1400</f>
        <v>826</v>
      </c>
      <c r="K1400" s="15" t="str">
        <f t="shared" si="469"/>
        <v>Statues and Busts</v>
      </c>
      <c r="L1400" s="15" t="str">
        <f t="shared" si="470"/>
        <v>Doctor Who: Mini Bust: Cyberman</v>
      </c>
      <c r="M1400" s="15" t="str">
        <f t="shared" si="471"/>
        <v>-</v>
      </c>
      <c r="N1400" s="15">
        <f t="shared" si="472"/>
        <v>1.8</v>
      </c>
      <c r="O1400" s="15" t="str">
        <f t="shared" si="473"/>
        <v>A40</v>
      </c>
      <c r="P1400" s="15" t="str">
        <f t="shared" si="474"/>
        <v>Romana Imports</v>
      </c>
      <c r="Q1400" s="15" t="str">
        <f t="shared" si="475"/>
        <v>17 Lalla Ward Road</v>
      </c>
      <c r="R1400" s="3">
        <f>OrdersTable!C1400</f>
        <v>44660</v>
      </c>
      <c r="S1400" s="15">
        <f>OrdersTable!E1400</f>
        <v>1</v>
      </c>
      <c r="T1400" s="15">
        <f t="shared" si="476"/>
        <v>35.99</v>
      </c>
      <c r="U1400" s="15">
        <f t="shared" si="477"/>
        <v>49.13</v>
      </c>
      <c r="V1400" s="15">
        <f t="shared" si="478"/>
        <v>58.3</v>
      </c>
      <c r="W1400" s="15">
        <f>IF(MarkupType="Store Markup",ROUND(V1400+V1400*StoreMarkup,2),IF(MarkupType="Supplier Markup",V1400+V1400*SupplierMarkup,"Error at finding value"))</f>
        <v>91.82</v>
      </c>
      <c r="X1400" s="32" t="str">
        <f t="shared" si="480"/>
        <v>0.00</v>
      </c>
      <c r="Y1400" s="15">
        <f t="shared" si="481"/>
        <v>58.3</v>
      </c>
      <c r="Z1400" s="15">
        <f t="shared" si="482"/>
        <v>91.82</v>
      </c>
      <c r="AA1400" s="15">
        <f>IF(FreightType="Lethbridge-Stewart Freight ",ROUND(2.99+IF(N1400&gt;0.75,(N1400-0.75)*2.25,0)*S1400,2),IF(MarkupType="Supplier Markup",V1400+V1400*SupplierMarkup,"Error at finding value"))</f>
        <v>5.35</v>
      </c>
      <c r="AB1400" s="15">
        <f t="shared" si="483"/>
        <v>0</v>
      </c>
    </row>
    <row r="1401" spans="1:28" x14ac:dyDescent="0.25">
      <c r="A1401" s="16">
        <f>OrdersTable!A1401</f>
        <v>784</v>
      </c>
      <c r="B1401" s="15" t="str">
        <f t="shared" si="463"/>
        <v>Ms</v>
      </c>
      <c r="C1401" s="15" t="str">
        <f t="shared" si="484"/>
        <v>Hansen</v>
      </c>
      <c r="D1401" s="15" t="str">
        <f t="shared" si="464"/>
        <v>Courtney Michelle</v>
      </c>
      <c r="E1401" s="15" t="str">
        <f t="shared" si="465"/>
        <v>22 Elliot Crescent</v>
      </c>
      <c r="F1401" s="15" t="str">
        <f t="shared" si="466"/>
        <v>Alfredtown</v>
      </c>
      <c r="G1401" s="15" t="str">
        <f t="shared" si="467"/>
        <v>NSW</v>
      </c>
      <c r="H1401" s="15">
        <f t="shared" si="468"/>
        <v>2650</v>
      </c>
      <c r="I1401" s="15">
        <f t="shared" si="479"/>
        <v>1124</v>
      </c>
      <c r="J1401" s="15">
        <f>OrdersTable!B1401</f>
        <v>745</v>
      </c>
      <c r="K1401" s="15" t="str">
        <f t="shared" si="469"/>
        <v>Props and Replicas</v>
      </c>
      <c r="L1401" s="15" t="str">
        <f t="shared" si="470"/>
        <v>Doctor Who: TARDIS Type 40 Plaque</v>
      </c>
      <c r="M1401" s="15" t="str">
        <f t="shared" si="471"/>
        <v>-</v>
      </c>
      <c r="N1401" s="15">
        <f t="shared" si="472"/>
        <v>1.75</v>
      </c>
      <c r="O1401" s="15" t="str">
        <f t="shared" si="473"/>
        <v>A30</v>
      </c>
      <c r="P1401" s="15" t="str">
        <f t="shared" si="474"/>
        <v>Chesterton Enterprises</v>
      </c>
      <c r="Q1401" s="15" t="str">
        <f t="shared" si="475"/>
        <v>41 William Russell Road</v>
      </c>
      <c r="R1401" s="3">
        <f>OrdersTable!C1401</f>
        <v>44660</v>
      </c>
      <c r="S1401" s="15">
        <f>OrdersTable!E1401</f>
        <v>2</v>
      </c>
      <c r="T1401" s="15">
        <f t="shared" si="476"/>
        <v>34.99</v>
      </c>
      <c r="U1401" s="15">
        <f t="shared" si="477"/>
        <v>47.86</v>
      </c>
      <c r="V1401" s="15">
        <f t="shared" si="478"/>
        <v>56.68</v>
      </c>
      <c r="W1401" s="15">
        <f>IF(MarkupType="Store Markup",ROUND(V1401+V1401*StoreMarkup,2),IF(MarkupType="Supplier Markup",V1401+V1401*SupplierMarkup,"Error at finding value"))</f>
        <v>89.27</v>
      </c>
      <c r="X1401" s="32" t="str">
        <f t="shared" si="480"/>
        <v>0.00</v>
      </c>
      <c r="Y1401" s="15">
        <f t="shared" si="481"/>
        <v>113.36</v>
      </c>
      <c r="Z1401" s="15">
        <f t="shared" si="482"/>
        <v>178.54</v>
      </c>
      <c r="AA1401" s="15">
        <f>IF(FreightType="Lethbridge-Stewart Freight ",ROUND(2.99+IF(N1401&gt;0.75,(N1401-0.75)*2.25,0)*S1401,2),IF(MarkupType="Supplier Markup",V1401+V1401*SupplierMarkup,"Error at finding value"))</f>
        <v>7.49</v>
      </c>
      <c r="AB1401" s="15">
        <f t="shared" si="483"/>
        <v>0</v>
      </c>
    </row>
    <row r="1402" spans="1:28" x14ac:dyDescent="0.25">
      <c r="A1402" s="16">
        <f>OrdersTable!A1402</f>
        <v>884</v>
      </c>
      <c r="B1402" s="15" t="str">
        <f t="shared" si="463"/>
        <v>Mr</v>
      </c>
      <c r="C1402" s="15" t="str">
        <f t="shared" si="484"/>
        <v>Smy</v>
      </c>
      <c r="D1402" s="15" t="str">
        <f t="shared" si="464"/>
        <v>Corey Alexander</v>
      </c>
      <c r="E1402" s="15" t="str">
        <f t="shared" si="465"/>
        <v>47 Lindsay Circuit</v>
      </c>
      <c r="F1402" s="15" t="str">
        <f t="shared" si="466"/>
        <v>Boston</v>
      </c>
      <c r="G1402" s="15" t="str">
        <f t="shared" si="467"/>
        <v>SA</v>
      </c>
      <c r="H1402" s="15">
        <f t="shared" si="468"/>
        <v>5607</v>
      </c>
      <c r="I1402" s="15">
        <f t="shared" si="479"/>
        <v>2076</v>
      </c>
      <c r="J1402" s="15">
        <f>OrdersTable!B1402</f>
        <v>541</v>
      </c>
      <c r="K1402" s="15" t="str">
        <f t="shared" si="469"/>
        <v>Giftware</v>
      </c>
      <c r="L1402" s="15" t="str">
        <f t="shared" si="470"/>
        <v>Doctor Who: Salt and Pepper Shakers: TARDIS</v>
      </c>
      <c r="M1402" s="15" t="str">
        <f t="shared" si="471"/>
        <v>-</v>
      </c>
      <c r="N1402" s="15">
        <f t="shared" si="472"/>
        <v>0.6</v>
      </c>
      <c r="O1402" s="15" t="str">
        <f t="shared" si="473"/>
        <v>A10</v>
      </c>
      <c r="P1402" s="15" t="str">
        <f t="shared" si="474"/>
        <v>Gallifrey International</v>
      </c>
      <c r="Q1402" s="15" t="str">
        <f t="shared" si="475"/>
        <v>181 Arcadia Street</v>
      </c>
      <c r="R1402" s="3">
        <f>OrdersTable!C1402</f>
        <v>44660</v>
      </c>
      <c r="S1402" s="15">
        <f>OrdersTable!E1402</f>
        <v>8</v>
      </c>
      <c r="T1402" s="15">
        <f t="shared" si="476"/>
        <v>11.99</v>
      </c>
      <c r="U1402" s="15">
        <f t="shared" si="477"/>
        <v>16.62</v>
      </c>
      <c r="V1402" s="15">
        <f t="shared" si="478"/>
        <v>19.420000000000002</v>
      </c>
      <c r="W1402" s="15">
        <f>IF(MarkupType="Store Markup",ROUND(V1402+V1402*StoreMarkup,2),IF(MarkupType="Supplier Markup",V1402+V1402*SupplierMarkup,"Error at finding value"))</f>
        <v>30.59</v>
      </c>
      <c r="X1402" s="32" t="str">
        <f t="shared" si="480"/>
        <v>0.00</v>
      </c>
      <c r="Y1402" s="15">
        <f t="shared" si="481"/>
        <v>155.36000000000001</v>
      </c>
      <c r="Z1402" s="15">
        <f t="shared" si="482"/>
        <v>244.72</v>
      </c>
      <c r="AA1402" s="15">
        <f>IF(FreightType="Lethbridge-Stewart Freight ",ROUND(2.99+IF(N1402&gt;0.75,(N1402-0.75)*2.25,0)*S1402,2),IF(MarkupType="Supplier Markup",V1402+V1402*SupplierMarkup,"Error at finding value"))</f>
        <v>2.99</v>
      </c>
      <c r="AB1402" s="15">
        <f t="shared" si="483"/>
        <v>0</v>
      </c>
    </row>
    <row r="1403" spans="1:28" x14ac:dyDescent="0.25">
      <c r="A1403" s="16">
        <f>OrdersTable!A1403</f>
        <v>989</v>
      </c>
      <c r="B1403" s="15" t="str">
        <f t="shared" si="463"/>
        <v>Miss</v>
      </c>
      <c r="C1403" s="15" t="str">
        <f t="shared" si="484"/>
        <v>McInnes</v>
      </c>
      <c r="D1403" s="15" t="str">
        <f t="shared" si="464"/>
        <v>Nina Marie</v>
      </c>
      <c r="E1403" s="15" t="str">
        <f t="shared" si="465"/>
        <v>28 Caruss Road</v>
      </c>
      <c r="F1403" s="15" t="str">
        <f t="shared" si="466"/>
        <v>Belford</v>
      </c>
      <c r="G1403" s="15" t="str">
        <f t="shared" si="467"/>
        <v>NSW</v>
      </c>
      <c r="H1403" s="15">
        <f t="shared" si="468"/>
        <v>2335</v>
      </c>
      <c r="I1403" s="15">
        <f t="shared" si="479"/>
        <v>716</v>
      </c>
      <c r="J1403" s="15">
        <f>OrdersTable!B1403</f>
        <v>453</v>
      </c>
      <c r="K1403" s="15" t="str">
        <f t="shared" si="469"/>
        <v>Giftware</v>
      </c>
      <c r="L1403" s="15" t="str">
        <f t="shared" si="470"/>
        <v>Doctor Who: Ceramic Cookie Jar: TARDIS</v>
      </c>
      <c r="M1403" s="15" t="str">
        <f t="shared" si="471"/>
        <v>-</v>
      </c>
      <c r="N1403" s="15">
        <f t="shared" si="472"/>
        <v>1.35</v>
      </c>
      <c r="O1403" s="15" t="str">
        <f t="shared" si="473"/>
        <v>A40</v>
      </c>
      <c r="P1403" s="15" t="str">
        <f t="shared" si="474"/>
        <v>Romana Imports</v>
      </c>
      <c r="Q1403" s="15" t="str">
        <f t="shared" si="475"/>
        <v>17 Lalla Ward Road</v>
      </c>
      <c r="R1403" s="3">
        <f>OrdersTable!C1403</f>
        <v>44660</v>
      </c>
      <c r="S1403" s="15">
        <f>OrdersTable!E1403</f>
        <v>10</v>
      </c>
      <c r="T1403" s="15">
        <f t="shared" si="476"/>
        <v>26.99</v>
      </c>
      <c r="U1403" s="15">
        <f t="shared" si="477"/>
        <v>37.119999999999997</v>
      </c>
      <c r="V1403" s="15">
        <f t="shared" si="478"/>
        <v>43.72</v>
      </c>
      <c r="W1403" s="15">
        <f>IF(MarkupType="Store Markup",ROUND(V1403+V1403*StoreMarkup,2),IF(MarkupType="Supplier Markup",V1403+V1403*SupplierMarkup,"Error at finding value"))</f>
        <v>68.86</v>
      </c>
      <c r="X1403" s="32" t="str">
        <f t="shared" si="480"/>
        <v>0.00</v>
      </c>
      <c r="Y1403" s="15">
        <f t="shared" si="481"/>
        <v>437.2</v>
      </c>
      <c r="Z1403" s="15">
        <f t="shared" si="482"/>
        <v>688.6</v>
      </c>
      <c r="AA1403" s="15">
        <f>IF(FreightType="Lethbridge-Stewart Freight ",ROUND(2.99+IF(N1403&gt;0.75,(N1403-0.75)*2.25,0)*S1403,2),IF(MarkupType="Supplier Markup",V1403+V1403*SupplierMarkup,"Error at finding value"))</f>
        <v>16.489999999999998</v>
      </c>
      <c r="AB1403" s="15">
        <f t="shared" si="483"/>
        <v>0</v>
      </c>
    </row>
    <row r="1404" spans="1:28" x14ac:dyDescent="0.25">
      <c r="A1404" s="16">
        <f>OrdersTable!A1404</f>
        <v>81</v>
      </c>
      <c r="B1404" s="15" t="str">
        <f t="shared" si="463"/>
        <v>Ms</v>
      </c>
      <c r="C1404" s="15" t="str">
        <f t="shared" si="484"/>
        <v>Madsen</v>
      </c>
      <c r="D1404" s="15" t="str">
        <f t="shared" si="464"/>
        <v>Kim Marie</v>
      </c>
      <c r="E1404" s="15" t="str">
        <f t="shared" si="465"/>
        <v>42 Singh Drive</v>
      </c>
      <c r="F1404" s="15" t="str">
        <f t="shared" si="466"/>
        <v>Caliph</v>
      </c>
      <c r="G1404" s="15" t="str">
        <f t="shared" si="467"/>
        <v>SA</v>
      </c>
      <c r="H1404" s="15">
        <f t="shared" si="468"/>
        <v>5310</v>
      </c>
      <c r="I1404" s="15">
        <f t="shared" si="479"/>
        <v>1720</v>
      </c>
      <c r="J1404" s="15">
        <f>OrdersTable!B1404</f>
        <v>683</v>
      </c>
      <c r="K1404" s="15" t="str">
        <f t="shared" si="469"/>
        <v>Mugs</v>
      </c>
      <c r="L1404" s="15" t="str">
        <f t="shared" si="470"/>
        <v>Doctor Who: Mug: The Tenth Doctor</v>
      </c>
      <c r="M1404" s="15" t="str">
        <f t="shared" si="471"/>
        <v>-</v>
      </c>
      <c r="N1404" s="15">
        <f t="shared" si="472"/>
        <v>0.45</v>
      </c>
      <c r="O1404" s="15" t="str">
        <f t="shared" si="473"/>
        <v>A20</v>
      </c>
      <c r="P1404" s="15" t="str">
        <f t="shared" si="474"/>
        <v>Morbius Inc.</v>
      </c>
      <c r="Q1404" s="15" t="str">
        <f t="shared" si="475"/>
        <v>56 Michael Spice Hwy</v>
      </c>
      <c r="R1404" s="3">
        <f>OrdersTable!C1404</f>
        <v>44661</v>
      </c>
      <c r="S1404" s="15">
        <f>OrdersTable!E1404</f>
        <v>1</v>
      </c>
      <c r="T1404" s="15">
        <f t="shared" si="476"/>
        <v>8.99</v>
      </c>
      <c r="U1404" s="15">
        <f t="shared" si="477"/>
        <v>12.54</v>
      </c>
      <c r="V1404" s="15">
        <f t="shared" si="478"/>
        <v>14.56</v>
      </c>
      <c r="W1404" s="15">
        <f>IF(MarkupType="Store Markup",ROUND(V1404+V1404*StoreMarkup,2),IF(MarkupType="Supplier Markup",V1404+V1404*SupplierMarkup,"Error at finding value"))</f>
        <v>22.93</v>
      </c>
      <c r="X1404" s="32" t="str">
        <f t="shared" si="480"/>
        <v>0.00</v>
      </c>
      <c r="Y1404" s="15">
        <f t="shared" si="481"/>
        <v>14.56</v>
      </c>
      <c r="Z1404" s="15">
        <f t="shared" si="482"/>
        <v>22.93</v>
      </c>
      <c r="AA1404" s="15">
        <f>IF(FreightType="Lethbridge-Stewart Freight ",ROUND(2.99+IF(N1404&gt;0.75,(N1404-0.75)*2.25,0)*S1404,2),IF(MarkupType="Supplier Markup",V1404+V1404*SupplierMarkup,"Error at finding value"))</f>
        <v>2.99</v>
      </c>
      <c r="AB1404" s="15">
        <f t="shared" si="483"/>
        <v>0</v>
      </c>
    </row>
    <row r="1405" spans="1:28" x14ac:dyDescent="0.25">
      <c r="A1405" s="16">
        <f>OrdersTable!A1405</f>
        <v>224</v>
      </c>
      <c r="B1405" s="15" t="str">
        <f t="shared" si="463"/>
        <v>Miss</v>
      </c>
      <c r="C1405" s="15" t="str">
        <f t="shared" si="484"/>
        <v>Baruwal</v>
      </c>
      <c r="D1405" s="15" t="str">
        <f t="shared" si="464"/>
        <v>Pratikshya</v>
      </c>
      <c r="E1405" s="15" t="str">
        <f t="shared" si="465"/>
        <v>43 Gilloway Street</v>
      </c>
      <c r="F1405" s="15" t="str">
        <f t="shared" si="466"/>
        <v>Iluka</v>
      </c>
      <c r="G1405" s="15" t="str">
        <f t="shared" si="467"/>
        <v>NSW</v>
      </c>
      <c r="H1405" s="15">
        <f t="shared" si="468"/>
        <v>2466</v>
      </c>
      <c r="I1405" s="15">
        <f t="shared" si="479"/>
        <v>347</v>
      </c>
      <c r="J1405" s="15">
        <f>OrdersTable!B1405</f>
        <v>782</v>
      </c>
      <c r="K1405" s="15" t="str">
        <f t="shared" si="469"/>
        <v>Statues and Busts</v>
      </c>
      <c r="L1405" s="15" t="str">
        <f t="shared" si="470"/>
        <v>Doctor Who: Masterpiece Collection Maxi Bust: 10th Doctor</v>
      </c>
      <c r="M1405" s="15" t="str">
        <f t="shared" si="471"/>
        <v>-</v>
      </c>
      <c r="N1405" s="15">
        <f t="shared" si="472"/>
        <v>2.5</v>
      </c>
      <c r="O1405" s="15" t="str">
        <f t="shared" si="473"/>
        <v>A30</v>
      </c>
      <c r="P1405" s="15" t="str">
        <f t="shared" si="474"/>
        <v>Chesterton Enterprises</v>
      </c>
      <c r="Q1405" s="15" t="str">
        <f t="shared" si="475"/>
        <v>41 William Russell Road</v>
      </c>
      <c r="R1405" s="3">
        <f>OrdersTable!C1405</f>
        <v>44661</v>
      </c>
      <c r="S1405" s="15">
        <f>OrdersTable!E1405</f>
        <v>8</v>
      </c>
      <c r="T1405" s="15">
        <f t="shared" si="476"/>
        <v>49.99</v>
      </c>
      <c r="U1405" s="15">
        <f t="shared" si="477"/>
        <v>68.5</v>
      </c>
      <c r="V1405" s="15">
        <f t="shared" si="478"/>
        <v>80.98</v>
      </c>
      <c r="W1405" s="15">
        <f>IF(MarkupType="Store Markup",ROUND(V1405+V1405*StoreMarkup,2),IF(MarkupType="Supplier Markup",V1405+V1405*SupplierMarkup,"Error at finding value"))</f>
        <v>127.54</v>
      </c>
      <c r="X1405" s="32">
        <f t="shared" si="480"/>
        <v>9.09</v>
      </c>
      <c r="Y1405" s="15">
        <f t="shared" si="481"/>
        <v>647.84</v>
      </c>
      <c r="Z1405" s="15">
        <f t="shared" si="482"/>
        <v>947.6</v>
      </c>
      <c r="AA1405" s="15">
        <f>IF(FreightType="Lethbridge-Stewart Freight ",ROUND(2.99+IF(N1405&gt;0.75,(N1405-0.75)*2.25,0)*S1405,2),IF(MarkupType="Supplier Markup",V1405+V1405*SupplierMarkup,"Error at finding value"))</f>
        <v>34.49</v>
      </c>
      <c r="AB1405" s="15">
        <f t="shared" si="483"/>
        <v>72.72</v>
      </c>
    </row>
    <row r="1406" spans="1:28" x14ac:dyDescent="0.25">
      <c r="A1406" s="16">
        <f>OrdersTable!A1406</f>
        <v>308</v>
      </c>
      <c r="B1406" s="15" t="str">
        <f t="shared" si="463"/>
        <v>Dr</v>
      </c>
      <c r="C1406" s="15" t="str">
        <f t="shared" si="484"/>
        <v>Azar</v>
      </c>
      <c r="D1406" s="15" t="str">
        <f t="shared" si="464"/>
        <v>Mariam</v>
      </c>
      <c r="E1406" s="15" t="str">
        <f t="shared" si="465"/>
        <v>26 Osmond Road</v>
      </c>
      <c r="F1406" s="15" t="str">
        <f t="shared" si="466"/>
        <v>Boston</v>
      </c>
      <c r="G1406" s="15" t="str">
        <f t="shared" si="467"/>
        <v>SA</v>
      </c>
      <c r="H1406" s="15">
        <f t="shared" si="468"/>
        <v>5607</v>
      </c>
      <c r="I1406" s="15">
        <f t="shared" si="479"/>
        <v>2076</v>
      </c>
      <c r="J1406" s="15">
        <f>OrdersTable!B1406</f>
        <v>696</v>
      </c>
      <c r="K1406" s="15" t="str">
        <f t="shared" si="469"/>
        <v>Posters, Prints and Standees</v>
      </c>
      <c r="L1406" s="15" t="str">
        <f t="shared" si="470"/>
        <v xml:space="preserve">Doctor Who: 50th Anniversary: Poster: To Victory </v>
      </c>
      <c r="M1406" s="15" t="str">
        <f t="shared" si="471"/>
        <v>-</v>
      </c>
      <c r="N1406" s="15">
        <f t="shared" si="472"/>
        <v>0.2</v>
      </c>
      <c r="O1406" s="15" t="str">
        <f t="shared" si="473"/>
        <v>A40</v>
      </c>
      <c r="P1406" s="15" t="str">
        <f t="shared" si="474"/>
        <v>Romana Imports</v>
      </c>
      <c r="Q1406" s="15" t="str">
        <f t="shared" si="475"/>
        <v>17 Lalla Ward Road</v>
      </c>
      <c r="R1406" s="3">
        <f>OrdersTable!C1406</f>
        <v>44661</v>
      </c>
      <c r="S1406" s="15">
        <f>OrdersTable!E1406</f>
        <v>5</v>
      </c>
      <c r="T1406" s="15">
        <f t="shared" si="476"/>
        <v>3.99</v>
      </c>
      <c r="U1406" s="15">
        <f t="shared" si="477"/>
        <v>5.6</v>
      </c>
      <c r="V1406" s="15">
        <f t="shared" si="478"/>
        <v>6.46</v>
      </c>
      <c r="W1406" s="15">
        <f>IF(MarkupType="Store Markup",ROUND(V1406+V1406*StoreMarkup,2),IF(MarkupType="Supplier Markup",V1406+V1406*SupplierMarkup,"Error at finding value"))</f>
        <v>10.17</v>
      </c>
      <c r="X1406" s="32" t="str">
        <f t="shared" si="480"/>
        <v>0.00</v>
      </c>
      <c r="Y1406" s="15">
        <f t="shared" si="481"/>
        <v>32.299999999999997</v>
      </c>
      <c r="Z1406" s="15">
        <f t="shared" si="482"/>
        <v>50.85</v>
      </c>
      <c r="AA1406" s="15">
        <f>IF(FreightType="Lethbridge-Stewart Freight ",ROUND(2.99+IF(N1406&gt;0.75,(N1406-0.75)*2.25,0)*S1406,2),IF(MarkupType="Supplier Markup",V1406+V1406*SupplierMarkup,"Error at finding value"))</f>
        <v>2.99</v>
      </c>
      <c r="AB1406" s="15">
        <f t="shared" si="483"/>
        <v>0</v>
      </c>
    </row>
    <row r="1407" spans="1:28" x14ac:dyDescent="0.25">
      <c r="A1407" s="16">
        <f>OrdersTable!A1407</f>
        <v>448</v>
      </c>
      <c r="B1407" s="15" t="str">
        <f t="shared" si="463"/>
        <v>Mr</v>
      </c>
      <c r="C1407" s="15" t="str">
        <f t="shared" si="484"/>
        <v>Earl</v>
      </c>
      <c r="D1407" s="15" t="str">
        <f t="shared" si="464"/>
        <v>Benn Robert</v>
      </c>
      <c r="E1407" s="15" t="str">
        <f t="shared" si="465"/>
        <v>31 Kae Drive</v>
      </c>
      <c r="F1407" s="15" t="str">
        <f t="shared" si="466"/>
        <v>Belford</v>
      </c>
      <c r="G1407" s="15" t="str">
        <f t="shared" si="467"/>
        <v>NSW</v>
      </c>
      <c r="H1407" s="15">
        <f t="shared" si="468"/>
        <v>2335</v>
      </c>
      <c r="I1407" s="15">
        <f t="shared" si="479"/>
        <v>716</v>
      </c>
      <c r="J1407" s="15">
        <f>OrdersTable!B1407</f>
        <v>826</v>
      </c>
      <c r="K1407" s="15" t="str">
        <f t="shared" si="469"/>
        <v>Statues and Busts</v>
      </c>
      <c r="L1407" s="15" t="str">
        <f t="shared" si="470"/>
        <v>Doctor Who: Mini Bust: Cyberman</v>
      </c>
      <c r="M1407" s="15" t="str">
        <f t="shared" si="471"/>
        <v>-</v>
      </c>
      <c r="N1407" s="15">
        <f t="shared" si="472"/>
        <v>1.8</v>
      </c>
      <c r="O1407" s="15" t="str">
        <f t="shared" si="473"/>
        <v>A40</v>
      </c>
      <c r="P1407" s="15" t="str">
        <f t="shared" si="474"/>
        <v>Romana Imports</v>
      </c>
      <c r="Q1407" s="15" t="str">
        <f t="shared" si="475"/>
        <v>17 Lalla Ward Road</v>
      </c>
      <c r="R1407" s="3">
        <f>OrdersTable!C1407</f>
        <v>44661</v>
      </c>
      <c r="S1407" s="15">
        <f>OrdersTable!E1407</f>
        <v>1</v>
      </c>
      <c r="T1407" s="15">
        <f t="shared" si="476"/>
        <v>35.99</v>
      </c>
      <c r="U1407" s="15">
        <f t="shared" si="477"/>
        <v>49.13</v>
      </c>
      <c r="V1407" s="15">
        <f t="shared" si="478"/>
        <v>58.3</v>
      </c>
      <c r="W1407" s="15">
        <f>IF(MarkupType="Store Markup",ROUND(V1407+V1407*StoreMarkup,2),IF(MarkupType="Supplier Markup",V1407+V1407*SupplierMarkup,"Error at finding value"))</f>
        <v>91.82</v>
      </c>
      <c r="X1407" s="32" t="str">
        <f t="shared" si="480"/>
        <v>0.00</v>
      </c>
      <c r="Y1407" s="15">
        <f t="shared" si="481"/>
        <v>58.3</v>
      </c>
      <c r="Z1407" s="15">
        <f t="shared" si="482"/>
        <v>91.82</v>
      </c>
      <c r="AA1407" s="15">
        <f>IF(FreightType="Lethbridge-Stewart Freight ",ROUND(2.99+IF(N1407&gt;0.75,(N1407-0.75)*2.25,0)*S1407,2),IF(MarkupType="Supplier Markup",V1407+V1407*SupplierMarkup,"Error at finding value"))</f>
        <v>5.35</v>
      </c>
      <c r="AB1407" s="15">
        <f t="shared" si="483"/>
        <v>0</v>
      </c>
    </row>
    <row r="1408" spans="1:28" x14ac:dyDescent="0.25">
      <c r="A1408" s="16">
        <f>OrdersTable!A1408</f>
        <v>468</v>
      </c>
      <c r="B1408" s="15" t="str">
        <f t="shared" si="463"/>
        <v>Mrs</v>
      </c>
      <c r="C1408" s="15" t="str">
        <f t="shared" si="484"/>
        <v>Van Essen</v>
      </c>
      <c r="D1408" s="15" t="str">
        <f t="shared" si="464"/>
        <v>Bianca Jane</v>
      </c>
      <c r="E1408" s="15" t="str">
        <f t="shared" si="465"/>
        <v>47 Ward Circuit</v>
      </c>
      <c r="F1408" s="15" t="str">
        <f t="shared" si="466"/>
        <v>Batlow</v>
      </c>
      <c r="G1408" s="15" t="str">
        <f t="shared" si="467"/>
        <v>NSW</v>
      </c>
      <c r="H1408" s="15">
        <f t="shared" si="468"/>
        <v>2730</v>
      </c>
      <c r="I1408" s="15">
        <f t="shared" si="479"/>
        <v>1138</v>
      </c>
      <c r="J1408" s="15">
        <f>OrdersTable!B1408</f>
        <v>128</v>
      </c>
      <c r="K1408" s="15" t="str">
        <f t="shared" si="469"/>
        <v>Bobbleheads</v>
      </c>
      <c r="L1408" s="15" t="str">
        <f t="shared" si="470"/>
        <v>Doctor Who: Bobblehead: Davros</v>
      </c>
      <c r="M1408" s="15" t="str">
        <f t="shared" si="471"/>
        <v>-</v>
      </c>
      <c r="N1408" s="15">
        <f t="shared" si="472"/>
        <v>0.85</v>
      </c>
      <c r="O1408" s="15" t="str">
        <f t="shared" si="473"/>
        <v>A50</v>
      </c>
      <c r="P1408" s="15" t="str">
        <f t="shared" si="474"/>
        <v>Rassilon Ltd.</v>
      </c>
      <c r="Q1408" s="15" t="str">
        <f t="shared" si="475"/>
        <v>82 Richard Mathews Road</v>
      </c>
      <c r="R1408" s="3">
        <f>OrdersTable!C1408</f>
        <v>44661</v>
      </c>
      <c r="S1408" s="15">
        <f>OrdersTable!E1408</f>
        <v>5</v>
      </c>
      <c r="T1408" s="15">
        <f t="shared" si="476"/>
        <v>16.989999999999998</v>
      </c>
      <c r="U1408" s="15">
        <f t="shared" si="477"/>
        <v>23.27</v>
      </c>
      <c r="V1408" s="15">
        <f t="shared" si="478"/>
        <v>27.52</v>
      </c>
      <c r="W1408" s="15">
        <f>IF(MarkupType="Store Markup",ROUND(V1408+V1408*StoreMarkup,2),IF(MarkupType="Supplier Markup",V1408+V1408*SupplierMarkup,"Error at finding value"))</f>
        <v>43.34</v>
      </c>
      <c r="X1408" s="32" t="str">
        <f t="shared" si="480"/>
        <v>0.00</v>
      </c>
      <c r="Y1408" s="15">
        <f t="shared" si="481"/>
        <v>137.6</v>
      </c>
      <c r="Z1408" s="15">
        <f t="shared" si="482"/>
        <v>216.7</v>
      </c>
      <c r="AA1408" s="15">
        <f>IF(FreightType="Lethbridge-Stewart Freight ",ROUND(2.99+IF(N1408&gt;0.75,(N1408-0.75)*2.25,0)*S1408,2),IF(MarkupType="Supplier Markup",V1408+V1408*SupplierMarkup,"Error at finding value"))</f>
        <v>4.12</v>
      </c>
      <c r="AB1408" s="15">
        <f t="shared" si="483"/>
        <v>0</v>
      </c>
    </row>
    <row r="1409" spans="1:28" x14ac:dyDescent="0.25">
      <c r="A1409" s="16">
        <f>OrdersTable!A1409</f>
        <v>491</v>
      </c>
      <c r="B1409" s="15" t="str">
        <f t="shared" si="463"/>
        <v>Miss</v>
      </c>
      <c r="C1409" s="15" t="str">
        <f t="shared" si="484"/>
        <v>Winks</v>
      </c>
      <c r="D1409" s="15" t="str">
        <f t="shared" si="464"/>
        <v>Lori-Ann</v>
      </c>
      <c r="E1409" s="15" t="str">
        <f t="shared" si="465"/>
        <v>40 Lyne Street</v>
      </c>
      <c r="F1409" s="15" t="str">
        <f t="shared" si="466"/>
        <v>Bray Park</v>
      </c>
      <c r="G1409" s="15" t="str">
        <f t="shared" si="467"/>
        <v>QLD</v>
      </c>
      <c r="H1409" s="15">
        <f t="shared" si="468"/>
        <v>4500</v>
      </c>
      <c r="I1409" s="15">
        <f t="shared" si="479"/>
        <v>139</v>
      </c>
      <c r="J1409" s="15">
        <f>OrdersTable!B1409</f>
        <v>673</v>
      </c>
      <c r="K1409" s="15" t="str">
        <f t="shared" si="469"/>
        <v>Mugs</v>
      </c>
      <c r="L1409" s="15" t="str">
        <f t="shared" si="470"/>
        <v>Doctor Who: Mug: TARDIS With Lid</v>
      </c>
      <c r="M1409" s="15" t="str">
        <f t="shared" si="471"/>
        <v>-</v>
      </c>
      <c r="N1409" s="15">
        <f t="shared" si="472"/>
        <v>0.58499999999999996</v>
      </c>
      <c r="O1409" s="15" t="str">
        <f t="shared" si="473"/>
        <v>A10</v>
      </c>
      <c r="P1409" s="15" t="str">
        <f t="shared" si="474"/>
        <v>Gallifrey International</v>
      </c>
      <c r="Q1409" s="15" t="str">
        <f t="shared" si="475"/>
        <v>181 Arcadia Street</v>
      </c>
      <c r="R1409" s="3">
        <f>OrdersTable!C1409</f>
        <v>44661</v>
      </c>
      <c r="S1409" s="15">
        <f>OrdersTable!E1409</f>
        <v>4</v>
      </c>
      <c r="T1409" s="15">
        <f t="shared" si="476"/>
        <v>11.69</v>
      </c>
      <c r="U1409" s="15">
        <f t="shared" si="477"/>
        <v>16.190000000000001</v>
      </c>
      <c r="V1409" s="15">
        <f t="shared" si="478"/>
        <v>18.940000000000001</v>
      </c>
      <c r="W1409" s="15">
        <f>IF(MarkupType="Store Markup",ROUND(V1409+V1409*StoreMarkup,2),IF(MarkupType="Supplier Markup",V1409+V1409*SupplierMarkup,"Error at finding value"))</f>
        <v>29.83</v>
      </c>
      <c r="X1409" s="32" t="str">
        <f t="shared" si="480"/>
        <v>0.00</v>
      </c>
      <c r="Y1409" s="15">
        <f t="shared" si="481"/>
        <v>75.760000000000005</v>
      </c>
      <c r="Z1409" s="15">
        <f t="shared" si="482"/>
        <v>119.32</v>
      </c>
      <c r="AA1409" s="15">
        <f>IF(FreightType="Lethbridge-Stewart Freight ",ROUND(2.99+IF(N1409&gt;0.75,(N1409-0.75)*2.25,0)*S1409,2),IF(MarkupType="Supplier Markup",V1409+V1409*SupplierMarkup,"Error at finding value"))</f>
        <v>2.99</v>
      </c>
      <c r="AB1409" s="15">
        <f t="shared" si="483"/>
        <v>0</v>
      </c>
    </row>
    <row r="1410" spans="1:28" x14ac:dyDescent="0.25">
      <c r="A1410" s="16">
        <f>OrdersTable!A1410</f>
        <v>501</v>
      </c>
      <c r="B1410" s="15" t="str">
        <f t="shared" si="463"/>
        <v>Miss</v>
      </c>
      <c r="C1410" s="15" t="str">
        <f t="shared" si="484"/>
        <v>Tharenou</v>
      </c>
      <c r="D1410" s="15" t="str">
        <f t="shared" si="464"/>
        <v>Kimberley Jacinta</v>
      </c>
      <c r="E1410" s="15" t="str">
        <f t="shared" si="465"/>
        <v>49 Moncada Circuit</v>
      </c>
      <c r="F1410" s="15" t="str">
        <f t="shared" si="466"/>
        <v>Belford</v>
      </c>
      <c r="G1410" s="15" t="str">
        <f t="shared" si="467"/>
        <v>NSW</v>
      </c>
      <c r="H1410" s="15">
        <f t="shared" si="468"/>
        <v>2335</v>
      </c>
      <c r="I1410" s="15">
        <f t="shared" si="479"/>
        <v>716</v>
      </c>
      <c r="J1410" s="15">
        <f>OrdersTable!B1410</f>
        <v>726</v>
      </c>
      <c r="K1410" s="15" t="str">
        <f t="shared" si="469"/>
        <v>Props and Replicas</v>
      </c>
      <c r="L1410" s="15" t="str">
        <f t="shared" si="470"/>
        <v>Doctor Who: Dalek Death Ray</v>
      </c>
      <c r="M1410" s="15" t="str">
        <f t="shared" si="471"/>
        <v>-</v>
      </c>
      <c r="N1410" s="15">
        <f t="shared" si="472"/>
        <v>18</v>
      </c>
      <c r="O1410" s="15" t="str">
        <f t="shared" si="473"/>
        <v>A30</v>
      </c>
      <c r="P1410" s="15" t="str">
        <f t="shared" si="474"/>
        <v>Chesterton Enterprises</v>
      </c>
      <c r="Q1410" s="15" t="str">
        <f t="shared" si="475"/>
        <v>41 William Russell Road</v>
      </c>
      <c r="R1410" s="3">
        <f>OrdersTable!C1410</f>
        <v>44661</v>
      </c>
      <c r="S1410" s="15">
        <f>OrdersTable!E1410</f>
        <v>7</v>
      </c>
      <c r="T1410" s="15">
        <f t="shared" si="476"/>
        <v>359.99</v>
      </c>
      <c r="U1410" s="15">
        <f t="shared" si="477"/>
        <v>491.12</v>
      </c>
      <c r="V1410" s="15">
        <f t="shared" si="478"/>
        <v>583.17999999999995</v>
      </c>
      <c r="W1410" s="15">
        <f>IF(MarkupType="Store Markup",ROUND(V1410+V1410*StoreMarkup,2),IF(MarkupType="Supplier Markup",V1410+V1410*SupplierMarkup,"Error at finding value"))</f>
        <v>918.51</v>
      </c>
      <c r="X1410" s="32">
        <f t="shared" si="480"/>
        <v>65.44</v>
      </c>
      <c r="Y1410" s="15">
        <f t="shared" si="481"/>
        <v>4082.26</v>
      </c>
      <c r="Z1410" s="15">
        <f t="shared" si="482"/>
        <v>5971.49</v>
      </c>
      <c r="AA1410" s="15">
        <f>IF(FreightType="Lethbridge-Stewart Freight ",ROUND(2.99+IF(N1410&gt;0.75,(N1410-0.75)*2.25,0)*S1410,2),IF(MarkupType="Supplier Markup",V1410+V1410*SupplierMarkup,"Error at finding value"))</f>
        <v>274.68</v>
      </c>
      <c r="AB1410" s="15">
        <f t="shared" si="483"/>
        <v>458.08</v>
      </c>
    </row>
    <row r="1411" spans="1:28" x14ac:dyDescent="0.25">
      <c r="A1411" s="16">
        <f>OrdersTable!A1411</f>
        <v>568</v>
      </c>
      <c r="B1411" s="15" t="str">
        <f t="shared" si="463"/>
        <v>Mr</v>
      </c>
      <c r="C1411" s="15" t="str">
        <f t="shared" si="484"/>
        <v>Byrne</v>
      </c>
      <c r="D1411" s="15" t="str">
        <f t="shared" si="464"/>
        <v>Gregory James</v>
      </c>
      <c r="E1411" s="15" t="str">
        <f t="shared" si="465"/>
        <v>18 Doroshenko Crescent</v>
      </c>
      <c r="F1411" s="15" t="str">
        <f t="shared" si="466"/>
        <v>Abington</v>
      </c>
      <c r="G1411" s="15" t="str">
        <f t="shared" si="467"/>
        <v>QLD</v>
      </c>
      <c r="H1411" s="15">
        <f t="shared" si="468"/>
        <v>4660</v>
      </c>
      <c r="I1411" s="15">
        <f t="shared" si="479"/>
        <v>336</v>
      </c>
      <c r="J1411" s="15">
        <f>OrdersTable!B1411</f>
        <v>259</v>
      </c>
      <c r="K1411" s="15" t="str">
        <f t="shared" si="469"/>
        <v>Clothing and Apparel</v>
      </c>
      <c r="L1411" s="15" t="str">
        <f t="shared" si="470"/>
        <v>Doctor Who: Men's Winter Pyjamas</v>
      </c>
      <c r="M1411" s="15" t="str">
        <f t="shared" si="471"/>
        <v>XL</v>
      </c>
      <c r="N1411" s="15">
        <f t="shared" si="472"/>
        <v>1.5</v>
      </c>
      <c r="O1411" s="15" t="str">
        <f t="shared" si="473"/>
        <v>A50</v>
      </c>
      <c r="P1411" s="15" t="str">
        <f t="shared" si="474"/>
        <v>Rassilon Ltd.</v>
      </c>
      <c r="Q1411" s="15" t="str">
        <f t="shared" si="475"/>
        <v>82 Richard Mathews Road</v>
      </c>
      <c r="R1411" s="3">
        <f>OrdersTable!C1411</f>
        <v>44661</v>
      </c>
      <c r="S1411" s="15">
        <f>OrdersTable!E1411</f>
        <v>7</v>
      </c>
      <c r="T1411" s="15">
        <f t="shared" si="476"/>
        <v>29.99</v>
      </c>
      <c r="U1411" s="15">
        <f t="shared" si="477"/>
        <v>41.15</v>
      </c>
      <c r="V1411" s="15">
        <f t="shared" si="478"/>
        <v>48.58</v>
      </c>
      <c r="W1411" s="15">
        <f>IF(MarkupType="Store Markup",ROUND(V1411+V1411*StoreMarkup,2),IF(MarkupType="Supplier Markup",V1411+V1411*SupplierMarkup,"Error at finding value"))</f>
        <v>76.510000000000005</v>
      </c>
      <c r="X1411" s="32" t="str">
        <f t="shared" si="480"/>
        <v>0.00</v>
      </c>
      <c r="Y1411" s="15">
        <f t="shared" si="481"/>
        <v>340.06</v>
      </c>
      <c r="Z1411" s="15">
        <f t="shared" si="482"/>
        <v>535.57000000000005</v>
      </c>
      <c r="AA1411" s="15">
        <f>IF(FreightType="Lethbridge-Stewart Freight ",ROUND(2.99+IF(N1411&gt;0.75,(N1411-0.75)*2.25,0)*S1411,2),IF(MarkupType="Supplier Markup",V1411+V1411*SupplierMarkup,"Error at finding value"))</f>
        <v>14.8</v>
      </c>
      <c r="AB1411" s="15">
        <f t="shared" si="483"/>
        <v>0</v>
      </c>
    </row>
    <row r="1412" spans="1:28" x14ac:dyDescent="0.25">
      <c r="A1412" s="16">
        <f>OrdersTable!A1412</f>
        <v>570</v>
      </c>
      <c r="B1412" s="15" t="str">
        <f t="shared" ref="B1412:B1475" si="485">VLOOKUP($A1412,Cust,2,0)</f>
        <v>Mr</v>
      </c>
      <c r="C1412" s="15" t="str">
        <f t="shared" si="484"/>
        <v>Adams</v>
      </c>
      <c r="D1412" s="15" t="str">
        <f t="shared" ref="D1412:D1475" si="486">VLOOKUP($A1412,Cust,4,0)</f>
        <v>Matthew</v>
      </c>
      <c r="E1412" s="15" t="str">
        <f t="shared" ref="E1412:E1475" si="487">VLOOKUP($A1412,Cust,6,0)</f>
        <v>36 Fenech Avenue</v>
      </c>
      <c r="F1412" s="15" t="str">
        <f t="shared" ref="F1412:F1475" si="488">VLOOKUP($A1412,Cust,7,0)</f>
        <v>Bray Park</v>
      </c>
      <c r="G1412" s="15" t="str">
        <f t="shared" ref="G1412:G1475" si="489">VLOOKUP($A1412,Cust,8,0)</f>
        <v>QLD</v>
      </c>
      <c r="H1412" s="15">
        <f t="shared" ref="H1412:H1475" si="490">VLOOKUP($A1412,Cust,9,0)</f>
        <v>4500</v>
      </c>
      <c r="I1412" s="15">
        <f t="shared" si="479"/>
        <v>139</v>
      </c>
      <c r="J1412" s="15">
        <f>OrdersTable!B1412</f>
        <v>607</v>
      </c>
      <c r="K1412" s="15" t="str">
        <f t="shared" ref="K1412:K1475" si="491">VLOOKUP($J1412,Itms,2,0)</f>
        <v>iPhone Skins</v>
      </c>
      <c r="L1412" s="15" t="str">
        <f t="shared" ref="L1412:L1475" si="492">VLOOKUP($J1412,Itms,3,0)</f>
        <v>Doctor Who: iPhone Skin: Keep Calm I'm The Doctor</v>
      </c>
      <c r="M1412" s="15" t="str">
        <f t="shared" ref="M1412:M1475" si="493">VLOOKUP($J1412,Itms,4,0)</f>
        <v>-</v>
      </c>
      <c r="N1412" s="15">
        <f t="shared" ref="N1412:N1475" si="494">VLOOKUP($J1412,Itms,5,0)</f>
        <v>0.5</v>
      </c>
      <c r="O1412" s="15" t="str">
        <f t="shared" ref="O1412:O1475" si="495">VLOOKUP($J1412,Itms,6,0)</f>
        <v>A40</v>
      </c>
      <c r="P1412" s="15" t="str">
        <f t="shared" ref="P1412:P1475" si="496">VLOOKUP($O1412,Supp,2,0)</f>
        <v>Romana Imports</v>
      </c>
      <c r="Q1412" s="15" t="str">
        <f t="shared" ref="Q1412:Q1475" si="497">VLOOKUP($O1412,Supp,3,0)</f>
        <v>17 Lalla Ward Road</v>
      </c>
      <c r="R1412" s="3">
        <f>OrdersTable!C1412</f>
        <v>44661</v>
      </c>
      <c r="S1412" s="15">
        <f>OrdersTable!E1412</f>
        <v>6</v>
      </c>
      <c r="T1412" s="15">
        <f t="shared" ref="T1412:T1475" si="498">VLOOKUP($J1412,Itms,9,0)</f>
        <v>9.99</v>
      </c>
      <c r="U1412" s="15">
        <f t="shared" ref="U1412:U1475" si="499">VLOOKUP($J1412,Itms,10,0)</f>
        <v>13.81</v>
      </c>
      <c r="V1412" s="15">
        <f t="shared" ref="V1412:V1475" si="500">IF(ExchRateType="IR",ROUND(T1412*ExchRateIR,2),IF(ExchRateType="CA",ROUND(U1412*ExchRateCA,2),"Error at finding value"))</f>
        <v>16.18</v>
      </c>
      <c r="W1412" s="15">
        <f>IF(MarkupType="Store Markup",ROUND(V1412+V1412*StoreMarkup,2),IF(MarkupType="Supplier Markup",V1412+V1412*SupplierMarkup,"Error at finding value"))</f>
        <v>25.48</v>
      </c>
      <c r="X1412" s="32" t="str">
        <f t="shared" si="480"/>
        <v>0.00</v>
      </c>
      <c r="Y1412" s="15">
        <f t="shared" si="481"/>
        <v>97.08</v>
      </c>
      <c r="Z1412" s="15">
        <f t="shared" si="482"/>
        <v>152.88</v>
      </c>
      <c r="AA1412" s="15">
        <f>IF(FreightType="Lethbridge-Stewart Freight ",ROUND(2.99+IF(N1412&gt;0.75,(N1412-0.75)*2.25,0)*S1412,2),IF(MarkupType="Supplier Markup",V1412+V1412*SupplierMarkup,"Error at finding value"))</f>
        <v>2.99</v>
      </c>
      <c r="AB1412" s="15">
        <f t="shared" si="483"/>
        <v>0</v>
      </c>
    </row>
    <row r="1413" spans="1:28" x14ac:dyDescent="0.25">
      <c r="A1413" s="16">
        <f>OrdersTable!A1413</f>
        <v>580</v>
      </c>
      <c r="B1413" s="15" t="str">
        <f t="shared" si="485"/>
        <v>Mr</v>
      </c>
      <c r="C1413" s="15" t="str">
        <f t="shared" si="484"/>
        <v>Faatoafe</v>
      </c>
      <c r="D1413" s="15" t="str">
        <f t="shared" si="486"/>
        <v>Jasson Iosefa</v>
      </c>
      <c r="E1413" s="15" t="str">
        <f t="shared" si="487"/>
        <v>29 Schaffer Boulevard</v>
      </c>
      <c r="F1413" s="15" t="str">
        <f t="shared" si="488"/>
        <v>Binduli</v>
      </c>
      <c r="G1413" s="15" t="str">
        <f t="shared" si="489"/>
        <v>WA</v>
      </c>
      <c r="H1413" s="15">
        <f t="shared" si="490"/>
        <v>6430</v>
      </c>
      <c r="I1413" s="15">
        <f t="shared" ref="I1413:I1476" si="501">VLOOKUP($A1413,Cust,10,0)</f>
        <v>3543</v>
      </c>
      <c r="J1413" s="15">
        <f>OrdersTable!B1413</f>
        <v>358</v>
      </c>
      <c r="K1413" s="15" t="str">
        <f t="shared" si="491"/>
        <v>Clothing and Apparel</v>
      </c>
      <c r="L1413" s="15" t="str">
        <f t="shared" si="492"/>
        <v xml:space="preserve">Doctor Who: T-Shirts: 5th Doctor Costume </v>
      </c>
      <c r="M1413" s="15" t="str">
        <f t="shared" si="493"/>
        <v>M</v>
      </c>
      <c r="N1413" s="15">
        <f t="shared" si="494"/>
        <v>0.8</v>
      </c>
      <c r="O1413" s="15" t="str">
        <f t="shared" si="495"/>
        <v>A30</v>
      </c>
      <c r="P1413" s="15" t="str">
        <f t="shared" si="496"/>
        <v>Chesterton Enterprises</v>
      </c>
      <c r="Q1413" s="15" t="str">
        <f t="shared" si="497"/>
        <v>41 William Russell Road</v>
      </c>
      <c r="R1413" s="3">
        <f>OrdersTable!C1413</f>
        <v>44661</v>
      </c>
      <c r="S1413" s="15">
        <f>OrdersTable!E1413</f>
        <v>9</v>
      </c>
      <c r="T1413" s="15">
        <f t="shared" si="498"/>
        <v>15.99</v>
      </c>
      <c r="U1413" s="15">
        <f t="shared" si="499"/>
        <v>21.96</v>
      </c>
      <c r="V1413" s="15">
        <f t="shared" si="500"/>
        <v>25.9</v>
      </c>
      <c r="W1413" s="15">
        <f>IF(MarkupType="Store Markup",ROUND(V1413+V1413*StoreMarkup,2),IF(MarkupType="Supplier Markup",V1413+V1413*SupplierMarkup,"Error at finding value"))</f>
        <v>40.79</v>
      </c>
      <c r="X1413" s="32" t="str">
        <f t="shared" ref="X1413:X1476" si="502">IF(AND(W1413&gt;100,S1413&gt;=3),ROUND(0.07125*W1413,2),"0.00")</f>
        <v>0.00</v>
      </c>
      <c r="Y1413" s="15">
        <f t="shared" ref="Y1413:Y1476" si="503">ROUND(V1413*S1413,2)</f>
        <v>233.1</v>
      </c>
      <c r="Z1413" s="15">
        <f t="shared" ref="Z1413:Z1476" si="504">ROUND((W1413-X1413)*S1413,2)</f>
        <v>367.11</v>
      </c>
      <c r="AA1413" s="15">
        <f>IF(FreightType="Lethbridge-Stewart Freight ",ROUND(2.99+IF(N1413&gt;0.75,(N1413-0.75)*2.25,0)*S1413,2),IF(MarkupType="Supplier Markup",V1413+V1413*SupplierMarkup,"Error at finding value"))</f>
        <v>4</v>
      </c>
      <c r="AB1413" s="15">
        <f t="shared" ref="AB1413:AB1476" si="505">ROUND(X1413*S1413,2)</f>
        <v>0</v>
      </c>
    </row>
    <row r="1414" spans="1:28" x14ac:dyDescent="0.25">
      <c r="A1414" s="16">
        <f>OrdersTable!A1414</f>
        <v>580</v>
      </c>
      <c r="B1414" s="15" t="str">
        <f t="shared" si="485"/>
        <v>Mr</v>
      </c>
      <c r="C1414" s="15" t="str">
        <f t="shared" si="484"/>
        <v>Faatoafe</v>
      </c>
      <c r="D1414" s="15" t="str">
        <f t="shared" si="486"/>
        <v>Jasson Iosefa</v>
      </c>
      <c r="E1414" s="15" t="str">
        <f t="shared" si="487"/>
        <v>29 Schaffer Boulevard</v>
      </c>
      <c r="F1414" s="15" t="str">
        <f t="shared" si="488"/>
        <v>Binduli</v>
      </c>
      <c r="G1414" s="15" t="str">
        <f t="shared" si="489"/>
        <v>WA</v>
      </c>
      <c r="H1414" s="15">
        <f t="shared" si="490"/>
        <v>6430</v>
      </c>
      <c r="I1414" s="15">
        <f t="shared" si="501"/>
        <v>3543</v>
      </c>
      <c r="J1414" s="15">
        <f>OrdersTable!B1414</f>
        <v>374</v>
      </c>
      <c r="K1414" s="15" t="str">
        <f t="shared" si="491"/>
        <v>Clothing and Apparel</v>
      </c>
      <c r="L1414" s="15" t="str">
        <f t="shared" si="492"/>
        <v xml:space="preserve">Doctor Who: T-Shirts: 5th Doctor Costume </v>
      </c>
      <c r="M1414" s="15" t="str">
        <f t="shared" si="493"/>
        <v>XL</v>
      </c>
      <c r="N1414" s="15">
        <f t="shared" si="494"/>
        <v>0.8</v>
      </c>
      <c r="O1414" s="15" t="str">
        <f t="shared" si="495"/>
        <v>A50</v>
      </c>
      <c r="P1414" s="15" t="str">
        <f t="shared" si="496"/>
        <v>Rassilon Ltd.</v>
      </c>
      <c r="Q1414" s="15" t="str">
        <f t="shared" si="497"/>
        <v>82 Richard Mathews Road</v>
      </c>
      <c r="R1414" s="3">
        <f>OrdersTable!C1414</f>
        <v>44661</v>
      </c>
      <c r="S1414" s="15">
        <f>OrdersTable!E1414</f>
        <v>5</v>
      </c>
      <c r="T1414" s="15">
        <f t="shared" si="498"/>
        <v>15.99</v>
      </c>
      <c r="U1414" s="15">
        <f t="shared" si="499"/>
        <v>21.97</v>
      </c>
      <c r="V1414" s="15">
        <f t="shared" si="500"/>
        <v>25.9</v>
      </c>
      <c r="W1414" s="15">
        <f>IF(MarkupType="Store Markup",ROUND(V1414+V1414*StoreMarkup,2),IF(MarkupType="Supplier Markup",V1414+V1414*SupplierMarkup,"Error at finding value"))</f>
        <v>40.79</v>
      </c>
      <c r="X1414" s="32" t="str">
        <f t="shared" si="502"/>
        <v>0.00</v>
      </c>
      <c r="Y1414" s="15">
        <f t="shared" si="503"/>
        <v>129.5</v>
      </c>
      <c r="Z1414" s="15">
        <f t="shared" si="504"/>
        <v>203.95</v>
      </c>
      <c r="AA1414" s="15">
        <f>IF(FreightType="Lethbridge-Stewart Freight ",ROUND(2.99+IF(N1414&gt;0.75,(N1414-0.75)*2.25,0)*S1414,2),IF(MarkupType="Supplier Markup",V1414+V1414*SupplierMarkup,"Error at finding value"))</f>
        <v>3.55</v>
      </c>
      <c r="AB1414" s="15">
        <f t="shared" si="505"/>
        <v>0</v>
      </c>
    </row>
    <row r="1415" spans="1:28" x14ac:dyDescent="0.25">
      <c r="A1415" s="16">
        <f>OrdersTable!A1415</f>
        <v>643</v>
      </c>
      <c r="B1415" s="15" t="str">
        <f t="shared" si="485"/>
        <v>Ms</v>
      </c>
      <c r="C1415" s="15" t="str">
        <f t="shared" si="484"/>
        <v>Crispin-Purcell</v>
      </c>
      <c r="D1415" s="15" t="str">
        <f t="shared" si="486"/>
        <v>Gabriellen Elizabeth</v>
      </c>
      <c r="E1415" s="15" t="str">
        <f t="shared" si="487"/>
        <v>12 Williams Road</v>
      </c>
      <c r="F1415" s="15" t="str">
        <f t="shared" si="488"/>
        <v>Appletree Flat</v>
      </c>
      <c r="G1415" s="15" t="str">
        <f t="shared" si="489"/>
        <v>NSW</v>
      </c>
      <c r="H1415" s="15">
        <f t="shared" si="490"/>
        <v>2330</v>
      </c>
      <c r="I1415" s="15">
        <f t="shared" si="501"/>
        <v>691</v>
      </c>
      <c r="J1415" s="15">
        <f>OrdersTable!B1415</f>
        <v>341</v>
      </c>
      <c r="K1415" s="15" t="str">
        <f t="shared" si="491"/>
        <v>Clothing and Apparel</v>
      </c>
      <c r="L1415" s="15" t="str">
        <f t="shared" si="492"/>
        <v xml:space="preserve">Doctor Who: T-Shirts: 4th Doctor Costume </v>
      </c>
      <c r="M1415" s="15" t="str">
        <f t="shared" si="493"/>
        <v>XL</v>
      </c>
      <c r="N1415" s="15">
        <f t="shared" si="494"/>
        <v>0.8</v>
      </c>
      <c r="O1415" s="15" t="str">
        <f t="shared" si="495"/>
        <v>A20</v>
      </c>
      <c r="P1415" s="15" t="str">
        <f t="shared" si="496"/>
        <v>Morbius Inc.</v>
      </c>
      <c r="Q1415" s="15" t="str">
        <f t="shared" si="497"/>
        <v>56 Michael Spice Hwy</v>
      </c>
      <c r="R1415" s="3">
        <f>OrdersTable!C1415</f>
        <v>44661</v>
      </c>
      <c r="S1415" s="15">
        <f>OrdersTable!E1415</f>
        <v>2</v>
      </c>
      <c r="T1415" s="15">
        <f t="shared" si="498"/>
        <v>15.99</v>
      </c>
      <c r="U1415" s="15">
        <f t="shared" si="499"/>
        <v>22.05</v>
      </c>
      <c r="V1415" s="15">
        <f t="shared" si="500"/>
        <v>25.9</v>
      </c>
      <c r="W1415" s="15">
        <f>IF(MarkupType="Store Markup",ROUND(V1415+V1415*StoreMarkup,2),IF(MarkupType="Supplier Markup",V1415+V1415*SupplierMarkup,"Error at finding value"))</f>
        <v>40.79</v>
      </c>
      <c r="X1415" s="32" t="str">
        <f t="shared" si="502"/>
        <v>0.00</v>
      </c>
      <c r="Y1415" s="15">
        <f t="shared" si="503"/>
        <v>51.8</v>
      </c>
      <c r="Z1415" s="15">
        <f t="shared" si="504"/>
        <v>81.58</v>
      </c>
      <c r="AA1415" s="15">
        <f>IF(FreightType="Lethbridge-Stewart Freight ",ROUND(2.99+IF(N1415&gt;0.75,(N1415-0.75)*2.25,0)*S1415,2),IF(MarkupType="Supplier Markup",V1415+V1415*SupplierMarkup,"Error at finding value"))</f>
        <v>3.22</v>
      </c>
      <c r="AB1415" s="15">
        <f t="shared" si="505"/>
        <v>0</v>
      </c>
    </row>
    <row r="1416" spans="1:28" x14ac:dyDescent="0.25">
      <c r="A1416" s="16">
        <f>OrdersTable!A1416</f>
        <v>747</v>
      </c>
      <c r="B1416" s="15" t="str">
        <f t="shared" si="485"/>
        <v>Miss</v>
      </c>
      <c r="C1416" s="15" t="str">
        <f t="shared" si="484"/>
        <v>Coom</v>
      </c>
      <c r="D1416" s="15" t="str">
        <f t="shared" si="486"/>
        <v>Mackenzie Megan</v>
      </c>
      <c r="E1416" s="15" t="str">
        <f t="shared" si="487"/>
        <v>2 Tsalikis Road</v>
      </c>
      <c r="F1416" s="15" t="str">
        <f t="shared" si="488"/>
        <v>Aberfoyle</v>
      </c>
      <c r="G1416" s="15" t="str">
        <f t="shared" si="489"/>
        <v>NSW</v>
      </c>
      <c r="H1416" s="15">
        <f t="shared" si="490"/>
        <v>2350</v>
      </c>
      <c r="I1416" s="15">
        <f t="shared" si="501"/>
        <v>363</v>
      </c>
      <c r="J1416" s="15">
        <f>OrdersTable!B1416</f>
        <v>330</v>
      </c>
      <c r="K1416" s="15" t="str">
        <f t="shared" si="491"/>
        <v>Clothing and Apparel</v>
      </c>
      <c r="L1416" s="15" t="str">
        <f t="shared" si="492"/>
        <v xml:space="preserve">Doctor Who: T-Shirts: 4th Doctor Costume </v>
      </c>
      <c r="M1416" s="15" t="str">
        <f t="shared" si="493"/>
        <v>M</v>
      </c>
      <c r="N1416" s="15">
        <f t="shared" si="494"/>
        <v>0.8</v>
      </c>
      <c r="O1416" s="15" t="str">
        <f t="shared" si="495"/>
        <v>A20</v>
      </c>
      <c r="P1416" s="15" t="str">
        <f t="shared" si="496"/>
        <v>Morbius Inc.</v>
      </c>
      <c r="Q1416" s="15" t="str">
        <f t="shared" si="497"/>
        <v>56 Michael Spice Hwy</v>
      </c>
      <c r="R1416" s="3">
        <f>OrdersTable!C1416</f>
        <v>44661</v>
      </c>
      <c r="S1416" s="15">
        <f>OrdersTable!E1416</f>
        <v>6</v>
      </c>
      <c r="T1416" s="15">
        <f t="shared" si="498"/>
        <v>15.99</v>
      </c>
      <c r="U1416" s="15">
        <f t="shared" si="499"/>
        <v>22.03</v>
      </c>
      <c r="V1416" s="15">
        <f t="shared" si="500"/>
        <v>25.9</v>
      </c>
      <c r="W1416" s="15">
        <f>IF(MarkupType="Store Markup",ROUND(V1416+V1416*StoreMarkup,2),IF(MarkupType="Supplier Markup",V1416+V1416*SupplierMarkup,"Error at finding value"))</f>
        <v>40.79</v>
      </c>
      <c r="X1416" s="32" t="str">
        <f t="shared" si="502"/>
        <v>0.00</v>
      </c>
      <c r="Y1416" s="15">
        <f t="shared" si="503"/>
        <v>155.4</v>
      </c>
      <c r="Z1416" s="15">
        <f t="shared" si="504"/>
        <v>244.74</v>
      </c>
      <c r="AA1416" s="15">
        <f>IF(FreightType="Lethbridge-Stewart Freight ",ROUND(2.99+IF(N1416&gt;0.75,(N1416-0.75)*2.25,0)*S1416,2),IF(MarkupType="Supplier Markup",V1416+V1416*SupplierMarkup,"Error at finding value"))</f>
        <v>3.67</v>
      </c>
      <c r="AB1416" s="15">
        <f t="shared" si="505"/>
        <v>0</v>
      </c>
    </row>
    <row r="1417" spans="1:28" x14ac:dyDescent="0.25">
      <c r="A1417" s="16">
        <f>OrdersTable!A1417</f>
        <v>923</v>
      </c>
      <c r="B1417" s="15" t="str">
        <f t="shared" si="485"/>
        <v>Ms</v>
      </c>
      <c r="C1417" s="15" t="str">
        <f t="shared" si="484"/>
        <v>Savage</v>
      </c>
      <c r="D1417" s="15" t="str">
        <f t="shared" si="486"/>
        <v>Eliza Margaret</v>
      </c>
      <c r="E1417" s="15" t="str">
        <f t="shared" si="487"/>
        <v>28 Whisson Crescent</v>
      </c>
      <c r="F1417" s="15" t="str">
        <f t="shared" si="488"/>
        <v>Belconnen</v>
      </c>
      <c r="G1417" s="15" t="str">
        <f t="shared" si="489"/>
        <v>ACT</v>
      </c>
      <c r="H1417" s="15">
        <f t="shared" si="490"/>
        <v>2617</v>
      </c>
      <c r="I1417" s="15">
        <f t="shared" si="501"/>
        <v>1194</v>
      </c>
      <c r="J1417" s="15">
        <f>OrdersTable!B1417</f>
        <v>164</v>
      </c>
      <c r="K1417" s="15" t="str">
        <f t="shared" si="491"/>
        <v>Bobbleheads</v>
      </c>
      <c r="L1417" s="15" t="str">
        <f t="shared" si="492"/>
        <v>Doctor Who: Bobblehead: Fourth Doctor</v>
      </c>
      <c r="M1417" s="15" t="str">
        <f t="shared" si="493"/>
        <v>-</v>
      </c>
      <c r="N1417" s="15">
        <f t="shared" si="494"/>
        <v>0.75</v>
      </c>
      <c r="O1417" s="15" t="str">
        <f t="shared" si="495"/>
        <v>A40</v>
      </c>
      <c r="P1417" s="15" t="str">
        <f t="shared" si="496"/>
        <v>Romana Imports</v>
      </c>
      <c r="Q1417" s="15" t="str">
        <f t="shared" si="497"/>
        <v>17 Lalla Ward Road</v>
      </c>
      <c r="R1417" s="3">
        <f>OrdersTable!C1417</f>
        <v>44661</v>
      </c>
      <c r="S1417" s="15">
        <f>OrdersTable!E1417</f>
        <v>7</v>
      </c>
      <c r="T1417" s="15">
        <f t="shared" si="498"/>
        <v>14.99</v>
      </c>
      <c r="U1417" s="15">
        <f t="shared" si="499"/>
        <v>20.53</v>
      </c>
      <c r="V1417" s="15">
        <f t="shared" si="500"/>
        <v>24.28</v>
      </c>
      <c r="W1417" s="15">
        <f>IF(MarkupType="Store Markup",ROUND(V1417+V1417*StoreMarkup,2),IF(MarkupType="Supplier Markup",V1417+V1417*SupplierMarkup,"Error at finding value"))</f>
        <v>38.24</v>
      </c>
      <c r="X1417" s="32" t="str">
        <f t="shared" si="502"/>
        <v>0.00</v>
      </c>
      <c r="Y1417" s="15">
        <f t="shared" si="503"/>
        <v>169.96</v>
      </c>
      <c r="Z1417" s="15">
        <f t="shared" si="504"/>
        <v>267.68</v>
      </c>
      <c r="AA1417" s="15">
        <f>IF(FreightType="Lethbridge-Stewart Freight ",ROUND(2.99+IF(N1417&gt;0.75,(N1417-0.75)*2.25,0)*S1417,2),IF(MarkupType="Supplier Markup",V1417+V1417*SupplierMarkup,"Error at finding value"))</f>
        <v>2.99</v>
      </c>
      <c r="AB1417" s="15">
        <f t="shared" si="505"/>
        <v>0</v>
      </c>
    </row>
    <row r="1418" spans="1:28" x14ac:dyDescent="0.25">
      <c r="A1418" s="16">
        <f>OrdersTable!A1418</f>
        <v>989</v>
      </c>
      <c r="B1418" s="15" t="str">
        <f t="shared" si="485"/>
        <v>Miss</v>
      </c>
      <c r="C1418" s="15" t="str">
        <f t="shared" si="484"/>
        <v>McInnes</v>
      </c>
      <c r="D1418" s="15" t="str">
        <f t="shared" si="486"/>
        <v>Nina Marie</v>
      </c>
      <c r="E1418" s="15" t="str">
        <f t="shared" si="487"/>
        <v>28 Caruss Road</v>
      </c>
      <c r="F1418" s="15" t="str">
        <f t="shared" si="488"/>
        <v>Belford</v>
      </c>
      <c r="G1418" s="15" t="str">
        <f t="shared" si="489"/>
        <v>NSW</v>
      </c>
      <c r="H1418" s="15">
        <f t="shared" si="490"/>
        <v>2335</v>
      </c>
      <c r="I1418" s="15">
        <f t="shared" si="501"/>
        <v>716</v>
      </c>
      <c r="J1418" s="15">
        <f>OrdersTable!B1418</f>
        <v>594</v>
      </c>
      <c r="K1418" s="15" t="str">
        <f t="shared" si="491"/>
        <v>iPhone Skins</v>
      </c>
      <c r="L1418" s="15" t="str">
        <f t="shared" si="492"/>
        <v>Doctor Who: iPhone Skin: Keep Calm And Don't Blink</v>
      </c>
      <c r="M1418" s="15" t="str">
        <f t="shared" si="493"/>
        <v>-</v>
      </c>
      <c r="N1418" s="15">
        <f t="shared" si="494"/>
        <v>0.5</v>
      </c>
      <c r="O1418" s="15" t="str">
        <f t="shared" si="495"/>
        <v>A20</v>
      </c>
      <c r="P1418" s="15" t="str">
        <f t="shared" si="496"/>
        <v>Morbius Inc.</v>
      </c>
      <c r="Q1418" s="15" t="str">
        <f t="shared" si="497"/>
        <v>56 Michael Spice Hwy</v>
      </c>
      <c r="R1418" s="3">
        <f>OrdersTable!C1418</f>
        <v>44661</v>
      </c>
      <c r="S1418" s="15">
        <f>OrdersTable!E1418</f>
        <v>5</v>
      </c>
      <c r="T1418" s="15">
        <f t="shared" si="498"/>
        <v>9.99</v>
      </c>
      <c r="U1418" s="15">
        <f t="shared" si="499"/>
        <v>13.88</v>
      </c>
      <c r="V1418" s="15">
        <f t="shared" si="500"/>
        <v>16.18</v>
      </c>
      <c r="W1418" s="15">
        <f>IF(MarkupType="Store Markup",ROUND(V1418+V1418*StoreMarkup,2),IF(MarkupType="Supplier Markup",V1418+V1418*SupplierMarkup,"Error at finding value"))</f>
        <v>25.48</v>
      </c>
      <c r="X1418" s="32" t="str">
        <f t="shared" si="502"/>
        <v>0.00</v>
      </c>
      <c r="Y1418" s="15">
        <f t="shared" si="503"/>
        <v>80.900000000000006</v>
      </c>
      <c r="Z1418" s="15">
        <f t="shared" si="504"/>
        <v>127.4</v>
      </c>
      <c r="AA1418" s="15">
        <f>IF(FreightType="Lethbridge-Stewart Freight ",ROUND(2.99+IF(N1418&gt;0.75,(N1418-0.75)*2.25,0)*S1418,2),IF(MarkupType="Supplier Markup",V1418+V1418*SupplierMarkup,"Error at finding value"))</f>
        <v>2.99</v>
      </c>
      <c r="AB1418" s="15">
        <f t="shared" si="505"/>
        <v>0</v>
      </c>
    </row>
    <row r="1419" spans="1:28" x14ac:dyDescent="0.25">
      <c r="A1419" s="16">
        <f>OrdersTable!A1419</f>
        <v>42</v>
      </c>
      <c r="B1419" s="15" t="str">
        <f t="shared" si="485"/>
        <v>Mr</v>
      </c>
      <c r="C1419" s="15" t="str">
        <f t="shared" ref="C1419:C1482" si="506">VLOOKUP($A1419,Cust,3,0)</f>
        <v>Ballantyne</v>
      </c>
      <c r="D1419" s="15" t="str">
        <f t="shared" si="486"/>
        <v>Barry John</v>
      </c>
      <c r="E1419" s="15" t="str">
        <f t="shared" si="487"/>
        <v>14 Bachmann Drive</v>
      </c>
      <c r="F1419" s="15" t="str">
        <f t="shared" si="488"/>
        <v>Alleena</v>
      </c>
      <c r="G1419" s="15" t="str">
        <f t="shared" si="489"/>
        <v>NSW</v>
      </c>
      <c r="H1419" s="15">
        <f t="shared" si="490"/>
        <v>2671</v>
      </c>
      <c r="I1419" s="15">
        <f t="shared" si="501"/>
        <v>988</v>
      </c>
      <c r="J1419" s="15">
        <f>OrdersTable!B1419</f>
        <v>453</v>
      </c>
      <c r="K1419" s="15" t="str">
        <f t="shared" si="491"/>
        <v>Giftware</v>
      </c>
      <c r="L1419" s="15" t="str">
        <f t="shared" si="492"/>
        <v>Doctor Who: Ceramic Cookie Jar: TARDIS</v>
      </c>
      <c r="M1419" s="15" t="str">
        <f t="shared" si="493"/>
        <v>-</v>
      </c>
      <c r="N1419" s="15">
        <f t="shared" si="494"/>
        <v>1.35</v>
      </c>
      <c r="O1419" s="15" t="str">
        <f t="shared" si="495"/>
        <v>A40</v>
      </c>
      <c r="P1419" s="15" t="str">
        <f t="shared" si="496"/>
        <v>Romana Imports</v>
      </c>
      <c r="Q1419" s="15" t="str">
        <f t="shared" si="497"/>
        <v>17 Lalla Ward Road</v>
      </c>
      <c r="R1419" s="3">
        <f>OrdersTable!C1419</f>
        <v>44662</v>
      </c>
      <c r="S1419" s="15">
        <f>OrdersTable!E1419</f>
        <v>6</v>
      </c>
      <c r="T1419" s="15">
        <f t="shared" si="498"/>
        <v>26.99</v>
      </c>
      <c r="U1419" s="15">
        <f t="shared" si="499"/>
        <v>37.119999999999997</v>
      </c>
      <c r="V1419" s="15">
        <f t="shared" si="500"/>
        <v>43.72</v>
      </c>
      <c r="W1419" s="15">
        <f>IF(MarkupType="Store Markup",ROUND(V1419+V1419*StoreMarkup,2),IF(MarkupType="Supplier Markup",V1419+V1419*SupplierMarkup,"Error at finding value"))</f>
        <v>68.86</v>
      </c>
      <c r="X1419" s="32" t="str">
        <f t="shared" si="502"/>
        <v>0.00</v>
      </c>
      <c r="Y1419" s="15">
        <f t="shared" si="503"/>
        <v>262.32</v>
      </c>
      <c r="Z1419" s="15">
        <f t="shared" si="504"/>
        <v>413.16</v>
      </c>
      <c r="AA1419" s="15">
        <f>IF(FreightType="Lethbridge-Stewart Freight ",ROUND(2.99+IF(N1419&gt;0.75,(N1419-0.75)*2.25,0)*S1419,2),IF(MarkupType="Supplier Markup",V1419+V1419*SupplierMarkup,"Error at finding value"))</f>
        <v>11.09</v>
      </c>
      <c r="AB1419" s="15">
        <f t="shared" si="505"/>
        <v>0</v>
      </c>
    </row>
    <row r="1420" spans="1:28" x14ac:dyDescent="0.25">
      <c r="A1420" s="16">
        <f>OrdersTable!A1420</f>
        <v>46</v>
      </c>
      <c r="B1420" s="15" t="str">
        <f t="shared" si="485"/>
        <v>Mrs</v>
      </c>
      <c r="C1420" s="15" t="str">
        <f t="shared" si="506"/>
        <v>Dovey</v>
      </c>
      <c r="D1420" s="15" t="str">
        <f t="shared" si="486"/>
        <v>Aisha Jade</v>
      </c>
      <c r="E1420" s="15" t="str">
        <f t="shared" si="487"/>
        <v>43 Wilkes Circuit</v>
      </c>
      <c r="F1420" s="15" t="str">
        <f t="shared" si="488"/>
        <v>Alfredtown</v>
      </c>
      <c r="G1420" s="15" t="str">
        <f t="shared" si="489"/>
        <v>NSW</v>
      </c>
      <c r="H1420" s="15">
        <f t="shared" si="490"/>
        <v>2650</v>
      </c>
      <c r="I1420" s="15">
        <f t="shared" si="501"/>
        <v>1124</v>
      </c>
      <c r="J1420" s="15">
        <f>OrdersTable!B1420</f>
        <v>398</v>
      </c>
      <c r="K1420" s="15" t="str">
        <f t="shared" si="491"/>
        <v>Clothing and Apparel</v>
      </c>
      <c r="L1420" s="15" t="str">
        <f t="shared" si="492"/>
        <v>Doctor Who: Women's Winter Pyjamas</v>
      </c>
      <c r="M1420" s="15" t="str">
        <f t="shared" si="493"/>
        <v>S</v>
      </c>
      <c r="N1420" s="15">
        <f t="shared" si="494"/>
        <v>1.5</v>
      </c>
      <c r="O1420" s="15" t="str">
        <f t="shared" si="495"/>
        <v>A40</v>
      </c>
      <c r="P1420" s="15" t="str">
        <f t="shared" si="496"/>
        <v>Romana Imports</v>
      </c>
      <c r="Q1420" s="15" t="str">
        <f t="shared" si="497"/>
        <v>17 Lalla Ward Road</v>
      </c>
      <c r="R1420" s="3">
        <f>OrdersTable!C1420</f>
        <v>44662</v>
      </c>
      <c r="S1420" s="15">
        <f>OrdersTable!E1420</f>
        <v>3</v>
      </c>
      <c r="T1420" s="15">
        <f t="shared" si="498"/>
        <v>29.99</v>
      </c>
      <c r="U1420" s="15">
        <f t="shared" si="499"/>
        <v>41.07</v>
      </c>
      <c r="V1420" s="15">
        <f t="shared" si="500"/>
        <v>48.58</v>
      </c>
      <c r="W1420" s="15">
        <f>IF(MarkupType="Store Markup",ROUND(V1420+V1420*StoreMarkup,2),IF(MarkupType="Supplier Markup",V1420+V1420*SupplierMarkup,"Error at finding value"))</f>
        <v>76.510000000000005</v>
      </c>
      <c r="X1420" s="32" t="str">
        <f t="shared" si="502"/>
        <v>0.00</v>
      </c>
      <c r="Y1420" s="15">
        <f t="shared" si="503"/>
        <v>145.74</v>
      </c>
      <c r="Z1420" s="15">
        <f t="shared" si="504"/>
        <v>229.53</v>
      </c>
      <c r="AA1420" s="15">
        <f>IF(FreightType="Lethbridge-Stewart Freight ",ROUND(2.99+IF(N1420&gt;0.75,(N1420-0.75)*2.25,0)*S1420,2),IF(MarkupType="Supplier Markup",V1420+V1420*SupplierMarkup,"Error at finding value"))</f>
        <v>8.0500000000000007</v>
      </c>
      <c r="AB1420" s="15">
        <f t="shared" si="505"/>
        <v>0</v>
      </c>
    </row>
    <row r="1421" spans="1:28" x14ac:dyDescent="0.25">
      <c r="A1421" s="16">
        <f>OrdersTable!A1421</f>
        <v>47</v>
      </c>
      <c r="B1421" s="15" t="str">
        <f t="shared" si="485"/>
        <v>Dr</v>
      </c>
      <c r="C1421" s="15" t="str">
        <f t="shared" si="506"/>
        <v>Kaur</v>
      </c>
      <c r="D1421" s="15" t="str">
        <f t="shared" si="486"/>
        <v>Jasleen</v>
      </c>
      <c r="E1421" s="15" t="str">
        <f t="shared" si="487"/>
        <v>7 Hong Road</v>
      </c>
      <c r="F1421" s="15" t="str">
        <f t="shared" si="488"/>
        <v>Belconnen</v>
      </c>
      <c r="G1421" s="15" t="str">
        <f t="shared" si="489"/>
        <v>ACT</v>
      </c>
      <c r="H1421" s="15">
        <f t="shared" si="490"/>
        <v>2617</v>
      </c>
      <c r="I1421" s="15">
        <f t="shared" si="501"/>
        <v>1194</v>
      </c>
      <c r="J1421" s="15">
        <f>OrdersTable!B1421</f>
        <v>702</v>
      </c>
      <c r="K1421" s="15" t="str">
        <f t="shared" si="491"/>
        <v>Posters, Prints and Standees</v>
      </c>
      <c r="L1421" s="15" t="str">
        <f t="shared" si="492"/>
        <v>Doctor Who: Poster: Daleks</v>
      </c>
      <c r="M1421" s="15" t="str">
        <f t="shared" si="493"/>
        <v>-</v>
      </c>
      <c r="N1421" s="15">
        <f t="shared" si="494"/>
        <v>0.2</v>
      </c>
      <c r="O1421" s="15" t="str">
        <f t="shared" si="495"/>
        <v>A50</v>
      </c>
      <c r="P1421" s="15" t="str">
        <f t="shared" si="496"/>
        <v>Rassilon Ltd.</v>
      </c>
      <c r="Q1421" s="15" t="str">
        <f t="shared" si="497"/>
        <v>82 Richard Mathews Road</v>
      </c>
      <c r="R1421" s="3">
        <f>OrdersTable!C1421</f>
        <v>44662</v>
      </c>
      <c r="S1421" s="15">
        <f>OrdersTable!E1421</f>
        <v>9</v>
      </c>
      <c r="T1421" s="15">
        <f t="shared" si="498"/>
        <v>3.99</v>
      </c>
      <c r="U1421" s="15">
        <f t="shared" si="499"/>
        <v>5.46</v>
      </c>
      <c r="V1421" s="15">
        <f t="shared" si="500"/>
        <v>6.46</v>
      </c>
      <c r="W1421" s="15">
        <f>IF(MarkupType="Store Markup",ROUND(V1421+V1421*StoreMarkup,2),IF(MarkupType="Supplier Markup",V1421+V1421*SupplierMarkup,"Error at finding value"))</f>
        <v>10.17</v>
      </c>
      <c r="X1421" s="32" t="str">
        <f t="shared" si="502"/>
        <v>0.00</v>
      </c>
      <c r="Y1421" s="15">
        <f t="shared" si="503"/>
        <v>58.14</v>
      </c>
      <c r="Z1421" s="15">
        <f t="shared" si="504"/>
        <v>91.53</v>
      </c>
      <c r="AA1421" s="15">
        <f>IF(FreightType="Lethbridge-Stewart Freight ",ROUND(2.99+IF(N1421&gt;0.75,(N1421-0.75)*2.25,0)*S1421,2),IF(MarkupType="Supplier Markup",V1421+V1421*SupplierMarkup,"Error at finding value"))</f>
        <v>2.99</v>
      </c>
      <c r="AB1421" s="15">
        <f t="shared" si="505"/>
        <v>0</v>
      </c>
    </row>
    <row r="1422" spans="1:28" x14ac:dyDescent="0.25">
      <c r="A1422" s="16">
        <f>OrdersTable!A1422</f>
        <v>47</v>
      </c>
      <c r="B1422" s="15" t="str">
        <f t="shared" si="485"/>
        <v>Dr</v>
      </c>
      <c r="C1422" s="15" t="str">
        <f t="shared" si="506"/>
        <v>Kaur</v>
      </c>
      <c r="D1422" s="15" t="str">
        <f t="shared" si="486"/>
        <v>Jasleen</v>
      </c>
      <c r="E1422" s="15" t="str">
        <f t="shared" si="487"/>
        <v>7 Hong Road</v>
      </c>
      <c r="F1422" s="15" t="str">
        <f t="shared" si="488"/>
        <v>Belconnen</v>
      </c>
      <c r="G1422" s="15" t="str">
        <f t="shared" si="489"/>
        <v>ACT</v>
      </c>
      <c r="H1422" s="15">
        <f t="shared" si="490"/>
        <v>2617</v>
      </c>
      <c r="I1422" s="15">
        <f t="shared" si="501"/>
        <v>1194</v>
      </c>
      <c r="J1422" s="15">
        <f>OrdersTable!B1422</f>
        <v>787</v>
      </c>
      <c r="K1422" s="15" t="str">
        <f t="shared" si="491"/>
        <v>Statues and Busts</v>
      </c>
      <c r="L1422" s="15" t="str">
        <f t="shared" si="492"/>
        <v>Doctor Who: Masterpiece Collection Maxi Bust: 1st Doctor</v>
      </c>
      <c r="M1422" s="15" t="str">
        <f t="shared" si="493"/>
        <v>-</v>
      </c>
      <c r="N1422" s="15">
        <f t="shared" si="494"/>
        <v>2.5</v>
      </c>
      <c r="O1422" s="15" t="str">
        <f t="shared" si="495"/>
        <v>A10</v>
      </c>
      <c r="P1422" s="15" t="str">
        <f t="shared" si="496"/>
        <v>Gallifrey International</v>
      </c>
      <c r="Q1422" s="15" t="str">
        <f t="shared" si="497"/>
        <v>181 Arcadia Street</v>
      </c>
      <c r="R1422" s="3">
        <f>OrdersTable!C1422</f>
        <v>44662</v>
      </c>
      <c r="S1422" s="15">
        <f>OrdersTable!E1422</f>
        <v>10</v>
      </c>
      <c r="T1422" s="15">
        <f t="shared" si="498"/>
        <v>49.99</v>
      </c>
      <c r="U1422" s="15">
        <f t="shared" si="499"/>
        <v>68.290000000000006</v>
      </c>
      <c r="V1422" s="15">
        <f t="shared" si="500"/>
        <v>80.98</v>
      </c>
      <c r="W1422" s="15">
        <f>IF(MarkupType="Store Markup",ROUND(V1422+V1422*StoreMarkup,2),IF(MarkupType="Supplier Markup",V1422+V1422*SupplierMarkup,"Error at finding value"))</f>
        <v>127.54</v>
      </c>
      <c r="X1422" s="32">
        <f t="shared" si="502"/>
        <v>9.09</v>
      </c>
      <c r="Y1422" s="15">
        <f t="shared" si="503"/>
        <v>809.8</v>
      </c>
      <c r="Z1422" s="15">
        <f t="shared" si="504"/>
        <v>1184.5</v>
      </c>
      <c r="AA1422" s="15">
        <f>IF(FreightType="Lethbridge-Stewart Freight ",ROUND(2.99+IF(N1422&gt;0.75,(N1422-0.75)*2.25,0)*S1422,2),IF(MarkupType="Supplier Markup",V1422+V1422*SupplierMarkup,"Error at finding value"))</f>
        <v>42.37</v>
      </c>
      <c r="AB1422" s="15">
        <f t="shared" si="505"/>
        <v>90.9</v>
      </c>
    </row>
    <row r="1423" spans="1:28" x14ac:dyDescent="0.25">
      <c r="A1423" s="16">
        <f>OrdersTable!A1423</f>
        <v>142</v>
      </c>
      <c r="B1423" s="15" t="str">
        <f t="shared" si="485"/>
        <v>Miss</v>
      </c>
      <c r="C1423" s="15" t="str">
        <f t="shared" si="506"/>
        <v>Western</v>
      </c>
      <c r="D1423" s="15" t="str">
        <f t="shared" si="486"/>
        <v>Lee Reuben</v>
      </c>
      <c r="E1423" s="15" t="str">
        <f t="shared" si="487"/>
        <v>14 Fields Road</v>
      </c>
      <c r="F1423" s="15" t="str">
        <f t="shared" si="488"/>
        <v>Airly</v>
      </c>
      <c r="G1423" s="15" t="str">
        <f t="shared" si="489"/>
        <v>VIC</v>
      </c>
      <c r="H1423" s="15">
        <f t="shared" si="490"/>
        <v>3851</v>
      </c>
      <c r="I1423" s="15">
        <f t="shared" si="501"/>
        <v>1583</v>
      </c>
      <c r="J1423" s="15">
        <f>OrdersTable!B1423</f>
        <v>331</v>
      </c>
      <c r="K1423" s="15" t="str">
        <f t="shared" si="491"/>
        <v>Clothing and Apparel</v>
      </c>
      <c r="L1423" s="15" t="str">
        <f t="shared" si="492"/>
        <v xml:space="preserve">Doctor Who: T-Shirts: 4th Doctor Costume </v>
      </c>
      <c r="M1423" s="15" t="str">
        <f t="shared" si="493"/>
        <v>L</v>
      </c>
      <c r="N1423" s="15">
        <f t="shared" si="494"/>
        <v>0.8</v>
      </c>
      <c r="O1423" s="15" t="str">
        <f t="shared" si="495"/>
        <v>A20</v>
      </c>
      <c r="P1423" s="15" t="str">
        <f t="shared" si="496"/>
        <v>Morbius Inc.</v>
      </c>
      <c r="Q1423" s="15" t="str">
        <f t="shared" si="497"/>
        <v>56 Michael Spice Hwy</v>
      </c>
      <c r="R1423" s="3">
        <f>OrdersTable!C1423</f>
        <v>44662</v>
      </c>
      <c r="S1423" s="15">
        <f>OrdersTable!E1423</f>
        <v>6</v>
      </c>
      <c r="T1423" s="15">
        <f t="shared" si="498"/>
        <v>15.99</v>
      </c>
      <c r="U1423" s="15">
        <f t="shared" si="499"/>
        <v>22.08</v>
      </c>
      <c r="V1423" s="15">
        <f t="shared" si="500"/>
        <v>25.9</v>
      </c>
      <c r="W1423" s="15">
        <f>IF(MarkupType="Store Markup",ROUND(V1423+V1423*StoreMarkup,2),IF(MarkupType="Supplier Markup",V1423+V1423*SupplierMarkup,"Error at finding value"))</f>
        <v>40.79</v>
      </c>
      <c r="X1423" s="32" t="str">
        <f t="shared" si="502"/>
        <v>0.00</v>
      </c>
      <c r="Y1423" s="15">
        <f t="shared" si="503"/>
        <v>155.4</v>
      </c>
      <c r="Z1423" s="15">
        <f t="shared" si="504"/>
        <v>244.74</v>
      </c>
      <c r="AA1423" s="15">
        <f>IF(FreightType="Lethbridge-Stewart Freight ",ROUND(2.99+IF(N1423&gt;0.75,(N1423-0.75)*2.25,0)*S1423,2),IF(MarkupType="Supplier Markup",V1423+V1423*SupplierMarkup,"Error at finding value"))</f>
        <v>3.67</v>
      </c>
      <c r="AB1423" s="15">
        <f t="shared" si="505"/>
        <v>0</v>
      </c>
    </row>
    <row r="1424" spans="1:28" x14ac:dyDescent="0.25">
      <c r="A1424" s="16">
        <f>OrdersTable!A1424</f>
        <v>190</v>
      </c>
      <c r="B1424" s="15" t="str">
        <f t="shared" si="485"/>
        <v>Mr</v>
      </c>
      <c r="C1424" s="15" t="str">
        <f t="shared" si="506"/>
        <v>Azar</v>
      </c>
      <c r="D1424" s="15" t="str">
        <f t="shared" si="486"/>
        <v>Hector Antonio</v>
      </c>
      <c r="E1424" s="15" t="str">
        <f t="shared" si="487"/>
        <v>38 Hope Avenue</v>
      </c>
      <c r="F1424" s="15" t="str">
        <f t="shared" si="488"/>
        <v>Glenfern</v>
      </c>
      <c r="G1424" s="15" t="str">
        <f t="shared" si="489"/>
        <v>QLD</v>
      </c>
      <c r="H1424" s="15">
        <f t="shared" si="490"/>
        <v>4515</v>
      </c>
      <c r="I1424" s="15">
        <f t="shared" si="501"/>
        <v>128</v>
      </c>
      <c r="J1424" s="15">
        <f>OrdersTable!B1424</f>
        <v>652</v>
      </c>
      <c r="K1424" s="15" t="str">
        <f t="shared" si="491"/>
        <v>Mugs</v>
      </c>
      <c r="L1424" s="15" t="str">
        <f t="shared" si="492"/>
        <v>Doctor Who: Mug: Dalek 2D</v>
      </c>
      <c r="M1424" s="15" t="str">
        <f t="shared" si="493"/>
        <v>-</v>
      </c>
      <c r="N1424" s="15">
        <f t="shared" si="494"/>
        <v>0.35</v>
      </c>
      <c r="O1424" s="15" t="str">
        <f t="shared" si="495"/>
        <v>A10</v>
      </c>
      <c r="P1424" s="15" t="str">
        <f t="shared" si="496"/>
        <v>Gallifrey International</v>
      </c>
      <c r="Q1424" s="15" t="str">
        <f t="shared" si="497"/>
        <v>181 Arcadia Street</v>
      </c>
      <c r="R1424" s="3">
        <f>OrdersTable!C1424</f>
        <v>44662</v>
      </c>
      <c r="S1424" s="15">
        <f>OrdersTable!E1424</f>
        <v>1</v>
      </c>
      <c r="T1424" s="15">
        <f t="shared" si="498"/>
        <v>6.99</v>
      </c>
      <c r="U1424" s="15">
        <f t="shared" si="499"/>
        <v>9.8800000000000008</v>
      </c>
      <c r="V1424" s="15">
        <f t="shared" si="500"/>
        <v>11.32</v>
      </c>
      <c r="W1424" s="15">
        <f>IF(MarkupType="Store Markup",ROUND(V1424+V1424*StoreMarkup,2),IF(MarkupType="Supplier Markup",V1424+V1424*SupplierMarkup,"Error at finding value"))</f>
        <v>17.829999999999998</v>
      </c>
      <c r="X1424" s="32" t="str">
        <f t="shared" si="502"/>
        <v>0.00</v>
      </c>
      <c r="Y1424" s="15">
        <f t="shared" si="503"/>
        <v>11.32</v>
      </c>
      <c r="Z1424" s="15">
        <f t="shared" si="504"/>
        <v>17.829999999999998</v>
      </c>
      <c r="AA1424" s="15">
        <f>IF(FreightType="Lethbridge-Stewart Freight ",ROUND(2.99+IF(N1424&gt;0.75,(N1424-0.75)*2.25,0)*S1424,2),IF(MarkupType="Supplier Markup",V1424+V1424*SupplierMarkup,"Error at finding value"))</f>
        <v>2.99</v>
      </c>
      <c r="AB1424" s="15">
        <f t="shared" si="505"/>
        <v>0</v>
      </c>
    </row>
    <row r="1425" spans="1:28" x14ac:dyDescent="0.25">
      <c r="A1425" s="16">
        <f>OrdersTable!A1425</f>
        <v>254</v>
      </c>
      <c r="B1425" s="15" t="str">
        <f t="shared" si="485"/>
        <v>Miss</v>
      </c>
      <c r="C1425" s="15" t="str">
        <f t="shared" si="506"/>
        <v>Hoolihan</v>
      </c>
      <c r="D1425" s="15" t="str">
        <f t="shared" si="486"/>
        <v>Crystal Claire Grace</v>
      </c>
      <c r="E1425" s="15" t="str">
        <f t="shared" si="487"/>
        <v>7 Van Riet Avenue</v>
      </c>
      <c r="F1425" s="15" t="str">
        <f t="shared" si="488"/>
        <v>Aberfoyle</v>
      </c>
      <c r="G1425" s="15" t="str">
        <f t="shared" si="489"/>
        <v>NSW</v>
      </c>
      <c r="H1425" s="15">
        <f t="shared" si="490"/>
        <v>2350</v>
      </c>
      <c r="I1425" s="15">
        <f t="shared" si="501"/>
        <v>363</v>
      </c>
      <c r="J1425" s="15">
        <f>OrdersTable!B1425</f>
        <v>201</v>
      </c>
      <c r="K1425" s="15" t="str">
        <f t="shared" si="491"/>
        <v>Clothing and Apparel</v>
      </c>
      <c r="L1425" s="15" t="str">
        <f t="shared" si="492"/>
        <v>Doctor Who: Dalek Beanie</v>
      </c>
      <c r="M1425" s="15" t="str">
        <f t="shared" si="493"/>
        <v>-</v>
      </c>
      <c r="N1425" s="15">
        <f t="shared" si="494"/>
        <v>1.1399999999999999</v>
      </c>
      <c r="O1425" s="15" t="str">
        <f t="shared" si="495"/>
        <v>A50</v>
      </c>
      <c r="P1425" s="15" t="str">
        <f t="shared" si="496"/>
        <v>Rassilon Ltd.</v>
      </c>
      <c r="Q1425" s="15" t="str">
        <f t="shared" si="497"/>
        <v>82 Richard Mathews Road</v>
      </c>
      <c r="R1425" s="3">
        <f>OrdersTable!C1425</f>
        <v>44662</v>
      </c>
      <c r="S1425" s="15">
        <f>OrdersTable!E1425</f>
        <v>2</v>
      </c>
      <c r="T1425" s="15">
        <f t="shared" si="498"/>
        <v>22.75</v>
      </c>
      <c r="U1425" s="15">
        <f t="shared" si="499"/>
        <v>31.26</v>
      </c>
      <c r="V1425" s="15">
        <f t="shared" si="500"/>
        <v>36.86</v>
      </c>
      <c r="W1425" s="15">
        <f>IF(MarkupType="Store Markup",ROUND(V1425+V1425*StoreMarkup,2),IF(MarkupType="Supplier Markup",V1425+V1425*SupplierMarkup,"Error at finding value"))</f>
        <v>58.05</v>
      </c>
      <c r="X1425" s="32" t="str">
        <f t="shared" si="502"/>
        <v>0.00</v>
      </c>
      <c r="Y1425" s="15">
        <f t="shared" si="503"/>
        <v>73.72</v>
      </c>
      <c r="Z1425" s="15">
        <f t="shared" si="504"/>
        <v>116.1</v>
      </c>
      <c r="AA1425" s="15">
        <f>IF(FreightType="Lethbridge-Stewart Freight ",ROUND(2.99+IF(N1425&gt;0.75,(N1425-0.75)*2.25,0)*S1425,2),IF(MarkupType="Supplier Markup",V1425+V1425*SupplierMarkup,"Error at finding value"))</f>
        <v>4.75</v>
      </c>
      <c r="AB1425" s="15">
        <f t="shared" si="505"/>
        <v>0</v>
      </c>
    </row>
    <row r="1426" spans="1:28" x14ac:dyDescent="0.25">
      <c r="A1426" s="16">
        <f>OrdersTable!A1426</f>
        <v>331</v>
      </c>
      <c r="B1426" s="15" t="str">
        <f t="shared" si="485"/>
        <v>Mrs</v>
      </c>
      <c r="C1426" s="15" t="str">
        <f t="shared" si="506"/>
        <v>McKenzie</v>
      </c>
      <c r="D1426" s="15" t="str">
        <f t="shared" si="486"/>
        <v>Melinda Kate</v>
      </c>
      <c r="E1426" s="15" t="str">
        <f t="shared" si="487"/>
        <v>49 McKay Way</v>
      </c>
      <c r="F1426" s="15" t="str">
        <f t="shared" si="488"/>
        <v>Black Hills</v>
      </c>
      <c r="G1426" s="15" t="str">
        <f t="shared" si="489"/>
        <v>TAS</v>
      </c>
      <c r="H1426" s="15">
        <f t="shared" si="490"/>
        <v>7140</v>
      </c>
      <c r="I1426" s="15">
        <f t="shared" si="501"/>
        <v>2191</v>
      </c>
      <c r="J1426" s="15">
        <f>OrdersTable!B1426</f>
        <v>196</v>
      </c>
      <c r="K1426" s="15" t="str">
        <f t="shared" si="491"/>
        <v>Clothing and Apparel</v>
      </c>
      <c r="L1426" s="15" t="str">
        <f t="shared" si="492"/>
        <v>Doctor Who: 12 Foot Tom Baker Scarf</v>
      </c>
      <c r="M1426" s="15" t="str">
        <f t="shared" si="493"/>
        <v>-</v>
      </c>
      <c r="N1426" s="15">
        <f t="shared" si="494"/>
        <v>2.5</v>
      </c>
      <c r="O1426" s="15" t="str">
        <f t="shared" si="495"/>
        <v>A40</v>
      </c>
      <c r="P1426" s="15" t="str">
        <f t="shared" si="496"/>
        <v>Romana Imports</v>
      </c>
      <c r="Q1426" s="15" t="str">
        <f t="shared" si="497"/>
        <v>17 Lalla Ward Road</v>
      </c>
      <c r="R1426" s="3">
        <f>OrdersTable!C1426</f>
        <v>44662</v>
      </c>
      <c r="S1426" s="15">
        <f>OrdersTable!E1426</f>
        <v>2</v>
      </c>
      <c r="T1426" s="15">
        <f t="shared" si="498"/>
        <v>49.99</v>
      </c>
      <c r="U1426" s="15">
        <f t="shared" si="499"/>
        <v>68.28</v>
      </c>
      <c r="V1426" s="15">
        <f t="shared" si="500"/>
        <v>80.98</v>
      </c>
      <c r="W1426" s="15">
        <f>IF(MarkupType="Store Markup",ROUND(V1426+V1426*StoreMarkup,2),IF(MarkupType="Supplier Markup",V1426+V1426*SupplierMarkup,"Error at finding value"))</f>
        <v>127.54</v>
      </c>
      <c r="X1426" s="32" t="str">
        <f t="shared" si="502"/>
        <v>0.00</v>
      </c>
      <c r="Y1426" s="15">
        <f t="shared" si="503"/>
        <v>161.96</v>
      </c>
      <c r="Z1426" s="15">
        <f t="shared" si="504"/>
        <v>255.08</v>
      </c>
      <c r="AA1426" s="15">
        <f>IF(FreightType="Lethbridge-Stewart Freight ",ROUND(2.99+IF(N1426&gt;0.75,(N1426-0.75)*2.25,0)*S1426,2),IF(MarkupType="Supplier Markup",V1426+V1426*SupplierMarkup,"Error at finding value"))</f>
        <v>10.87</v>
      </c>
      <c r="AB1426" s="15">
        <f t="shared" si="505"/>
        <v>0</v>
      </c>
    </row>
    <row r="1427" spans="1:28" x14ac:dyDescent="0.25">
      <c r="A1427" s="16">
        <f>OrdersTable!A1427</f>
        <v>333</v>
      </c>
      <c r="B1427" s="15" t="str">
        <f t="shared" si="485"/>
        <v>Mr</v>
      </c>
      <c r="C1427" s="15" t="str">
        <f t="shared" si="506"/>
        <v>Martin</v>
      </c>
      <c r="D1427" s="15" t="str">
        <f t="shared" si="486"/>
        <v>Damien Roger</v>
      </c>
      <c r="E1427" s="15" t="str">
        <f t="shared" si="487"/>
        <v>23 Quennell Way</v>
      </c>
      <c r="F1427" s="15" t="str">
        <f t="shared" si="488"/>
        <v>Aberfoyle</v>
      </c>
      <c r="G1427" s="15" t="str">
        <f t="shared" si="489"/>
        <v>NSW</v>
      </c>
      <c r="H1427" s="15">
        <f t="shared" si="490"/>
        <v>2350</v>
      </c>
      <c r="I1427" s="15">
        <f t="shared" si="501"/>
        <v>363</v>
      </c>
      <c r="J1427" s="15">
        <f>OrdersTable!B1427</f>
        <v>752</v>
      </c>
      <c r="K1427" s="15" t="str">
        <f t="shared" si="491"/>
        <v>Statues and Busts</v>
      </c>
      <c r="L1427" s="15" t="str">
        <f t="shared" si="492"/>
        <v>Doctor Who: Helmet: Cyberman Leader</v>
      </c>
      <c r="M1427" s="15" t="str">
        <f t="shared" si="493"/>
        <v>-</v>
      </c>
      <c r="N1427" s="15">
        <f t="shared" si="494"/>
        <v>2</v>
      </c>
      <c r="O1427" s="15" t="str">
        <f t="shared" si="495"/>
        <v>A30</v>
      </c>
      <c r="P1427" s="15" t="str">
        <f t="shared" si="496"/>
        <v>Chesterton Enterprises</v>
      </c>
      <c r="Q1427" s="15" t="str">
        <f t="shared" si="497"/>
        <v>41 William Russell Road</v>
      </c>
      <c r="R1427" s="3">
        <f>OrdersTable!C1427</f>
        <v>44662</v>
      </c>
      <c r="S1427" s="15">
        <f>OrdersTable!E1427</f>
        <v>3</v>
      </c>
      <c r="T1427" s="15">
        <f t="shared" si="498"/>
        <v>39.99</v>
      </c>
      <c r="U1427" s="15">
        <f t="shared" si="499"/>
        <v>54.85</v>
      </c>
      <c r="V1427" s="15">
        <f t="shared" si="500"/>
        <v>64.78</v>
      </c>
      <c r="W1427" s="15">
        <f>IF(MarkupType="Store Markup",ROUND(V1427+V1427*StoreMarkup,2),IF(MarkupType="Supplier Markup",V1427+V1427*SupplierMarkup,"Error at finding value"))</f>
        <v>102.03</v>
      </c>
      <c r="X1427" s="32">
        <f t="shared" si="502"/>
        <v>7.27</v>
      </c>
      <c r="Y1427" s="15">
        <f t="shared" si="503"/>
        <v>194.34</v>
      </c>
      <c r="Z1427" s="15">
        <f t="shared" si="504"/>
        <v>284.27999999999997</v>
      </c>
      <c r="AA1427" s="15">
        <f>IF(FreightType="Lethbridge-Stewart Freight ",ROUND(2.99+IF(N1427&gt;0.75,(N1427-0.75)*2.25,0)*S1427,2),IF(MarkupType="Supplier Markup",V1427+V1427*SupplierMarkup,"Error at finding value"))</f>
        <v>11.43</v>
      </c>
      <c r="AB1427" s="15">
        <f t="shared" si="505"/>
        <v>21.81</v>
      </c>
    </row>
    <row r="1428" spans="1:28" x14ac:dyDescent="0.25">
      <c r="A1428" s="16">
        <f>OrdersTable!A1428</f>
        <v>334</v>
      </c>
      <c r="B1428" s="15" t="str">
        <f t="shared" si="485"/>
        <v>Mrs</v>
      </c>
      <c r="C1428" s="15" t="str">
        <f t="shared" si="506"/>
        <v>Wilson</v>
      </c>
      <c r="D1428" s="15" t="str">
        <f t="shared" si="486"/>
        <v>Hayley Lauren</v>
      </c>
      <c r="E1428" s="15" t="str">
        <f t="shared" si="487"/>
        <v>3 Ashley Crescent</v>
      </c>
      <c r="F1428" s="15" t="str">
        <f t="shared" si="488"/>
        <v>Black Hills</v>
      </c>
      <c r="G1428" s="15" t="str">
        <f t="shared" si="489"/>
        <v>TAS</v>
      </c>
      <c r="H1428" s="15">
        <f t="shared" si="490"/>
        <v>7140</v>
      </c>
      <c r="I1428" s="15">
        <f t="shared" si="501"/>
        <v>2191</v>
      </c>
      <c r="J1428" s="15">
        <f>OrdersTable!B1428</f>
        <v>792</v>
      </c>
      <c r="K1428" s="15" t="str">
        <f t="shared" si="491"/>
        <v>Statues and Busts</v>
      </c>
      <c r="L1428" s="15" t="str">
        <f t="shared" si="492"/>
        <v>Doctor Who: Masterpiece Collection Maxi Bust: 3rd Doctor</v>
      </c>
      <c r="M1428" s="15" t="str">
        <f t="shared" si="493"/>
        <v>-</v>
      </c>
      <c r="N1428" s="15">
        <f t="shared" si="494"/>
        <v>2.5</v>
      </c>
      <c r="O1428" s="15" t="str">
        <f t="shared" si="495"/>
        <v>A20</v>
      </c>
      <c r="P1428" s="15" t="str">
        <f t="shared" si="496"/>
        <v>Morbius Inc.</v>
      </c>
      <c r="Q1428" s="15" t="str">
        <f t="shared" si="497"/>
        <v>56 Michael Spice Hwy</v>
      </c>
      <c r="R1428" s="3">
        <f>OrdersTable!C1428</f>
        <v>44662</v>
      </c>
      <c r="S1428" s="15">
        <f>OrdersTable!E1428</f>
        <v>6</v>
      </c>
      <c r="T1428" s="15">
        <f t="shared" si="498"/>
        <v>49.99</v>
      </c>
      <c r="U1428" s="15">
        <f t="shared" si="499"/>
        <v>68.39</v>
      </c>
      <c r="V1428" s="15">
        <f t="shared" si="500"/>
        <v>80.98</v>
      </c>
      <c r="W1428" s="15">
        <f>IF(MarkupType="Store Markup",ROUND(V1428+V1428*StoreMarkup,2),IF(MarkupType="Supplier Markup",V1428+V1428*SupplierMarkup,"Error at finding value"))</f>
        <v>127.54</v>
      </c>
      <c r="X1428" s="32">
        <f t="shared" si="502"/>
        <v>9.09</v>
      </c>
      <c r="Y1428" s="15">
        <f t="shared" si="503"/>
        <v>485.88</v>
      </c>
      <c r="Z1428" s="15">
        <f t="shared" si="504"/>
        <v>710.7</v>
      </c>
      <c r="AA1428" s="15">
        <f>IF(FreightType="Lethbridge-Stewart Freight ",ROUND(2.99+IF(N1428&gt;0.75,(N1428-0.75)*2.25,0)*S1428,2),IF(MarkupType="Supplier Markup",V1428+V1428*SupplierMarkup,"Error at finding value"))</f>
        <v>26.62</v>
      </c>
      <c r="AB1428" s="15">
        <f t="shared" si="505"/>
        <v>54.54</v>
      </c>
    </row>
    <row r="1429" spans="1:28" x14ac:dyDescent="0.25">
      <c r="A1429" s="16">
        <f>OrdersTable!A1429</f>
        <v>360</v>
      </c>
      <c r="B1429" s="15" t="str">
        <f t="shared" si="485"/>
        <v>Ms</v>
      </c>
      <c r="C1429" s="15" t="str">
        <f t="shared" si="506"/>
        <v>Bobonica</v>
      </c>
      <c r="D1429" s="15" t="str">
        <f t="shared" si="486"/>
        <v>Claudia</v>
      </c>
      <c r="E1429" s="15" t="str">
        <f t="shared" si="487"/>
        <v>47 Klein Way</v>
      </c>
      <c r="F1429" s="15" t="str">
        <f t="shared" si="488"/>
        <v>Avon Plains</v>
      </c>
      <c r="G1429" s="15" t="str">
        <f t="shared" si="489"/>
        <v>VIC</v>
      </c>
      <c r="H1429" s="15">
        <f t="shared" si="490"/>
        <v>3477</v>
      </c>
      <c r="I1429" s="15">
        <f t="shared" si="501"/>
        <v>1565</v>
      </c>
      <c r="J1429" s="15">
        <f>OrdersTable!B1429</f>
        <v>702</v>
      </c>
      <c r="K1429" s="15" t="str">
        <f t="shared" si="491"/>
        <v>Posters, Prints and Standees</v>
      </c>
      <c r="L1429" s="15" t="str">
        <f t="shared" si="492"/>
        <v>Doctor Who: Poster: Daleks</v>
      </c>
      <c r="M1429" s="15" t="str">
        <f t="shared" si="493"/>
        <v>-</v>
      </c>
      <c r="N1429" s="15">
        <f t="shared" si="494"/>
        <v>0.2</v>
      </c>
      <c r="O1429" s="15" t="str">
        <f t="shared" si="495"/>
        <v>A50</v>
      </c>
      <c r="P1429" s="15" t="str">
        <f t="shared" si="496"/>
        <v>Rassilon Ltd.</v>
      </c>
      <c r="Q1429" s="15" t="str">
        <f t="shared" si="497"/>
        <v>82 Richard Mathews Road</v>
      </c>
      <c r="R1429" s="3">
        <f>OrdersTable!C1429</f>
        <v>44662</v>
      </c>
      <c r="S1429" s="15">
        <f>OrdersTable!E1429</f>
        <v>1</v>
      </c>
      <c r="T1429" s="15">
        <f t="shared" si="498"/>
        <v>3.99</v>
      </c>
      <c r="U1429" s="15">
        <f t="shared" si="499"/>
        <v>5.46</v>
      </c>
      <c r="V1429" s="15">
        <f t="shared" si="500"/>
        <v>6.46</v>
      </c>
      <c r="W1429" s="15">
        <f>IF(MarkupType="Store Markup",ROUND(V1429+V1429*StoreMarkup,2),IF(MarkupType="Supplier Markup",V1429+V1429*SupplierMarkup,"Error at finding value"))</f>
        <v>10.17</v>
      </c>
      <c r="X1429" s="32" t="str">
        <f t="shared" si="502"/>
        <v>0.00</v>
      </c>
      <c r="Y1429" s="15">
        <f t="shared" si="503"/>
        <v>6.46</v>
      </c>
      <c r="Z1429" s="15">
        <f t="shared" si="504"/>
        <v>10.17</v>
      </c>
      <c r="AA1429" s="15">
        <f>IF(FreightType="Lethbridge-Stewart Freight ",ROUND(2.99+IF(N1429&gt;0.75,(N1429-0.75)*2.25,0)*S1429,2),IF(MarkupType="Supplier Markup",V1429+V1429*SupplierMarkup,"Error at finding value"))</f>
        <v>2.99</v>
      </c>
      <c r="AB1429" s="15">
        <f t="shared" si="505"/>
        <v>0</v>
      </c>
    </row>
    <row r="1430" spans="1:28" x14ac:dyDescent="0.25">
      <c r="A1430" s="16">
        <f>OrdersTable!A1430</f>
        <v>496</v>
      </c>
      <c r="B1430" s="15" t="str">
        <f t="shared" si="485"/>
        <v>Dr</v>
      </c>
      <c r="C1430" s="15" t="str">
        <f t="shared" si="506"/>
        <v>Johnston</v>
      </c>
      <c r="D1430" s="15" t="str">
        <f t="shared" si="486"/>
        <v>Karrina</v>
      </c>
      <c r="E1430" s="15" t="str">
        <f t="shared" si="487"/>
        <v>11 Bishop Drive</v>
      </c>
      <c r="F1430" s="15" t="str">
        <f t="shared" si="488"/>
        <v>Belford</v>
      </c>
      <c r="G1430" s="15" t="str">
        <f t="shared" si="489"/>
        <v>NSW</v>
      </c>
      <c r="H1430" s="15">
        <f t="shared" si="490"/>
        <v>2335</v>
      </c>
      <c r="I1430" s="15">
        <f t="shared" si="501"/>
        <v>716</v>
      </c>
      <c r="J1430" s="15">
        <f>OrdersTable!B1430</f>
        <v>683</v>
      </c>
      <c r="K1430" s="15" t="str">
        <f t="shared" si="491"/>
        <v>Mugs</v>
      </c>
      <c r="L1430" s="15" t="str">
        <f t="shared" si="492"/>
        <v>Doctor Who: Mug: The Tenth Doctor</v>
      </c>
      <c r="M1430" s="15" t="str">
        <f t="shared" si="493"/>
        <v>-</v>
      </c>
      <c r="N1430" s="15">
        <f t="shared" si="494"/>
        <v>0.45</v>
      </c>
      <c r="O1430" s="15" t="str">
        <f t="shared" si="495"/>
        <v>A20</v>
      </c>
      <c r="P1430" s="15" t="str">
        <f t="shared" si="496"/>
        <v>Morbius Inc.</v>
      </c>
      <c r="Q1430" s="15" t="str">
        <f t="shared" si="497"/>
        <v>56 Michael Spice Hwy</v>
      </c>
      <c r="R1430" s="3">
        <f>OrdersTable!C1430</f>
        <v>44662</v>
      </c>
      <c r="S1430" s="15">
        <f>OrdersTable!E1430</f>
        <v>2</v>
      </c>
      <c r="T1430" s="15">
        <f t="shared" si="498"/>
        <v>8.99</v>
      </c>
      <c r="U1430" s="15">
        <f t="shared" si="499"/>
        <v>12.54</v>
      </c>
      <c r="V1430" s="15">
        <f t="shared" si="500"/>
        <v>14.56</v>
      </c>
      <c r="W1430" s="15">
        <f>IF(MarkupType="Store Markup",ROUND(V1430+V1430*StoreMarkup,2),IF(MarkupType="Supplier Markup",V1430+V1430*SupplierMarkup,"Error at finding value"))</f>
        <v>22.93</v>
      </c>
      <c r="X1430" s="32" t="str">
        <f t="shared" si="502"/>
        <v>0.00</v>
      </c>
      <c r="Y1430" s="15">
        <f t="shared" si="503"/>
        <v>29.12</v>
      </c>
      <c r="Z1430" s="15">
        <f t="shared" si="504"/>
        <v>45.86</v>
      </c>
      <c r="AA1430" s="15">
        <f>IF(FreightType="Lethbridge-Stewart Freight ",ROUND(2.99+IF(N1430&gt;0.75,(N1430-0.75)*2.25,0)*S1430,2),IF(MarkupType="Supplier Markup",V1430+V1430*SupplierMarkup,"Error at finding value"))</f>
        <v>2.99</v>
      </c>
      <c r="AB1430" s="15">
        <f t="shared" si="505"/>
        <v>0</v>
      </c>
    </row>
    <row r="1431" spans="1:28" x14ac:dyDescent="0.25">
      <c r="A1431" s="16">
        <f>OrdersTable!A1431</f>
        <v>544</v>
      </c>
      <c r="B1431" s="15" t="str">
        <f t="shared" si="485"/>
        <v>Mr</v>
      </c>
      <c r="C1431" s="15" t="str">
        <f t="shared" si="506"/>
        <v>Sullivan</v>
      </c>
      <c r="D1431" s="15" t="str">
        <f t="shared" si="486"/>
        <v>Lawrence Bernard</v>
      </c>
      <c r="E1431" s="15" t="str">
        <f t="shared" si="487"/>
        <v>11 Haydon Boulevard</v>
      </c>
      <c r="F1431" s="15" t="str">
        <f t="shared" si="488"/>
        <v>Breakwater</v>
      </c>
      <c r="G1431" s="15" t="str">
        <f t="shared" si="489"/>
        <v>VIC</v>
      </c>
      <c r="H1431" s="15">
        <f t="shared" si="490"/>
        <v>3219</v>
      </c>
      <c r="I1431" s="15">
        <f t="shared" si="501"/>
        <v>1596</v>
      </c>
      <c r="J1431" s="15">
        <f>OrdersTable!B1431</f>
        <v>710</v>
      </c>
      <c r="K1431" s="15" t="str">
        <f t="shared" si="491"/>
        <v>Posters, Prints and Standees</v>
      </c>
      <c r="L1431" s="15" t="str">
        <f t="shared" si="492"/>
        <v>Doctor Who: Poster: Regenerate</v>
      </c>
      <c r="M1431" s="15" t="str">
        <f t="shared" si="493"/>
        <v>-</v>
      </c>
      <c r="N1431" s="15">
        <f t="shared" si="494"/>
        <v>0.2</v>
      </c>
      <c r="O1431" s="15" t="str">
        <f t="shared" si="495"/>
        <v>A40</v>
      </c>
      <c r="P1431" s="15" t="str">
        <f t="shared" si="496"/>
        <v>Romana Imports</v>
      </c>
      <c r="Q1431" s="15" t="str">
        <f t="shared" si="497"/>
        <v>17 Lalla Ward Road</v>
      </c>
      <c r="R1431" s="3">
        <f>OrdersTable!C1431</f>
        <v>44662</v>
      </c>
      <c r="S1431" s="15">
        <f>OrdersTable!E1431</f>
        <v>1</v>
      </c>
      <c r="T1431" s="15">
        <f t="shared" si="498"/>
        <v>3.99</v>
      </c>
      <c r="U1431" s="15">
        <f t="shared" si="499"/>
        <v>5.5</v>
      </c>
      <c r="V1431" s="15">
        <f t="shared" si="500"/>
        <v>6.46</v>
      </c>
      <c r="W1431" s="15">
        <f>IF(MarkupType="Store Markup",ROUND(V1431+V1431*StoreMarkup,2),IF(MarkupType="Supplier Markup",V1431+V1431*SupplierMarkup,"Error at finding value"))</f>
        <v>10.17</v>
      </c>
      <c r="X1431" s="32" t="str">
        <f t="shared" si="502"/>
        <v>0.00</v>
      </c>
      <c r="Y1431" s="15">
        <f t="shared" si="503"/>
        <v>6.46</v>
      </c>
      <c r="Z1431" s="15">
        <f t="shared" si="504"/>
        <v>10.17</v>
      </c>
      <c r="AA1431" s="15">
        <f>IF(FreightType="Lethbridge-Stewart Freight ",ROUND(2.99+IF(N1431&gt;0.75,(N1431-0.75)*2.25,0)*S1431,2),IF(MarkupType="Supplier Markup",V1431+V1431*SupplierMarkup,"Error at finding value"))</f>
        <v>2.99</v>
      </c>
      <c r="AB1431" s="15">
        <f t="shared" si="505"/>
        <v>0</v>
      </c>
    </row>
    <row r="1432" spans="1:28" x14ac:dyDescent="0.25">
      <c r="A1432" s="16">
        <f>OrdersTable!A1432</f>
        <v>594</v>
      </c>
      <c r="B1432" s="15" t="str">
        <f t="shared" si="485"/>
        <v>Mrs</v>
      </c>
      <c r="C1432" s="15" t="str">
        <f t="shared" si="506"/>
        <v>Entriken</v>
      </c>
      <c r="D1432" s="15" t="str">
        <f t="shared" si="486"/>
        <v>Gwenda Dawn</v>
      </c>
      <c r="E1432" s="15" t="str">
        <f t="shared" si="487"/>
        <v>8 Miljkovic Drive</v>
      </c>
      <c r="F1432" s="15" t="str">
        <f t="shared" si="488"/>
        <v>Nayook</v>
      </c>
      <c r="G1432" s="15" t="str">
        <f t="shared" si="489"/>
        <v>VIC</v>
      </c>
      <c r="H1432" s="15">
        <f t="shared" si="490"/>
        <v>3832</v>
      </c>
      <c r="I1432" s="15">
        <f t="shared" si="501"/>
        <v>1552</v>
      </c>
      <c r="J1432" s="15">
        <f>OrdersTable!B1432</f>
        <v>213</v>
      </c>
      <c r="K1432" s="15" t="str">
        <f t="shared" si="491"/>
        <v>Clothing and Apparel</v>
      </c>
      <c r="L1432" s="15" t="str">
        <f t="shared" si="492"/>
        <v>Doctor Who: Fez and Bow Tie</v>
      </c>
      <c r="M1432" s="15" t="str">
        <f t="shared" si="493"/>
        <v>-</v>
      </c>
      <c r="N1432" s="15">
        <f t="shared" si="494"/>
        <v>0.97499999999999998</v>
      </c>
      <c r="O1432" s="15" t="str">
        <f t="shared" si="495"/>
        <v>A50</v>
      </c>
      <c r="P1432" s="15" t="str">
        <f t="shared" si="496"/>
        <v>Rassilon Ltd.</v>
      </c>
      <c r="Q1432" s="15" t="str">
        <f t="shared" si="497"/>
        <v>82 Richard Mathews Road</v>
      </c>
      <c r="R1432" s="3">
        <f>OrdersTable!C1432</f>
        <v>44662</v>
      </c>
      <c r="S1432" s="15">
        <f>OrdersTable!E1432</f>
        <v>2</v>
      </c>
      <c r="T1432" s="15">
        <f t="shared" si="498"/>
        <v>19.5</v>
      </c>
      <c r="U1432" s="15">
        <f t="shared" si="499"/>
        <v>26.88</v>
      </c>
      <c r="V1432" s="15">
        <f t="shared" si="500"/>
        <v>31.59</v>
      </c>
      <c r="W1432" s="15">
        <f>IF(MarkupType="Store Markup",ROUND(V1432+V1432*StoreMarkup,2),IF(MarkupType="Supplier Markup",V1432+V1432*SupplierMarkup,"Error at finding value"))</f>
        <v>49.75</v>
      </c>
      <c r="X1432" s="32" t="str">
        <f t="shared" si="502"/>
        <v>0.00</v>
      </c>
      <c r="Y1432" s="15">
        <f t="shared" si="503"/>
        <v>63.18</v>
      </c>
      <c r="Z1432" s="15">
        <f t="shared" si="504"/>
        <v>99.5</v>
      </c>
      <c r="AA1432" s="15">
        <f>IF(FreightType="Lethbridge-Stewart Freight ",ROUND(2.99+IF(N1432&gt;0.75,(N1432-0.75)*2.25,0)*S1432,2),IF(MarkupType="Supplier Markup",V1432+V1432*SupplierMarkup,"Error at finding value"))</f>
        <v>4</v>
      </c>
      <c r="AB1432" s="15">
        <f t="shared" si="505"/>
        <v>0</v>
      </c>
    </row>
    <row r="1433" spans="1:28" x14ac:dyDescent="0.25">
      <c r="A1433" s="16">
        <f>OrdersTable!A1433</f>
        <v>761</v>
      </c>
      <c r="B1433" s="15" t="str">
        <f t="shared" si="485"/>
        <v>Miss</v>
      </c>
      <c r="C1433" s="15" t="str">
        <f t="shared" si="506"/>
        <v>Randall</v>
      </c>
      <c r="D1433" s="15" t="str">
        <f t="shared" si="486"/>
        <v>Kylee</v>
      </c>
      <c r="E1433" s="15" t="str">
        <f t="shared" si="487"/>
        <v>45 Cremasco Avenue</v>
      </c>
      <c r="F1433" s="15" t="str">
        <f t="shared" si="488"/>
        <v>Breakwater</v>
      </c>
      <c r="G1433" s="15" t="str">
        <f t="shared" si="489"/>
        <v>VIC</v>
      </c>
      <c r="H1433" s="15">
        <f t="shared" si="490"/>
        <v>3219</v>
      </c>
      <c r="I1433" s="15">
        <f t="shared" si="501"/>
        <v>1596</v>
      </c>
      <c r="J1433" s="15">
        <f>OrdersTable!B1433</f>
        <v>699</v>
      </c>
      <c r="K1433" s="15" t="str">
        <f t="shared" si="491"/>
        <v>Posters, Prints and Standees</v>
      </c>
      <c r="L1433" s="15" t="str">
        <f t="shared" si="492"/>
        <v>Doctor Who: Half Sized Standee: The Master</v>
      </c>
      <c r="M1433" s="15" t="str">
        <f t="shared" si="493"/>
        <v>-</v>
      </c>
      <c r="N1433" s="15">
        <f t="shared" si="494"/>
        <v>0.5</v>
      </c>
      <c r="O1433" s="15" t="str">
        <f t="shared" si="495"/>
        <v>A20</v>
      </c>
      <c r="P1433" s="15" t="str">
        <f t="shared" si="496"/>
        <v>Morbius Inc.</v>
      </c>
      <c r="Q1433" s="15" t="str">
        <f t="shared" si="497"/>
        <v>56 Michael Spice Hwy</v>
      </c>
      <c r="R1433" s="3">
        <f>OrdersTable!C1433</f>
        <v>44662</v>
      </c>
      <c r="S1433" s="15">
        <f>OrdersTable!E1433</f>
        <v>10</v>
      </c>
      <c r="T1433" s="15">
        <f t="shared" si="498"/>
        <v>9.99</v>
      </c>
      <c r="U1433" s="15">
        <f t="shared" si="499"/>
        <v>13.79</v>
      </c>
      <c r="V1433" s="15">
        <f t="shared" si="500"/>
        <v>16.18</v>
      </c>
      <c r="W1433" s="15">
        <f>IF(MarkupType="Store Markup",ROUND(V1433+V1433*StoreMarkup,2),IF(MarkupType="Supplier Markup",V1433+V1433*SupplierMarkup,"Error at finding value"))</f>
        <v>25.48</v>
      </c>
      <c r="X1433" s="32" t="str">
        <f t="shared" si="502"/>
        <v>0.00</v>
      </c>
      <c r="Y1433" s="15">
        <f t="shared" si="503"/>
        <v>161.80000000000001</v>
      </c>
      <c r="Z1433" s="15">
        <f t="shared" si="504"/>
        <v>254.8</v>
      </c>
      <c r="AA1433" s="15">
        <f>IF(FreightType="Lethbridge-Stewart Freight ",ROUND(2.99+IF(N1433&gt;0.75,(N1433-0.75)*2.25,0)*S1433,2),IF(MarkupType="Supplier Markup",V1433+V1433*SupplierMarkup,"Error at finding value"))</f>
        <v>2.99</v>
      </c>
      <c r="AB1433" s="15">
        <f t="shared" si="505"/>
        <v>0</v>
      </c>
    </row>
    <row r="1434" spans="1:28" x14ac:dyDescent="0.25">
      <c r="A1434" s="16">
        <f>OrdersTable!A1434</f>
        <v>849</v>
      </c>
      <c r="B1434" s="15" t="str">
        <f t="shared" si="485"/>
        <v>Dr</v>
      </c>
      <c r="C1434" s="15" t="str">
        <f t="shared" si="506"/>
        <v>Blair</v>
      </c>
      <c r="D1434" s="15" t="str">
        <f t="shared" si="486"/>
        <v>Taylor Ashleigh</v>
      </c>
      <c r="E1434" s="15" t="str">
        <f t="shared" si="487"/>
        <v>42 Ward Avenue</v>
      </c>
      <c r="F1434" s="15" t="str">
        <f t="shared" si="488"/>
        <v>Airly</v>
      </c>
      <c r="G1434" s="15" t="str">
        <f t="shared" si="489"/>
        <v>VIC</v>
      </c>
      <c r="H1434" s="15">
        <f t="shared" si="490"/>
        <v>3851</v>
      </c>
      <c r="I1434" s="15">
        <f t="shared" si="501"/>
        <v>1583</v>
      </c>
      <c r="J1434" s="15">
        <f>OrdersTable!B1434</f>
        <v>752</v>
      </c>
      <c r="K1434" s="15" t="str">
        <f t="shared" si="491"/>
        <v>Statues and Busts</v>
      </c>
      <c r="L1434" s="15" t="str">
        <f t="shared" si="492"/>
        <v>Doctor Who: Helmet: Cyberman Leader</v>
      </c>
      <c r="M1434" s="15" t="str">
        <f t="shared" si="493"/>
        <v>-</v>
      </c>
      <c r="N1434" s="15">
        <f t="shared" si="494"/>
        <v>2</v>
      </c>
      <c r="O1434" s="15" t="str">
        <f t="shared" si="495"/>
        <v>A30</v>
      </c>
      <c r="P1434" s="15" t="str">
        <f t="shared" si="496"/>
        <v>Chesterton Enterprises</v>
      </c>
      <c r="Q1434" s="15" t="str">
        <f t="shared" si="497"/>
        <v>41 William Russell Road</v>
      </c>
      <c r="R1434" s="3">
        <f>OrdersTable!C1434</f>
        <v>44662</v>
      </c>
      <c r="S1434" s="15">
        <f>OrdersTable!E1434</f>
        <v>3</v>
      </c>
      <c r="T1434" s="15">
        <f t="shared" si="498"/>
        <v>39.99</v>
      </c>
      <c r="U1434" s="15">
        <f t="shared" si="499"/>
        <v>54.85</v>
      </c>
      <c r="V1434" s="15">
        <f t="shared" si="500"/>
        <v>64.78</v>
      </c>
      <c r="W1434" s="15">
        <f>IF(MarkupType="Store Markup",ROUND(V1434+V1434*StoreMarkup,2),IF(MarkupType="Supplier Markup",V1434+V1434*SupplierMarkup,"Error at finding value"))</f>
        <v>102.03</v>
      </c>
      <c r="X1434" s="32">
        <f t="shared" si="502"/>
        <v>7.27</v>
      </c>
      <c r="Y1434" s="15">
        <f t="shared" si="503"/>
        <v>194.34</v>
      </c>
      <c r="Z1434" s="15">
        <f t="shared" si="504"/>
        <v>284.27999999999997</v>
      </c>
      <c r="AA1434" s="15">
        <f>IF(FreightType="Lethbridge-Stewart Freight ",ROUND(2.99+IF(N1434&gt;0.75,(N1434-0.75)*2.25,0)*S1434,2),IF(MarkupType="Supplier Markup",V1434+V1434*SupplierMarkup,"Error at finding value"))</f>
        <v>11.43</v>
      </c>
      <c r="AB1434" s="15">
        <f t="shared" si="505"/>
        <v>21.81</v>
      </c>
    </row>
    <row r="1435" spans="1:28" x14ac:dyDescent="0.25">
      <c r="A1435" s="16">
        <f>OrdersTable!A1435</f>
        <v>961</v>
      </c>
      <c r="B1435" s="15" t="str">
        <f t="shared" si="485"/>
        <v>Ms</v>
      </c>
      <c r="C1435" s="15" t="str">
        <f t="shared" si="506"/>
        <v>Schuh</v>
      </c>
      <c r="D1435" s="15" t="str">
        <f t="shared" si="486"/>
        <v>Rebecca Anne</v>
      </c>
      <c r="E1435" s="15" t="str">
        <f t="shared" si="487"/>
        <v>48 Wilson Court</v>
      </c>
      <c r="F1435" s="15" t="str">
        <f t="shared" si="488"/>
        <v>Breakwater</v>
      </c>
      <c r="G1435" s="15" t="str">
        <f t="shared" si="489"/>
        <v>VIC</v>
      </c>
      <c r="H1435" s="15">
        <f t="shared" si="490"/>
        <v>3219</v>
      </c>
      <c r="I1435" s="15">
        <f t="shared" si="501"/>
        <v>1596</v>
      </c>
      <c r="J1435" s="15">
        <f>OrdersTable!B1435</f>
        <v>453</v>
      </c>
      <c r="K1435" s="15" t="str">
        <f t="shared" si="491"/>
        <v>Giftware</v>
      </c>
      <c r="L1435" s="15" t="str">
        <f t="shared" si="492"/>
        <v>Doctor Who: Ceramic Cookie Jar: TARDIS</v>
      </c>
      <c r="M1435" s="15" t="str">
        <f t="shared" si="493"/>
        <v>-</v>
      </c>
      <c r="N1435" s="15">
        <f t="shared" si="494"/>
        <v>1.35</v>
      </c>
      <c r="O1435" s="15" t="str">
        <f t="shared" si="495"/>
        <v>A40</v>
      </c>
      <c r="P1435" s="15" t="str">
        <f t="shared" si="496"/>
        <v>Romana Imports</v>
      </c>
      <c r="Q1435" s="15" t="str">
        <f t="shared" si="497"/>
        <v>17 Lalla Ward Road</v>
      </c>
      <c r="R1435" s="3">
        <f>OrdersTable!C1435</f>
        <v>44662</v>
      </c>
      <c r="S1435" s="15">
        <f>OrdersTable!E1435</f>
        <v>1</v>
      </c>
      <c r="T1435" s="15">
        <f t="shared" si="498"/>
        <v>26.99</v>
      </c>
      <c r="U1435" s="15">
        <f t="shared" si="499"/>
        <v>37.119999999999997</v>
      </c>
      <c r="V1435" s="15">
        <f t="shared" si="500"/>
        <v>43.72</v>
      </c>
      <c r="W1435" s="15">
        <f>IF(MarkupType="Store Markup",ROUND(V1435+V1435*StoreMarkup,2),IF(MarkupType="Supplier Markup",V1435+V1435*SupplierMarkup,"Error at finding value"))</f>
        <v>68.86</v>
      </c>
      <c r="X1435" s="32" t="str">
        <f t="shared" si="502"/>
        <v>0.00</v>
      </c>
      <c r="Y1435" s="15">
        <f t="shared" si="503"/>
        <v>43.72</v>
      </c>
      <c r="Z1435" s="15">
        <f t="shared" si="504"/>
        <v>68.86</v>
      </c>
      <c r="AA1435" s="15">
        <f>IF(FreightType="Lethbridge-Stewart Freight ",ROUND(2.99+IF(N1435&gt;0.75,(N1435-0.75)*2.25,0)*S1435,2),IF(MarkupType="Supplier Markup",V1435+V1435*SupplierMarkup,"Error at finding value"))</f>
        <v>4.34</v>
      </c>
      <c r="AB1435" s="15">
        <f t="shared" si="505"/>
        <v>0</v>
      </c>
    </row>
    <row r="1436" spans="1:28" x14ac:dyDescent="0.25">
      <c r="A1436" s="16">
        <f>OrdersTable!A1436</f>
        <v>47</v>
      </c>
      <c r="B1436" s="15" t="str">
        <f t="shared" si="485"/>
        <v>Dr</v>
      </c>
      <c r="C1436" s="15" t="str">
        <f t="shared" si="506"/>
        <v>Kaur</v>
      </c>
      <c r="D1436" s="15" t="str">
        <f t="shared" si="486"/>
        <v>Jasleen</v>
      </c>
      <c r="E1436" s="15" t="str">
        <f t="shared" si="487"/>
        <v>7 Hong Road</v>
      </c>
      <c r="F1436" s="15" t="str">
        <f t="shared" si="488"/>
        <v>Belconnen</v>
      </c>
      <c r="G1436" s="15" t="str">
        <f t="shared" si="489"/>
        <v>ACT</v>
      </c>
      <c r="H1436" s="15">
        <f t="shared" si="490"/>
        <v>2617</v>
      </c>
      <c r="I1436" s="15">
        <f t="shared" si="501"/>
        <v>1194</v>
      </c>
      <c r="J1436" s="15">
        <f>OrdersTable!B1436</f>
        <v>707</v>
      </c>
      <c r="K1436" s="15" t="str">
        <f t="shared" si="491"/>
        <v>Posters, Prints and Standees</v>
      </c>
      <c r="L1436" s="15" t="str">
        <f t="shared" si="492"/>
        <v>Doctor Who: Poster: Ironside Dalek Blueprint</v>
      </c>
      <c r="M1436" s="15" t="str">
        <f t="shared" si="493"/>
        <v>-</v>
      </c>
      <c r="N1436" s="15">
        <f t="shared" si="494"/>
        <v>0.2</v>
      </c>
      <c r="O1436" s="15" t="str">
        <f t="shared" si="495"/>
        <v>A20</v>
      </c>
      <c r="P1436" s="15" t="str">
        <f t="shared" si="496"/>
        <v>Morbius Inc.</v>
      </c>
      <c r="Q1436" s="15" t="str">
        <f t="shared" si="497"/>
        <v>56 Michael Spice Hwy</v>
      </c>
      <c r="R1436" s="3">
        <f>OrdersTable!C1436</f>
        <v>44663</v>
      </c>
      <c r="S1436" s="15">
        <f>OrdersTable!E1436</f>
        <v>1</v>
      </c>
      <c r="T1436" s="15">
        <f t="shared" si="498"/>
        <v>3.99</v>
      </c>
      <c r="U1436" s="15">
        <f t="shared" si="499"/>
        <v>5.48</v>
      </c>
      <c r="V1436" s="15">
        <f t="shared" si="500"/>
        <v>6.46</v>
      </c>
      <c r="W1436" s="15">
        <f>IF(MarkupType="Store Markup",ROUND(V1436+V1436*StoreMarkup,2),IF(MarkupType="Supplier Markup",V1436+V1436*SupplierMarkup,"Error at finding value"))</f>
        <v>10.17</v>
      </c>
      <c r="X1436" s="32" t="str">
        <f t="shared" si="502"/>
        <v>0.00</v>
      </c>
      <c r="Y1436" s="15">
        <f t="shared" si="503"/>
        <v>6.46</v>
      </c>
      <c r="Z1436" s="15">
        <f t="shared" si="504"/>
        <v>10.17</v>
      </c>
      <c r="AA1436" s="15">
        <f>IF(FreightType="Lethbridge-Stewart Freight ",ROUND(2.99+IF(N1436&gt;0.75,(N1436-0.75)*2.25,0)*S1436,2),IF(MarkupType="Supplier Markup",V1436+V1436*SupplierMarkup,"Error at finding value"))</f>
        <v>2.99</v>
      </c>
      <c r="AB1436" s="15">
        <f t="shared" si="505"/>
        <v>0</v>
      </c>
    </row>
    <row r="1437" spans="1:28" x14ac:dyDescent="0.25">
      <c r="A1437" s="16">
        <f>OrdersTable!A1437</f>
        <v>47</v>
      </c>
      <c r="B1437" s="15" t="str">
        <f t="shared" si="485"/>
        <v>Dr</v>
      </c>
      <c r="C1437" s="15" t="str">
        <f t="shared" si="506"/>
        <v>Kaur</v>
      </c>
      <c r="D1437" s="15" t="str">
        <f t="shared" si="486"/>
        <v>Jasleen</v>
      </c>
      <c r="E1437" s="15" t="str">
        <f t="shared" si="487"/>
        <v>7 Hong Road</v>
      </c>
      <c r="F1437" s="15" t="str">
        <f t="shared" si="488"/>
        <v>Belconnen</v>
      </c>
      <c r="G1437" s="15" t="str">
        <f t="shared" si="489"/>
        <v>ACT</v>
      </c>
      <c r="H1437" s="15">
        <f t="shared" si="490"/>
        <v>2617</v>
      </c>
      <c r="I1437" s="15">
        <f t="shared" si="501"/>
        <v>1194</v>
      </c>
      <c r="J1437" s="15">
        <f>OrdersTable!B1437</f>
        <v>867</v>
      </c>
      <c r="K1437" s="15" t="str">
        <f t="shared" si="491"/>
        <v>Statues and Busts</v>
      </c>
      <c r="L1437" s="15" t="str">
        <f t="shared" si="492"/>
        <v>Doctor Who: TITANS: The 11th Doctor</v>
      </c>
      <c r="M1437" s="15" t="str">
        <f t="shared" si="493"/>
        <v>-</v>
      </c>
      <c r="N1437" s="15">
        <f t="shared" si="494"/>
        <v>0.4</v>
      </c>
      <c r="O1437" s="15" t="str">
        <f t="shared" si="495"/>
        <v>A20</v>
      </c>
      <c r="P1437" s="15" t="str">
        <f t="shared" si="496"/>
        <v>Morbius Inc.</v>
      </c>
      <c r="Q1437" s="15" t="str">
        <f t="shared" si="497"/>
        <v>56 Michael Spice Hwy</v>
      </c>
      <c r="R1437" s="3">
        <f>OrdersTable!C1437</f>
        <v>44663</v>
      </c>
      <c r="S1437" s="15">
        <f>OrdersTable!E1437</f>
        <v>8</v>
      </c>
      <c r="T1437" s="15">
        <f t="shared" si="498"/>
        <v>7.99</v>
      </c>
      <c r="U1437" s="15">
        <f t="shared" si="499"/>
        <v>11.1</v>
      </c>
      <c r="V1437" s="15">
        <f t="shared" si="500"/>
        <v>12.94</v>
      </c>
      <c r="W1437" s="15">
        <f>IF(MarkupType="Store Markup",ROUND(V1437+V1437*StoreMarkup,2),IF(MarkupType="Supplier Markup",V1437+V1437*SupplierMarkup,"Error at finding value"))</f>
        <v>20.38</v>
      </c>
      <c r="X1437" s="32" t="str">
        <f t="shared" si="502"/>
        <v>0.00</v>
      </c>
      <c r="Y1437" s="15">
        <f t="shared" si="503"/>
        <v>103.52</v>
      </c>
      <c r="Z1437" s="15">
        <f t="shared" si="504"/>
        <v>163.04</v>
      </c>
      <c r="AA1437" s="15">
        <f>IF(FreightType="Lethbridge-Stewart Freight ",ROUND(2.99+IF(N1437&gt;0.75,(N1437-0.75)*2.25,0)*S1437,2),IF(MarkupType="Supplier Markup",V1437+V1437*SupplierMarkup,"Error at finding value"))</f>
        <v>2.99</v>
      </c>
      <c r="AB1437" s="15">
        <f t="shared" si="505"/>
        <v>0</v>
      </c>
    </row>
    <row r="1438" spans="1:28" x14ac:dyDescent="0.25">
      <c r="A1438" s="16">
        <f>OrdersTable!A1438</f>
        <v>232</v>
      </c>
      <c r="B1438" s="15" t="str">
        <f t="shared" si="485"/>
        <v>Mrs</v>
      </c>
      <c r="C1438" s="15" t="str">
        <f t="shared" si="506"/>
        <v>Bishop</v>
      </c>
      <c r="D1438" s="15" t="str">
        <f t="shared" si="486"/>
        <v>Katherine Marie</v>
      </c>
      <c r="E1438" s="15" t="str">
        <f t="shared" si="487"/>
        <v>19 Whitehorn Circuit</v>
      </c>
      <c r="F1438" s="15" t="str">
        <f t="shared" si="488"/>
        <v>Black Hills</v>
      </c>
      <c r="G1438" s="15" t="str">
        <f t="shared" si="489"/>
        <v>TAS</v>
      </c>
      <c r="H1438" s="15">
        <f t="shared" si="490"/>
        <v>7140</v>
      </c>
      <c r="I1438" s="15">
        <f t="shared" si="501"/>
        <v>2191</v>
      </c>
      <c r="J1438" s="15">
        <f>OrdersTable!B1438</f>
        <v>515</v>
      </c>
      <c r="K1438" s="15" t="str">
        <f t="shared" si="491"/>
        <v>Giftware</v>
      </c>
      <c r="L1438" s="15" t="str">
        <f t="shared" si="492"/>
        <v>Doctor Who: Keyring K9</v>
      </c>
      <c r="M1438" s="15" t="str">
        <f t="shared" si="493"/>
        <v>-</v>
      </c>
      <c r="N1438" s="15">
        <f t="shared" si="494"/>
        <v>0.25</v>
      </c>
      <c r="O1438" s="15" t="str">
        <f t="shared" si="495"/>
        <v>A50</v>
      </c>
      <c r="P1438" s="15" t="str">
        <f t="shared" si="496"/>
        <v>Rassilon Ltd.</v>
      </c>
      <c r="Q1438" s="15" t="str">
        <f t="shared" si="497"/>
        <v>82 Richard Mathews Road</v>
      </c>
      <c r="R1438" s="3">
        <f>OrdersTable!C1438</f>
        <v>44663</v>
      </c>
      <c r="S1438" s="15">
        <f>OrdersTable!E1438</f>
        <v>9</v>
      </c>
      <c r="T1438" s="15">
        <f t="shared" si="498"/>
        <v>4.99</v>
      </c>
      <c r="U1438" s="15">
        <f t="shared" si="499"/>
        <v>6.91</v>
      </c>
      <c r="V1438" s="15">
        <f t="shared" si="500"/>
        <v>8.08</v>
      </c>
      <c r="W1438" s="15">
        <f>IF(MarkupType="Store Markup",ROUND(V1438+V1438*StoreMarkup,2),IF(MarkupType="Supplier Markup",V1438+V1438*SupplierMarkup,"Error at finding value"))</f>
        <v>12.73</v>
      </c>
      <c r="X1438" s="32" t="str">
        <f t="shared" si="502"/>
        <v>0.00</v>
      </c>
      <c r="Y1438" s="15">
        <f t="shared" si="503"/>
        <v>72.72</v>
      </c>
      <c r="Z1438" s="15">
        <f t="shared" si="504"/>
        <v>114.57</v>
      </c>
      <c r="AA1438" s="15">
        <f>IF(FreightType="Lethbridge-Stewart Freight ",ROUND(2.99+IF(N1438&gt;0.75,(N1438-0.75)*2.25,0)*S1438,2),IF(MarkupType="Supplier Markup",V1438+V1438*SupplierMarkup,"Error at finding value"))</f>
        <v>2.99</v>
      </c>
      <c r="AB1438" s="15">
        <f t="shared" si="505"/>
        <v>0</v>
      </c>
    </row>
    <row r="1439" spans="1:28" x14ac:dyDescent="0.25">
      <c r="A1439" s="16">
        <f>OrdersTable!A1439</f>
        <v>282</v>
      </c>
      <c r="B1439" s="15" t="str">
        <f t="shared" si="485"/>
        <v>Dr</v>
      </c>
      <c r="C1439" s="15" t="str">
        <f t="shared" si="506"/>
        <v>Johnson</v>
      </c>
      <c r="D1439" s="15" t="str">
        <f t="shared" si="486"/>
        <v>Samantha Emily Louise</v>
      </c>
      <c r="E1439" s="15" t="str">
        <f t="shared" si="487"/>
        <v>2 Wiggan Avenue</v>
      </c>
      <c r="F1439" s="15" t="str">
        <f t="shared" si="488"/>
        <v>Boston</v>
      </c>
      <c r="G1439" s="15" t="str">
        <f t="shared" si="489"/>
        <v>SA</v>
      </c>
      <c r="H1439" s="15">
        <f t="shared" si="490"/>
        <v>5607</v>
      </c>
      <c r="I1439" s="15">
        <f t="shared" si="501"/>
        <v>2076</v>
      </c>
      <c r="J1439" s="15">
        <f>OrdersTable!B1439</f>
        <v>331</v>
      </c>
      <c r="K1439" s="15" t="str">
        <f t="shared" si="491"/>
        <v>Clothing and Apparel</v>
      </c>
      <c r="L1439" s="15" t="str">
        <f t="shared" si="492"/>
        <v xml:space="preserve">Doctor Who: T-Shirts: 4th Doctor Costume </v>
      </c>
      <c r="M1439" s="15" t="str">
        <f t="shared" si="493"/>
        <v>L</v>
      </c>
      <c r="N1439" s="15">
        <f t="shared" si="494"/>
        <v>0.8</v>
      </c>
      <c r="O1439" s="15" t="str">
        <f t="shared" si="495"/>
        <v>A20</v>
      </c>
      <c r="P1439" s="15" t="str">
        <f t="shared" si="496"/>
        <v>Morbius Inc.</v>
      </c>
      <c r="Q1439" s="15" t="str">
        <f t="shared" si="497"/>
        <v>56 Michael Spice Hwy</v>
      </c>
      <c r="R1439" s="3">
        <f>OrdersTable!C1439</f>
        <v>44663</v>
      </c>
      <c r="S1439" s="15">
        <f>OrdersTable!E1439</f>
        <v>6</v>
      </c>
      <c r="T1439" s="15">
        <f t="shared" si="498"/>
        <v>15.99</v>
      </c>
      <c r="U1439" s="15">
        <f t="shared" si="499"/>
        <v>22.08</v>
      </c>
      <c r="V1439" s="15">
        <f t="shared" si="500"/>
        <v>25.9</v>
      </c>
      <c r="W1439" s="15">
        <f>IF(MarkupType="Store Markup",ROUND(V1439+V1439*StoreMarkup,2),IF(MarkupType="Supplier Markup",V1439+V1439*SupplierMarkup,"Error at finding value"))</f>
        <v>40.79</v>
      </c>
      <c r="X1439" s="32" t="str">
        <f t="shared" si="502"/>
        <v>0.00</v>
      </c>
      <c r="Y1439" s="15">
        <f t="shared" si="503"/>
        <v>155.4</v>
      </c>
      <c r="Z1439" s="15">
        <f t="shared" si="504"/>
        <v>244.74</v>
      </c>
      <c r="AA1439" s="15">
        <f>IF(FreightType="Lethbridge-Stewart Freight ",ROUND(2.99+IF(N1439&gt;0.75,(N1439-0.75)*2.25,0)*S1439,2),IF(MarkupType="Supplier Markup",V1439+V1439*SupplierMarkup,"Error at finding value"))</f>
        <v>3.67</v>
      </c>
      <c r="AB1439" s="15">
        <f t="shared" si="505"/>
        <v>0</v>
      </c>
    </row>
    <row r="1440" spans="1:28" x14ac:dyDescent="0.25">
      <c r="A1440" s="16">
        <f>OrdersTable!A1440</f>
        <v>302</v>
      </c>
      <c r="B1440" s="15" t="str">
        <f t="shared" si="485"/>
        <v>Ms</v>
      </c>
      <c r="C1440" s="15" t="str">
        <f t="shared" si="506"/>
        <v>Lamshed</v>
      </c>
      <c r="D1440" s="15" t="str">
        <f t="shared" si="486"/>
        <v>Laura Clare</v>
      </c>
      <c r="E1440" s="15" t="str">
        <f t="shared" si="487"/>
        <v>22 Edser Drive</v>
      </c>
      <c r="F1440" s="15" t="str">
        <f t="shared" si="488"/>
        <v>Caliph</v>
      </c>
      <c r="G1440" s="15" t="str">
        <f t="shared" si="489"/>
        <v>SA</v>
      </c>
      <c r="H1440" s="15">
        <f t="shared" si="490"/>
        <v>5310</v>
      </c>
      <c r="I1440" s="15">
        <f t="shared" si="501"/>
        <v>1720</v>
      </c>
      <c r="J1440" s="15">
        <f>OrdersTable!B1440</f>
        <v>778</v>
      </c>
      <c r="K1440" s="15" t="str">
        <f t="shared" si="491"/>
        <v>Statues and Busts</v>
      </c>
      <c r="L1440" s="15" t="str">
        <f t="shared" si="492"/>
        <v>Doctor Who: Legends Forever Bust: William Hartnell</v>
      </c>
      <c r="M1440" s="15" t="str">
        <f t="shared" si="493"/>
        <v>-</v>
      </c>
      <c r="N1440" s="15">
        <f t="shared" si="494"/>
        <v>1.375</v>
      </c>
      <c r="O1440" s="15" t="str">
        <f t="shared" si="495"/>
        <v>A40</v>
      </c>
      <c r="P1440" s="15" t="str">
        <f t="shared" si="496"/>
        <v>Romana Imports</v>
      </c>
      <c r="Q1440" s="15" t="str">
        <f t="shared" si="497"/>
        <v>17 Lalla Ward Road</v>
      </c>
      <c r="R1440" s="3">
        <f>OrdersTable!C1440</f>
        <v>44663</v>
      </c>
      <c r="S1440" s="15">
        <f>OrdersTable!E1440</f>
        <v>6</v>
      </c>
      <c r="T1440" s="15">
        <f t="shared" si="498"/>
        <v>27.5</v>
      </c>
      <c r="U1440" s="15">
        <f t="shared" si="499"/>
        <v>37.520000000000003</v>
      </c>
      <c r="V1440" s="15">
        <f t="shared" si="500"/>
        <v>44.55</v>
      </c>
      <c r="W1440" s="15">
        <f>IF(MarkupType="Store Markup",ROUND(V1440+V1440*StoreMarkup,2),IF(MarkupType="Supplier Markup",V1440+V1440*SupplierMarkup,"Error at finding value"))</f>
        <v>70.17</v>
      </c>
      <c r="X1440" s="32" t="str">
        <f t="shared" si="502"/>
        <v>0.00</v>
      </c>
      <c r="Y1440" s="15">
        <f t="shared" si="503"/>
        <v>267.3</v>
      </c>
      <c r="Z1440" s="15">
        <f t="shared" si="504"/>
        <v>421.02</v>
      </c>
      <c r="AA1440" s="15">
        <f>IF(FreightType="Lethbridge-Stewart Freight ",ROUND(2.99+IF(N1440&gt;0.75,(N1440-0.75)*2.25,0)*S1440,2),IF(MarkupType="Supplier Markup",V1440+V1440*SupplierMarkup,"Error at finding value"))</f>
        <v>11.43</v>
      </c>
      <c r="AB1440" s="15">
        <f t="shared" si="505"/>
        <v>0</v>
      </c>
    </row>
    <row r="1441" spans="1:28" x14ac:dyDescent="0.25">
      <c r="A1441" s="16">
        <f>OrdersTable!A1441</f>
        <v>312</v>
      </c>
      <c r="B1441" s="15" t="str">
        <f t="shared" si="485"/>
        <v>Mr</v>
      </c>
      <c r="C1441" s="15" t="str">
        <f t="shared" si="506"/>
        <v>Lloyd</v>
      </c>
      <c r="D1441" s="15" t="str">
        <f t="shared" si="486"/>
        <v>Ben</v>
      </c>
      <c r="E1441" s="15" t="str">
        <f t="shared" si="487"/>
        <v>13 Stark Avenue</v>
      </c>
      <c r="F1441" s="15" t="str">
        <f t="shared" si="488"/>
        <v>Iluka</v>
      </c>
      <c r="G1441" s="15" t="str">
        <f t="shared" si="489"/>
        <v>NSW</v>
      </c>
      <c r="H1441" s="15">
        <f t="shared" si="490"/>
        <v>2466</v>
      </c>
      <c r="I1441" s="15">
        <f t="shared" si="501"/>
        <v>347</v>
      </c>
      <c r="J1441" s="15">
        <f>OrdersTable!B1441</f>
        <v>373</v>
      </c>
      <c r="K1441" s="15" t="str">
        <f t="shared" si="491"/>
        <v>Clothing and Apparel</v>
      </c>
      <c r="L1441" s="15" t="str">
        <f t="shared" si="492"/>
        <v xml:space="preserve">Doctor Who: T-Shirts: 5th Doctor Costume </v>
      </c>
      <c r="M1441" s="15" t="str">
        <f t="shared" si="493"/>
        <v>L</v>
      </c>
      <c r="N1441" s="15">
        <f t="shared" si="494"/>
        <v>0.8</v>
      </c>
      <c r="O1441" s="15" t="str">
        <f t="shared" si="495"/>
        <v>A20</v>
      </c>
      <c r="P1441" s="15" t="str">
        <f t="shared" si="496"/>
        <v>Morbius Inc.</v>
      </c>
      <c r="Q1441" s="15" t="str">
        <f t="shared" si="497"/>
        <v>56 Michael Spice Hwy</v>
      </c>
      <c r="R1441" s="3">
        <f>OrdersTable!C1441</f>
        <v>44663</v>
      </c>
      <c r="S1441" s="15">
        <f>OrdersTable!E1441</f>
        <v>7</v>
      </c>
      <c r="T1441" s="15">
        <f t="shared" si="498"/>
        <v>15.99</v>
      </c>
      <c r="U1441" s="15">
        <f t="shared" si="499"/>
        <v>22.09</v>
      </c>
      <c r="V1441" s="15">
        <f t="shared" si="500"/>
        <v>25.9</v>
      </c>
      <c r="W1441" s="15">
        <f>IF(MarkupType="Store Markup",ROUND(V1441+V1441*StoreMarkup,2),IF(MarkupType="Supplier Markup",V1441+V1441*SupplierMarkup,"Error at finding value"))</f>
        <v>40.79</v>
      </c>
      <c r="X1441" s="32" t="str">
        <f t="shared" si="502"/>
        <v>0.00</v>
      </c>
      <c r="Y1441" s="15">
        <f t="shared" si="503"/>
        <v>181.3</v>
      </c>
      <c r="Z1441" s="15">
        <f t="shared" si="504"/>
        <v>285.52999999999997</v>
      </c>
      <c r="AA1441" s="15">
        <f>IF(FreightType="Lethbridge-Stewart Freight ",ROUND(2.99+IF(N1441&gt;0.75,(N1441-0.75)*2.25,0)*S1441,2),IF(MarkupType="Supplier Markup",V1441+V1441*SupplierMarkup,"Error at finding value"))</f>
        <v>3.78</v>
      </c>
      <c r="AB1441" s="15">
        <f t="shared" si="505"/>
        <v>0</v>
      </c>
    </row>
    <row r="1442" spans="1:28" x14ac:dyDescent="0.25">
      <c r="A1442" s="16">
        <f>OrdersTable!A1442</f>
        <v>330</v>
      </c>
      <c r="B1442" s="15" t="str">
        <f t="shared" si="485"/>
        <v>Mr</v>
      </c>
      <c r="C1442" s="15" t="str">
        <f t="shared" si="506"/>
        <v>Liesegang</v>
      </c>
      <c r="D1442" s="15" t="str">
        <f t="shared" si="486"/>
        <v>Darcey Michelle</v>
      </c>
      <c r="E1442" s="15" t="str">
        <f t="shared" si="487"/>
        <v>50 McCann Drive</v>
      </c>
      <c r="F1442" s="15" t="str">
        <f t="shared" si="488"/>
        <v>Binduli</v>
      </c>
      <c r="G1442" s="15" t="str">
        <f t="shared" si="489"/>
        <v>WA</v>
      </c>
      <c r="H1442" s="15">
        <f t="shared" si="490"/>
        <v>6430</v>
      </c>
      <c r="I1442" s="15">
        <f t="shared" si="501"/>
        <v>3543</v>
      </c>
      <c r="J1442" s="15">
        <f>OrdersTable!B1442</f>
        <v>541</v>
      </c>
      <c r="K1442" s="15" t="str">
        <f t="shared" si="491"/>
        <v>Giftware</v>
      </c>
      <c r="L1442" s="15" t="str">
        <f t="shared" si="492"/>
        <v>Doctor Who: Salt and Pepper Shakers: TARDIS</v>
      </c>
      <c r="M1442" s="15" t="str">
        <f t="shared" si="493"/>
        <v>-</v>
      </c>
      <c r="N1442" s="15">
        <f t="shared" si="494"/>
        <v>0.6</v>
      </c>
      <c r="O1442" s="15" t="str">
        <f t="shared" si="495"/>
        <v>A10</v>
      </c>
      <c r="P1442" s="15" t="str">
        <f t="shared" si="496"/>
        <v>Gallifrey International</v>
      </c>
      <c r="Q1442" s="15" t="str">
        <f t="shared" si="497"/>
        <v>181 Arcadia Street</v>
      </c>
      <c r="R1442" s="3">
        <f>OrdersTable!C1442</f>
        <v>44663</v>
      </c>
      <c r="S1442" s="15">
        <f>OrdersTable!E1442</f>
        <v>8</v>
      </c>
      <c r="T1442" s="15">
        <f t="shared" si="498"/>
        <v>11.99</v>
      </c>
      <c r="U1442" s="15">
        <f t="shared" si="499"/>
        <v>16.62</v>
      </c>
      <c r="V1442" s="15">
        <f t="shared" si="500"/>
        <v>19.420000000000002</v>
      </c>
      <c r="W1442" s="15">
        <f>IF(MarkupType="Store Markup",ROUND(V1442+V1442*StoreMarkup,2),IF(MarkupType="Supplier Markup",V1442+V1442*SupplierMarkup,"Error at finding value"))</f>
        <v>30.59</v>
      </c>
      <c r="X1442" s="32" t="str">
        <f t="shared" si="502"/>
        <v>0.00</v>
      </c>
      <c r="Y1442" s="15">
        <f t="shared" si="503"/>
        <v>155.36000000000001</v>
      </c>
      <c r="Z1442" s="15">
        <f t="shared" si="504"/>
        <v>244.72</v>
      </c>
      <c r="AA1442" s="15">
        <f>IF(FreightType="Lethbridge-Stewart Freight ",ROUND(2.99+IF(N1442&gt;0.75,(N1442-0.75)*2.25,0)*S1442,2),IF(MarkupType="Supplier Markup",V1442+V1442*SupplierMarkup,"Error at finding value"))</f>
        <v>2.99</v>
      </c>
      <c r="AB1442" s="15">
        <f t="shared" si="505"/>
        <v>0</v>
      </c>
    </row>
    <row r="1443" spans="1:28" x14ac:dyDescent="0.25">
      <c r="A1443" s="16">
        <f>OrdersTable!A1443</f>
        <v>332</v>
      </c>
      <c r="B1443" s="15" t="str">
        <f t="shared" si="485"/>
        <v>Mr</v>
      </c>
      <c r="C1443" s="15" t="str">
        <f t="shared" si="506"/>
        <v>Selman</v>
      </c>
      <c r="D1443" s="15" t="str">
        <f t="shared" si="486"/>
        <v>Jack Ryan</v>
      </c>
      <c r="E1443" s="15" t="str">
        <f t="shared" si="487"/>
        <v>17 Van Essen Street</v>
      </c>
      <c r="F1443" s="15" t="str">
        <f t="shared" si="488"/>
        <v>Airly</v>
      </c>
      <c r="G1443" s="15" t="str">
        <f t="shared" si="489"/>
        <v>VIC</v>
      </c>
      <c r="H1443" s="15">
        <f t="shared" si="490"/>
        <v>3851</v>
      </c>
      <c r="I1443" s="15">
        <f t="shared" si="501"/>
        <v>1583</v>
      </c>
      <c r="J1443" s="15">
        <f>OrdersTable!B1443</f>
        <v>703</v>
      </c>
      <c r="K1443" s="15" t="str">
        <f t="shared" si="491"/>
        <v>Posters, Prints and Standees</v>
      </c>
      <c r="L1443" s="15" t="str">
        <f t="shared" si="492"/>
        <v>Doctor Who: Poster: Doctor With Sonic Screwdriver</v>
      </c>
      <c r="M1443" s="15" t="str">
        <f t="shared" si="493"/>
        <v>-</v>
      </c>
      <c r="N1443" s="15">
        <f t="shared" si="494"/>
        <v>0.2</v>
      </c>
      <c r="O1443" s="15" t="str">
        <f t="shared" si="495"/>
        <v>A50</v>
      </c>
      <c r="P1443" s="15" t="str">
        <f t="shared" si="496"/>
        <v>Rassilon Ltd.</v>
      </c>
      <c r="Q1443" s="15" t="str">
        <f t="shared" si="497"/>
        <v>82 Richard Mathews Road</v>
      </c>
      <c r="R1443" s="3">
        <f>OrdersTable!C1443</f>
        <v>44663</v>
      </c>
      <c r="S1443" s="15">
        <f>OrdersTable!E1443</f>
        <v>2</v>
      </c>
      <c r="T1443" s="15">
        <f t="shared" si="498"/>
        <v>3.99</v>
      </c>
      <c r="U1443" s="15">
        <f t="shared" si="499"/>
        <v>5.51</v>
      </c>
      <c r="V1443" s="15">
        <f t="shared" si="500"/>
        <v>6.46</v>
      </c>
      <c r="W1443" s="15">
        <f>IF(MarkupType="Store Markup",ROUND(V1443+V1443*StoreMarkup,2),IF(MarkupType="Supplier Markup",V1443+V1443*SupplierMarkup,"Error at finding value"))</f>
        <v>10.17</v>
      </c>
      <c r="X1443" s="32" t="str">
        <f t="shared" si="502"/>
        <v>0.00</v>
      </c>
      <c r="Y1443" s="15">
        <f t="shared" si="503"/>
        <v>12.92</v>
      </c>
      <c r="Z1443" s="15">
        <f t="shared" si="504"/>
        <v>20.34</v>
      </c>
      <c r="AA1443" s="15">
        <f>IF(FreightType="Lethbridge-Stewart Freight ",ROUND(2.99+IF(N1443&gt;0.75,(N1443-0.75)*2.25,0)*S1443,2),IF(MarkupType="Supplier Markup",V1443+V1443*SupplierMarkup,"Error at finding value"))</f>
        <v>2.99</v>
      </c>
      <c r="AB1443" s="15">
        <f t="shared" si="505"/>
        <v>0</v>
      </c>
    </row>
    <row r="1444" spans="1:28" x14ac:dyDescent="0.25">
      <c r="A1444" s="16">
        <f>OrdersTable!A1444</f>
        <v>362</v>
      </c>
      <c r="B1444" s="15" t="str">
        <f t="shared" si="485"/>
        <v>Mr</v>
      </c>
      <c r="C1444" s="15" t="str">
        <f t="shared" si="506"/>
        <v>Hurst</v>
      </c>
      <c r="D1444" s="15" t="str">
        <f t="shared" si="486"/>
        <v>Ralph Gregory</v>
      </c>
      <c r="E1444" s="15" t="str">
        <f t="shared" si="487"/>
        <v>45 Blakeney Road</v>
      </c>
      <c r="F1444" s="15" t="str">
        <f t="shared" si="488"/>
        <v>Iluka</v>
      </c>
      <c r="G1444" s="15" t="str">
        <f t="shared" si="489"/>
        <v>NSW</v>
      </c>
      <c r="H1444" s="15">
        <f t="shared" si="490"/>
        <v>2466</v>
      </c>
      <c r="I1444" s="15">
        <f t="shared" si="501"/>
        <v>347</v>
      </c>
      <c r="J1444" s="15">
        <f>OrdersTable!B1444</f>
        <v>689</v>
      </c>
      <c r="K1444" s="15" t="str">
        <f t="shared" si="491"/>
        <v>Posters, Prints and Standees</v>
      </c>
      <c r="L1444" s="15" t="str">
        <f t="shared" si="492"/>
        <v>Doctor Who: 16'x12' Framed Print: Cold War</v>
      </c>
      <c r="M1444" s="15" t="str">
        <f t="shared" si="493"/>
        <v>-</v>
      </c>
      <c r="N1444" s="15">
        <f t="shared" si="494"/>
        <v>0.75</v>
      </c>
      <c r="O1444" s="15" t="str">
        <f t="shared" si="495"/>
        <v>A50</v>
      </c>
      <c r="P1444" s="15" t="str">
        <f t="shared" si="496"/>
        <v>Rassilon Ltd.</v>
      </c>
      <c r="Q1444" s="15" t="str">
        <f t="shared" si="497"/>
        <v>82 Richard Mathews Road</v>
      </c>
      <c r="R1444" s="3">
        <f>OrdersTable!C1444</f>
        <v>44663</v>
      </c>
      <c r="S1444" s="15">
        <f>OrdersTable!E1444</f>
        <v>2</v>
      </c>
      <c r="T1444" s="15">
        <f t="shared" si="498"/>
        <v>14.99</v>
      </c>
      <c r="U1444" s="15">
        <f t="shared" si="499"/>
        <v>20.77</v>
      </c>
      <c r="V1444" s="15">
        <f t="shared" si="500"/>
        <v>24.28</v>
      </c>
      <c r="W1444" s="15">
        <f>IF(MarkupType="Store Markup",ROUND(V1444+V1444*StoreMarkup,2),IF(MarkupType="Supplier Markup",V1444+V1444*SupplierMarkup,"Error at finding value"))</f>
        <v>38.24</v>
      </c>
      <c r="X1444" s="32" t="str">
        <f t="shared" si="502"/>
        <v>0.00</v>
      </c>
      <c r="Y1444" s="15">
        <f t="shared" si="503"/>
        <v>48.56</v>
      </c>
      <c r="Z1444" s="15">
        <f t="shared" si="504"/>
        <v>76.48</v>
      </c>
      <c r="AA1444" s="15">
        <f>IF(FreightType="Lethbridge-Stewart Freight ",ROUND(2.99+IF(N1444&gt;0.75,(N1444-0.75)*2.25,0)*S1444,2),IF(MarkupType="Supplier Markup",V1444+V1444*SupplierMarkup,"Error at finding value"))</f>
        <v>2.99</v>
      </c>
      <c r="AB1444" s="15">
        <f t="shared" si="505"/>
        <v>0</v>
      </c>
    </row>
    <row r="1445" spans="1:28" x14ac:dyDescent="0.25">
      <c r="A1445" s="16">
        <f>OrdersTable!A1445</f>
        <v>573</v>
      </c>
      <c r="B1445" s="15" t="str">
        <f t="shared" si="485"/>
        <v>Mrs</v>
      </c>
      <c r="C1445" s="15" t="str">
        <f t="shared" si="506"/>
        <v>Hollonds</v>
      </c>
      <c r="D1445" s="15" t="str">
        <f t="shared" si="486"/>
        <v>Suzan</v>
      </c>
      <c r="E1445" s="15" t="str">
        <f t="shared" si="487"/>
        <v>49 Patel Way</v>
      </c>
      <c r="F1445" s="15" t="str">
        <f t="shared" si="488"/>
        <v>Belconnen</v>
      </c>
      <c r="G1445" s="15" t="str">
        <f t="shared" si="489"/>
        <v>ACT</v>
      </c>
      <c r="H1445" s="15">
        <f t="shared" si="490"/>
        <v>2617</v>
      </c>
      <c r="I1445" s="15">
        <f t="shared" si="501"/>
        <v>1194</v>
      </c>
      <c r="J1445" s="15">
        <f>OrdersTable!B1445</f>
        <v>758</v>
      </c>
      <c r="K1445" s="15" t="str">
        <f t="shared" si="491"/>
        <v>Statues and Busts</v>
      </c>
      <c r="L1445" s="15" t="str">
        <f t="shared" si="492"/>
        <v>Doctor Who: Helmet: Sontaran Officer Linx</v>
      </c>
      <c r="M1445" s="15" t="str">
        <f t="shared" si="493"/>
        <v>-</v>
      </c>
      <c r="N1445" s="15">
        <f t="shared" si="494"/>
        <v>1.75</v>
      </c>
      <c r="O1445" s="15" t="str">
        <f t="shared" si="495"/>
        <v>A50</v>
      </c>
      <c r="P1445" s="15" t="str">
        <f t="shared" si="496"/>
        <v>Rassilon Ltd.</v>
      </c>
      <c r="Q1445" s="15" t="str">
        <f t="shared" si="497"/>
        <v>82 Richard Mathews Road</v>
      </c>
      <c r="R1445" s="3">
        <f>OrdersTable!C1445</f>
        <v>44663</v>
      </c>
      <c r="S1445" s="15">
        <f>OrdersTable!E1445</f>
        <v>7</v>
      </c>
      <c r="T1445" s="15">
        <f t="shared" si="498"/>
        <v>34.99</v>
      </c>
      <c r="U1445" s="15">
        <f t="shared" si="499"/>
        <v>47.79</v>
      </c>
      <c r="V1445" s="15">
        <f t="shared" si="500"/>
        <v>56.68</v>
      </c>
      <c r="W1445" s="15">
        <f>IF(MarkupType="Store Markup",ROUND(V1445+V1445*StoreMarkup,2),IF(MarkupType="Supplier Markup",V1445+V1445*SupplierMarkup,"Error at finding value"))</f>
        <v>89.27</v>
      </c>
      <c r="X1445" s="32" t="str">
        <f t="shared" si="502"/>
        <v>0.00</v>
      </c>
      <c r="Y1445" s="15">
        <f t="shared" si="503"/>
        <v>396.76</v>
      </c>
      <c r="Z1445" s="15">
        <f t="shared" si="504"/>
        <v>624.89</v>
      </c>
      <c r="AA1445" s="15">
        <f>IF(FreightType="Lethbridge-Stewart Freight ",ROUND(2.99+IF(N1445&gt;0.75,(N1445-0.75)*2.25,0)*S1445,2),IF(MarkupType="Supplier Markup",V1445+V1445*SupplierMarkup,"Error at finding value"))</f>
        <v>18.739999999999998</v>
      </c>
      <c r="AB1445" s="15">
        <f t="shared" si="505"/>
        <v>0</v>
      </c>
    </row>
    <row r="1446" spans="1:28" x14ac:dyDescent="0.25">
      <c r="A1446" s="16">
        <f>OrdersTable!A1446</f>
        <v>602</v>
      </c>
      <c r="B1446" s="15" t="str">
        <f t="shared" si="485"/>
        <v>Mr</v>
      </c>
      <c r="C1446" s="15" t="str">
        <f t="shared" si="506"/>
        <v>Spinelli</v>
      </c>
      <c r="D1446" s="15" t="str">
        <f t="shared" si="486"/>
        <v>Paul Walter</v>
      </c>
      <c r="E1446" s="15" t="str">
        <f t="shared" si="487"/>
        <v>35 Azar Drive</v>
      </c>
      <c r="F1446" s="15" t="str">
        <f t="shared" si="488"/>
        <v>Bray Park</v>
      </c>
      <c r="G1446" s="15" t="str">
        <f t="shared" si="489"/>
        <v>QLD</v>
      </c>
      <c r="H1446" s="15">
        <f t="shared" si="490"/>
        <v>4500</v>
      </c>
      <c r="I1446" s="15">
        <f t="shared" si="501"/>
        <v>139</v>
      </c>
      <c r="J1446" s="15">
        <f>OrdersTable!B1446</f>
        <v>213</v>
      </c>
      <c r="K1446" s="15" t="str">
        <f t="shared" si="491"/>
        <v>Clothing and Apparel</v>
      </c>
      <c r="L1446" s="15" t="str">
        <f t="shared" si="492"/>
        <v>Doctor Who: Fez and Bow Tie</v>
      </c>
      <c r="M1446" s="15" t="str">
        <f t="shared" si="493"/>
        <v>-</v>
      </c>
      <c r="N1446" s="15">
        <f t="shared" si="494"/>
        <v>0.97499999999999998</v>
      </c>
      <c r="O1446" s="15" t="str">
        <f t="shared" si="495"/>
        <v>A50</v>
      </c>
      <c r="P1446" s="15" t="str">
        <f t="shared" si="496"/>
        <v>Rassilon Ltd.</v>
      </c>
      <c r="Q1446" s="15" t="str">
        <f t="shared" si="497"/>
        <v>82 Richard Mathews Road</v>
      </c>
      <c r="R1446" s="3">
        <f>OrdersTable!C1446</f>
        <v>44663</v>
      </c>
      <c r="S1446" s="15">
        <f>OrdersTable!E1446</f>
        <v>1</v>
      </c>
      <c r="T1446" s="15">
        <f t="shared" si="498"/>
        <v>19.5</v>
      </c>
      <c r="U1446" s="15">
        <f t="shared" si="499"/>
        <v>26.88</v>
      </c>
      <c r="V1446" s="15">
        <f t="shared" si="500"/>
        <v>31.59</v>
      </c>
      <c r="W1446" s="15">
        <f>IF(MarkupType="Store Markup",ROUND(V1446+V1446*StoreMarkup,2),IF(MarkupType="Supplier Markup",V1446+V1446*SupplierMarkup,"Error at finding value"))</f>
        <v>49.75</v>
      </c>
      <c r="X1446" s="32" t="str">
        <f t="shared" si="502"/>
        <v>0.00</v>
      </c>
      <c r="Y1446" s="15">
        <f t="shared" si="503"/>
        <v>31.59</v>
      </c>
      <c r="Z1446" s="15">
        <f t="shared" si="504"/>
        <v>49.75</v>
      </c>
      <c r="AA1446" s="15">
        <f>IF(FreightType="Lethbridge-Stewart Freight ",ROUND(2.99+IF(N1446&gt;0.75,(N1446-0.75)*2.25,0)*S1446,2),IF(MarkupType="Supplier Markup",V1446+V1446*SupplierMarkup,"Error at finding value"))</f>
        <v>3.5</v>
      </c>
      <c r="AB1446" s="15">
        <f t="shared" si="505"/>
        <v>0</v>
      </c>
    </row>
    <row r="1447" spans="1:28" x14ac:dyDescent="0.25">
      <c r="A1447" s="16">
        <f>OrdersTable!A1447</f>
        <v>610</v>
      </c>
      <c r="B1447" s="15" t="str">
        <f t="shared" si="485"/>
        <v>Ms</v>
      </c>
      <c r="C1447" s="15" t="str">
        <f t="shared" si="506"/>
        <v>Bichel</v>
      </c>
      <c r="D1447" s="15" t="str">
        <f t="shared" si="486"/>
        <v>Abbey Kate</v>
      </c>
      <c r="E1447" s="15" t="str">
        <f t="shared" si="487"/>
        <v>32 Rambau Avenue</v>
      </c>
      <c r="F1447" s="15" t="str">
        <f t="shared" si="488"/>
        <v>Bamboo</v>
      </c>
      <c r="G1447" s="15" t="str">
        <f t="shared" si="489"/>
        <v>QLD</v>
      </c>
      <c r="H1447" s="15">
        <f t="shared" si="490"/>
        <v>4873</v>
      </c>
      <c r="I1447" s="15">
        <f t="shared" si="501"/>
        <v>1741</v>
      </c>
      <c r="J1447" s="15">
        <f>OrdersTable!B1447</f>
        <v>696</v>
      </c>
      <c r="K1447" s="15" t="str">
        <f t="shared" si="491"/>
        <v>Posters, Prints and Standees</v>
      </c>
      <c r="L1447" s="15" t="str">
        <f t="shared" si="492"/>
        <v xml:space="preserve">Doctor Who: 50th Anniversary: Poster: To Victory </v>
      </c>
      <c r="M1447" s="15" t="str">
        <f t="shared" si="493"/>
        <v>-</v>
      </c>
      <c r="N1447" s="15">
        <f t="shared" si="494"/>
        <v>0.2</v>
      </c>
      <c r="O1447" s="15" t="str">
        <f t="shared" si="495"/>
        <v>A40</v>
      </c>
      <c r="P1447" s="15" t="str">
        <f t="shared" si="496"/>
        <v>Romana Imports</v>
      </c>
      <c r="Q1447" s="15" t="str">
        <f t="shared" si="497"/>
        <v>17 Lalla Ward Road</v>
      </c>
      <c r="R1447" s="3">
        <f>OrdersTable!C1447</f>
        <v>44663</v>
      </c>
      <c r="S1447" s="15">
        <f>OrdersTable!E1447</f>
        <v>4</v>
      </c>
      <c r="T1447" s="15">
        <f t="shared" si="498"/>
        <v>3.99</v>
      </c>
      <c r="U1447" s="15">
        <f t="shared" si="499"/>
        <v>5.6</v>
      </c>
      <c r="V1447" s="15">
        <f t="shared" si="500"/>
        <v>6.46</v>
      </c>
      <c r="W1447" s="15">
        <f>IF(MarkupType="Store Markup",ROUND(V1447+V1447*StoreMarkup,2),IF(MarkupType="Supplier Markup",V1447+V1447*SupplierMarkup,"Error at finding value"))</f>
        <v>10.17</v>
      </c>
      <c r="X1447" s="32" t="str">
        <f t="shared" si="502"/>
        <v>0.00</v>
      </c>
      <c r="Y1447" s="15">
        <f t="shared" si="503"/>
        <v>25.84</v>
      </c>
      <c r="Z1447" s="15">
        <f t="shared" si="504"/>
        <v>40.68</v>
      </c>
      <c r="AA1447" s="15">
        <f>IF(FreightType="Lethbridge-Stewart Freight ",ROUND(2.99+IF(N1447&gt;0.75,(N1447-0.75)*2.25,0)*S1447,2),IF(MarkupType="Supplier Markup",V1447+V1447*SupplierMarkup,"Error at finding value"))</f>
        <v>2.99</v>
      </c>
      <c r="AB1447" s="15">
        <f t="shared" si="505"/>
        <v>0</v>
      </c>
    </row>
    <row r="1448" spans="1:28" x14ac:dyDescent="0.25">
      <c r="A1448" s="16">
        <f>OrdersTable!A1448</f>
        <v>923</v>
      </c>
      <c r="B1448" s="15" t="str">
        <f t="shared" si="485"/>
        <v>Ms</v>
      </c>
      <c r="C1448" s="15" t="str">
        <f t="shared" si="506"/>
        <v>Savage</v>
      </c>
      <c r="D1448" s="15" t="str">
        <f t="shared" si="486"/>
        <v>Eliza Margaret</v>
      </c>
      <c r="E1448" s="15" t="str">
        <f t="shared" si="487"/>
        <v>28 Whisson Crescent</v>
      </c>
      <c r="F1448" s="15" t="str">
        <f t="shared" si="488"/>
        <v>Belconnen</v>
      </c>
      <c r="G1448" s="15" t="str">
        <f t="shared" si="489"/>
        <v>ACT</v>
      </c>
      <c r="H1448" s="15">
        <f t="shared" si="490"/>
        <v>2617</v>
      </c>
      <c r="I1448" s="15">
        <f t="shared" si="501"/>
        <v>1194</v>
      </c>
      <c r="J1448" s="15">
        <f>OrdersTable!B1448</f>
        <v>607</v>
      </c>
      <c r="K1448" s="15" t="str">
        <f t="shared" si="491"/>
        <v>iPhone Skins</v>
      </c>
      <c r="L1448" s="15" t="str">
        <f t="shared" si="492"/>
        <v>Doctor Who: iPhone Skin: Keep Calm I'm The Doctor</v>
      </c>
      <c r="M1448" s="15" t="str">
        <f t="shared" si="493"/>
        <v>-</v>
      </c>
      <c r="N1448" s="15">
        <f t="shared" si="494"/>
        <v>0.5</v>
      </c>
      <c r="O1448" s="15" t="str">
        <f t="shared" si="495"/>
        <v>A40</v>
      </c>
      <c r="P1448" s="15" t="str">
        <f t="shared" si="496"/>
        <v>Romana Imports</v>
      </c>
      <c r="Q1448" s="15" t="str">
        <f t="shared" si="497"/>
        <v>17 Lalla Ward Road</v>
      </c>
      <c r="R1448" s="3">
        <f>OrdersTable!C1448</f>
        <v>44663</v>
      </c>
      <c r="S1448" s="15">
        <f>OrdersTable!E1448</f>
        <v>6</v>
      </c>
      <c r="T1448" s="15">
        <f t="shared" si="498"/>
        <v>9.99</v>
      </c>
      <c r="U1448" s="15">
        <f t="shared" si="499"/>
        <v>13.81</v>
      </c>
      <c r="V1448" s="15">
        <f t="shared" si="500"/>
        <v>16.18</v>
      </c>
      <c r="W1448" s="15">
        <f>IF(MarkupType="Store Markup",ROUND(V1448+V1448*StoreMarkup,2),IF(MarkupType="Supplier Markup",V1448+V1448*SupplierMarkup,"Error at finding value"))</f>
        <v>25.48</v>
      </c>
      <c r="X1448" s="32" t="str">
        <f t="shared" si="502"/>
        <v>0.00</v>
      </c>
      <c r="Y1448" s="15">
        <f t="shared" si="503"/>
        <v>97.08</v>
      </c>
      <c r="Z1448" s="15">
        <f t="shared" si="504"/>
        <v>152.88</v>
      </c>
      <c r="AA1448" s="15">
        <f>IF(FreightType="Lethbridge-Stewart Freight ",ROUND(2.99+IF(N1448&gt;0.75,(N1448-0.75)*2.25,0)*S1448,2),IF(MarkupType="Supplier Markup",V1448+V1448*SupplierMarkup,"Error at finding value"))</f>
        <v>2.99</v>
      </c>
      <c r="AB1448" s="15">
        <f t="shared" si="505"/>
        <v>0</v>
      </c>
    </row>
    <row r="1449" spans="1:28" x14ac:dyDescent="0.25">
      <c r="A1449" s="16">
        <f>OrdersTable!A1449</f>
        <v>146</v>
      </c>
      <c r="B1449" s="15" t="str">
        <f t="shared" si="485"/>
        <v>Miss</v>
      </c>
      <c r="C1449" s="15" t="str">
        <f t="shared" si="506"/>
        <v>Brown</v>
      </c>
      <c r="D1449" s="15" t="str">
        <f t="shared" si="486"/>
        <v>Sarah Danielle</v>
      </c>
      <c r="E1449" s="15" t="str">
        <f t="shared" si="487"/>
        <v>50 Brieschke Court</v>
      </c>
      <c r="F1449" s="15" t="str">
        <f t="shared" si="488"/>
        <v>Bray Park</v>
      </c>
      <c r="G1449" s="15" t="str">
        <f t="shared" si="489"/>
        <v>QLD</v>
      </c>
      <c r="H1449" s="15">
        <f t="shared" si="490"/>
        <v>4500</v>
      </c>
      <c r="I1449" s="15">
        <f t="shared" si="501"/>
        <v>139</v>
      </c>
      <c r="J1449" s="15">
        <f>OrdersTable!B1449</f>
        <v>805</v>
      </c>
      <c r="K1449" s="15" t="str">
        <f t="shared" si="491"/>
        <v>Statues and Busts</v>
      </c>
      <c r="L1449" s="15" t="str">
        <f t="shared" si="492"/>
        <v>Doctor Who: Masterpiece Collection Maxi Bust: 5th Doctor</v>
      </c>
      <c r="M1449" s="15" t="str">
        <f t="shared" si="493"/>
        <v>-</v>
      </c>
      <c r="N1449" s="15">
        <f t="shared" si="494"/>
        <v>2.5</v>
      </c>
      <c r="O1449" s="15" t="str">
        <f t="shared" si="495"/>
        <v>A20</v>
      </c>
      <c r="P1449" s="15" t="str">
        <f t="shared" si="496"/>
        <v>Morbius Inc.</v>
      </c>
      <c r="Q1449" s="15" t="str">
        <f t="shared" si="497"/>
        <v>56 Michael Spice Hwy</v>
      </c>
      <c r="R1449" s="3">
        <f>OrdersTable!C1449</f>
        <v>44664</v>
      </c>
      <c r="S1449" s="15">
        <f>OrdersTable!E1449</f>
        <v>5</v>
      </c>
      <c r="T1449" s="15">
        <f t="shared" si="498"/>
        <v>49.99</v>
      </c>
      <c r="U1449" s="15">
        <f t="shared" si="499"/>
        <v>68.42</v>
      </c>
      <c r="V1449" s="15">
        <f t="shared" si="500"/>
        <v>80.98</v>
      </c>
      <c r="W1449" s="15">
        <f>IF(MarkupType="Store Markup",ROUND(V1449+V1449*StoreMarkup,2),IF(MarkupType="Supplier Markup",V1449+V1449*SupplierMarkup,"Error at finding value"))</f>
        <v>127.54</v>
      </c>
      <c r="X1449" s="32">
        <f t="shared" si="502"/>
        <v>9.09</v>
      </c>
      <c r="Y1449" s="15">
        <f t="shared" si="503"/>
        <v>404.9</v>
      </c>
      <c r="Z1449" s="15">
        <f t="shared" si="504"/>
        <v>592.25</v>
      </c>
      <c r="AA1449" s="15">
        <f>IF(FreightType="Lethbridge-Stewart Freight ",ROUND(2.99+IF(N1449&gt;0.75,(N1449-0.75)*2.25,0)*S1449,2),IF(MarkupType="Supplier Markup",V1449+V1449*SupplierMarkup,"Error at finding value"))</f>
        <v>22.68</v>
      </c>
      <c r="AB1449" s="15">
        <f t="shared" si="505"/>
        <v>45.45</v>
      </c>
    </row>
    <row r="1450" spans="1:28" x14ac:dyDescent="0.25">
      <c r="A1450" s="16">
        <f>OrdersTable!A1450</f>
        <v>150</v>
      </c>
      <c r="B1450" s="15" t="str">
        <f t="shared" si="485"/>
        <v>Dr</v>
      </c>
      <c r="C1450" s="15" t="str">
        <f t="shared" si="506"/>
        <v>Taumalolo</v>
      </c>
      <c r="D1450" s="15" t="str">
        <f t="shared" si="486"/>
        <v>Latai Fono-Ki-Moana</v>
      </c>
      <c r="E1450" s="15" t="str">
        <f t="shared" si="487"/>
        <v>13 Taylor Way</v>
      </c>
      <c r="F1450" s="15" t="str">
        <f t="shared" si="488"/>
        <v>Bamboo</v>
      </c>
      <c r="G1450" s="15" t="str">
        <f t="shared" si="489"/>
        <v>QLD</v>
      </c>
      <c r="H1450" s="15">
        <f t="shared" si="490"/>
        <v>4873</v>
      </c>
      <c r="I1450" s="15">
        <f t="shared" si="501"/>
        <v>1741</v>
      </c>
      <c r="J1450" s="15">
        <f>OrdersTable!B1450</f>
        <v>685</v>
      </c>
      <c r="K1450" s="15" t="str">
        <f t="shared" si="491"/>
        <v>Mugs</v>
      </c>
      <c r="L1450" s="15" t="str">
        <f t="shared" si="492"/>
        <v>Doctor Who: Teapot: Sliver TARDIS</v>
      </c>
      <c r="M1450" s="15" t="str">
        <f t="shared" si="493"/>
        <v>-</v>
      </c>
      <c r="N1450" s="15">
        <f t="shared" si="494"/>
        <v>1.35</v>
      </c>
      <c r="O1450" s="15" t="str">
        <f t="shared" si="495"/>
        <v>A30</v>
      </c>
      <c r="P1450" s="15" t="str">
        <f t="shared" si="496"/>
        <v>Chesterton Enterprises</v>
      </c>
      <c r="Q1450" s="15" t="str">
        <f t="shared" si="497"/>
        <v>41 William Russell Road</v>
      </c>
      <c r="R1450" s="3">
        <f>OrdersTable!C1450</f>
        <v>44664</v>
      </c>
      <c r="S1450" s="15">
        <f>OrdersTable!E1450</f>
        <v>3</v>
      </c>
      <c r="T1450" s="15">
        <f t="shared" si="498"/>
        <v>26.99</v>
      </c>
      <c r="U1450" s="15">
        <f t="shared" si="499"/>
        <v>36.869999999999997</v>
      </c>
      <c r="V1450" s="15">
        <f t="shared" si="500"/>
        <v>43.72</v>
      </c>
      <c r="W1450" s="15">
        <f>IF(MarkupType="Store Markup",ROUND(V1450+V1450*StoreMarkup,2),IF(MarkupType="Supplier Markup",V1450+V1450*SupplierMarkup,"Error at finding value"))</f>
        <v>68.86</v>
      </c>
      <c r="X1450" s="32" t="str">
        <f t="shared" si="502"/>
        <v>0.00</v>
      </c>
      <c r="Y1450" s="15">
        <f t="shared" si="503"/>
        <v>131.16</v>
      </c>
      <c r="Z1450" s="15">
        <f t="shared" si="504"/>
        <v>206.58</v>
      </c>
      <c r="AA1450" s="15">
        <f>IF(FreightType="Lethbridge-Stewart Freight ",ROUND(2.99+IF(N1450&gt;0.75,(N1450-0.75)*2.25,0)*S1450,2),IF(MarkupType="Supplier Markup",V1450+V1450*SupplierMarkup,"Error at finding value"))</f>
        <v>7.04</v>
      </c>
      <c r="AB1450" s="15">
        <f t="shared" si="505"/>
        <v>0</v>
      </c>
    </row>
    <row r="1451" spans="1:28" x14ac:dyDescent="0.25">
      <c r="A1451" s="16">
        <f>OrdersTable!A1451</f>
        <v>312</v>
      </c>
      <c r="B1451" s="15" t="str">
        <f t="shared" si="485"/>
        <v>Mr</v>
      </c>
      <c r="C1451" s="15" t="str">
        <f t="shared" si="506"/>
        <v>Lloyd</v>
      </c>
      <c r="D1451" s="15" t="str">
        <f t="shared" si="486"/>
        <v>Ben</v>
      </c>
      <c r="E1451" s="15" t="str">
        <f t="shared" si="487"/>
        <v>13 Stark Avenue</v>
      </c>
      <c r="F1451" s="15" t="str">
        <f t="shared" si="488"/>
        <v>Iluka</v>
      </c>
      <c r="G1451" s="15" t="str">
        <f t="shared" si="489"/>
        <v>NSW</v>
      </c>
      <c r="H1451" s="15">
        <f t="shared" si="490"/>
        <v>2466</v>
      </c>
      <c r="I1451" s="15">
        <f t="shared" si="501"/>
        <v>347</v>
      </c>
      <c r="J1451" s="15">
        <f>OrdersTable!B1451</f>
        <v>395</v>
      </c>
      <c r="K1451" s="15" t="str">
        <f t="shared" si="491"/>
        <v>Clothing and Apparel</v>
      </c>
      <c r="L1451" s="15" t="str">
        <f t="shared" si="492"/>
        <v xml:space="preserve">Doctor Who: T-Shirts: 7th Doctor Costume </v>
      </c>
      <c r="M1451" s="15" t="str">
        <f t="shared" si="493"/>
        <v>L</v>
      </c>
      <c r="N1451" s="15">
        <f t="shared" si="494"/>
        <v>0.8</v>
      </c>
      <c r="O1451" s="15" t="str">
        <f t="shared" si="495"/>
        <v>A10</v>
      </c>
      <c r="P1451" s="15" t="str">
        <f t="shared" si="496"/>
        <v>Gallifrey International</v>
      </c>
      <c r="Q1451" s="15" t="str">
        <f t="shared" si="497"/>
        <v>181 Arcadia Street</v>
      </c>
      <c r="R1451" s="3">
        <f>OrdersTable!C1451</f>
        <v>44664</v>
      </c>
      <c r="S1451" s="15">
        <f>OrdersTable!E1451</f>
        <v>10</v>
      </c>
      <c r="T1451" s="15">
        <f t="shared" si="498"/>
        <v>15.99</v>
      </c>
      <c r="U1451" s="15">
        <f t="shared" si="499"/>
        <v>22.07</v>
      </c>
      <c r="V1451" s="15">
        <f t="shared" si="500"/>
        <v>25.9</v>
      </c>
      <c r="W1451" s="15">
        <f>IF(MarkupType="Store Markup",ROUND(V1451+V1451*StoreMarkup,2),IF(MarkupType="Supplier Markup",V1451+V1451*SupplierMarkup,"Error at finding value"))</f>
        <v>40.79</v>
      </c>
      <c r="X1451" s="32" t="str">
        <f t="shared" si="502"/>
        <v>0.00</v>
      </c>
      <c r="Y1451" s="15">
        <f t="shared" si="503"/>
        <v>259</v>
      </c>
      <c r="Z1451" s="15">
        <f t="shared" si="504"/>
        <v>407.9</v>
      </c>
      <c r="AA1451" s="15">
        <f>IF(FreightType="Lethbridge-Stewart Freight ",ROUND(2.99+IF(N1451&gt;0.75,(N1451-0.75)*2.25,0)*S1451,2),IF(MarkupType="Supplier Markup",V1451+V1451*SupplierMarkup,"Error at finding value"))</f>
        <v>4.12</v>
      </c>
      <c r="AB1451" s="15">
        <f t="shared" si="505"/>
        <v>0</v>
      </c>
    </row>
    <row r="1452" spans="1:28" x14ac:dyDescent="0.25">
      <c r="A1452" s="16">
        <f>OrdersTable!A1452</f>
        <v>312</v>
      </c>
      <c r="B1452" s="15" t="str">
        <f t="shared" si="485"/>
        <v>Mr</v>
      </c>
      <c r="C1452" s="15" t="str">
        <f t="shared" si="506"/>
        <v>Lloyd</v>
      </c>
      <c r="D1452" s="15" t="str">
        <f t="shared" si="486"/>
        <v>Ben</v>
      </c>
      <c r="E1452" s="15" t="str">
        <f t="shared" si="487"/>
        <v>13 Stark Avenue</v>
      </c>
      <c r="F1452" s="15" t="str">
        <f t="shared" si="488"/>
        <v>Iluka</v>
      </c>
      <c r="G1452" s="15" t="str">
        <f t="shared" si="489"/>
        <v>NSW</v>
      </c>
      <c r="H1452" s="15">
        <f t="shared" si="490"/>
        <v>2466</v>
      </c>
      <c r="I1452" s="15">
        <f t="shared" si="501"/>
        <v>347</v>
      </c>
      <c r="J1452" s="15">
        <f>OrdersTable!B1452</f>
        <v>725</v>
      </c>
      <c r="K1452" s="15" t="str">
        <f t="shared" si="491"/>
        <v>Props and Replicas</v>
      </c>
      <c r="L1452" s="15" t="str">
        <f t="shared" si="492"/>
        <v>Doctor Who: Captain Jack Sonic Blaster</v>
      </c>
      <c r="M1452" s="15" t="str">
        <f t="shared" si="493"/>
        <v>-</v>
      </c>
      <c r="N1452" s="15">
        <f t="shared" si="494"/>
        <v>14.8</v>
      </c>
      <c r="O1452" s="15" t="str">
        <f t="shared" si="495"/>
        <v>A30</v>
      </c>
      <c r="P1452" s="15" t="str">
        <f t="shared" si="496"/>
        <v>Chesterton Enterprises</v>
      </c>
      <c r="Q1452" s="15" t="str">
        <f t="shared" si="497"/>
        <v>41 William Russell Road</v>
      </c>
      <c r="R1452" s="3">
        <f>OrdersTable!C1452</f>
        <v>44664</v>
      </c>
      <c r="S1452" s="15">
        <f>OrdersTable!E1452</f>
        <v>1</v>
      </c>
      <c r="T1452" s="15">
        <f t="shared" si="498"/>
        <v>295.99</v>
      </c>
      <c r="U1452" s="15">
        <f t="shared" si="499"/>
        <v>403.88</v>
      </c>
      <c r="V1452" s="15">
        <f t="shared" si="500"/>
        <v>479.5</v>
      </c>
      <c r="W1452" s="15">
        <f>IF(MarkupType="Store Markup",ROUND(V1452+V1452*StoreMarkup,2),IF(MarkupType="Supplier Markup",V1452+V1452*SupplierMarkup,"Error at finding value"))</f>
        <v>755.21</v>
      </c>
      <c r="X1452" s="32" t="str">
        <f t="shared" si="502"/>
        <v>0.00</v>
      </c>
      <c r="Y1452" s="15">
        <f t="shared" si="503"/>
        <v>479.5</v>
      </c>
      <c r="Z1452" s="15">
        <f t="shared" si="504"/>
        <v>755.21</v>
      </c>
      <c r="AA1452" s="15">
        <f>IF(FreightType="Lethbridge-Stewart Freight ",ROUND(2.99+IF(N1452&gt;0.75,(N1452-0.75)*2.25,0)*S1452,2),IF(MarkupType="Supplier Markup",V1452+V1452*SupplierMarkup,"Error at finding value"))</f>
        <v>34.6</v>
      </c>
      <c r="AB1452" s="15">
        <f t="shared" si="505"/>
        <v>0</v>
      </c>
    </row>
    <row r="1453" spans="1:28" x14ac:dyDescent="0.25">
      <c r="A1453" s="16">
        <f>OrdersTable!A1453</f>
        <v>331</v>
      </c>
      <c r="B1453" s="15" t="str">
        <f t="shared" si="485"/>
        <v>Mrs</v>
      </c>
      <c r="C1453" s="15" t="str">
        <f t="shared" si="506"/>
        <v>McKenzie</v>
      </c>
      <c r="D1453" s="15" t="str">
        <f t="shared" si="486"/>
        <v>Melinda Kate</v>
      </c>
      <c r="E1453" s="15" t="str">
        <f t="shared" si="487"/>
        <v>49 McKay Way</v>
      </c>
      <c r="F1453" s="15" t="str">
        <f t="shared" si="488"/>
        <v>Black Hills</v>
      </c>
      <c r="G1453" s="15" t="str">
        <f t="shared" si="489"/>
        <v>TAS</v>
      </c>
      <c r="H1453" s="15">
        <f t="shared" si="490"/>
        <v>7140</v>
      </c>
      <c r="I1453" s="15">
        <f t="shared" si="501"/>
        <v>2191</v>
      </c>
      <c r="J1453" s="15">
        <f>OrdersTable!B1453</f>
        <v>792</v>
      </c>
      <c r="K1453" s="15" t="str">
        <f t="shared" si="491"/>
        <v>Statues and Busts</v>
      </c>
      <c r="L1453" s="15" t="str">
        <f t="shared" si="492"/>
        <v>Doctor Who: Masterpiece Collection Maxi Bust: 3rd Doctor</v>
      </c>
      <c r="M1453" s="15" t="str">
        <f t="shared" si="493"/>
        <v>-</v>
      </c>
      <c r="N1453" s="15">
        <f t="shared" si="494"/>
        <v>2.5</v>
      </c>
      <c r="O1453" s="15" t="str">
        <f t="shared" si="495"/>
        <v>A20</v>
      </c>
      <c r="P1453" s="15" t="str">
        <f t="shared" si="496"/>
        <v>Morbius Inc.</v>
      </c>
      <c r="Q1453" s="15" t="str">
        <f t="shared" si="497"/>
        <v>56 Michael Spice Hwy</v>
      </c>
      <c r="R1453" s="3">
        <f>OrdersTable!C1453</f>
        <v>44664</v>
      </c>
      <c r="S1453" s="15">
        <f>OrdersTable!E1453</f>
        <v>10</v>
      </c>
      <c r="T1453" s="15">
        <f t="shared" si="498"/>
        <v>49.99</v>
      </c>
      <c r="U1453" s="15">
        <f t="shared" si="499"/>
        <v>68.39</v>
      </c>
      <c r="V1453" s="15">
        <f t="shared" si="500"/>
        <v>80.98</v>
      </c>
      <c r="W1453" s="15">
        <f>IF(MarkupType="Store Markup",ROUND(V1453+V1453*StoreMarkup,2),IF(MarkupType="Supplier Markup",V1453+V1453*SupplierMarkup,"Error at finding value"))</f>
        <v>127.54</v>
      </c>
      <c r="X1453" s="32">
        <f t="shared" si="502"/>
        <v>9.09</v>
      </c>
      <c r="Y1453" s="15">
        <f t="shared" si="503"/>
        <v>809.8</v>
      </c>
      <c r="Z1453" s="15">
        <f t="shared" si="504"/>
        <v>1184.5</v>
      </c>
      <c r="AA1453" s="15">
        <f>IF(FreightType="Lethbridge-Stewart Freight ",ROUND(2.99+IF(N1453&gt;0.75,(N1453-0.75)*2.25,0)*S1453,2),IF(MarkupType="Supplier Markup",V1453+V1453*SupplierMarkup,"Error at finding value"))</f>
        <v>42.37</v>
      </c>
      <c r="AB1453" s="15">
        <f t="shared" si="505"/>
        <v>90.9</v>
      </c>
    </row>
    <row r="1454" spans="1:28" x14ac:dyDescent="0.25">
      <c r="A1454" s="16">
        <f>OrdersTable!A1454</f>
        <v>331</v>
      </c>
      <c r="B1454" s="15" t="str">
        <f t="shared" si="485"/>
        <v>Mrs</v>
      </c>
      <c r="C1454" s="15" t="str">
        <f t="shared" si="506"/>
        <v>McKenzie</v>
      </c>
      <c r="D1454" s="15" t="str">
        <f t="shared" si="486"/>
        <v>Melinda Kate</v>
      </c>
      <c r="E1454" s="15" t="str">
        <f t="shared" si="487"/>
        <v>49 McKay Way</v>
      </c>
      <c r="F1454" s="15" t="str">
        <f t="shared" si="488"/>
        <v>Black Hills</v>
      </c>
      <c r="G1454" s="15" t="str">
        <f t="shared" si="489"/>
        <v>TAS</v>
      </c>
      <c r="H1454" s="15">
        <f t="shared" si="490"/>
        <v>7140</v>
      </c>
      <c r="I1454" s="15">
        <f t="shared" si="501"/>
        <v>2191</v>
      </c>
      <c r="J1454" s="15">
        <f>OrdersTable!B1454</f>
        <v>853</v>
      </c>
      <c r="K1454" s="15" t="str">
        <f t="shared" si="491"/>
        <v>Statues and Busts</v>
      </c>
      <c r="L1454" s="15" t="str">
        <f t="shared" si="492"/>
        <v>Doctor Who: Statue: The Master And Auton</v>
      </c>
      <c r="M1454" s="15" t="str">
        <f t="shared" si="493"/>
        <v>-</v>
      </c>
      <c r="N1454" s="15">
        <f t="shared" si="494"/>
        <v>3.5</v>
      </c>
      <c r="O1454" s="15" t="str">
        <f t="shared" si="495"/>
        <v>A50</v>
      </c>
      <c r="P1454" s="15" t="str">
        <f t="shared" si="496"/>
        <v>Rassilon Ltd.</v>
      </c>
      <c r="Q1454" s="15" t="str">
        <f t="shared" si="497"/>
        <v>82 Richard Mathews Road</v>
      </c>
      <c r="R1454" s="3">
        <f>OrdersTable!C1454</f>
        <v>44664</v>
      </c>
      <c r="S1454" s="15">
        <f>OrdersTable!E1454</f>
        <v>8</v>
      </c>
      <c r="T1454" s="15">
        <f t="shared" si="498"/>
        <v>69.989999999999995</v>
      </c>
      <c r="U1454" s="15">
        <f t="shared" si="499"/>
        <v>95.51</v>
      </c>
      <c r="V1454" s="15">
        <f t="shared" si="500"/>
        <v>113.38</v>
      </c>
      <c r="W1454" s="15">
        <f>IF(MarkupType="Store Markup",ROUND(V1454+V1454*StoreMarkup,2),IF(MarkupType="Supplier Markup",V1454+V1454*SupplierMarkup,"Error at finding value"))</f>
        <v>178.57</v>
      </c>
      <c r="X1454" s="32">
        <f t="shared" si="502"/>
        <v>12.72</v>
      </c>
      <c r="Y1454" s="15">
        <f t="shared" si="503"/>
        <v>907.04</v>
      </c>
      <c r="Z1454" s="15">
        <f t="shared" si="504"/>
        <v>1326.8</v>
      </c>
      <c r="AA1454" s="15">
        <f>IF(FreightType="Lethbridge-Stewart Freight ",ROUND(2.99+IF(N1454&gt;0.75,(N1454-0.75)*2.25,0)*S1454,2),IF(MarkupType="Supplier Markup",V1454+V1454*SupplierMarkup,"Error at finding value"))</f>
        <v>52.49</v>
      </c>
      <c r="AB1454" s="15">
        <f t="shared" si="505"/>
        <v>101.76</v>
      </c>
    </row>
    <row r="1455" spans="1:28" x14ac:dyDescent="0.25">
      <c r="A1455" s="16">
        <f>OrdersTable!A1455</f>
        <v>334</v>
      </c>
      <c r="B1455" s="15" t="str">
        <f t="shared" si="485"/>
        <v>Mrs</v>
      </c>
      <c r="C1455" s="15" t="str">
        <f t="shared" si="506"/>
        <v>Wilson</v>
      </c>
      <c r="D1455" s="15" t="str">
        <f t="shared" si="486"/>
        <v>Hayley Lauren</v>
      </c>
      <c r="E1455" s="15" t="str">
        <f t="shared" si="487"/>
        <v>3 Ashley Crescent</v>
      </c>
      <c r="F1455" s="15" t="str">
        <f t="shared" si="488"/>
        <v>Black Hills</v>
      </c>
      <c r="G1455" s="15" t="str">
        <f t="shared" si="489"/>
        <v>TAS</v>
      </c>
      <c r="H1455" s="15">
        <f t="shared" si="490"/>
        <v>7140</v>
      </c>
      <c r="I1455" s="15">
        <f t="shared" si="501"/>
        <v>2191</v>
      </c>
      <c r="J1455" s="15">
        <f>OrdersTable!B1455</f>
        <v>757</v>
      </c>
      <c r="K1455" s="15" t="str">
        <f t="shared" si="491"/>
        <v>Statues and Busts</v>
      </c>
      <c r="L1455" s="15" t="str">
        <f t="shared" si="492"/>
        <v>Doctor Who: Helmet: Ice Warrior</v>
      </c>
      <c r="M1455" s="15" t="str">
        <f t="shared" si="493"/>
        <v>-</v>
      </c>
      <c r="N1455" s="15">
        <f t="shared" si="494"/>
        <v>1.75</v>
      </c>
      <c r="O1455" s="15" t="str">
        <f t="shared" si="495"/>
        <v>A20</v>
      </c>
      <c r="P1455" s="15" t="str">
        <f t="shared" si="496"/>
        <v>Morbius Inc.</v>
      </c>
      <c r="Q1455" s="15" t="str">
        <f t="shared" si="497"/>
        <v>56 Michael Spice Hwy</v>
      </c>
      <c r="R1455" s="3">
        <f>OrdersTable!C1455</f>
        <v>44664</v>
      </c>
      <c r="S1455" s="15">
        <f>OrdersTable!E1455</f>
        <v>8</v>
      </c>
      <c r="T1455" s="15">
        <f t="shared" si="498"/>
        <v>34.99</v>
      </c>
      <c r="U1455" s="15">
        <f t="shared" si="499"/>
        <v>47.88</v>
      </c>
      <c r="V1455" s="15">
        <f t="shared" si="500"/>
        <v>56.68</v>
      </c>
      <c r="W1455" s="15">
        <f>IF(MarkupType="Store Markup",ROUND(V1455+V1455*StoreMarkup,2),IF(MarkupType="Supplier Markup",V1455+V1455*SupplierMarkup,"Error at finding value"))</f>
        <v>89.27</v>
      </c>
      <c r="X1455" s="32" t="str">
        <f t="shared" si="502"/>
        <v>0.00</v>
      </c>
      <c r="Y1455" s="15">
        <f t="shared" si="503"/>
        <v>453.44</v>
      </c>
      <c r="Z1455" s="15">
        <f t="shared" si="504"/>
        <v>714.16</v>
      </c>
      <c r="AA1455" s="15">
        <f>IF(FreightType="Lethbridge-Stewart Freight ",ROUND(2.99+IF(N1455&gt;0.75,(N1455-0.75)*2.25,0)*S1455,2),IF(MarkupType="Supplier Markup",V1455+V1455*SupplierMarkup,"Error at finding value"))</f>
        <v>20.99</v>
      </c>
      <c r="AB1455" s="15">
        <f t="shared" si="505"/>
        <v>0</v>
      </c>
    </row>
    <row r="1456" spans="1:28" x14ac:dyDescent="0.25">
      <c r="A1456" s="16">
        <f>OrdersTable!A1456</f>
        <v>416</v>
      </c>
      <c r="B1456" s="15" t="str">
        <f t="shared" si="485"/>
        <v>Mr</v>
      </c>
      <c r="C1456" s="15" t="str">
        <f t="shared" si="506"/>
        <v>Mohammed</v>
      </c>
      <c r="D1456" s="15" t="str">
        <f t="shared" si="486"/>
        <v>Ahmed</v>
      </c>
      <c r="E1456" s="15" t="str">
        <f t="shared" si="487"/>
        <v>35 Ridley Avenue</v>
      </c>
      <c r="F1456" s="15" t="str">
        <f t="shared" si="488"/>
        <v>Iluka</v>
      </c>
      <c r="G1456" s="15" t="str">
        <f t="shared" si="489"/>
        <v>NSW</v>
      </c>
      <c r="H1456" s="15">
        <f t="shared" si="490"/>
        <v>2466</v>
      </c>
      <c r="I1456" s="15">
        <f t="shared" si="501"/>
        <v>347</v>
      </c>
      <c r="J1456" s="15">
        <f>OrdersTable!B1456</f>
        <v>703</v>
      </c>
      <c r="K1456" s="15" t="str">
        <f t="shared" si="491"/>
        <v>Posters, Prints and Standees</v>
      </c>
      <c r="L1456" s="15" t="str">
        <f t="shared" si="492"/>
        <v>Doctor Who: Poster: Doctor With Sonic Screwdriver</v>
      </c>
      <c r="M1456" s="15" t="str">
        <f t="shared" si="493"/>
        <v>-</v>
      </c>
      <c r="N1456" s="15">
        <f t="shared" si="494"/>
        <v>0.2</v>
      </c>
      <c r="O1456" s="15" t="str">
        <f t="shared" si="495"/>
        <v>A50</v>
      </c>
      <c r="P1456" s="15" t="str">
        <f t="shared" si="496"/>
        <v>Rassilon Ltd.</v>
      </c>
      <c r="Q1456" s="15" t="str">
        <f t="shared" si="497"/>
        <v>82 Richard Mathews Road</v>
      </c>
      <c r="R1456" s="3">
        <f>OrdersTable!C1456</f>
        <v>44664</v>
      </c>
      <c r="S1456" s="15">
        <f>OrdersTable!E1456</f>
        <v>5</v>
      </c>
      <c r="T1456" s="15">
        <f t="shared" si="498"/>
        <v>3.99</v>
      </c>
      <c r="U1456" s="15">
        <f t="shared" si="499"/>
        <v>5.51</v>
      </c>
      <c r="V1456" s="15">
        <f t="shared" si="500"/>
        <v>6.46</v>
      </c>
      <c r="W1456" s="15">
        <f>IF(MarkupType="Store Markup",ROUND(V1456+V1456*StoreMarkup,2),IF(MarkupType="Supplier Markup",V1456+V1456*SupplierMarkup,"Error at finding value"))</f>
        <v>10.17</v>
      </c>
      <c r="X1456" s="32" t="str">
        <f t="shared" si="502"/>
        <v>0.00</v>
      </c>
      <c r="Y1456" s="15">
        <f t="shared" si="503"/>
        <v>32.299999999999997</v>
      </c>
      <c r="Z1456" s="15">
        <f t="shared" si="504"/>
        <v>50.85</v>
      </c>
      <c r="AA1456" s="15">
        <f>IF(FreightType="Lethbridge-Stewart Freight ",ROUND(2.99+IF(N1456&gt;0.75,(N1456-0.75)*2.25,0)*S1456,2),IF(MarkupType="Supplier Markup",V1456+V1456*SupplierMarkup,"Error at finding value"))</f>
        <v>2.99</v>
      </c>
      <c r="AB1456" s="15">
        <f t="shared" si="505"/>
        <v>0</v>
      </c>
    </row>
    <row r="1457" spans="1:28" x14ac:dyDescent="0.25">
      <c r="A1457" s="16">
        <f>OrdersTable!A1457</f>
        <v>491</v>
      </c>
      <c r="B1457" s="15" t="str">
        <f t="shared" si="485"/>
        <v>Miss</v>
      </c>
      <c r="C1457" s="15" t="str">
        <f t="shared" si="506"/>
        <v>Winks</v>
      </c>
      <c r="D1457" s="15" t="str">
        <f t="shared" si="486"/>
        <v>Lori-Ann</v>
      </c>
      <c r="E1457" s="15" t="str">
        <f t="shared" si="487"/>
        <v>40 Lyne Street</v>
      </c>
      <c r="F1457" s="15" t="str">
        <f t="shared" si="488"/>
        <v>Bray Park</v>
      </c>
      <c r="G1457" s="15" t="str">
        <f t="shared" si="489"/>
        <v>QLD</v>
      </c>
      <c r="H1457" s="15">
        <f t="shared" si="490"/>
        <v>4500</v>
      </c>
      <c r="I1457" s="15">
        <f t="shared" si="501"/>
        <v>139</v>
      </c>
      <c r="J1457" s="15">
        <f>OrdersTable!B1457</f>
        <v>849</v>
      </c>
      <c r="K1457" s="15" t="str">
        <f t="shared" si="491"/>
        <v>Statues and Busts</v>
      </c>
      <c r="L1457" s="15" t="str">
        <f t="shared" si="492"/>
        <v>Doctor Who: Statue: Cyber Controller</v>
      </c>
      <c r="M1457" s="15" t="str">
        <f t="shared" si="493"/>
        <v>-</v>
      </c>
      <c r="N1457" s="15">
        <f t="shared" si="494"/>
        <v>5</v>
      </c>
      <c r="O1457" s="15" t="str">
        <f t="shared" si="495"/>
        <v>A10</v>
      </c>
      <c r="P1457" s="15" t="str">
        <f t="shared" si="496"/>
        <v>Gallifrey International</v>
      </c>
      <c r="Q1457" s="15" t="str">
        <f t="shared" si="497"/>
        <v>181 Arcadia Street</v>
      </c>
      <c r="R1457" s="3">
        <f>OrdersTable!C1457</f>
        <v>44664</v>
      </c>
      <c r="S1457" s="15">
        <f>OrdersTable!E1457</f>
        <v>8</v>
      </c>
      <c r="T1457" s="15">
        <f t="shared" si="498"/>
        <v>99.99</v>
      </c>
      <c r="U1457" s="15">
        <f t="shared" si="499"/>
        <v>136.41</v>
      </c>
      <c r="V1457" s="15">
        <f t="shared" si="500"/>
        <v>161.97999999999999</v>
      </c>
      <c r="W1457" s="15">
        <f>IF(MarkupType="Store Markup",ROUND(V1457+V1457*StoreMarkup,2),IF(MarkupType="Supplier Markup",V1457+V1457*SupplierMarkup,"Error at finding value"))</f>
        <v>255.12</v>
      </c>
      <c r="X1457" s="32">
        <f t="shared" si="502"/>
        <v>18.18</v>
      </c>
      <c r="Y1457" s="15">
        <f t="shared" si="503"/>
        <v>1295.8399999999999</v>
      </c>
      <c r="Z1457" s="15">
        <f t="shared" si="504"/>
        <v>1895.52</v>
      </c>
      <c r="AA1457" s="15">
        <f>IF(FreightType="Lethbridge-Stewart Freight ",ROUND(2.99+IF(N1457&gt;0.75,(N1457-0.75)*2.25,0)*S1457,2),IF(MarkupType="Supplier Markup",V1457+V1457*SupplierMarkup,"Error at finding value"))</f>
        <v>79.489999999999995</v>
      </c>
      <c r="AB1457" s="15">
        <f t="shared" si="505"/>
        <v>145.44</v>
      </c>
    </row>
    <row r="1458" spans="1:28" x14ac:dyDescent="0.25">
      <c r="A1458" s="16">
        <f>OrdersTable!A1458</f>
        <v>496</v>
      </c>
      <c r="B1458" s="15" t="str">
        <f t="shared" si="485"/>
        <v>Dr</v>
      </c>
      <c r="C1458" s="15" t="str">
        <f t="shared" si="506"/>
        <v>Johnston</v>
      </c>
      <c r="D1458" s="15" t="str">
        <f t="shared" si="486"/>
        <v>Karrina</v>
      </c>
      <c r="E1458" s="15" t="str">
        <f t="shared" si="487"/>
        <v>11 Bishop Drive</v>
      </c>
      <c r="F1458" s="15" t="str">
        <f t="shared" si="488"/>
        <v>Belford</v>
      </c>
      <c r="G1458" s="15" t="str">
        <f t="shared" si="489"/>
        <v>NSW</v>
      </c>
      <c r="H1458" s="15">
        <f t="shared" si="490"/>
        <v>2335</v>
      </c>
      <c r="I1458" s="15">
        <f t="shared" si="501"/>
        <v>716</v>
      </c>
      <c r="J1458" s="15">
        <f>OrdersTable!B1458</f>
        <v>607</v>
      </c>
      <c r="K1458" s="15" t="str">
        <f t="shared" si="491"/>
        <v>iPhone Skins</v>
      </c>
      <c r="L1458" s="15" t="str">
        <f t="shared" si="492"/>
        <v>Doctor Who: iPhone Skin: Keep Calm I'm The Doctor</v>
      </c>
      <c r="M1458" s="15" t="str">
        <f t="shared" si="493"/>
        <v>-</v>
      </c>
      <c r="N1458" s="15">
        <f t="shared" si="494"/>
        <v>0.5</v>
      </c>
      <c r="O1458" s="15" t="str">
        <f t="shared" si="495"/>
        <v>A40</v>
      </c>
      <c r="P1458" s="15" t="str">
        <f t="shared" si="496"/>
        <v>Romana Imports</v>
      </c>
      <c r="Q1458" s="15" t="str">
        <f t="shared" si="497"/>
        <v>17 Lalla Ward Road</v>
      </c>
      <c r="R1458" s="3">
        <f>OrdersTable!C1458</f>
        <v>44664</v>
      </c>
      <c r="S1458" s="15">
        <f>OrdersTable!E1458</f>
        <v>10</v>
      </c>
      <c r="T1458" s="15">
        <f t="shared" si="498"/>
        <v>9.99</v>
      </c>
      <c r="U1458" s="15">
        <f t="shared" si="499"/>
        <v>13.81</v>
      </c>
      <c r="V1458" s="15">
        <f t="shared" si="500"/>
        <v>16.18</v>
      </c>
      <c r="W1458" s="15">
        <f>IF(MarkupType="Store Markup",ROUND(V1458+V1458*StoreMarkup,2),IF(MarkupType="Supplier Markup",V1458+V1458*SupplierMarkup,"Error at finding value"))</f>
        <v>25.48</v>
      </c>
      <c r="X1458" s="32" t="str">
        <f t="shared" si="502"/>
        <v>0.00</v>
      </c>
      <c r="Y1458" s="15">
        <f t="shared" si="503"/>
        <v>161.80000000000001</v>
      </c>
      <c r="Z1458" s="15">
        <f t="shared" si="504"/>
        <v>254.8</v>
      </c>
      <c r="AA1458" s="15">
        <f>IF(FreightType="Lethbridge-Stewart Freight ",ROUND(2.99+IF(N1458&gt;0.75,(N1458-0.75)*2.25,0)*S1458,2),IF(MarkupType="Supplier Markup",V1458+V1458*SupplierMarkup,"Error at finding value"))</f>
        <v>2.99</v>
      </c>
      <c r="AB1458" s="15">
        <f t="shared" si="505"/>
        <v>0</v>
      </c>
    </row>
    <row r="1459" spans="1:28" x14ac:dyDescent="0.25">
      <c r="A1459" s="16">
        <f>OrdersTable!A1459</f>
        <v>538</v>
      </c>
      <c r="B1459" s="15" t="str">
        <f t="shared" si="485"/>
        <v>Dr</v>
      </c>
      <c r="C1459" s="15" t="str">
        <f t="shared" si="506"/>
        <v>Radovic</v>
      </c>
      <c r="D1459" s="15" t="str">
        <f t="shared" si="486"/>
        <v>Harley Benjamin</v>
      </c>
      <c r="E1459" s="15" t="str">
        <f t="shared" si="487"/>
        <v>50 Hocking Way</v>
      </c>
      <c r="F1459" s="15" t="str">
        <f t="shared" si="488"/>
        <v>Bray Park</v>
      </c>
      <c r="G1459" s="15" t="str">
        <f t="shared" si="489"/>
        <v>QLD</v>
      </c>
      <c r="H1459" s="15">
        <f t="shared" si="490"/>
        <v>4500</v>
      </c>
      <c r="I1459" s="15">
        <f t="shared" si="501"/>
        <v>139</v>
      </c>
      <c r="J1459" s="15">
        <f>OrdersTable!B1459</f>
        <v>867</v>
      </c>
      <c r="K1459" s="15" t="str">
        <f t="shared" si="491"/>
        <v>Statues and Busts</v>
      </c>
      <c r="L1459" s="15" t="str">
        <f t="shared" si="492"/>
        <v>Doctor Who: TITANS: The 11th Doctor</v>
      </c>
      <c r="M1459" s="15" t="str">
        <f t="shared" si="493"/>
        <v>-</v>
      </c>
      <c r="N1459" s="15">
        <f t="shared" si="494"/>
        <v>0.4</v>
      </c>
      <c r="O1459" s="15" t="str">
        <f t="shared" si="495"/>
        <v>A20</v>
      </c>
      <c r="P1459" s="15" t="str">
        <f t="shared" si="496"/>
        <v>Morbius Inc.</v>
      </c>
      <c r="Q1459" s="15" t="str">
        <f t="shared" si="497"/>
        <v>56 Michael Spice Hwy</v>
      </c>
      <c r="R1459" s="3">
        <f>OrdersTable!C1459</f>
        <v>44664</v>
      </c>
      <c r="S1459" s="15">
        <f>OrdersTable!E1459</f>
        <v>7</v>
      </c>
      <c r="T1459" s="15">
        <f t="shared" si="498"/>
        <v>7.99</v>
      </c>
      <c r="U1459" s="15">
        <f t="shared" si="499"/>
        <v>11.1</v>
      </c>
      <c r="V1459" s="15">
        <f t="shared" si="500"/>
        <v>12.94</v>
      </c>
      <c r="W1459" s="15">
        <f>IF(MarkupType="Store Markup",ROUND(V1459+V1459*StoreMarkup,2),IF(MarkupType="Supplier Markup",V1459+V1459*SupplierMarkup,"Error at finding value"))</f>
        <v>20.38</v>
      </c>
      <c r="X1459" s="32" t="str">
        <f t="shared" si="502"/>
        <v>0.00</v>
      </c>
      <c r="Y1459" s="15">
        <f t="shared" si="503"/>
        <v>90.58</v>
      </c>
      <c r="Z1459" s="15">
        <f t="shared" si="504"/>
        <v>142.66</v>
      </c>
      <c r="AA1459" s="15">
        <f>IF(FreightType="Lethbridge-Stewart Freight ",ROUND(2.99+IF(N1459&gt;0.75,(N1459-0.75)*2.25,0)*S1459,2),IF(MarkupType="Supplier Markup",V1459+V1459*SupplierMarkup,"Error at finding value"))</f>
        <v>2.99</v>
      </c>
      <c r="AB1459" s="15">
        <f t="shared" si="505"/>
        <v>0</v>
      </c>
    </row>
    <row r="1460" spans="1:28" x14ac:dyDescent="0.25">
      <c r="A1460" s="16">
        <f>OrdersTable!A1460</f>
        <v>544</v>
      </c>
      <c r="B1460" s="15" t="str">
        <f t="shared" si="485"/>
        <v>Mr</v>
      </c>
      <c r="C1460" s="15" t="str">
        <f t="shared" si="506"/>
        <v>Sullivan</v>
      </c>
      <c r="D1460" s="15" t="str">
        <f t="shared" si="486"/>
        <v>Lawrence Bernard</v>
      </c>
      <c r="E1460" s="15" t="str">
        <f t="shared" si="487"/>
        <v>11 Haydon Boulevard</v>
      </c>
      <c r="F1460" s="15" t="str">
        <f t="shared" si="488"/>
        <v>Breakwater</v>
      </c>
      <c r="G1460" s="15" t="str">
        <f t="shared" si="489"/>
        <v>VIC</v>
      </c>
      <c r="H1460" s="15">
        <f t="shared" si="490"/>
        <v>3219</v>
      </c>
      <c r="I1460" s="15">
        <f t="shared" si="501"/>
        <v>1596</v>
      </c>
      <c r="J1460" s="15">
        <f>OrdersTable!B1460</f>
        <v>590</v>
      </c>
      <c r="K1460" s="15" t="str">
        <f t="shared" si="491"/>
        <v>iPhone Skins</v>
      </c>
      <c r="L1460" s="15" t="str">
        <f t="shared" si="492"/>
        <v>Doctor Who: iPhone Skin: Exploding TARDIS</v>
      </c>
      <c r="M1460" s="15" t="str">
        <f t="shared" si="493"/>
        <v>-</v>
      </c>
      <c r="N1460" s="15">
        <f t="shared" si="494"/>
        <v>0.5</v>
      </c>
      <c r="O1460" s="15" t="str">
        <f t="shared" si="495"/>
        <v>A20</v>
      </c>
      <c r="P1460" s="15" t="str">
        <f t="shared" si="496"/>
        <v>Morbius Inc.</v>
      </c>
      <c r="Q1460" s="15" t="str">
        <f t="shared" si="497"/>
        <v>56 Michael Spice Hwy</v>
      </c>
      <c r="R1460" s="3">
        <f>OrdersTable!C1460</f>
        <v>44664</v>
      </c>
      <c r="S1460" s="15">
        <f>OrdersTable!E1460</f>
        <v>7</v>
      </c>
      <c r="T1460" s="15">
        <f t="shared" si="498"/>
        <v>9.99</v>
      </c>
      <c r="U1460" s="15">
        <f t="shared" si="499"/>
        <v>13.86</v>
      </c>
      <c r="V1460" s="15">
        <f t="shared" si="500"/>
        <v>16.18</v>
      </c>
      <c r="W1460" s="15">
        <f>IF(MarkupType="Store Markup",ROUND(V1460+V1460*StoreMarkup,2),IF(MarkupType="Supplier Markup",V1460+V1460*SupplierMarkup,"Error at finding value"))</f>
        <v>25.48</v>
      </c>
      <c r="X1460" s="32" t="str">
        <f t="shared" si="502"/>
        <v>0.00</v>
      </c>
      <c r="Y1460" s="15">
        <f t="shared" si="503"/>
        <v>113.26</v>
      </c>
      <c r="Z1460" s="15">
        <f t="shared" si="504"/>
        <v>178.36</v>
      </c>
      <c r="AA1460" s="15">
        <f>IF(FreightType="Lethbridge-Stewart Freight ",ROUND(2.99+IF(N1460&gt;0.75,(N1460-0.75)*2.25,0)*S1460,2),IF(MarkupType="Supplier Markup",V1460+V1460*SupplierMarkup,"Error at finding value"))</f>
        <v>2.99</v>
      </c>
      <c r="AB1460" s="15">
        <f t="shared" si="505"/>
        <v>0</v>
      </c>
    </row>
    <row r="1461" spans="1:28" x14ac:dyDescent="0.25">
      <c r="A1461" s="16">
        <f>OrdersTable!A1461</f>
        <v>570</v>
      </c>
      <c r="B1461" s="15" t="str">
        <f t="shared" si="485"/>
        <v>Mr</v>
      </c>
      <c r="C1461" s="15" t="str">
        <f t="shared" si="506"/>
        <v>Adams</v>
      </c>
      <c r="D1461" s="15" t="str">
        <f t="shared" si="486"/>
        <v>Matthew</v>
      </c>
      <c r="E1461" s="15" t="str">
        <f t="shared" si="487"/>
        <v>36 Fenech Avenue</v>
      </c>
      <c r="F1461" s="15" t="str">
        <f t="shared" si="488"/>
        <v>Bray Park</v>
      </c>
      <c r="G1461" s="15" t="str">
        <f t="shared" si="489"/>
        <v>QLD</v>
      </c>
      <c r="H1461" s="15">
        <f t="shared" si="490"/>
        <v>4500</v>
      </c>
      <c r="I1461" s="15">
        <f t="shared" si="501"/>
        <v>139</v>
      </c>
      <c r="J1461" s="15">
        <f>OrdersTable!B1461</f>
        <v>834</v>
      </c>
      <c r="K1461" s="15" t="str">
        <f t="shared" si="491"/>
        <v>Statues and Busts</v>
      </c>
      <c r="L1461" s="15" t="str">
        <f t="shared" si="492"/>
        <v>Doctor Who: Signature Edition Statue: Gallifrey Edition: Matt Smith</v>
      </c>
      <c r="M1461" s="15" t="str">
        <f t="shared" si="493"/>
        <v>-</v>
      </c>
      <c r="N1461" s="15">
        <f t="shared" si="494"/>
        <v>2.5</v>
      </c>
      <c r="O1461" s="15" t="str">
        <f t="shared" si="495"/>
        <v>A30</v>
      </c>
      <c r="P1461" s="15" t="str">
        <f t="shared" si="496"/>
        <v>Chesterton Enterprises</v>
      </c>
      <c r="Q1461" s="15" t="str">
        <f t="shared" si="497"/>
        <v>41 William Russell Road</v>
      </c>
      <c r="R1461" s="3">
        <f>OrdersTable!C1461</f>
        <v>44664</v>
      </c>
      <c r="S1461" s="15">
        <f>OrdersTable!E1461</f>
        <v>7</v>
      </c>
      <c r="T1461" s="15">
        <f t="shared" si="498"/>
        <v>49.99</v>
      </c>
      <c r="U1461" s="15">
        <f t="shared" si="499"/>
        <v>68.52</v>
      </c>
      <c r="V1461" s="15">
        <f t="shared" si="500"/>
        <v>80.98</v>
      </c>
      <c r="W1461" s="15">
        <f>IF(MarkupType="Store Markup",ROUND(V1461+V1461*StoreMarkup,2),IF(MarkupType="Supplier Markup",V1461+V1461*SupplierMarkup,"Error at finding value"))</f>
        <v>127.54</v>
      </c>
      <c r="X1461" s="32">
        <f t="shared" si="502"/>
        <v>9.09</v>
      </c>
      <c r="Y1461" s="15">
        <f t="shared" si="503"/>
        <v>566.86</v>
      </c>
      <c r="Z1461" s="15">
        <f t="shared" si="504"/>
        <v>829.15</v>
      </c>
      <c r="AA1461" s="15">
        <f>IF(FreightType="Lethbridge-Stewart Freight ",ROUND(2.99+IF(N1461&gt;0.75,(N1461-0.75)*2.25,0)*S1461,2),IF(MarkupType="Supplier Markup",V1461+V1461*SupplierMarkup,"Error at finding value"))</f>
        <v>30.55</v>
      </c>
      <c r="AB1461" s="15">
        <f t="shared" si="505"/>
        <v>63.63</v>
      </c>
    </row>
    <row r="1462" spans="1:28" x14ac:dyDescent="0.25">
      <c r="A1462" s="16">
        <f>OrdersTable!A1462</f>
        <v>600</v>
      </c>
      <c r="B1462" s="15" t="str">
        <f t="shared" si="485"/>
        <v>Dr</v>
      </c>
      <c r="C1462" s="15" t="str">
        <f t="shared" si="506"/>
        <v>McConnell</v>
      </c>
      <c r="D1462" s="15" t="str">
        <f t="shared" si="486"/>
        <v>Hannah Clair</v>
      </c>
      <c r="E1462" s="15" t="str">
        <f t="shared" si="487"/>
        <v>27 Mccarthy Circuit</v>
      </c>
      <c r="F1462" s="15" t="str">
        <f t="shared" si="488"/>
        <v>Ashford</v>
      </c>
      <c r="G1462" s="15" t="str">
        <f t="shared" si="489"/>
        <v>SA</v>
      </c>
      <c r="H1462" s="15">
        <f t="shared" si="490"/>
        <v>5035</v>
      </c>
      <c r="I1462" s="15">
        <f t="shared" si="501"/>
        <v>1877</v>
      </c>
      <c r="J1462" s="15">
        <f>OrdersTable!B1462</f>
        <v>541</v>
      </c>
      <c r="K1462" s="15" t="str">
        <f t="shared" si="491"/>
        <v>Giftware</v>
      </c>
      <c r="L1462" s="15" t="str">
        <f t="shared" si="492"/>
        <v>Doctor Who: Salt and Pepper Shakers: TARDIS</v>
      </c>
      <c r="M1462" s="15" t="str">
        <f t="shared" si="493"/>
        <v>-</v>
      </c>
      <c r="N1462" s="15">
        <f t="shared" si="494"/>
        <v>0.6</v>
      </c>
      <c r="O1462" s="15" t="str">
        <f t="shared" si="495"/>
        <v>A10</v>
      </c>
      <c r="P1462" s="15" t="str">
        <f t="shared" si="496"/>
        <v>Gallifrey International</v>
      </c>
      <c r="Q1462" s="15" t="str">
        <f t="shared" si="497"/>
        <v>181 Arcadia Street</v>
      </c>
      <c r="R1462" s="3">
        <f>OrdersTable!C1462</f>
        <v>44664</v>
      </c>
      <c r="S1462" s="15">
        <f>OrdersTable!E1462</f>
        <v>7</v>
      </c>
      <c r="T1462" s="15">
        <f t="shared" si="498"/>
        <v>11.99</v>
      </c>
      <c r="U1462" s="15">
        <f t="shared" si="499"/>
        <v>16.62</v>
      </c>
      <c r="V1462" s="15">
        <f t="shared" si="500"/>
        <v>19.420000000000002</v>
      </c>
      <c r="W1462" s="15">
        <f>IF(MarkupType="Store Markup",ROUND(V1462+V1462*StoreMarkup,2),IF(MarkupType="Supplier Markup",V1462+V1462*SupplierMarkup,"Error at finding value"))</f>
        <v>30.59</v>
      </c>
      <c r="X1462" s="32" t="str">
        <f t="shared" si="502"/>
        <v>0.00</v>
      </c>
      <c r="Y1462" s="15">
        <f t="shared" si="503"/>
        <v>135.94</v>
      </c>
      <c r="Z1462" s="15">
        <f t="shared" si="504"/>
        <v>214.13</v>
      </c>
      <c r="AA1462" s="15">
        <f>IF(FreightType="Lethbridge-Stewart Freight ",ROUND(2.99+IF(N1462&gt;0.75,(N1462-0.75)*2.25,0)*S1462,2),IF(MarkupType="Supplier Markup",V1462+V1462*SupplierMarkup,"Error at finding value"))</f>
        <v>2.99</v>
      </c>
      <c r="AB1462" s="15">
        <f t="shared" si="505"/>
        <v>0</v>
      </c>
    </row>
    <row r="1463" spans="1:28" x14ac:dyDescent="0.25">
      <c r="A1463" s="16">
        <f>OrdersTable!A1463</f>
        <v>830</v>
      </c>
      <c r="B1463" s="15" t="str">
        <f t="shared" si="485"/>
        <v>Miss</v>
      </c>
      <c r="C1463" s="15" t="str">
        <f t="shared" si="506"/>
        <v>Blakeney</v>
      </c>
      <c r="D1463" s="15" t="str">
        <f t="shared" si="486"/>
        <v>Hannah</v>
      </c>
      <c r="E1463" s="15" t="str">
        <f t="shared" si="487"/>
        <v>31 Sproule Street</v>
      </c>
      <c r="F1463" s="15" t="str">
        <f t="shared" si="488"/>
        <v>Belford</v>
      </c>
      <c r="G1463" s="15" t="str">
        <f t="shared" si="489"/>
        <v>NSW</v>
      </c>
      <c r="H1463" s="15">
        <f t="shared" si="490"/>
        <v>2335</v>
      </c>
      <c r="I1463" s="15">
        <f t="shared" si="501"/>
        <v>716</v>
      </c>
      <c r="J1463" s="15">
        <f>OrdersTable!B1463</f>
        <v>594</v>
      </c>
      <c r="K1463" s="15" t="str">
        <f t="shared" si="491"/>
        <v>iPhone Skins</v>
      </c>
      <c r="L1463" s="15" t="str">
        <f t="shared" si="492"/>
        <v>Doctor Who: iPhone Skin: Keep Calm And Don't Blink</v>
      </c>
      <c r="M1463" s="15" t="str">
        <f t="shared" si="493"/>
        <v>-</v>
      </c>
      <c r="N1463" s="15">
        <f t="shared" si="494"/>
        <v>0.5</v>
      </c>
      <c r="O1463" s="15" t="str">
        <f t="shared" si="495"/>
        <v>A20</v>
      </c>
      <c r="P1463" s="15" t="str">
        <f t="shared" si="496"/>
        <v>Morbius Inc.</v>
      </c>
      <c r="Q1463" s="15" t="str">
        <f t="shared" si="497"/>
        <v>56 Michael Spice Hwy</v>
      </c>
      <c r="R1463" s="3">
        <f>OrdersTable!C1463</f>
        <v>44664</v>
      </c>
      <c r="S1463" s="15">
        <f>OrdersTable!E1463</f>
        <v>7</v>
      </c>
      <c r="T1463" s="15">
        <f t="shared" si="498"/>
        <v>9.99</v>
      </c>
      <c r="U1463" s="15">
        <f t="shared" si="499"/>
        <v>13.88</v>
      </c>
      <c r="V1463" s="15">
        <f t="shared" si="500"/>
        <v>16.18</v>
      </c>
      <c r="W1463" s="15">
        <f>IF(MarkupType="Store Markup",ROUND(V1463+V1463*StoreMarkup,2),IF(MarkupType="Supplier Markup",V1463+V1463*SupplierMarkup,"Error at finding value"))</f>
        <v>25.48</v>
      </c>
      <c r="X1463" s="32" t="str">
        <f t="shared" si="502"/>
        <v>0.00</v>
      </c>
      <c r="Y1463" s="15">
        <f t="shared" si="503"/>
        <v>113.26</v>
      </c>
      <c r="Z1463" s="15">
        <f t="shared" si="504"/>
        <v>178.36</v>
      </c>
      <c r="AA1463" s="15">
        <f>IF(FreightType="Lethbridge-Stewart Freight ",ROUND(2.99+IF(N1463&gt;0.75,(N1463-0.75)*2.25,0)*S1463,2),IF(MarkupType="Supplier Markup",V1463+V1463*SupplierMarkup,"Error at finding value"))</f>
        <v>2.99</v>
      </c>
      <c r="AB1463" s="15">
        <f t="shared" si="505"/>
        <v>0</v>
      </c>
    </row>
    <row r="1464" spans="1:28" x14ac:dyDescent="0.25">
      <c r="A1464" s="16">
        <f>OrdersTable!A1464</f>
        <v>884</v>
      </c>
      <c r="B1464" s="15" t="str">
        <f t="shared" si="485"/>
        <v>Mr</v>
      </c>
      <c r="C1464" s="15" t="str">
        <f t="shared" si="506"/>
        <v>Smy</v>
      </c>
      <c r="D1464" s="15" t="str">
        <f t="shared" si="486"/>
        <v>Corey Alexander</v>
      </c>
      <c r="E1464" s="15" t="str">
        <f t="shared" si="487"/>
        <v>47 Lindsay Circuit</v>
      </c>
      <c r="F1464" s="15" t="str">
        <f t="shared" si="488"/>
        <v>Boston</v>
      </c>
      <c r="G1464" s="15" t="str">
        <f t="shared" si="489"/>
        <v>SA</v>
      </c>
      <c r="H1464" s="15">
        <f t="shared" si="490"/>
        <v>5607</v>
      </c>
      <c r="I1464" s="15">
        <f t="shared" si="501"/>
        <v>2076</v>
      </c>
      <c r="J1464" s="15">
        <f>OrdersTable!B1464</f>
        <v>769</v>
      </c>
      <c r="K1464" s="15" t="str">
        <f t="shared" si="491"/>
        <v>Statues and Busts</v>
      </c>
      <c r="L1464" s="15" t="str">
        <f t="shared" si="492"/>
        <v>Doctor Who: Legends Forever Bust: Tom Baker</v>
      </c>
      <c r="M1464" s="15" t="str">
        <f t="shared" si="493"/>
        <v>-</v>
      </c>
      <c r="N1464" s="15">
        <f t="shared" si="494"/>
        <v>1.375</v>
      </c>
      <c r="O1464" s="15" t="str">
        <f t="shared" si="495"/>
        <v>A30</v>
      </c>
      <c r="P1464" s="15" t="str">
        <f t="shared" si="496"/>
        <v>Chesterton Enterprises</v>
      </c>
      <c r="Q1464" s="15" t="str">
        <f t="shared" si="497"/>
        <v>41 William Russell Road</v>
      </c>
      <c r="R1464" s="3">
        <f>OrdersTable!C1464</f>
        <v>44664</v>
      </c>
      <c r="S1464" s="15">
        <f>OrdersTable!E1464</f>
        <v>2</v>
      </c>
      <c r="T1464" s="15">
        <f t="shared" si="498"/>
        <v>27.5</v>
      </c>
      <c r="U1464" s="15">
        <f t="shared" si="499"/>
        <v>37.76</v>
      </c>
      <c r="V1464" s="15">
        <f t="shared" si="500"/>
        <v>44.55</v>
      </c>
      <c r="W1464" s="15">
        <f>IF(MarkupType="Store Markup",ROUND(V1464+V1464*StoreMarkup,2),IF(MarkupType="Supplier Markup",V1464+V1464*SupplierMarkup,"Error at finding value"))</f>
        <v>70.17</v>
      </c>
      <c r="X1464" s="32" t="str">
        <f t="shared" si="502"/>
        <v>0.00</v>
      </c>
      <c r="Y1464" s="15">
        <f t="shared" si="503"/>
        <v>89.1</v>
      </c>
      <c r="Z1464" s="15">
        <f t="shared" si="504"/>
        <v>140.34</v>
      </c>
      <c r="AA1464" s="15">
        <f>IF(FreightType="Lethbridge-Stewart Freight ",ROUND(2.99+IF(N1464&gt;0.75,(N1464-0.75)*2.25,0)*S1464,2),IF(MarkupType="Supplier Markup",V1464+V1464*SupplierMarkup,"Error at finding value"))</f>
        <v>5.8</v>
      </c>
      <c r="AB1464" s="15">
        <f t="shared" si="505"/>
        <v>0</v>
      </c>
    </row>
    <row r="1465" spans="1:28" x14ac:dyDescent="0.25">
      <c r="A1465" s="16">
        <f>OrdersTable!A1465</f>
        <v>22</v>
      </c>
      <c r="B1465" s="15" t="str">
        <f t="shared" si="485"/>
        <v>Mr</v>
      </c>
      <c r="C1465" s="15" t="str">
        <f t="shared" si="506"/>
        <v>Tyrrell</v>
      </c>
      <c r="D1465" s="15" t="str">
        <f t="shared" si="486"/>
        <v>Timothy James</v>
      </c>
      <c r="E1465" s="15" t="str">
        <f t="shared" si="487"/>
        <v>48 Lambourne Crescent</v>
      </c>
      <c r="F1465" s="15" t="str">
        <f t="shared" si="488"/>
        <v>Belford</v>
      </c>
      <c r="G1465" s="15" t="str">
        <f t="shared" si="489"/>
        <v>NSW</v>
      </c>
      <c r="H1465" s="15">
        <f t="shared" si="490"/>
        <v>2335</v>
      </c>
      <c r="I1465" s="15">
        <f t="shared" si="501"/>
        <v>716</v>
      </c>
      <c r="J1465" s="15">
        <f>OrdersTable!B1465</f>
        <v>541</v>
      </c>
      <c r="K1465" s="15" t="str">
        <f t="shared" si="491"/>
        <v>Giftware</v>
      </c>
      <c r="L1465" s="15" t="str">
        <f t="shared" si="492"/>
        <v>Doctor Who: Salt and Pepper Shakers: TARDIS</v>
      </c>
      <c r="M1465" s="15" t="str">
        <f t="shared" si="493"/>
        <v>-</v>
      </c>
      <c r="N1465" s="15">
        <f t="shared" si="494"/>
        <v>0.6</v>
      </c>
      <c r="O1465" s="15" t="str">
        <f t="shared" si="495"/>
        <v>A10</v>
      </c>
      <c r="P1465" s="15" t="str">
        <f t="shared" si="496"/>
        <v>Gallifrey International</v>
      </c>
      <c r="Q1465" s="15" t="str">
        <f t="shared" si="497"/>
        <v>181 Arcadia Street</v>
      </c>
      <c r="R1465" s="3">
        <f>OrdersTable!C1465</f>
        <v>44665</v>
      </c>
      <c r="S1465" s="15">
        <f>OrdersTable!E1465</f>
        <v>6</v>
      </c>
      <c r="T1465" s="15">
        <f t="shared" si="498"/>
        <v>11.99</v>
      </c>
      <c r="U1465" s="15">
        <f t="shared" si="499"/>
        <v>16.62</v>
      </c>
      <c r="V1465" s="15">
        <f t="shared" si="500"/>
        <v>19.420000000000002</v>
      </c>
      <c r="W1465" s="15">
        <f>IF(MarkupType="Store Markup",ROUND(V1465+V1465*StoreMarkup,2),IF(MarkupType="Supplier Markup",V1465+V1465*SupplierMarkup,"Error at finding value"))</f>
        <v>30.59</v>
      </c>
      <c r="X1465" s="32" t="str">
        <f t="shared" si="502"/>
        <v>0.00</v>
      </c>
      <c r="Y1465" s="15">
        <f t="shared" si="503"/>
        <v>116.52</v>
      </c>
      <c r="Z1465" s="15">
        <f t="shared" si="504"/>
        <v>183.54</v>
      </c>
      <c r="AA1465" s="15">
        <f>IF(FreightType="Lethbridge-Stewart Freight ",ROUND(2.99+IF(N1465&gt;0.75,(N1465-0.75)*2.25,0)*S1465,2),IF(MarkupType="Supplier Markup",V1465+V1465*SupplierMarkup,"Error at finding value"))</f>
        <v>2.99</v>
      </c>
      <c r="AB1465" s="15">
        <f t="shared" si="505"/>
        <v>0</v>
      </c>
    </row>
    <row r="1466" spans="1:28" x14ac:dyDescent="0.25">
      <c r="A1466" s="16">
        <f>OrdersTable!A1466</f>
        <v>46</v>
      </c>
      <c r="B1466" s="15" t="str">
        <f t="shared" si="485"/>
        <v>Mrs</v>
      </c>
      <c r="C1466" s="15" t="str">
        <f t="shared" si="506"/>
        <v>Dovey</v>
      </c>
      <c r="D1466" s="15" t="str">
        <f t="shared" si="486"/>
        <v>Aisha Jade</v>
      </c>
      <c r="E1466" s="15" t="str">
        <f t="shared" si="487"/>
        <v>43 Wilkes Circuit</v>
      </c>
      <c r="F1466" s="15" t="str">
        <f t="shared" si="488"/>
        <v>Alfredtown</v>
      </c>
      <c r="G1466" s="15" t="str">
        <f t="shared" si="489"/>
        <v>NSW</v>
      </c>
      <c r="H1466" s="15">
        <f t="shared" si="490"/>
        <v>2650</v>
      </c>
      <c r="I1466" s="15">
        <f t="shared" si="501"/>
        <v>1124</v>
      </c>
      <c r="J1466" s="15">
        <f>OrdersTable!B1466</f>
        <v>683</v>
      </c>
      <c r="K1466" s="15" t="str">
        <f t="shared" si="491"/>
        <v>Mugs</v>
      </c>
      <c r="L1466" s="15" t="str">
        <f t="shared" si="492"/>
        <v>Doctor Who: Mug: The Tenth Doctor</v>
      </c>
      <c r="M1466" s="15" t="str">
        <f t="shared" si="493"/>
        <v>-</v>
      </c>
      <c r="N1466" s="15">
        <f t="shared" si="494"/>
        <v>0.45</v>
      </c>
      <c r="O1466" s="15" t="str">
        <f t="shared" si="495"/>
        <v>A20</v>
      </c>
      <c r="P1466" s="15" t="str">
        <f t="shared" si="496"/>
        <v>Morbius Inc.</v>
      </c>
      <c r="Q1466" s="15" t="str">
        <f t="shared" si="497"/>
        <v>56 Michael Spice Hwy</v>
      </c>
      <c r="R1466" s="3">
        <f>OrdersTable!C1466</f>
        <v>44665</v>
      </c>
      <c r="S1466" s="15">
        <f>OrdersTable!E1466</f>
        <v>1</v>
      </c>
      <c r="T1466" s="15">
        <f t="shared" si="498"/>
        <v>8.99</v>
      </c>
      <c r="U1466" s="15">
        <f t="shared" si="499"/>
        <v>12.54</v>
      </c>
      <c r="V1466" s="15">
        <f t="shared" si="500"/>
        <v>14.56</v>
      </c>
      <c r="W1466" s="15">
        <f>IF(MarkupType="Store Markup",ROUND(V1466+V1466*StoreMarkup,2),IF(MarkupType="Supplier Markup",V1466+V1466*SupplierMarkup,"Error at finding value"))</f>
        <v>22.93</v>
      </c>
      <c r="X1466" s="32" t="str">
        <f t="shared" si="502"/>
        <v>0.00</v>
      </c>
      <c r="Y1466" s="15">
        <f t="shared" si="503"/>
        <v>14.56</v>
      </c>
      <c r="Z1466" s="15">
        <f t="shared" si="504"/>
        <v>22.93</v>
      </c>
      <c r="AA1466" s="15">
        <f>IF(FreightType="Lethbridge-Stewart Freight ",ROUND(2.99+IF(N1466&gt;0.75,(N1466-0.75)*2.25,0)*S1466,2),IF(MarkupType="Supplier Markup",V1466+V1466*SupplierMarkup,"Error at finding value"))</f>
        <v>2.99</v>
      </c>
      <c r="AB1466" s="15">
        <f t="shared" si="505"/>
        <v>0</v>
      </c>
    </row>
    <row r="1467" spans="1:28" x14ac:dyDescent="0.25">
      <c r="A1467" s="16">
        <f>OrdersTable!A1467</f>
        <v>141</v>
      </c>
      <c r="B1467" s="15" t="str">
        <f t="shared" si="485"/>
        <v>Mr</v>
      </c>
      <c r="C1467" s="15" t="str">
        <f t="shared" si="506"/>
        <v>Bergmann</v>
      </c>
      <c r="D1467" s="15" t="str">
        <f t="shared" si="486"/>
        <v>Beau Jay</v>
      </c>
      <c r="E1467" s="15" t="str">
        <f t="shared" si="487"/>
        <v>47 McCullough Circuit</v>
      </c>
      <c r="F1467" s="15" t="str">
        <f t="shared" si="488"/>
        <v>Breakwater</v>
      </c>
      <c r="G1467" s="15" t="str">
        <f t="shared" si="489"/>
        <v>VIC</v>
      </c>
      <c r="H1467" s="15">
        <f t="shared" si="490"/>
        <v>3219</v>
      </c>
      <c r="I1467" s="15">
        <f t="shared" si="501"/>
        <v>1596</v>
      </c>
      <c r="J1467" s="15">
        <f>OrdersTable!B1467</f>
        <v>696</v>
      </c>
      <c r="K1467" s="15" t="str">
        <f t="shared" si="491"/>
        <v>Posters, Prints and Standees</v>
      </c>
      <c r="L1467" s="15" t="str">
        <f t="shared" si="492"/>
        <v xml:space="preserve">Doctor Who: 50th Anniversary: Poster: To Victory </v>
      </c>
      <c r="M1467" s="15" t="str">
        <f t="shared" si="493"/>
        <v>-</v>
      </c>
      <c r="N1467" s="15">
        <f t="shared" si="494"/>
        <v>0.2</v>
      </c>
      <c r="O1467" s="15" t="str">
        <f t="shared" si="495"/>
        <v>A40</v>
      </c>
      <c r="P1467" s="15" t="str">
        <f t="shared" si="496"/>
        <v>Romana Imports</v>
      </c>
      <c r="Q1467" s="15" t="str">
        <f t="shared" si="497"/>
        <v>17 Lalla Ward Road</v>
      </c>
      <c r="R1467" s="3">
        <f>OrdersTable!C1467</f>
        <v>44665</v>
      </c>
      <c r="S1467" s="15">
        <f>OrdersTable!E1467</f>
        <v>9</v>
      </c>
      <c r="T1467" s="15">
        <f t="shared" si="498"/>
        <v>3.99</v>
      </c>
      <c r="U1467" s="15">
        <f t="shared" si="499"/>
        <v>5.6</v>
      </c>
      <c r="V1467" s="15">
        <f t="shared" si="500"/>
        <v>6.46</v>
      </c>
      <c r="W1467" s="15">
        <f>IF(MarkupType="Store Markup",ROUND(V1467+V1467*StoreMarkup,2),IF(MarkupType="Supplier Markup",V1467+V1467*SupplierMarkup,"Error at finding value"))</f>
        <v>10.17</v>
      </c>
      <c r="X1467" s="32" t="str">
        <f t="shared" si="502"/>
        <v>0.00</v>
      </c>
      <c r="Y1467" s="15">
        <f t="shared" si="503"/>
        <v>58.14</v>
      </c>
      <c r="Z1467" s="15">
        <f t="shared" si="504"/>
        <v>91.53</v>
      </c>
      <c r="AA1467" s="15">
        <f>IF(FreightType="Lethbridge-Stewart Freight ",ROUND(2.99+IF(N1467&gt;0.75,(N1467-0.75)*2.25,0)*S1467,2),IF(MarkupType="Supplier Markup",V1467+V1467*SupplierMarkup,"Error at finding value"))</f>
        <v>2.99</v>
      </c>
      <c r="AB1467" s="15">
        <f t="shared" si="505"/>
        <v>0</v>
      </c>
    </row>
    <row r="1468" spans="1:28" x14ac:dyDescent="0.25">
      <c r="A1468" s="16">
        <f>OrdersTable!A1468</f>
        <v>224</v>
      </c>
      <c r="B1468" s="15" t="str">
        <f t="shared" si="485"/>
        <v>Miss</v>
      </c>
      <c r="C1468" s="15" t="str">
        <f t="shared" si="506"/>
        <v>Baruwal</v>
      </c>
      <c r="D1468" s="15" t="str">
        <f t="shared" si="486"/>
        <v>Pratikshya</v>
      </c>
      <c r="E1468" s="15" t="str">
        <f t="shared" si="487"/>
        <v>43 Gilloway Street</v>
      </c>
      <c r="F1468" s="15" t="str">
        <f t="shared" si="488"/>
        <v>Iluka</v>
      </c>
      <c r="G1468" s="15" t="str">
        <f t="shared" si="489"/>
        <v>NSW</v>
      </c>
      <c r="H1468" s="15">
        <f t="shared" si="490"/>
        <v>2466</v>
      </c>
      <c r="I1468" s="15">
        <f t="shared" si="501"/>
        <v>347</v>
      </c>
      <c r="J1468" s="15">
        <f>OrdersTable!B1468</f>
        <v>852</v>
      </c>
      <c r="K1468" s="15" t="str">
        <f t="shared" si="491"/>
        <v>Statues and Busts</v>
      </c>
      <c r="L1468" s="15" t="str">
        <f t="shared" si="492"/>
        <v>Doctor Who: Statue: Revenge Of The Cybermen Cyberleader</v>
      </c>
      <c r="M1468" s="15" t="str">
        <f t="shared" si="493"/>
        <v>-</v>
      </c>
      <c r="N1468" s="15">
        <f t="shared" si="494"/>
        <v>5.4</v>
      </c>
      <c r="O1468" s="15" t="str">
        <f t="shared" si="495"/>
        <v>A50</v>
      </c>
      <c r="P1468" s="15" t="str">
        <f t="shared" si="496"/>
        <v>Rassilon Ltd.</v>
      </c>
      <c r="Q1468" s="15" t="str">
        <f t="shared" si="497"/>
        <v>82 Richard Mathews Road</v>
      </c>
      <c r="R1468" s="3">
        <f>OrdersTable!C1468</f>
        <v>44665</v>
      </c>
      <c r="S1468" s="15">
        <f>OrdersTable!E1468</f>
        <v>8</v>
      </c>
      <c r="T1468" s="15">
        <f t="shared" si="498"/>
        <v>108</v>
      </c>
      <c r="U1468" s="15">
        <f t="shared" si="499"/>
        <v>147.29</v>
      </c>
      <c r="V1468" s="15">
        <f t="shared" si="500"/>
        <v>174.96</v>
      </c>
      <c r="W1468" s="15">
        <f>IF(MarkupType="Store Markup",ROUND(V1468+V1468*StoreMarkup,2),IF(MarkupType="Supplier Markup",V1468+V1468*SupplierMarkup,"Error at finding value"))</f>
        <v>275.56</v>
      </c>
      <c r="X1468" s="32">
        <f t="shared" si="502"/>
        <v>19.63</v>
      </c>
      <c r="Y1468" s="15">
        <f t="shared" si="503"/>
        <v>1399.68</v>
      </c>
      <c r="Z1468" s="15">
        <f t="shared" si="504"/>
        <v>2047.44</v>
      </c>
      <c r="AA1468" s="15">
        <f>IF(FreightType="Lethbridge-Stewart Freight ",ROUND(2.99+IF(N1468&gt;0.75,(N1468-0.75)*2.25,0)*S1468,2),IF(MarkupType="Supplier Markup",V1468+V1468*SupplierMarkup,"Error at finding value"))</f>
        <v>86.69</v>
      </c>
      <c r="AB1468" s="15">
        <f t="shared" si="505"/>
        <v>157.04</v>
      </c>
    </row>
    <row r="1469" spans="1:28" x14ac:dyDescent="0.25">
      <c r="A1469" s="16">
        <f>OrdersTable!A1469</f>
        <v>232</v>
      </c>
      <c r="B1469" s="15" t="str">
        <f t="shared" si="485"/>
        <v>Mrs</v>
      </c>
      <c r="C1469" s="15" t="str">
        <f t="shared" si="506"/>
        <v>Bishop</v>
      </c>
      <c r="D1469" s="15" t="str">
        <f t="shared" si="486"/>
        <v>Katherine Marie</v>
      </c>
      <c r="E1469" s="15" t="str">
        <f t="shared" si="487"/>
        <v>19 Whitehorn Circuit</v>
      </c>
      <c r="F1469" s="15" t="str">
        <f t="shared" si="488"/>
        <v>Black Hills</v>
      </c>
      <c r="G1469" s="15" t="str">
        <f t="shared" si="489"/>
        <v>TAS</v>
      </c>
      <c r="H1469" s="15">
        <f t="shared" si="490"/>
        <v>7140</v>
      </c>
      <c r="I1469" s="15">
        <f t="shared" si="501"/>
        <v>2191</v>
      </c>
      <c r="J1469" s="15">
        <f>OrdersTable!B1469</f>
        <v>834</v>
      </c>
      <c r="K1469" s="15" t="str">
        <f t="shared" si="491"/>
        <v>Statues and Busts</v>
      </c>
      <c r="L1469" s="15" t="str">
        <f t="shared" si="492"/>
        <v>Doctor Who: Signature Edition Statue: Gallifrey Edition: Matt Smith</v>
      </c>
      <c r="M1469" s="15" t="str">
        <f t="shared" si="493"/>
        <v>-</v>
      </c>
      <c r="N1469" s="15">
        <f t="shared" si="494"/>
        <v>2.5</v>
      </c>
      <c r="O1469" s="15" t="str">
        <f t="shared" si="495"/>
        <v>A30</v>
      </c>
      <c r="P1469" s="15" t="str">
        <f t="shared" si="496"/>
        <v>Chesterton Enterprises</v>
      </c>
      <c r="Q1469" s="15" t="str">
        <f t="shared" si="497"/>
        <v>41 William Russell Road</v>
      </c>
      <c r="R1469" s="3">
        <f>OrdersTable!C1469</f>
        <v>44665</v>
      </c>
      <c r="S1469" s="15">
        <f>OrdersTable!E1469</f>
        <v>6</v>
      </c>
      <c r="T1469" s="15">
        <f t="shared" si="498"/>
        <v>49.99</v>
      </c>
      <c r="U1469" s="15">
        <f t="shared" si="499"/>
        <v>68.52</v>
      </c>
      <c r="V1469" s="15">
        <f t="shared" si="500"/>
        <v>80.98</v>
      </c>
      <c r="W1469" s="15">
        <f>IF(MarkupType="Store Markup",ROUND(V1469+V1469*StoreMarkup,2),IF(MarkupType="Supplier Markup",V1469+V1469*SupplierMarkup,"Error at finding value"))</f>
        <v>127.54</v>
      </c>
      <c r="X1469" s="32">
        <f t="shared" si="502"/>
        <v>9.09</v>
      </c>
      <c r="Y1469" s="15">
        <f t="shared" si="503"/>
        <v>485.88</v>
      </c>
      <c r="Z1469" s="15">
        <f t="shared" si="504"/>
        <v>710.7</v>
      </c>
      <c r="AA1469" s="15">
        <f>IF(FreightType="Lethbridge-Stewart Freight ",ROUND(2.99+IF(N1469&gt;0.75,(N1469-0.75)*2.25,0)*S1469,2),IF(MarkupType="Supplier Markup",V1469+V1469*SupplierMarkup,"Error at finding value"))</f>
        <v>26.62</v>
      </c>
      <c r="AB1469" s="15">
        <f t="shared" si="505"/>
        <v>54.54</v>
      </c>
    </row>
    <row r="1470" spans="1:28" x14ac:dyDescent="0.25">
      <c r="A1470" s="16">
        <f>OrdersTable!A1470</f>
        <v>302</v>
      </c>
      <c r="B1470" s="15" t="str">
        <f t="shared" si="485"/>
        <v>Ms</v>
      </c>
      <c r="C1470" s="15" t="str">
        <f t="shared" si="506"/>
        <v>Lamshed</v>
      </c>
      <c r="D1470" s="15" t="str">
        <f t="shared" si="486"/>
        <v>Laura Clare</v>
      </c>
      <c r="E1470" s="15" t="str">
        <f t="shared" si="487"/>
        <v>22 Edser Drive</v>
      </c>
      <c r="F1470" s="15" t="str">
        <f t="shared" si="488"/>
        <v>Caliph</v>
      </c>
      <c r="G1470" s="15" t="str">
        <f t="shared" si="489"/>
        <v>SA</v>
      </c>
      <c r="H1470" s="15">
        <f t="shared" si="490"/>
        <v>5310</v>
      </c>
      <c r="I1470" s="15">
        <f t="shared" si="501"/>
        <v>1720</v>
      </c>
      <c r="J1470" s="15">
        <f>OrdersTable!B1470</f>
        <v>673</v>
      </c>
      <c r="K1470" s="15" t="str">
        <f t="shared" si="491"/>
        <v>Mugs</v>
      </c>
      <c r="L1470" s="15" t="str">
        <f t="shared" si="492"/>
        <v>Doctor Who: Mug: TARDIS With Lid</v>
      </c>
      <c r="M1470" s="15" t="str">
        <f t="shared" si="493"/>
        <v>-</v>
      </c>
      <c r="N1470" s="15">
        <f t="shared" si="494"/>
        <v>0.58499999999999996</v>
      </c>
      <c r="O1470" s="15" t="str">
        <f t="shared" si="495"/>
        <v>A10</v>
      </c>
      <c r="P1470" s="15" t="str">
        <f t="shared" si="496"/>
        <v>Gallifrey International</v>
      </c>
      <c r="Q1470" s="15" t="str">
        <f t="shared" si="497"/>
        <v>181 Arcadia Street</v>
      </c>
      <c r="R1470" s="3">
        <f>OrdersTable!C1470</f>
        <v>44665</v>
      </c>
      <c r="S1470" s="15">
        <f>OrdersTable!E1470</f>
        <v>6</v>
      </c>
      <c r="T1470" s="15">
        <f t="shared" si="498"/>
        <v>11.69</v>
      </c>
      <c r="U1470" s="15">
        <f t="shared" si="499"/>
        <v>16.190000000000001</v>
      </c>
      <c r="V1470" s="15">
        <f t="shared" si="500"/>
        <v>18.940000000000001</v>
      </c>
      <c r="W1470" s="15">
        <f>IF(MarkupType="Store Markup",ROUND(V1470+V1470*StoreMarkup,2),IF(MarkupType="Supplier Markup",V1470+V1470*SupplierMarkup,"Error at finding value"))</f>
        <v>29.83</v>
      </c>
      <c r="X1470" s="32" t="str">
        <f t="shared" si="502"/>
        <v>0.00</v>
      </c>
      <c r="Y1470" s="15">
        <f t="shared" si="503"/>
        <v>113.64</v>
      </c>
      <c r="Z1470" s="15">
        <f t="shared" si="504"/>
        <v>178.98</v>
      </c>
      <c r="AA1470" s="15">
        <f>IF(FreightType="Lethbridge-Stewart Freight ",ROUND(2.99+IF(N1470&gt;0.75,(N1470-0.75)*2.25,0)*S1470,2),IF(MarkupType="Supplier Markup",V1470+V1470*SupplierMarkup,"Error at finding value"))</f>
        <v>2.99</v>
      </c>
      <c r="AB1470" s="15">
        <f t="shared" si="505"/>
        <v>0</v>
      </c>
    </row>
    <row r="1471" spans="1:28" x14ac:dyDescent="0.25">
      <c r="A1471" s="16">
        <f>OrdersTable!A1471</f>
        <v>330</v>
      </c>
      <c r="B1471" s="15" t="str">
        <f t="shared" si="485"/>
        <v>Mr</v>
      </c>
      <c r="C1471" s="15" t="str">
        <f t="shared" si="506"/>
        <v>Liesegang</v>
      </c>
      <c r="D1471" s="15" t="str">
        <f t="shared" si="486"/>
        <v>Darcey Michelle</v>
      </c>
      <c r="E1471" s="15" t="str">
        <f t="shared" si="487"/>
        <v>50 McCann Drive</v>
      </c>
      <c r="F1471" s="15" t="str">
        <f t="shared" si="488"/>
        <v>Binduli</v>
      </c>
      <c r="G1471" s="15" t="str">
        <f t="shared" si="489"/>
        <v>WA</v>
      </c>
      <c r="H1471" s="15">
        <f t="shared" si="490"/>
        <v>6430</v>
      </c>
      <c r="I1471" s="15">
        <f t="shared" si="501"/>
        <v>3543</v>
      </c>
      <c r="J1471" s="15">
        <f>OrdersTable!B1471</f>
        <v>780</v>
      </c>
      <c r="K1471" s="15" t="str">
        <f t="shared" si="491"/>
        <v>Statues and Busts</v>
      </c>
      <c r="L1471" s="15" t="str">
        <f t="shared" si="492"/>
        <v>Doctor Who: Masterpiece Collection Dalek: Genesis Of The Daleks</v>
      </c>
      <c r="M1471" s="15" t="str">
        <f t="shared" si="493"/>
        <v>-</v>
      </c>
      <c r="N1471" s="15">
        <f t="shared" si="494"/>
        <v>2.5</v>
      </c>
      <c r="O1471" s="15" t="str">
        <f t="shared" si="495"/>
        <v>A30</v>
      </c>
      <c r="P1471" s="15" t="str">
        <f t="shared" si="496"/>
        <v>Chesterton Enterprises</v>
      </c>
      <c r="Q1471" s="15" t="str">
        <f t="shared" si="497"/>
        <v>41 William Russell Road</v>
      </c>
      <c r="R1471" s="3">
        <f>OrdersTable!C1471</f>
        <v>44665</v>
      </c>
      <c r="S1471" s="15">
        <f>OrdersTable!E1471</f>
        <v>1</v>
      </c>
      <c r="T1471" s="15">
        <f t="shared" si="498"/>
        <v>49.99</v>
      </c>
      <c r="U1471" s="15">
        <f t="shared" si="499"/>
        <v>68.23</v>
      </c>
      <c r="V1471" s="15">
        <f t="shared" si="500"/>
        <v>80.98</v>
      </c>
      <c r="W1471" s="15">
        <f>IF(MarkupType="Store Markup",ROUND(V1471+V1471*StoreMarkup,2),IF(MarkupType="Supplier Markup",V1471+V1471*SupplierMarkup,"Error at finding value"))</f>
        <v>127.54</v>
      </c>
      <c r="X1471" s="32" t="str">
        <f t="shared" si="502"/>
        <v>0.00</v>
      </c>
      <c r="Y1471" s="15">
        <f t="shared" si="503"/>
        <v>80.98</v>
      </c>
      <c r="Z1471" s="15">
        <f t="shared" si="504"/>
        <v>127.54</v>
      </c>
      <c r="AA1471" s="15">
        <f>IF(FreightType="Lethbridge-Stewart Freight ",ROUND(2.99+IF(N1471&gt;0.75,(N1471-0.75)*2.25,0)*S1471,2),IF(MarkupType="Supplier Markup",V1471+V1471*SupplierMarkup,"Error at finding value"))</f>
        <v>6.93</v>
      </c>
      <c r="AB1471" s="15">
        <f t="shared" si="505"/>
        <v>0</v>
      </c>
    </row>
    <row r="1472" spans="1:28" x14ac:dyDescent="0.25">
      <c r="A1472" s="16">
        <f>OrdersTable!A1472</f>
        <v>531</v>
      </c>
      <c r="B1472" s="15" t="str">
        <f t="shared" si="485"/>
        <v>Ms</v>
      </c>
      <c r="C1472" s="15" t="str">
        <f t="shared" si="506"/>
        <v>Stanton</v>
      </c>
      <c r="D1472" s="15" t="str">
        <f t="shared" si="486"/>
        <v>Sharaze</v>
      </c>
      <c r="E1472" s="15" t="str">
        <f t="shared" si="487"/>
        <v>1 Siddons Crescent</v>
      </c>
      <c r="F1472" s="15" t="str">
        <f t="shared" si="488"/>
        <v>Alfredtown</v>
      </c>
      <c r="G1472" s="15" t="str">
        <f t="shared" si="489"/>
        <v>NSW</v>
      </c>
      <c r="H1472" s="15">
        <f t="shared" si="490"/>
        <v>2650</v>
      </c>
      <c r="I1472" s="15">
        <f t="shared" si="501"/>
        <v>1124</v>
      </c>
      <c r="J1472" s="15">
        <f>OrdersTable!B1472</f>
        <v>726</v>
      </c>
      <c r="K1472" s="15" t="str">
        <f t="shared" si="491"/>
        <v>Props and Replicas</v>
      </c>
      <c r="L1472" s="15" t="str">
        <f t="shared" si="492"/>
        <v>Doctor Who: Dalek Death Ray</v>
      </c>
      <c r="M1472" s="15" t="str">
        <f t="shared" si="493"/>
        <v>-</v>
      </c>
      <c r="N1472" s="15">
        <f t="shared" si="494"/>
        <v>18</v>
      </c>
      <c r="O1472" s="15" t="str">
        <f t="shared" si="495"/>
        <v>A30</v>
      </c>
      <c r="P1472" s="15" t="str">
        <f t="shared" si="496"/>
        <v>Chesterton Enterprises</v>
      </c>
      <c r="Q1472" s="15" t="str">
        <f t="shared" si="497"/>
        <v>41 William Russell Road</v>
      </c>
      <c r="R1472" s="3">
        <f>OrdersTable!C1472</f>
        <v>44665</v>
      </c>
      <c r="S1472" s="15">
        <f>OrdersTable!E1472</f>
        <v>8</v>
      </c>
      <c r="T1472" s="15">
        <f t="shared" si="498"/>
        <v>359.99</v>
      </c>
      <c r="U1472" s="15">
        <f t="shared" si="499"/>
        <v>491.12</v>
      </c>
      <c r="V1472" s="15">
        <f t="shared" si="500"/>
        <v>583.17999999999995</v>
      </c>
      <c r="W1472" s="15">
        <f>IF(MarkupType="Store Markup",ROUND(V1472+V1472*StoreMarkup,2),IF(MarkupType="Supplier Markup",V1472+V1472*SupplierMarkup,"Error at finding value"))</f>
        <v>918.51</v>
      </c>
      <c r="X1472" s="32">
        <f t="shared" si="502"/>
        <v>65.44</v>
      </c>
      <c r="Y1472" s="15">
        <f t="shared" si="503"/>
        <v>4665.4399999999996</v>
      </c>
      <c r="Z1472" s="15">
        <f t="shared" si="504"/>
        <v>6824.56</v>
      </c>
      <c r="AA1472" s="15">
        <f>IF(FreightType="Lethbridge-Stewart Freight ",ROUND(2.99+IF(N1472&gt;0.75,(N1472-0.75)*2.25,0)*S1472,2),IF(MarkupType="Supplier Markup",V1472+V1472*SupplierMarkup,"Error at finding value"))</f>
        <v>313.49</v>
      </c>
      <c r="AB1472" s="15">
        <f t="shared" si="505"/>
        <v>523.52</v>
      </c>
    </row>
    <row r="1473" spans="1:28" x14ac:dyDescent="0.25">
      <c r="A1473" s="16">
        <f>OrdersTable!A1473</f>
        <v>531</v>
      </c>
      <c r="B1473" s="15" t="str">
        <f t="shared" si="485"/>
        <v>Ms</v>
      </c>
      <c r="C1473" s="15" t="str">
        <f t="shared" si="506"/>
        <v>Stanton</v>
      </c>
      <c r="D1473" s="15" t="str">
        <f t="shared" si="486"/>
        <v>Sharaze</v>
      </c>
      <c r="E1473" s="15" t="str">
        <f t="shared" si="487"/>
        <v>1 Siddons Crescent</v>
      </c>
      <c r="F1473" s="15" t="str">
        <f t="shared" si="488"/>
        <v>Alfredtown</v>
      </c>
      <c r="G1473" s="15" t="str">
        <f t="shared" si="489"/>
        <v>NSW</v>
      </c>
      <c r="H1473" s="15">
        <f t="shared" si="490"/>
        <v>2650</v>
      </c>
      <c r="I1473" s="15">
        <f t="shared" si="501"/>
        <v>1124</v>
      </c>
      <c r="J1473" s="15">
        <f>OrdersTable!B1473</f>
        <v>745</v>
      </c>
      <c r="K1473" s="15" t="str">
        <f t="shared" si="491"/>
        <v>Props and Replicas</v>
      </c>
      <c r="L1473" s="15" t="str">
        <f t="shared" si="492"/>
        <v>Doctor Who: TARDIS Type 40 Plaque</v>
      </c>
      <c r="M1473" s="15" t="str">
        <f t="shared" si="493"/>
        <v>-</v>
      </c>
      <c r="N1473" s="15">
        <f t="shared" si="494"/>
        <v>1.75</v>
      </c>
      <c r="O1473" s="15" t="str">
        <f t="shared" si="495"/>
        <v>A30</v>
      </c>
      <c r="P1473" s="15" t="str">
        <f t="shared" si="496"/>
        <v>Chesterton Enterprises</v>
      </c>
      <c r="Q1473" s="15" t="str">
        <f t="shared" si="497"/>
        <v>41 William Russell Road</v>
      </c>
      <c r="R1473" s="3">
        <f>OrdersTable!C1473</f>
        <v>44665</v>
      </c>
      <c r="S1473" s="15">
        <f>OrdersTable!E1473</f>
        <v>8</v>
      </c>
      <c r="T1473" s="15">
        <f t="shared" si="498"/>
        <v>34.99</v>
      </c>
      <c r="U1473" s="15">
        <f t="shared" si="499"/>
        <v>47.86</v>
      </c>
      <c r="V1473" s="15">
        <f t="shared" si="500"/>
        <v>56.68</v>
      </c>
      <c r="W1473" s="15">
        <f>IF(MarkupType="Store Markup",ROUND(V1473+V1473*StoreMarkup,2),IF(MarkupType="Supplier Markup",V1473+V1473*SupplierMarkup,"Error at finding value"))</f>
        <v>89.27</v>
      </c>
      <c r="X1473" s="32" t="str">
        <f t="shared" si="502"/>
        <v>0.00</v>
      </c>
      <c r="Y1473" s="15">
        <f t="shared" si="503"/>
        <v>453.44</v>
      </c>
      <c r="Z1473" s="15">
        <f t="shared" si="504"/>
        <v>714.16</v>
      </c>
      <c r="AA1473" s="15">
        <f>IF(FreightType="Lethbridge-Stewart Freight ",ROUND(2.99+IF(N1473&gt;0.75,(N1473-0.75)*2.25,0)*S1473,2),IF(MarkupType="Supplier Markup",V1473+V1473*SupplierMarkup,"Error at finding value"))</f>
        <v>20.99</v>
      </c>
      <c r="AB1473" s="15">
        <f t="shared" si="505"/>
        <v>0</v>
      </c>
    </row>
    <row r="1474" spans="1:28" x14ac:dyDescent="0.25">
      <c r="A1474" s="16">
        <f>OrdersTable!A1474</f>
        <v>538</v>
      </c>
      <c r="B1474" s="15" t="str">
        <f t="shared" si="485"/>
        <v>Dr</v>
      </c>
      <c r="C1474" s="15" t="str">
        <f t="shared" si="506"/>
        <v>Radovic</v>
      </c>
      <c r="D1474" s="15" t="str">
        <f t="shared" si="486"/>
        <v>Harley Benjamin</v>
      </c>
      <c r="E1474" s="15" t="str">
        <f t="shared" si="487"/>
        <v>50 Hocking Way</v>
      </c>
      <c r="F1474" s="15" t="str">
        <f t="shared" si="488"/>
        <v>Bray Park</v>
      </c>
      <c r="G1474" s="15" t="str">
        <f t="shared" si="489"/>
        <v>QLD</v>
      </c>
      <c r="H1474" s="15">
        <f t="shared" si="490"/>
        <v>4500</v>
      </c>
      <c r="I1474" s="15">
        <f t="shared" si="501"/>
        <v>139</v>
      </c>
      <c r="J1474" s="15">
        <f>OrdersTable!B1474</f>
        <v>724</v>
      </c>
      <c r="K1474" s="15" t="str">
        <f t="shared" si="491"/>
        <v>Posters, Prints and Standees</v>
      </c>
      <c r="L1474" s="15" t="str">
        <f t="shared" si="492"/>
        <v>Doctor Who: Standee: The 10th Doctor</v>
      </c>
      <c r="M1474" s="15" t="str">
        <f t="shared" si="493"/>
        <v>-</v>
      </c>
      <c r="N1474" s="15">
        <f t="shared" si="494"/>
        <v>1.125</v>
      </c>
      <c r="O1474" s="15" t="str">
        <f t="shared" si="495"/>
        <v>A50</v>
      </c>
      <c r="P1474" s="15" t="str">
        <f t="shared" si="496"/>
        <v>Rassilon Ltd.</v>
      </c>
      <c r="Q1474" s="15" t="str">
        <f t="shared" si="497"/>
        <v>82 Richard Mathews Road</v>
      </c>
      <c r="R1474" s="3">
        <f>OrdersTable!C1474</f>
        <v>44665</v>
      </c>
      <c r="S1474" s="15">
        <f>OrdersTable!E1474</f>
        <v>7</v>
      </c>
      <c r="T1474" s="15">
        <f t="shared" si="498"/>
        <v>22.49</v>
      </c>
      <c r="U1474" s="15">
        <f t="shared" si="499"/>
        <v>30.77</v>
      </c>
      <c r="V1474" s="15">
        <f t="shared" si="500"/>
        <v>36.43</v>
      </c>
      <c r="W1474" s="15">
        <f>IF(MarkupType="Store Markup",ROUND(V1474+V1474*StoreMarkup,2),IF(MarkupType="Supplier Markup",V1474+V1474*SupplierMarkup,"Error at finding value"))</f>
        <v>57.38</v>
      </c>
      <c r="X1474" s="32" t="str">
        <f t="shared" si="502"/>
        <v>0.00</v>
      </c>
      <c r="Y1474" s="15">
        <f t="shared" si="503"/>
        <v>255.01</v>
      </c>
      <c r="Z1474" s="15">
        <f t="shared" si="504"/>
        <v>401.66</v>
      </c>
      <c r="AA1474" s="15">
        <f>IF(FreightType="Lethbridge-Stewart Freight ",ROUND(2.99+IF(N1474&gt;0.75,(N1474-0.75)*2.25,0)*S1474,2),IF(MarkupType="Supplier Markup",V1474+V1474*SupplierMarkup,"Error at finding value"))</f>
        <v>8.9</v>
      </c>
      <c r="AB1474" s="15">
        <f t="shared" si="505"/>
        <v>0</v>
      </c>
    </row>
    <row r="1475" spans="1:28" x14ac:dyDescent="0.25">
      <c r="A1475" s="16">
        <f>OrdersTable!A1475</f>
        <v>730</v>
      </c>
      <c r="B1475" s="15" t="str">
        <f t="shared" si="485"/>
        <v>Mr</v>
      </c>
      <c r="C1475" s="15" t="str">
        <f t="shared" si="506"/>
        <v>Romer</v>
      </c>
      <c r="D1475" s="15" t="str">
        <f t="shared" si="486"/>
        <v>Leo Alexander</v>
      </c>
      <c r="E1475" s="15" t="str">
        <f t="shared" si="487"/>
        <v>47 Bennett Circuit</v>
      </c>
      <c r="F1475" s="15" t="str">
        <f t="shared" si="488"/>
        <v>Caliph</v>
      </c>
      <c r="G1475" s="15" t="str">
        <f t="shared" si="489"/>
        <v>SA</v>
      </c>
      <c r="H1475" s="15">
        <f t="shared" si="490"/>
        <v>5310</v>
      </c>
      <c r="I1475" s="15">
        <f t="shared" si="501"/>
        <v>1720</v>
      </c>
      <c r="J1475" s="15">
        <f>OrdersTable!B1475</f>
        <v>585</v>
      </c>
      <c r="K1475" s="15" t="str">
        <f t="shared" si="491"/>
        <v>iPhone Skins</v>
      </c>
      <c r="L1475" s="15" t="str">
        <f t="shared" si="492"/>
        <v>Doctor Who: iPhone Skin: Dalek To Victory</v>
      </c>
      <c r="M1475" s="15" t="str">
        <f t="shared" si="493"/>
        <v>-</v>
      </c>
      <c r="N1475" s="15">
        <f t="shared" si="494"/>
        <v>0.5</v>
      </c>
      <c r="O1475" s="15" t="str">
        <f t="shared" si="495"/>
        <v>A10</v>
      </c>
      <c r="P1475" s="15" t="str">
        <f t="shared" si="496"/>
        <v>Gallifrey International</v>
      </c>
      <c r="Q1475" s="15" t="str">
        <f t="shared" si="497"/>
        <v>181 Arcadia Street</v>
      </c>
      <c r="R1475" s="3">
        <f>OrdersTable!C1475</f>
        <v>44665</v>
      </c>
      <c r="S1475" s="15">
        <f>OrdersTable!E1475</f>
        <v>8</v>
      </c>
      <c r="T1475" s="15">
        <f t="shared" si="498"/>
        <v>9.99</v>
      </c>
      <c r="U1475" s="15">
        <f t="shared" si="499"/>
        <v>13.7</v>
      </c>
      <c r="V1475" s="15">
        <f t="shared" si="500"/>
        <v>16.18</v>
      </c>
      <c r="W1475" s="15">
        <f>IF(MarkupType="Store Markup",ROUND(V1475+V1475*StoreMarkup,2),IF(MarkupType="Supplier Markup",V1475+V1475*SupplierMarkup,"Error at finding value"))</f>
        <v>25.48</v>
      </c>
      <c r="X1475" s="32" t="str">
        <f t="shared" si="502"/>
        <v>0.00</v>
      </c>
      <c r="Y1475" s="15">
        <f t="shared" si="503"/>
        <v>129.44</v>
      </c>
      <c r="Z1475" s="15">
        <f t="shared" si="504"/>
        <v>203.84</v>
      </c>
      <c r="AA1475" s="15">
        <f>IF(FreightType="Lethbridge-Stewart Freight ",ROUND(2.99+IF(N1475&gt;0.75,(N1475-0.75)*2.25,0)*S1475,2),IF(MarkupType="Supplier Markup",V1475+V1475*SupplierMarkup,"Error at finding value"))</f>
        <v>2.99</v>
      </c>
      <c r="AB1475" s="15">
        <f t="shared" si="505"/>
        <v>0</v>
      </c>
    </row>
    <row r="1476" spans="1:28" x14ac:dyDescent="0.25">
      <c r="A1476" s="16">
        <f>OrdersTable!A1476</f>
        <v>771</v>
      </c>
      <c r="B1476" s="15" t="str">
        <f t="shared" ref="B1476:B1539" si="507">VLOOKUP($A1476,Cust,2,0)</f>
        <v>Dr</v>
      </c>
      <c r="C1476" s="15" t="str">
        <f t="shared" si="506"/>
        <v>Virk</v>
      </c>
      <c r="D1476" s="15" t="str">
        <f t="shared" ref="D1476:D1539" si="508">VLOOKUP($A1476,Cust,4,0)</f>
        <v>Balraj Singh</v>
      </c>
      <c r="E1476" s="15" t="str">
        <f t="shared" ref="E1476:E1539" si="509">VLOOKUP($A1476,Cust,6,0)</f>
        <v>39 Napanje Drive</v>
      </c>
      <c r="F1476" s="15" t="str">
        <f t="shared" ref="F1476:F1539" si="510">VLOOKUP($A1476,Cust,7,0)</f>
        <v>Abington</v>
      </c>
      <c r="G1476" s="15" t="str">
        <f t="shared" ref="G1476:G1539" si="511">VLOOKUP($A1476,Cust,8,0)</f>
        <v>QLD</v>
      </c>
      <c r="H1476" s="15">
        <f t="shared" ref="H1476:H1539" si="512">VLOOKUP($A1476,Cust,9,0)</f>
        <v>4660</v>
      </c>
      <c r="I1476" s="15">
        <f t="shared" si="501"/>
        <v>336</v>
      </c>
      <c r="J1476" s="15">
        <f>OrdersTable!B1476</f>
        <v>862</v>
      </c>
      <c r="K1476" s="15" t="str">
        <f t="shared" ref="K1476:K1539" si="513">VLOOKUP($J1476,Itms,2,0)</f>
        <v>Statues and Busts</v>
      </c>
      <c r="L1476" s="15" t="str">
        <f t="shared" ref="L1476:L1539" si="514">VLOOKUP($J1476,Itms,3,0)</f>
        <v>Doctor Who: TITANS: The 10th Doctor</v>
      </c>
      <c r="M1476" s="15" t="str">
        <f t="shared" ref="M1476:M1539" si="515">VLOOKUP($J1476,Itms,4,0)</f>
        <v>-</v>
      </c>
      <c r="N1476" s="15">
        <f t="shared" ref="N1476:N1539" si="516">VLOOKUP($J1476,Itms,5,0)</f>
        <v>0.4</v>
      </c>
      <c r="O1476" s="15" t="str">
        <f t="shared" ref="O1476:O1539" si="517">VLOOKUP($J1476,Itms,6,0)</f>
        <v>A40</v>
      </c>
      <c r="P1476" s="15" t="str">
        <f t="shared" ref="P1476:P1539" si="518">VLOOKUP($O1476,Supp,2,0)</f>
        <v>Romana Imports</v>
      </c>
      <c r="Q1476" s="15" t="str">
        <f t="shared" ref="Q1476:Q1539" si="519">VLOOKUP($O1476,Supp,3,0)</f>
        <v>17 Lalla Ward Road</v>
      </c>
      <c r="R1476" s="3">
        <f>OrdersTable!C1476</f>
        <v>44665</v>
      </c>
      <c r="S1476" s="15">
        <f>OrdersTable!E1476</f>
        <v>1</v>
      </c>
      <c r="T1476" s="15">
        <f t="shared" ref="T1476:T1539" si="520">VLOOKUP($J1476,Itms,9,0)</f>
        <v>7.99</v>
      </c>
      <c r="U1476" s="15">
        <f t="shared" ref="U1476:U1539" si="521">VLOOKUP($J1476,Itms,10,0)</f>
        <v>11.01</v>
      </c>
      <c r="V1476" s="15">
        <f t="shared" ref="V1476:V1539" si="522">IF(ExchRateType="IR",ROUND(T1476*ExchRateIR,2),IF(ExchRateType="CA",ROUND(U1476*ExchRateCA,2),"Error at finding value"))</f>
        <v>12.94</v>
      </c>
      <c r="W1476" s="15">
        <f>IF(MarkupType="Store Markup",ROUND(V1476+V1476*StoreMarkup,2),IF(MarkupType="Supplier Markup",V1476+V1476*SupplierMarkup,"Error at finding value"))</f>
        <v>20.38</v>
      </c>
      <c r="X1476" s="32" t="str">
        <f t="shared" si="502"/>
        <v>0.00</v>
      </c>
      <c r="Y1476" s="15">
        <f t="shared" si="503"/>
        <v>12.94</v>
      </c>
      <c r="Z1476" s="15">
        <f t="shared" si="504"/>
        <v>20.38</v>
      </c>
      <c r="AA1476" s="15">
        <f>IF(FreightType="Lethbridge-Stewart Freight ",ROUND(2.99+IF(N1476&gt;0.75,(N1476-0.75)*2.25,0)*S1476,2),IF(MarkupType="Supplier Markup",V1476+V1476*SupplierMarkup,"Error at finding value"))</f>
        <v>2.99</v>
      </c>
      <c r="AB1476" s="15">
        <f t="shared" si="505"/>
        <v>0</v>
      </c>
    </row>
    <row r="1477" spans="1:28" x14ac:dyDescent="0.25">
      <c r="A1477" s="16">
        <f>OrdersTable!A1477</f>
        <v>830</v>
      </c>
      <c r="B1477" s="15" t="str">
        <f t="shared" si="507"/>
        <v>Miss</v>
      </c>
      <c r="C1477" s="15" t="str">
        <f t="shared" si="506"/>
        <v>Blakeney</v>
      </c>
      <c r="D1477" s="15" t="str">
        <f t="shared" si="508"/>
        <v>Hannah</v>
      </c>
      <c r="E1477" s="15" t="str">
        <f t="shared" si="509"/>
        <v>31 Sproule Street</v>
      </c>
      <c r="F1477" s="15" t="str">
        <f t="shared" si="510"/>
        <v>Belford</v>
      </c>
      <c r="G1477" s="15" t="str">
        <f t="shared" si="511"/>
        <v>NSW</v>
      </c>
      <c r="H1477" s="15">
        <f t="shared" si="512"/>
        <v>2335</v>
      </c>
      <c r="I1477" s="15">
        <f t="shared" ref="I1477:I1540" si="523">VLOOKUP($A1477,Cust,10,0)</f>
        <v>716</v>
      </c>
      <c r="J1477" s="15">
        <f>OrdersTable!B1477</f>
        <v>590</v>
      </c>
      <c r="K1477" s="15" t="str">
        <f t="shared" si="513"/>
        <v>iPhone Skins</v>
      </c>
      <c r="L1477" s="15" t="str">
        <f t="shared" si="514"/>
        <v>Doctor Who: iPhone Skin: Exploding TARDIS</v>
      </c>
      <c r="M1477" s="15" t="str">
        <f t="shared" si="515"/>
        <v>-</v>
      </c>
      <c r="N1477" s="15">
        <f t="shared" si="516"/>
        <v>0.5</v>
      </c>
      <c r="O1477" s="15" t="str">
        <f t="shared" si="517"/>
        <v>A20</v>
      </c>
      <c r="P1477" s="15" t="str">
        <f t="shared" si="518"/>
        <v>Morbius Inc.</v>
      </c>
      <c r="Q1477" s="15" t="str">
        <f t="shared" si="519"/>
        <v>56 Michael Spice Hwy</v>
      </c>
      <c r="R1477" s="3">
        <f>OrdersTable!C1477</f>
        <v>44665</v>
      </c>
      <c r="S1477" s="15">
        <f>OrdersTable!E1477</f>
        <v>6</v>
      </c>
      <c r="T1477" s="15">
        <f t="shared" si="520"/>
        <v>9.99</v>
      </c>
      <c r="U1477" s="15">
        <f t="shared" si="521"/>
        <v>13.86</v>
      </c>
      <c r="V1477" s="15">
        <f t="shared" si="522"/>
        <v>16.18</v>
      </c>
      <c r="W1477" s="15">
        <f>IF(MarkupType="Store Markup",ROUND(V1477+V1477*StoreMarkup,2),IF(MarkupType="Supplier Markup",V1477+V1477*SupplierMarkup,"Error at finding value"))</f>
        <v>25.48</v>
      </c>
      <c r="X1477" s="32" t="str">
        <f t="shared" ref="X1477:X1540" si="524">IF(AND(W1477&gt;100,S1477&gt;=3),ROUND(0.07125*W1477,2),"0.00")</f>
        <v>0.00</v>
      </c>
      <c r="Y1477" s="15">
        <f t="shared" ref="Y1477:Y1540" si="525">ROUND(V1477*S1477,2)</f>
        <v>97.08</v>
      </c>
      <c r="Z1477" s="15">
        <f t="shared" ref="Z1477:Z1540" si="526">ROUND((W1477-X1477)*S1477,2)</f>
        <v>152.88</v>
      </c>
      <c r="AA1477" s="15">
        <f>IF(FreightType="Lethbridge-Stewart Freight ",ROUND(2.99+IF(N1477&gt;0.75,(N1477-0.75)*2.25,0)*S1477,2),IF(MarkupType="Supplier Markup",V1477+V1477*SupplierMarkup,"Error at finding value"))</f>
        <v>2.99</v>
      </c>
      <c r="AB1477" s="15">
        <f t="shared" ref="AB1477:AB1540" si="527">ROUND(X1477*S1477,2)</f>
        <v>0</v>
      </c>
    </row>
    <row r="1478" spans="1:28" x14ac:dyDescent="0.25">
      <c r="A1478" s="16">
        <f>OrdersTable!A1478</f>
        <v>841</v>
      </c>
      <c r="B1478" s="15" t="str">
        <f t="shared" si="507"/>
        <v>Miss</v>
      </c>
      <c r="C1478" s="15" t="str">
        <f t="shared" si="506"/>
        <v>Donaghy</v>
      </c>
      <c r="D1478" s="15" t="str">
        <f t="shared" si="508"/>
        <v>Elizabeth Mathilde Jane</v>
      </c>
      <c r="E1478" s="15" t="str">
        <f t="shared" si="509"/>
        <v>31 Johnson Boulevard</v>
      </c>
      <c r="F1478" s="15" t="str">
        <f t="shared" si="510"/>
        <v>Belford</v>
      </c>
      <c r="G1478" s="15" t="str">
        <f t="shared" si="511"/>
        <v>NSW</v>
      </c>
      <c r="H1478" s="15">
        <f t="shared" si="512"/>
        <v>2335</v>
      </c>
      <c r="I1478" s="15">
        <f t="shared" si="523"/>
        <v>716</v>
      </c>
      <c r="J1478" s="15">
        <f>OrdersTable!B1478</f>
        <v>543</v>
      </c>
      <c r="K1478" s="15" t="str">
        <f t="shared" si="513"/>
        <v>Giftware</v>
      </c>
      <c r="L1478" s="15" t="str">
        <f t="shared" si="514"/>
        <v>Doctor Who: Sonic Screwdriver Pen</v>
      </c>
      <c r="M1478" s="15" t="str">
        <f t="shared" si="515"/>
        <v>-</v>
      </c>
      <c r="N1478" s="15">
        <f t="shared" si="516"/>
        <v>0.65</v>
      </c>
      <c r="O1478" s="15" t="str">
        <f t="shared" si="517"/>
        <v>A20</v>
      </c>
      <c r="P1478" s="15" t="str">
        <f t="shared" si="518"/>
        <v>Morbius Inc.</v>
      </c>
      <c r="Q1478" s="15" t="str">
        <f t="shared" si="519"/>
        <v>56 Michael Spice Hwy</v>
      </c>
      <c r="R1478" s="3">
        <f>OrdersTable!C1478</f>
        <v>44665</v>
      </c>
      <c r="S1478" s="15">
        <f>OrdersTable!E1478</f>
        <v>5</v>
      </c>
      <c r="T1478" s="15">
        <f t="shared" si="520"/>
        <v>12.99</v>
      </c>
      <c r="U1478" s="15">
        <f t="shared" si="521"/>
        <v>18.02</v>
      </c>
      <c r="V1478" s="15">
        <f t="shared" si="522"/>
        <v>21.04</v>
      </c>
      <c r="W1478" s="15">
        <f>IF(MarkupType="Store Markup",ROUND(V1478+V1478*StoreMarkup,2),IF(MarkupType="Supplier Markup",V1478+V1478*SupplierMarkup,"Error at finding value"))</f>
        <v>33.14</v>
      </c>
      <c r="X1478" s="32" t="str">
        <f t="shared" si="524"/>
        <v>0.00</v>
      </c>
      <c r="Y1478" s="15">
        <f t="shared" si="525"/>
        <v>105.2</v>
      </c>
      <c r="Z1478" s="15">
        <f t="shared" si="526"/>
        <v>165.7</v>
      </c>
      <c r="AA1478" s="15">
        <f>IF(FreightType="Lethbridge-Stewart Freight ",ROUND(2.99+IF(N1478&gt;0.75,(N1478-0.75)*2.25,0)*S1478,2),IF(MarkupType="Supplier Markup",V1478+V1478*SupplierMarkup,"Error at finding value"))</f>
        <v>2.99</v>
      </c>
      <c r="AB1478" s="15">
        <f t="shared" si="527"/>
        <v>0</v>
      </c>
    </row>
    <row r="1479" spans="1:28" x14ac:dyDescent="0.25">
      <c r="A1479" s="16">
        <f>OrdersTable!A1479</f>
        <v>226</v>
      </c>
      <c r="B1479" s="15" t="str">
        <f t="shared" si="507"/>
        <v>Ms</v>
      </c>
      <c r="C1479" s="15" t="str">
        <f t="shared" si="506"/>
        <v>Stewart</v>
      </c>
      <c r="D1479" s="15" t="str">
        <f t="shared" si="508"/>
        <v>Jodi Louise</v>
      </c>
      <c r="E1479" s="15" t="str">
        <f t="shared" si="509"/>
        <v>33 Abington Court</v>
      </c>
      <c r="F1479" s="15" t="str">
        <f t="shared" si="510"/>
        <v>Iluka</v>
      </c>
      <c r="G1479" s="15" t="str">
        <f t="shared" si="511"/>
        <v>NSW</v>
      </c>
      <c r="H1479" s="15">
        <f t="shared" si="512"/>
        <v>2466</v>
      </c>
      <c r="I1479" s="15">
        <f t="shared" si="523"/>
        <v>347</v>
      </c>
      <c r="J1479" s="15">
        <f>OrdersTable!B1479</f>
        <v>590</v>
      </c>
      <c r="K1479" s="15" t="str">
        <f t="shared" si="513"/>
        <v>iPhone Skins</v>
      </c>
      <c r="L1479" s="15" t="str">
        <f t="shared" si="514"/>
        <v>Doctor Who: iPhone Skin: Exploding TARDIS</v>
      </c>
      <c r="M1479" s="15" t="str">
        <f t="shared" si="515"/>
        <v>-</v>
      </c>
      <c r="N1479" s="15">
        <f t="shared" si="516"/>
        <v>0.5</v>
      </c>
      <c r="O1479" s="15" t="str">
        <f t="shared" si="517"/>
        <v>A20</v>
      </c>
      <c r="P1479" s="15" t="str">
        <f t="shared" si="518"/>
        <v>Morbius Inc.</v>
      </c>
      <c r="Q1479" s="15" t="str">
        <f t="shared" si="519"/>
        <v>56 Michael Spice Hwy</v>
      </c>
      <c r="R1479" s="3">
        <f>OrdersTable!C1479</f>
        <v>44666</v>
      </c>
      <c r="S1479" s="15">
        <f>OrdersTable!E1479</f>
        <v>5</v>
      </c>
      <c r="T1479" s="15">
        <f t="shared" si="520"/>
        <v>9.99</v>
      </c>
      <c r="U1479" s="15">
        <f t="shared" si="521"/>
        <v>13.86</v>
      </c>
      <c r="V1479" s="15">
        <f t="shared" si="522"/>
        <v>16.18</v>
      </c>
      <c r="W1479" s="15">
        <f>IF(MarkupType="Store Markup",ROUND(V1479+V1479*StoreMarkup,2),IF(MarkupType="Supplier Markup",V1479+V1479*SupplierMarkup,"Error at finding value"))</f>
        <v>25.48</v>
      </c>
      <c r="X1479" s="32" t="str">
        <f t="shared" si="524"/>
        <v>0.00</v>
      </c>
      <c r="Y1479" s="15">
        <f t="shared" si="525"/>
        <v>80.900000000000006</v>
      </c>
      <c r="Z1479" s="15">
        <f t="shared" si="526"/>
        <v>127.4</v>
      </c>
      <c r="AA1479" s="15">
        <f>IF(FreightType="Lethbridge-Stewart Freight ",ROUND(2.99+IF(N1479&gt;0.75,(N1479-0.75)*2.25,0)*S1479,2),IF(MarkupType="Supplier Markup",V1479+V1479*SupplierMarkup,"Error at finding value"))</f>
        <v>2.99</v>
      </c>
      <c r="AB1479" s="15">
        <f t="shared" si="527"/>
        <v>0</v>
      </c>
    </row>
    <row r="1480" spans="1:28" x14ac:dyDescent="0.25">
      <c r="A1480" s="16">
        <f>OrdersTable!A1480</f>
        <v>323</v>
      </c>
      <c r="B1480" s="15" t="str">
        <f t="shared" si="507"/>
        <v>Dr</v>
      </c>
      <c r="C1480" s="15" t="str">
        <f t="shared" si="506"/>
        <v>King</v>
      </c>
      <c r="D1480" s="15" t="str">
        <f t="shared" si="508"/>
        <v>Leith</v>
      </c>
      <c r="E1480" s="15" t="str">
        <f t="shared" si="509"/>
        <v>25 Carbone Court</v>
      </c>
      <c r="F1480" s="15" t="str">
        <f t="shared" si="510"/>
        <v>Nayook</v>
      </c>
      <c r="G1480" s="15" t="str">
        <f t="shared" si="511"/>
        <v>VIC</v>
      </c>
      <c r="H1480" s="15">
        <f t="shared" si="512"/>
        <v>3832</v>
      </c>
      <c r="I1480" s="15">
        <f t="shared" si="523"/>
        <v>1552</v>
      </c>
      <c r="J1480" s="15">
        <f>OrdersTable!B1480</f>
        <v>583</v>
      </c>
      <c r="K1480" s="15" t="str">
        <f t="shared" si="513"/>
        <v>iPhone Skins</v>
      </c>
      <c r="L1480" s="15" t="str">
        <f t="shared" si="514"/>
        <v>Doctor Who: iPhone Skin: Cyberman Delete</v>
      </c>
      <c r="M1480" s="15" t="str">
        <f t="shared" si="515"/>
        <v>-</v>
      </c>
      <c r="N1480" s="15">
        <f t="shared" si="516"/>
        <v>0.3</v>
      </c>
      <c r="O1480" s="15" t="str">
        <f t="shared" si="517"/>
        <v>A50</v>
      </c>
      <c r="P1480" s="15" t="str">
        <f t="shared" si="518"/>
        <v>Rassilon Ltd.</v>
      </c>
      <c r="Q1480" s="15" t="str">
        <f t="shared" si="519"/>
        <v>82 Richard Mathews Road</v>
      </c>
      <c r="R1480" s="3">
        <f>OrdersTable!C1480</f>
        <v>44666</v>
      </c>
      <c r="S1480" s="15">
        <f>OrdersTable!E1480</f>
        <v>6</v>
      </c>
      <c r="T1480" s="15">
        <f t="shared" si="520"/>
        <v>5.99</v>
      </c>
      <c r="U1480" s="15">
        <f t="shared" si="521"/>
        <v>8.23</v>
      </c>
      <c r="V1480" s="15">
        <f t="shared" si="522"/>
        <v>9.6999999999999993</v>
      </c>
      <c r="W1480" s="15">
        <f>IF(MarkupType="Store Markup",ROUND(V1480+V1480*StoreMarkup,2),IF(MarkupType="Supplier Markup",V1480+V1480*SupplierMarkup,"Error at finding value"))</f>
        <v>15.28</v>
      </c>
      <c r="X1480" s="32" t="str">
        <f t="shared" si="524"/>
        <v>0.00</v>
      </c>
      <c r="Y1480" s="15">
        <f t="shared" si="525"/>
        <v>58.2</v>
      </c>
      <c r="Z1480" s="15">
        <f t="shared" si="526"/>
        <v>91.68</v>
      </c>
      <c r="AA1480" s="15">
        <f>IF(FreightType="Lethbridge-Stewart Freight ",ROUND(2.99+IF(N1480&gt;0.75,(N1480-0.75)*2.25,0)*S1480,2),IF(MarkupType="Supplier Markup",V1480+V1480*SupplierMarkup,"Error at finding value"))</f>
        <v>2.99</v>
      </c>
      <c r="AB1480" s="15">
        <f t="shared" si="527"/>
        <v>0</v>
      </c>
    </row>
    <row r="1481" spans="1:28" x14ac:dyDescent="0.25">
      <c r="A1481" s="16">
        <f>OrdersTable!A1481</f>
        <v>331</v>
      </c>
      <c r="B1481" s="15" t="str">
        <f t="shared" si="507"/>
        <v>Mrs</v>
      </c>
      <c r="C1481" s="15" t="str">
        <f t="shared" si="506"/>
        <v>McKenzie</v>
      </c>
      <c r="D1481" s="15" t="str">
        <f t="shared" si="508"/>
        <v>Melinda Kate</v>
      </c>
      <c r="E1481" s="15" t="str">
        <f t="shared" si="509"/>
        <v>49 McKay Way</v>
      </c>
      <c r="F1481" s="15" t="str">
        <f t="shared" si="510"/>
        <v>Black Hills</v>
      </c>
      <c r="G1481" s="15" t="str">
        <f t="shared" si="511"/>
        <v>TAS</v>
      </c>
      <c r="H1481" s="15">
        <f t="shared" si="512"/>
        <v>7140</v>
      </c>
      <c r="I1481" s="15">
        <f t="shared" si="523"/>
        <v>2191</v>
      </c>
      <c r="J1481" s="15">
        <f>OrdersTable!B1481</f>
        <v>373</v>
      </c>
      <c r="K1481" s="15" t="str">
        <f t="shared" si="513"/>
        <v>Clothing and Apparel</v>
      </c>
      <c r="L1481" s="15" t="str">
        <f t="shared" si="514"/>
        <v xml:space="preserve">Doctor Who: T-Shirts: 5th Doctor Costume </v>
      </c>
      <c r="M1481" s="15" t="str">
        <f t="shared" si="515"/>
        <v>L</v>
      </c>
      <c r="N1481" s="15">
        <f t="shared" si="516"/>
        <v>0.8</v>
      </c>
      <c r="O1481" s="15" t="str">
        <f t="shared" si="517"/>
        <v>A20</v>
      </c>
      <c r="P1481" s="15" t="str">
        <f t="shared" si="518"/>
        <v>Morbius Inc.</v>
      </c>
      <c r="Q1481" s="15" t="str">
        <f t="shared" si="519"/>
        <v>56 Michael Spice Hwy</v>
      </c>
      <c r="R1481" s="3">
        <f>OrdersTable!C1481</f>
        <v>44666</v>
      </c>
      <c r="S1481" s="15">
        <f>OrdersTable!E1481</f>
        <v>4</v>
      </c>
      <c r="T1481" s="15">
        <f t="shared" si="520"/>
        <v>15.99</v>
      </c>
      <c r="U1481" s="15">
        <f t="shared" si="521"/>
        <v>22.09</v>
      </c>
      <c r="V1481" s="15">
        <f t="shared" si="522"/>
        <v>25.9</v>
      </c>
      <c r="W1481" s="15">
        <f>IF(MarkupType="Store Markup",ROUND(V1481+V1481*StoreMarkup,2),IF(MarkupType="Supplier Markup",V1481+V1481*SupplierMarkup,"Error at finding value"))</f>
        <v>40.79</v>
      </c>
      <c r="X1481" s="32" t="str">
        <f t="shared" si="524"/>
        <v>0.00</v>
      </c>
      <c r="Y1481" s="15">
        <f t="shared" si="525"/>
        <v>103.6</v>
      </c>
      <c r="Z1481" s="15">
        <f t="shared" si="526"/>
        <v>163.16</v>
      </c>
      <c r="AA1481" s="15">
        <f>IF(FreightType="Lethbridge-Stewart Freight ",ROUND(2.99+IF(N1481&gt;0.75,(N1481-0.75)*2.25,0)*S1481,2),IF(MarkupType="Supplier Markup",V1481+V1481*SupplierMarkup,"Error at finding value"))</f>
        <v>3.44</v>
      </c>
      <c r="AB1481" s="15">
        <f t="shared" si="527"/>
        <v>0</v>
      </c>
    </row>
    <row r="1482" spans="1:28" x14ac:dyDescent="0.25">
      <c r="A1482" s="16">
        <f>OrdersTable!A1482</f>
        <v>474</v>
      </c>
      <c r="B1482" s="15" t="str">
        <f t="shared" si="507"/>
        <v>Mr</v>
      </c>
      <c r="C1482" s="15" t="str">
        <f t="shared" si="506"/>
        <v>Jooste</v>
      </c>
      <c r="D1482" s="15" t="str">
        <f t="shared" si="508"/>
        <v>Nicholas</v>
      </c>
      <c r="E1482" s="15" t="str">
        <f t="shared" si="509"/>
        <v>32 Dover Road</v>
      </c>
      <c r="F1482" s="15" t="str">
        <f t="shared" si="510"/>
        <v>Belford</v>
      </c>
      <c r="G1482" s="15" t="str">
        <f t="shared" si="511"/>
        <v>NSW</v>
      </c>
      <c r="H1482" s="15">
        <f t="shared" si="512"/>
        <v>2335</v>
      </c>
      <c r="I1482" s="15">
        <f t="shared" si="523"/>
        <v>716</v>
      </c>
      <c r="J1482" s="15">
        <f>OrdersTable!B1482</f>
        <v>580</v>
      </c>
      <c r="K1482" s="15" t="str">
        <f t="shared" si="513"/>
        <v>Giftware</v>
      </c>
      <c r="L1482" s="15" t="str">
        <f t="shared" si="514"/>
        <v>Doctor Who: Wallpaper: Classic TARDIS Columns</v>
      </c>
      <c r="M1482" s="15" t="str">
        <f t="shared" si="515"/>
        <v>-</v>
      </c>
      <c r="N1482" s="15">
        <f t="shared" si="516"/>
        <v>0.65500000000000003</v>
      </c>
      <c r="O1482" s="15" t="str">
        <f t="shared" si="517"/>
        <v>A50</v>
      </c>
      <c r="P1482" s="15" t="str">
        <f t="shared" si="518"/>
        <v>Rassilon Ltd.</v>
      </c>
      <c r="Q1482" s="15" t="str">
        <f t="shared" si="519"/>
        <v>82 Richard Mathews Road</v>
      </c>
      <c r="R1482" s="3">
        <f>OrdersTable!C1482</f>
        <v>44666</v>
      </c>
      <c r="S1482" s="15">
        <f>OrdersTable!E1482</f>
        <v>7</v>
      </c>
      <c r="T1482" s="15">
        <f t="shared" si="520"/>
        <v>13.11</v>
      </c>
      <c r="U1482" s="15">
        <f t="shared" si="521"/>
        <v>18.18</v>
      </c>
      <c r="V1482" s="15">
        <f t="shared" si="522"/>
        <v>21.24</v>
      </c>
      <c r="W1482" s="15">
        <f>IF(MarkupType="Store Markup",ROUND(V1482+V1482*StoreMarkup,2),IF(MarkupType="Supplier Markup",V1482+V1482*SupplierMarkup,"Error at finding value"))</f>
        <v>33.450000000000003</v>
      </c>
      <c r="X1482" s="32" t="str">
        <f t="shared" si="524"/>
        <v>0.00</v>
      </c>
      <c r="Y1482" s="15">
        <f t="shared" si="525"/>
        <v>148.68</v>
      </c>
      <c r="Z1482" s="15">
        <f t="shared" si="526"/>
        <v>234.15</v>
      </c>
      <c r="AA1482" s="15">
        <f>IF(FreightType="Lethbridge-Stewart Freight ",ROUND(2.99+IF(N1482&gt;0.75,(N1482-0.75)*2.25,0)*S1482,2),IF(MarkupType="Supplier Markup",V1482+V1482*SupplierMarkup,"Error at finding value"))</f>
        <v>2.99</v>
      </c>
      <c r="AB1482" s="15">
        <f t="shared" si="527"/>
        <v>0</v>
      </c>
    </row>
    <row r="1483" spans="1:28" x14ac:dyDescent="0.25">
      <c r="A1483" s="16">
        <f>OrdersTable!A1483</f>
        <v>527</v>
      </c>
      <c r="B1483" s="15" t="str">
        <f t="shared" si="507"/>
        <v>Mr</v>
      </c>
      <c r="C1483" s="15" t="str">
        <f t="shared" ref="C1483:C1546" si="528">VLOOKUP($A1483,Cust,3,0)</f>
        <v>McTaggart</v>
      </c>
      <c r="D1483" s="15" t="str">
        <f t="shared" si="508"/>
        <v>Daniel</v>
      </c>
      <c r="E1483" s="15" t="str">
        <f t="shared" si="509"/>
        <v>24 Mulholland Avenue</v>
      </c>
      <c r="F1483" s="15" t="str">
        <f t="shared" si="510"/>
        <v>Belconnen</v>
      </c>
      <c r="G1483" s="15" t="str">
        <f t="shared" si="511"/>
        <v>ACT</v>
      </c>
      <c r="H1483" s="15">
        <f t="shared" si="512"/>
        <v>2617</v>
      </c>
      <c r="I1483" s="15">
        <f t="shared" si="523"/>
        <v>1194</v>
      </c>
      <c r="J1483" s="15">
        <f>OrdersTable!B1483</f>
        <v>862</v>
      </c>
      <c r="K1483" s="15" t="str">
        <f t="shared" si="513"/>
        <v>Statues and Busts</v>
      </c>
      <c r="L1483" s="15" t="str">
        <f t="shared" si="514"/>
        <v>Doctor Who: TITANS: The 10th Doctor</v>
      </c>
      <c r="M1483" s="15" t="str">
        <f t="shared" si="515"/>
        <v>-</v>
      </c>
      <c r="N1483" s="15">
        <f t="shared" si="516"/>
        <v>0.4</v>
      </c>
      <c r="O1483" s="15" t="str">
        <f t="shared" si="517"/>
        <v>A40</v>
      </c>
      <c r="P1483" s="15" t="str">
        <f t="shared" si="518"/>
        <v>Romana Imports</v>
      </c>
      <c r="Q1483" s="15" t="str">
        <f t="shared" si="519"/>
        <v>17 Lalla Ward Road</v>
      </c>
      <c r="R1483" s="3">
        <f>OrdersTable!C1483</f>
        <v>44666</v>
      </c>
      <c r="S1483" s="15">
        <f>OrdersTable!E1483</f>
        <v>10</v>
      </c>
      <c r="T1483" s="15">
        <f t="shared" si="520"/>
        <v>7.99</v>
      </c>
      <c r="U1483" s="15">
        <f t="shared" si="521"/>
        <v>11.01</v>
      </c>
      <c r="V1483" s="15">
        <f t="shared" si="522"/>
        <v>12.94</v>
      </c>
      <c r="W1483" s="15">
        <f>IF(MarkupType="Store Markup",ROUND(V1483+V1483*StoreMarkup,2),IF(MarkupType="Supplier Markup",V1483+V1483*SupplierMarkup,"Error at finding value"))</f>
        <v>20.38</v>
      </c>
      <c r="X1483" s="32" t="str">
        <f t="shared" si="524"/>
        <v>0.00</v>
      </c>
      <c r="Y1483" s="15">
        <f t="shared" si="525"/>
        <v>129.4</v>
      </c>
      <c r="Z1483" s="15">
        <f t="shared" si="526"/>
        <v>203.8</v>
      </c>
      <c r="AA1483" s="15">
        <f>IF(FreightType="Lethbridge-Stewart Freight ",ROUND(2.99+IF(N1483&gt;0.75,(N1483-0.75)*2.25,0)*S1483,2),IF(MarkupType="Supplier Markup",V1483+V1483*SupplierMarkup,"Error at finding value"))</f>
        <v>2.99</v>
      </c>
      <c r="AB1483" s="15">
        <f t="shared" si="527"/>
        <v>0</v>
      </c>
    </row>
    <row r="1484" spans="1:28" x14ac:dyDescent="0.25">
      <c r="A1484" s="16">
        <f>OrdersTable!A1484</f>
        <v>531</v>
      </c>
      <c r="B1484" s="15" t="str">
        <f t="shared" si="507"/>
        <v>Ms</v>
      </c>
      <c r="C1484" s="15" t="str">
        <f t="shared" si="528"/>
        <v>Stanton</v>
      </c>
      <c r="D1484" s="15" t="str">
        <f t="shared" si="508"/>
        <v>Sharaze</v>
      </c>
      <c r="E1484" s="15" t="str">
        <f t="shared" si="509"/>
        <v>1 Siddons Crescent</v>
      </c>
      <c r="F1484" s="15" t="str">
        <f t="shared" si="510"/>
        <v>Alfredtown</v>
      </c>
      <c r="G1484" s="15" t="str">
        <f t="shared" si="511"/>
        <v>NSW</v>
      </c>
      <c r="H1484" s="15">
        <f t="shared" si="512"/>
        <v>2650</v>
      </c>
      <c r="I1484" s="15">
        <f t="shared" si="523"/>
        <v>1124</v>
      </c>
      <c r="J1484" s="15">
        <f>OrdersTable!B1484</f>
        <v>515</v>
      </c>
      <c r="K1484" s="15" t="str">
        <f t="shared" si="513"/>
        <v>Giftware</v>
      </c>
      <c r="L1484" s="15" t="str">
        <f t="shared" si="514"/>
        <v>Doctor Who: Keyring K9</v>
      </c>
      <c r="M1484" s="15" t="str">
        <f t="shared" si="515"/>
        <v>-</v>
      </c>
      <c r="N1484" s="15">
        <f t="shared" si="516"/>
        <v>0.25</v>
      </c>
      <c r="O1484" s="15" t="str">
        <f t="shared" si="517"/>
        <v>A50</v>
      </c>
      <c r="P1484" s="15" t="str">
        <f t="shared" si="518"/>
        <v>Rassilon Ltd.</v>
      </c>
      <c r="Q1484" s="15" t="str">
        <f t="shared" si="519"/>
        <v>82 Richard Mathews Road</v>
      </c>
      <c r="R1484" s="3">
        <f>OrdersTable!C1484</f>
        <v>44666</v>
      </c>
      <c r="S1484" s="15">
        <f>OrdersTable!E1484</f>
        <v>8</v>
      </c>
      <c r="T1484" s="15">
        <f t="shared" si="520"/>
        <v>4.99</v>
      </c>
      <c r="U1484" s="15">
        <f t="shared" si="521"/>
        <v>6.91</v>
      </c>
      <c r="V1484" s="15">
        <f t="shared" si="522"/>
        <v>8.08</v>
      </c>
      <c r="W1484" s="15">
        <f>IF(MarkupType="Store Markup",ROUND(V1484+V1484*StoreMarkup,2),IF(MarkupType="Supplier Markup",V1484+V1484*SupplierMarkup,"Error at finding value"))</f>
        <v>12.73</v>
      </c>
      <c r="X1484" s="32" t="str">
        <f t="shared" si="524"/>
        <v>0.00</v>
      </c>
      <c r="Y1484" s="15">
        <f t="shared" si="525"/>
        <v>64.64</v>
      </c>
      <c r="Z1484" s="15">
        <f t="shared" si="526"/>
        <v>101.84</v>
      </c>
      <c r="AA1484" s="15">
        <f>IF(FreightType="Lethbridge-Stewart Freight ",ROUND(2.99+IF(N1484&gt;0.75,(N1484-0.75)*2.25,0)*S1484,2),IF(MarkupType="Supplier Markup",V1484+V1484*SupplierMarkup,"Error at finding value"))</f>
        <v>2.99</v>
      </c>
      <c r="AB1484" s="15">
        <f t="shared" si="527"/>
        <v>0</v>
      </c>
    </row>
    <row r="1485" spans="1:28" x14ac:dyDescent="0.25">
      <c r="A1485" s="16">
        <f>OrdersTable!A1485</f>
        <v>570</v>
      </c>
      <c r="B1485" s="15" t="str">
        <f t="shared" si="507"/>
        <v>Mr</v>
      </c>
      <c r="C1485" s="15" t="str">
        <f t="shared" si="528"/>
        <v>Adams</v>
      </c>
      <c r="D1485" s="15" t="str">
        <f t="shared" si="508"/>
        <v>Matthew</v>
      </c>
      <c r="E1485" s="15" t="str">
        <f t="shared" si="509"/>
        <v>36 Fenech Avenue</v>
      </c>
      <c r="F1485" s="15" t="str">
        <f t="shared" si="510"/>
        <v>Bray Park</v>
      </c>
      <c r="G1485" s="15" t="str">
        <f t="shared" si="511"/>
        <v>QLD</v>
      </c>
      <c r="H1485" s="15">
        <f t="shared" si="512"/>
        <v>4500</v>
      </c>
      <c r="I1485" s="15">
        <f t="shared" si="523"/>
        <v>139</v>
      </c>
      <c r="J1485" s="15">
        <f>OrdersTable!B1485</f>
        <v>398</v>
      </c>
      <c r="K1485" s="15" t="str">
        <f t="shared" si="513"/>
        <v>Clothing and Apparel</v>
      </c>
      <c r="L1485" s="15" t="str">
        <f t="shared" si="514"/>
        <v>Doctor Who: Women's Winter Pyjamas</v>
      </c>
      <c r="M1485" s="15" t="str">
        <f t="shared" si="515"/>
        <v>S</v>
      </c>
      <c r="N1485" s="15">
        <f t="shared" si="516"/>
        <v>1.5</v>
      </c>
      <c r="O1485" s="15" t="str">
        <f t="shared" si="517"/>
        <v>A40</v>
      </c>
      <c r="P1485" s="15" t="str">
        <f t="shared" si="518"/>
        <v>Romana Imports</v>
      </c>
      <c r="Q1485" s="15" t="str">
        <f t="shared" si="519"/>
        <v>17 Lalla Ward Road</v>
      </c>
      <c r="R1485" s="3">
        <f>OrdersTable!C1485</f>
        <v>44666</v>
      </c>
      <c r="S1485" s="15">
        <f>OrdersTable!E1485</f>
        <v>4</v>
      </c>
      <c r="T1485" s="15">
        <f t="shared" si="520"/>
        <v>29.99</v>
      </c>
      <c r="U1485" s="15">
        <f t="shared" si="521"/>
        <v>41.07</v>
      </c>
      <c r="V1485" s="15">
        <f t="shared" si="522"/>
        <v>48.58</v>
      </c>
      <c r="W1485" s="15">
        <f>IF(MarkupType="Store Markup",ROUND(V1485+V1485*StoreMarkup,2),IF(MarkupType="Supplier Markup",V1485+V1485*SupplierMarkup,"Error at finding value"))</f>
        <v>76.510000000000005</v>
      </c>
      <c r="X1485" s="32" t="str">
        <f t="shared" si="524"/>
        <v>0.00</v>
      </c>
      <c r="Y1485" s="15">
        <f t="shared" si="525"/>
        <v>194.32</v>
      </c>
      <c r="Z1485" s="15">
        <f t="shared" si="526"/>
        <v>306.04000000000002</v>
      </c>
      <c r="AA1485" s="15">
        <f>IF(FreightType="Lethbridge-Stewart Freight ",ROUND(2.99+IF(N1485&gt;0.75,(N1485-0.75)*2.25,0)*S1485,2),IF(MarkupType="Supplier Markup",V1485+V1485*SupplierMarkup,"Error at finding value"))</f>
        <v>9.74</v>
      </c>
      <c r="AB1485" s="15">
        <f t="shared" si="527"/>
        <v>0</v>
      </c>
    </row>
    <row r="1486" spans="1:28" x14ac:dyDescent="0.25">
      <c r="A1486" s="16">
        <f>OrdersTable!A1486</f>
        <v>610</v>
      </c>
      <c r="B1486" s="15" t="str">
        <f t="shared" si="507"/>
        <v>Ms</v>
      </c>
      <c r="C1486" s="15" t="str">
        <f t="shared" si="528"/>
        <v>Bichel</v>
      </c>
      <c r="D1486" s="15" t="str">
        <f t="shared" si="508"/>
        <v>Abbey Kate</v>
      </c>
      <c r="E1486" s="15" t="str">
        <f t="shared" si="509"/>
        <v>32 Rambau Avenue</v>
      </c>
      <c r="F1486" s="15" t="str">
        <f t="shared" si="510"/>
        <v>Bamboo</v>
      </c>
      <c r="G1486" s="15" t="str">
        <f t="shared" si="511"/>
        <v>QLD</v>
      </c>
      <c r="H1486" s="15">
        <f t="shared" si="512"/>
        <v>4873</v>
      </c>
      <c r="I1486" s="15">
        <f t="shared" si="523"/>
        <v>1741</v>
      </c>
      <c r="J1486" s="15">
        <f>OrdersTable!B1486</f>
        <v>590</v>
      </c>
      <c r="K1486" s="15" t="str">
        <f t="shared" si="513"/>
        <v>iPhone Skins</v>
      </c>
      <c r="L1486" s="15" t="str">
        <f t="shared" si="514"/>
        <v>Doctor Who: iPhone Skin: Exploding TARDIS</v>
      </c>
      <c r="M1486" s="15" t="str">
        <f t="shared" si="515"/>
        <v>-</v>
      </c>
      <c r="N1486" s="15">
        <f t="shared" si="516"/>
        <v>0.5</v>
      </c>
      <c r="O1486" s="15" t="str">
        <f t="shared" si="517"/>
        <v>A20</v>
      </c>
      <c r="P1486" s="15" t="str">
        <f t="shared" si="518"/>
        <v>Morbius Inc.</v>
      </c>
      <c r="Q1486" s="15" t="str">
        <f t="shared" si="519"/>
        <v>56 Michael Spice Hwy</v>
      </c>
      <c r="R1486" s="3">
        <f>OrdersTable!C1486</f>
        <v>44666</v>
      </c>
      <c r="S1486" s="15">
        <f>OrdersTable!E1486</f>
        <v>5</v>
      </c>
      <c r="T1486" s="15">
        <f t="shared" si="520"/>
        <v>9.99</v>
      </c>
      <c r="U1486" s="15">
        <f t="shared" si="521"/>
        <v>13.86</v>
      </c>
      <c r="V1486" s="15">
        <f t="shared" si="522"/>
        <v>16.18</v>
      </c>
      <c r="W1486" s="15">
        <f>IF(MarkupType="Store Markup",ROUND(V1486+V1486*StoreMarkup,2),IF(MarkupType="Supplier Markup",V1486+V1486*SupplierMarkup,"Error at finding value"))</f>
        <v>25.48</v>
      </c>
      <c r="X1486" s="32" t="str">
        <f t="shared" si="524"/>
        <v>0.00</v>
      </c>
      <c r="Y1486" s="15">
        <f t="shared" si="525"/>
        <v>80.900000000000006</v>
      </c>
      <c r="Z1486" s="15">
        <f t="shared" si="526"/>
        <v>127.4</v>
      </c>
      <c r="AA1486" s="15">
        <f>IF(FreightType="Lethbridge-Stewart Freight ",ROUND(2.99+IF(N1486&gt;0.75,(N1486-0.75)*2.25,0)*S1486,2),IF(MarkupType="Supplier Markup",V1486+V1486*SupplierMarkup,"Error at finding value"))</f>
        <v>2.99</v>
      </c>
      <c r="AB1486" s="15">
        <f t="shared" si="527"/>
        <v>0</v>
      </c>
    </row>
    <row r="1487" spans="1:28" x14ac:dyDescent="0.25">
      <c r="A1487" s="16">
        <f>OrdersTable!A1487</f>
        <v>634</v>
      </c>
      <c r="B1487" s="15" t="str">
        <f t="shared" si="507"/>
        <v>Miss</v>
      </c>
      <c r="C1487" s="15" t="str">
        <f t="shared" si="528"/>
        <v>Betts</v>
      </c>
      <c r="D1487" s="15" t="str">
        <f t="shared" si="508"/>
        <v>Melissa Leigh</v>
      </c>
      <c r="E1487" s="15" t="str">
        <f t="shared" si="509"/>
        <v>4 Aitcheson Drive</v>
      </c>
      <c r="F1487" s="15" t="str">
        <f t="shared" si="510"/>
        <v>Bray Park</v>
      </c>
      <c r="G1487" s="15" t="str">
        <f t="shared" si="511"/>
        <v>QLD</v>
      </c>
      <c r="H1487" s="15">
        <f t="shared" si="512"/>
        <v>4500</v>
      </c>
      <c r="I1487" s="15">
        <f t="shared" si="523"/>
        <v>139</v>
      </c>
      <c r="J1487" s="15">
        <f>OrdersTable!B1487</f>
        <v>239</v>
      </c>
      <c r="K1487" s="15" t="str">
        <f t="shared" si="513"/>
        <v>Clothing and Apparel</v>
      </c>
      <c r="L1487" s="15" t="str">
        <f t="shared" si="514"/>
        <v>Doctor Who: Men's Winter Pyjamas</v>
      </c>
      <c r="M1487" s="15" t="str">
        <f t="shared" si="515"/>
        <v>L</v>
      </c>
      <c r="N1487" s="15">
        <f t="shared" si="516"/>
        <v>1.5</v>
      </c>
      <c r="O1487" s="15" t="str">
        <f t="shared" si="517"/>
        <v>A10</v>
      </c>
      <c r="P1487" s="15" t="str">
        <f t="shared" si="518"/>
        <v>Gallifrey International</v>
      </c>
      <c r="Q1487" s="15" t="str">
        <f t="shared" si="519"/>
        <v>181 Arcadia Street</v>
      </c>
      <c r="R1487" s="3">
        <f>OrdersTable!C1487</f>
        <v>44666</v>
      </c>
      <c r="S1487" s="15">
        <f>OrdersTable!E1487</f>
        <v>2</v>
      </c>
      <c r="T1487" s="15">
        <f t="shared" si="520"/>
        <v>29.99</v>
      </c>
      <c r="U1487" s="15">
        <f t="shared" si="521"/>
        <v>41.23</v>
      </c>
      <c r="V1487" s="15">
        <f t="shared" si="522"/>
        <v>48.58</v>
      </c>
      <c r="W1487" s="15">
        <f>IF(MarkupType="Store Markup",ROUND(V1487+V1487*StoreMarkup,2),IF(MarkupType="Supplier Markup",V1487+V1487*SupplierMarkup,"Error at finding value"))</f>
        <v>76.510000000000005</v>
      </c>
      <c r="X1487" s="32" t="str">
        <f t="shared" si="524"/>
        <v>0.00</v>
      </c>
      <c r="Y1487" s="15">
        <f t="shared" si="525"/>
        <v>97.16</v>
      </c>
      <c r="Z1487" s="15">
        <f t="shared" si="526"/>
        <v>153.02000000000001</v>
      </c>
      <c r="AA1487" s="15">
        <f>IF(FreightType="Lethbridge-Stewart Freight ",ROUND(2.99+IF(N1487&gt;0.75,(N1487-0.75)*2.25,0)*S1487,2),IF(MarkupType="Supplier Markup",V1487+V1487*SupplierMarkup,"Error at finding value"))</f>
        <v>6.37</v>
      </c>
      <c r="AB1487" s="15">
        <f t="shared" si="527"/>
        <v>0</v>
      </c>
    </row>
    <row r="1488" spans="1:28" x14ac:dyDescent="0.25">
      <c r="A1488" s="16">
        <f>OrdersTable!A1488</f>
        <v>634</v>
      </c>
      <c r="B1488" s="15" t="str">
        <f t="shared" si="507"/>
        <v>Miss</v>
      </c>
      <c r="C1488" s="15" t="str">
        <f t="shared" si="528"/>
        <v>Betts</v>
      </c>
      <c r="D1488" s="15" t="str">
        <f t="shared" si="508"/>
        <v>Melissa Leigh</v>
      </c>
      <c r="E1488" s="15" t="str">
        <f t="shared" si="509"/>
        <v>4 Aitcheson Drive</v>
      </c>
      <c r="F1488" s="15" t="str">
        <f t="shared" si="510"/>
        <v>Bray Park</v>
      </c>
      <c r="G1488" s="15" t="str">
        <f t="shared" si="511"/>
        <v>QLD</v>
      </c>
      <c r="H1488" s="15">
        <f t="shared" si="512"/>
        <v>4500</v>
      </c>
      <c r="I1488" s="15">
        <f t="shared" si="523"/>
        <v>139</v>
      </c>
      <c r="J1488" s="15">
        <f>OrdersTable!B1488</f>
        <v>585</v>
      </c>
      <c r="K1488" s="15" t="str">
        <f t="shared" si="513"/>
        <v>iPhone Skins</v>
      </c>
      <c r="L1488" s="15" t="str">
        <f t="shared" si="514"/>
        <v>Doctor Who: iPhone Skin: Dalek To Victory</v>
      </c>
      <c r="M1488" s="15" t="str">
        <f t="shared" si="515"/>
        <v>-</v>
      </c>
      <c r="N1488" s="15">
        <f t="shared" si="516"/>
        <v>0.5</v>
      </c>
      <c r="O1488" s="15" t="str">
        <f t="shared" si="517"/>
        <v>A10</v>
      </c>
      <c r="P1488" s="15" t="str">
        <f t="shared" si="518"/>
        <v>Gallifrey International</v>
      </c>
      <c r="Q1488" s="15" t="str">
        <f t="shared" si="519"/>
        <v>181 Arcadia Street</v>
      </c>
      <c r="R1488" s="3">
        <f>OrdersTable!C1488</f>
        <v>44666</v>
      </c>
      <c r="S1488" s="15">
        <f>OrdersTable!E1488</f>
        <v>7</v>
      </c>
      <c r="T1488" s="15">
        <f t="shared" si="520"/>
        <v>9.99</v>
      </c>
      <c r="U1488" s="15">
        <f t="shared" si="521"/>
        <v>13.7</v>
      </c>
      <c r="V1488" s="15">
        <f t="shared" si="522"/>
        <v>16.18</v>
      </c>
      <c r="W1488" s="15">
        <f>IF(MarkupType="Store Markup",ROUND(V1488+V1488*StoreMarkup,2),IF(MarkupType="Supplier Markup",V1488+V1488*SupplierMarkup,"Error at finding value"))</f>
        <v>25.48</v>
      </c>
      <c r="X1488" s="32" t="str">
        <f t="shared" si="524"/>
        <v>0.00</v>
      </c>
      <c r="Y1488" s="15">
        <f t="shared" si="525"/>
        <v>113.26</v>
      </c>
      <c r="Z1488" s="15">
        <f t="shared" si="526"/>
        <v>178.36</v>
      </c>
      <c r="AA1488" s="15">
        <f>IF(FreightType="Lethbridge-Stewart Freight ",ROUND(2.99+IF(N1488&gt;0.75,(N1488-0.75)*2.25,0)*S1488,2),IF(MarkupType="Supplier Markup",V1488+V1488*SupplierMarkup,"Error at finding value"))</f>
        <v>2.99</v>
      </c>
      <c r="AB1488" s="15">
        <f t="shared" si="527"/>
        <v>0</v>
      </c>
    </row>
    <row r="1489" spans="1:28" x14ac:dyDescent="0.25">
      <c r="A1489" s="16">
        <f>OrdersTable!A1489</f>
        <v>802</v>
      </c>
      <c r="B1489" s="15" t="str">
        <f t="shared" si="507"/>
        <v>Mr</v>
      </c>
      <c r="C1489" s="15" t="str">
        <f t="shared" si="528"/>
        <v>Carlton</v>
      </c>
      <c r="D1489" s="15" t="str">
        <f t="shared" si="508"/>
        <v>Lawrence</v>
      </c>
      <c r="E1489" s="15" t="str">
        <f t="shared" si="509"/>
        <v>39 Walsh Way</v>
      </c>
      <c r="F1489" s="15" t="str">
        <f t="shared" si="510"/>
        <v>Breakwater</v>
      </c>
      <c r="G1489" s="15" t="str">
        <f t="shared" si="511"/>
        <v>VIC</v>
      </c>
      <c r="H1489" s="15">
        <f t="shared" si="512"/>
        <v>3219</v>
      </c>
      <c r="I1489" s="15">
        <f t="shared" si="523"/>
        <v>1596</v>
      </c>
      <c r="J1489" s="15">
        <f>OrdersTable!B1489</f>
        <v>643</v>
      </c>
      <c r="K1489" s="15" t="str">
        <f t="shared" si="513"/>
        <v>Mugs</v>
      </c>
      <c r="L1489" s="15" t="str">
        <f t="shared" si="514"/>
        <v>Doctor Who: Giant Mug: Logo</v>
      </c>
      <c r="M1489" s="15" t="str">
        <f t="shared" si="515"/>
        <v>-</v>
      </c>
      <c r="N1489" s="15">
        <f t="shared" si="516"/>
        <v>0.44500000000000001</v>
      </c>
      <c r="O1489" s="15" t="str">
        <f t="shared" si="517"/>
        <v>A10</v>
      </c>
      <c r="P1489" s="15" t="str">
        <f t="shared" si="518"/>
        <v>Gallifrey International</v>
      </c>
      <c r="Q1489" s="15" t="str">
        <f t="shared" si="519"/>
        <v>181 Arcadia Street</v>
      </c>
      <c r="R1489" s="3">
        <f>OrdersTable!C1489</f>
        <v>44666</v>
      </c>
      <c r="S1489" s="15">
        <f>OrdersTable!E1489</f>
        <v>1</v>
      </c>
      <c r="T1489" s="15">
        <f t="shared" si="520"/>
        <v>8.89</v>
      </c>
      <c r="U1489" s="15">
        <f t="shared" si="521"/>
        <v>12.19</v>
      </c>
      <c r="V1489" s="15">
        <f t="shared" si="522"/>
        <v>14.4</v>
      </c>
      <c r="W1489" s="15">
        <f>IF(MarkupType="Store Markup",ROUND(V1489+V1489*StoreMarkup,2),IF(MarkupType="Supplier Markup",V1489+V1489*SupplierMarkup,"Error at finding value"))</f>
        <v>22.68</v>
      </c>
      <c r="X1489" s="32" t="str">
        <f t="shared" si="524"/>
        <v>0.00</v>
      </c>
      <c r="Y1489" s="15">
        <f t="shared" si="525"/>
        <v>14.4</v>
      </c>
      <c r="Z1489" s="15">
        <f t="shared" si="526"/>
        <v>22.68</v>
      </c>
      <c r="AA1489" s="15">
        <f>IF(FreightType="Lethbridge-Stewart Freight ",ROUND(2.99+IF(N1489&gt;0.75,(N1489-0.75)*2.25,0)*S1489,2),IF(MarkupType="Supplier Markup",V1489+V1489*SupplierMarkup,"Error at finding value"))</f>
        <v>2.99</v>
      </c>
      <c r="AB1489" s="15">
        <f t="shared" si="527"/>
        <v>0</v>
      </c>
    </row>
    <row r="1490" spans="1:28" x14ac:dyDescent="0.25">
      <c r="A1490" s="16">
        <f>OrdersTable!A1490</f>
        <v>983</v>
      </c>
      <c r="B1490" s="15" t="str">
        <f t="shared" si="507"/>
        <v>Mrs</v>
      </c>
      <c r="C1490" s="15" t="str">
        <f t="shared" si="528"/>
        <v>Bennett</v>
      </c>
      <c r="D1490" s="15" t="str">
        <f t="shared" si="508"/>
        <v>Mikayla Elizabeth</v>
      </c>
      <c r="E1490" s="15" t="str">
        <f t="shared" si="509"/>
        <v>35 Khanal Crescent</v>
      </c>
      <c r="F1490" s="15" t="str">
        <f t="shared" si="510"/>
        <v>Bamboo</v>
      </c>
      <c r="G1490" s="15" t="str">
        <f t="shared" si="511"/>
        <v>QLD</v>
      </c>
      <c r="H1490" s="15">
        <f t="shared" si="512"/>
        <v>4873</v>
      </c>
      <c r="I1490" s="15">
        <f t="shared" si="523"/>
        <v>1741</v>
      </c>
      <c r="J1490" s="15">
        <f>OrdersTable!B1490</f>
        <v>164</v>
      </c>
      <c r="K1490" s="15" t="str">
        <f t="shared" si="513"/>
        <v>Bobbleheads</v>
      </c>
      <c r="L1490" s="15" t="str">
        <f t="shared" si="514"/>
        <v>Doctor Who: Bobblehead: Fourth Doctor</v>
      </c>
      <c r="M1490" s="15" t="str">
        <f t="shared" si="515"/>
        <v>-</v>
      </c>
      <c r="N1490" s="15">
        <f t="shared" si="516"/>
        <v>0.75</v>
      </c>
      <c r="O1490" s="15" t="str">
        <f t="shared" si="517"/>
        <v>A40</v>
      </c>
      <c r="P1490" s="15" t="str">
        <f t="shared" si="518"/>
        <v>Romana Imports</v>
      </c>
      <c r="Q1490" s="15" t="str">
        <f t="shared" si="519"/>
        <v>17 Lalla Ward Road</v>
      </c>
      <c r="R1490" s="3">
        <f>OrdersTable!C1490</f>
        <v>44666</v>
      </c>
      <c r="S1490" s="15">
        <f>OrdersTable!E1490</f>
        <v>4</v>
      </c>
      <c r="T1490" s="15">
        <f t="shared" si="520"/>
        <v>14.99</v>
      </c>
      <c r="U1490" s="15">
        <f t="shared" si="521"/>
        <v>20.53</v>
      </c>
      <c r="V1490" s="15">
        <f t="shared" si="522"/>
        <v>24.28</v>
      </c>
      <c r="W1490" s="15">
        <f>IF(MarkupType="Store Markup",ROUND(V1490+V1490*StoreMarkup,2),IF(MarkupType="Supplier Markup",V1490+V1490*SupplierMarkup,"Error at finding value"))</f>
        <v>38.24</v>
      </c>
      <c r="X1490" s="32" t="str">
        <f t="shared" si="524"/>
        <v>0.00</v>
      </c>
      <c r="Y1490" s="15">
        <f t="shared" si="525"/>
        <v>97.12</v>
      </c>
      <c r="Z1490" s="15">
        <f t="shared" si="526"/>
        <v>152.96</v>
      </c>
      <c r="AA1490" s="15">
        <f>IF(FreightType="Lethbridge-Stewart Freight ",ROUND(2.99+IF(N1490&gt;0.75,(N1490-0.75)*2.25,0)*S1490,2),IF(MarkupType="Supplier Markup",V1490+V1490*SupplierMarkup,"Error at finding value"))</f>
        <v>2.99</v>
      </c>
      <c r="AB1490" s="15">
        <f t="shared" si="527"/>
        <v>0</v>
      </c>
    </row>
    <row r="1491" spans="1:28" x14ac:dyDescent="0.25">
      <c r="A1491" s="16">
        <f>OrdersTable!A1491</f>
        <v>983</v>
      </c>
      <c r="B1491" s="15" t="str">
        <f t="shared" si="507"/>
        <v>Mrs</v>
      </c>
      <c r="C1491" s="15" t="str">
        <f t="shared" si="528"/>
        <v>Bennett</v>
      </c>
      <c r="D1491" s="15" t="str">
        <f t="shared" si="508"/>
        <v>Mikayla Elizabeth</v>
      </c>
      <c r="E1491" s="15" t="str">
        <f t="shared" si="509"/>
        <v>35 Khanal Crescent</v>
      </c>
      <c r="F1491" s="15" t="str">
        <f t="shared" si="510"/>
        <v>Bamboo</v>
      </c>
      <c r="G1491" s="15" t="str">
        <f t="shared" si="511"/>
        <v>QLD</v>
      </c>
      <c r="H1491" s="15">
        <f t="shared" si="512"/>
        <v>4873</v>
      </c>
      <c r="I1491" s="15">
        <f t="shared" si="523"/>
        <v>1741</v>
      </c>
      <c r="J1491" s="15">
        <f>OrdersTable!B1491</f>
        <v>583</v>
      </c>
      <c r="K1491" s="15" t="str">
        <f t="shared" si="513"/>
        <v>iPhone Skins</v>
      </c>
      <c r="L1491" s="15" t="str">
        <f t="shared" si="514"/>
        <v>Doctor Who: iPhone Skin: Cyberman Delete</v>
      </c>
      <c r="M1491" s="15" t="str">
        <f t="shared" si="515"/>
        <v>-</v>
      </c>
      <c r="N1491" s="15">
        <f t="shared" si="516"/>
        <v>0.3</v>
      </c>
      <c r="O1491" s="15" t="str">
        <f t="shared" si="517"/>
        <v>A50</v>
      </c>
      <c r="P1491" s="15" t="str">
        <f t="shared" si="518"/>
        <v>Rassilon Ltd.</v>
      </c>
      <c r="Q1491" s="15" t="str">
        <f t="shared" si="519"/>
        <v>82 Richard Mathews Road</v>
      </c>
      <c r="R1491" s="3">
        <f>OrdersTable!C1491</f>
        <v>44666</v>
      </c>
      <c r="S1491" s="15">
        <f>OrdersTable!E1491</f>
        <v>5</v>
      </c>
      <c r="T1491" s="15">
        <f t="shared" si="520"/>
        <v>5.99</v>
      </c>
      <c r="U1491" s="15">
        <f t="shared" si="521"/>
        <v>8.23</v>
      </c>
      <c r="V1491" s="15">
        <f t="shared" si="522"/>
        <v>9.6999999999999993</v>
      </c>
      <c r="W1491" s="15">
        <f>IF(MarkupType="Store Markup",ROUND(V1491+V1491*StoreMarkup,2),IF(MarkupType="Supplier Markup",V1491+V1491*SupplierMarkup,"Error at finding value"))</f>
        <v>15.28</v>
      </c>
      <c r="X1491" s="32" t="str">
        <f t="shared" si="524"/>
        <v>0.00</v>
      </c>
      <c r="Y1491" s="15">
        <f t="shared" si="525"/>
        <v>48.5</v>
      </c>
      <c r="Z1491" s="15">
        <f t="shared" si="526"/>
        <v>76.400000000000006</v>
      </c>
      <c r="AA1491" s="15">
        <f>IF(FreightType="Lethbridge-Stewart Freight ",ROUND(2.99+IF(N1491&gt;0.75,(N1491-0.75)*2.25,0)*S1491,2),IF(MarkupType="Supplier Markup",V1491+V1491*SupplierMarkup,"Error at finding value"))</f>
        <v>2.99</v>
      </c>
      <c r="AB1491" s="15">
        <f t="shared" si="527"/>
        <v>0</v>
      </c>
    </row>
    <row r="1492" spans="1:28" x14ac:dyDescent="0.25">
      <c r="A1492" s="16">
        <f>OrdersTable!A1492</f>
        <v>989</v>
      </c>
      <c r="B1492" s="15" t="str">
        <f t="shared" si="507"/>
        <v>Miss</v>
      </c>
      <c r="C1492" s="15" t="str">
        <f t="shared" si="528"/>
        <v>McInnes</v>
      </c>
      <c r="D1492" s="15" t="str">
        <f t="shared" si="508"/>
        <v>Nina Marie</v>
      </c>
      <c r="E1492" s="15" t="str">
        <f t="shared" si="509"/>
        <v>28 Caruss Road</v>
      </c>
      <c r="F1492" s="15" t="str">
        <f t="shared" si="510"/>
        <v>Belford</v>
      </c>
      <c r="G1492" s="15" t="str">
        <f t="shared" si="511"/>
        <v>NSW</v>
      </c>
      <c r="H1492" s="15">
        <f t="shared" si="512"/>
        <v>2335</v>
      </c>
      <c r="I1492" s="15">
        <f t="shared" si="523"/>
        <v>716</v>
      </c>
      <c r="J1492" s="15">
        <f>OrdersTable!B1492</f>
        <v>724</v>
      </c>
      <c r="K1492" s="15" t="str">
        <f t="shared" si="513"/>
        <v>Posters, Prints and Standees</v>
      </c>
      <c r="L1492" s="15" t="str">
        <f t="shared" si="514"/>
        <v>Doctor Who: Standee: The 10th Doctor</v>
      </c>
      <c r="M1492" s="15" t="str">
        <f t="shared" si="515"/>
        <v>-</v>
      </c>
      <c r="N1492" s="15">
        <f t="shared" si="516"/>
        <v>1.125</v>
      </c>
      <c r="O1492" s="15" t="str">
        <f t="shared" si="517"/>
        <v>A50</v>
      </c>
      <c r="P1492" s="15" t="str">
        <f t="shared" si="518"/>
        <v>Rassilon Ltd.</v>
      </c>
      <c r="Q1492" s="15" t="str">
        <f t="shared" si="519"/>
        <v>82 Richard Mathews Road</v>
      </c>
      <c r="R1492" s="3">
        <f>OrdersTable!C1492</f>
        <v>44666</v>
      </c>
      <c r="S1492" s="15">
        <f>OrdersTable!E1492</f>
        <v>1</v>
      </c>
      <c r="T1492" s="15">
        <f t="shared" si="520"/>
        <v>22.49</v>
      </c>
      <c r="U1492" s="15">
        <f t="shared" si="521"/>
        <v>30.77</v>
      </c>
      <c r="V1492" s="15">
        <f t="shared" si="522"/>
        <v>36.43</v>
      </c>
      <c r="W1492" s="15">
        <f>IF(MarkupType="Store Markup",ROUND(V1492+V1492*StoreMarkup,2),IF(MarkupType="Supplier Markup",V1492+V1492*SupplierMarkup,"Error at finding value"))</f>
        <v>57.38</v>
      </c>
      <c r="X1492" s="32" t="str">
        <f t="shared" si="524"/>
        <v>0.00</v>
      </c>
      <c r="Y1492" s="15">
        <f t="shared" si="525"/>
        <v>36.43</v>
      </c>
      <c r="Z1492" s="15">
        <f t="shared" si="526"/>
        <v>57.38</v>
      </c>
      <c r="AA1492" s="15">
        <f>IF(FreightType="Lethbridge-Stewart Freight ",ROUND(2.99+IF(N1492&gt;0.75,(N1492-0.75)*2.25,0)*S1492,2),IF(MarkupType="Supplier Markup",V1492+V1492*SupplierMarkup,"Error at finding value"))</f>
        <v>3.83</v>
      </c>
      <c r="AB1492" s="15">
        <f t="shared" si="527"/>
        <v>0</v>
      </c>
    </row>
    <row r="1493" spans="1:28" x14ac:dyDescent="0.25">
      <c r="A1493" s="16">
        <f>OrdersTable!A1493</f>
        <v>46</v>
      </c>
      <c r="B1493" s="15" t="str">
        <f t="shared" si="507"/>
        <v>Mrs</v>
      </c>
      <c r="C1493" s="15" t="str">
        <f t="shared" si="528"/>
        <v>Dovey</v>
      </c>
      <c r="D1493" s="15" t="str">
        <f t="shared" si="508"/>
        <v>Aisha Jade</v>
      </c>
      <c r="E1493" s="15" t="str">
        <f t="shared" si="509"/>
        <v>43 Wilkes Circuit</v>
      </c>
      <c r="F1493" s="15" t="str">
        <f t="shared" si="510"/>
        <v>Alfredtown</v>
      </c>
      <c r="G1493" s="15" t="str">
        <f t="shared" si="511"/>
        <v>NSW</v>
      </c>
      <c r="H1493" s="15">
        <f t="shared" si="512"/>
        <v>2650</v>
      </c>
      <c r="I1493" s="15">
        <f t="shared" si="523"/>
        <v>1124</v>
      </c>
      <c r="J1493" s="15">
        <f>OrdersTable!B1493</f>
        <v>692</v>
      </c>
      <c r="K1493" s="15" t="str">
        <f t="shared" si="513"/>
        <v>Posters, Prints and Standees</v>
      </c>
      <c r="L1493" s="15" t="str">
        <f t="shared" si="514"/>
        <v>Doctor Who: 16'x12' Framed Print: Exploding TARDIS</v>
      </c>
      <c r="M1493" s="15" t="str">
        <f t="shared" si="515"/>
        <v>-</v>
      </c>
      <c r="N1493" s="15">
        <f t="shared" si="516"/>
        <v>0.75</v>
      </c>
      <c r="O1493" s="15" t="str">
        <f t="shared" si="517"/>
        <v>A30</v>
      </c>
      <c r="P1493" s="15" t="str">
        <f t="shared" si="518"/>
        <v>Chesterton Enterprises</v>
      </c>
      <c r="Q1493" s="15" t="str">
        <f t="shared" si="519"/>
        <v>41 William Russell Road</v>
      </c>
      <c r="R1493" s="3">
        <f>OrdersTable!C1493</f>
        <v>44667</v>
      </c>
      <c r="S1493" s="15">
        <f>OrdersTable!E1493</f>
        <v>8</v>
      </c>
      <c r="T1493" s="15">
        <f t="shared" si="520"/>
        <v>14.99</v>
      </c>
      <c r="U1493" s="15">
        <f t="shared" si="521"/>
        <v>20.54</v>
      </c>
      <c r="V1493" s="15">
        <f t="shared" si="522"/>
        <v>24.28</v>
      </c>
      <c r="W1493" s="15">
        <f>IF(MarkupType="Store Markup",ROUND(V1493+V1493*StoreMarkup,2),IF(MarkupType="Supplier Markup",V1493+V1493*SupplierMarkup,"Error at finding value"))</f>
        <v>38.24</v>
      </c>
      <c r="X1493" s="32" t="str">
        <f t="shared" si="524"/>
        <v>0.00</v>
      </c>
      <c r="Y1493" s="15">
        <f t="shared" si="525"/>
        <v>194.24</v>
      </c>
      <c r="Z1493" s="15">
        <f t="shared" si="526"/>
        <v>305.92</v>
      </c>
      <c r="AA1493" s="15">
        <f>IF(FreightType="Lethbridge-Stewart Freight ",ROUND(2.99+IF(N1493&gt;0.75,(N1493-0.75)*2.25,0)*S1493,2),IF(MarkupType="Supplier Markup",V1493+V1493*SupplierMarkup,"Error at finding value"))</f>
        <v>2.99</v>
      </c>
      <c r="AB1493" s="15">
        <f t="shared" si="527"/>
        <v>0</v>
      </c>
    </row>
    <row r="1494" spans="1:28" x14ac:dyDescent="0.25">
      <c r="A1494" s="16">
        <f>OrdersTable!A1494</f>
        <v>190</v>
      </c>
      <c r="B1494" s="15" t="str">
        <f t="shared" si="507"/>
        <v>Mr</v>
      </c>
      <c r="C1494" s="15" t="str">
        <f t="shared" si="528"/>
        <v>Azar</v>
      </c>
      <c r="D1494" s="15" t="str">
        <f t="shared" si="508"/>
        <v>Hector Antonio</v>
      </c>
      <c r="E1494" s="15" t="str">
        <f t="shared" si="509"/>
        <v>38 Hope Avenue</v>
      </c>
      <c r="F1494" s="15" t="str">
        <f t="shared" si="510"/>
        <v>Glenfern</v>
      </c>
      <c r="G1494" s="15" t="str">
        <f t="shared" si="511"/>
        <v>QLD</v>
      </c>
      <c r="H1494" s="15">
        <f t="shared" si="512"/>
        <v>4515</v>
      </c>
      <c r="I1494" s="15">
        <f t="shared" si="523"/>
        <v>128</v>
      </c>
      <c r="J1494" s="15">
        <f>OrdersTable!B1494</f>
        <v>817</v>
      </c>
      <c r="K1494" s="15" t="str">
        <f t="shared" si="513"/>
        <v>Statues and Busts</v>
      </c>
      <c r="L1494" s="15" t="str">
        <f t="shared" si="514"/>
        <v>Doctor Who: Masterpiece Collection Maxi Bust: Torchwood Captain Jack Harkness</v>
      </c>
      <c r="M1494" s="15" t="str">
        <f t="shared" si="515"/>
        <v>-</v>
      </c>
      <c r="N1494" s="15">
        <f t="shared" si="516"/>
        <v>2.5</v>
      </c>
      <c r="O1494" s="15" t="str">
        <f t="shared" si="517"/>
        <v>A10</v>
      </c>
      <c r="P1494" s="15" t="str">
        <f t="shared" si="518"/>
        <v>Gallifrey International</v>
      </c>
      <c r="Q1494" s="15" t="str">
        <f t="shared" si="519"/>
        <v>181 Arcadia Street</v>
      </c>
      <c r="R1494" s="3">
        <f>OrdersTable!C1494</f>
        <v>44667</v>
      </c>
      <c r="S1494" s="15">
        <f>OrdersTable!E1494</f>
        <v>7</v>
      </c>
      <c r="T1494" s="15">
        <f t="shared" si="520"/>
        <v>49.99</v>
      </c>
      <c r="U1494" s="15">
        <f t="shared" si="521"/>
        <v>68.44</v>
      </c>
      <c r="V1494" s="15">
        <f t="shared" si="522"/>
        <v>80.98</v>
      </c>
      <c r="W1494" s="15">
        <f>IF(MarkupType="Store Markup",ROUND(V1494+V1494*StoreMarkup,2),IF(MarkupType="Supplier Markup",V1494+V1494*SupplierMarkup,"Error at finding value"))</f>
        <v>127.54</v>
      </c>
      <c r="X1494" s="32">
        <f t="shared" si="524"/>
        <v>9.09</v>
      </c>
      <c r="Y1494" s="15">
        <f t="shared" si="525"/>
        <v>566.86</v>
      </c>
      <c r="Z1494" s="15">
        <f t="shared" si="526"/>
        <v>829.15</v>
      </c>
      <c r="AA1494" s="15">
        <f>IF(FreightType="Lethbridge-Stewart Freight ",ROUND(2.99+IF(N1494&gt;0.75,(N1494-0.75)*2.25,0)*S1494,2),IF(MarkupType="Supplier Markup",V1494+V1494*SupplierMarkup,"Error at finding value"))</f>
        <v>30.55</v>
      </c>
      <c r="AB1494" s="15">
        <f t="shared" si="527"/>
        <v>63.63</v>
      </c>
    </row>
    <row r="1495" spans="1:28" x14ac:dyDescent="0.25">
      <c r="A1495" s="16">
        <f>OrdersTable!A1495</f>
        <v>331</v>
      </c>
      <c r="B1495" s="15" t="str">
        <f t="shared" si="507"/>
        <v>Mrs</v>
      </c>
      <c r="C1495" s="15" t="str">
        <f t="shared" si="528"/>
        <v>McKenzie</v>
      </c>
      <c r="D1495" s="15" t="str">
        <f t="shared" si="508"/>
        <v>Melinda Kate</v>
      </c>
      <c r="E1495" s="15" t="str">
        <f t="shared" si="509"/>
        <v>49 McKay Way</v>
      </c>
      <c r="F1495" s="15" t="str">
        <f t="shared" si="510"/>
        <v>Black Hills</v>
      </c>
      <c r="G1495" s="15" t="str">
        <f t="shared" si="511"/>
        <v>TAS</v>
      </c>
      <c r="H1495" s="15">
        <f t="shared" si="512"/>
        <v>7140</v>
      </c>
      <c r="I1495" s="15">
        <f t="shared" si="523"/>
        <v>2191</v>
      </c>
      <c r="J1495" s="15">
        <f>OrdersTable!B1495</f>
        <v>699</v>
      </c>
      <c r="K1495" s="15" t="str">
        <f t="shared" si="513"/>
        <v>Posters, Prints and Standees</v>
      </c>
      <c r="L1495" s="15" t="str">
        <f t="shared" si="514"/>
        <v>Doctor Who: Half Sized Standee: The Master</v>
      </c>
      <c r="M1495" s="15" t="str">
        <f t="shared" si="515"/>
        <v>-</v>
      </c>
      <c r="N1495" s="15">
        <f t="shared" si="516"/>
        <v>0.5</v>
      </c>
      <c r="O1495" s="15" t="str">
        <f t="shared" si="517"/>
        <v>A20</v>
      </c>
      <c r="P1495" s="15" t="str">
        <f t="shared" si="518"/>
        <v>Morbius Inc.</v>
      </c>
      <c r="Q1495" s="15" t="str">
        <f t="shared" si="519"/>
        <v>56 Michael Spice Hwy</v>
      </c>
      <c r="R1495" s="3">
        <f>OrdersTable!C1495</f>
        <v>44667</v>
      </c>
      <c r="S1495" s="15">
        <f>OrdersTable!E1495</f>
        <v>5</v>
      </c>
      <c r="T1495" s="15">
        <f t="shared" si="520"/>
        <v>9.99</v>
      </c>
      <c r="U1495" s="15">
        <f t="shared" si="521"/>
        <v>13.79</v>
      </c>
      <c r="V1495" s="15">
        <f t="shared" si="522"/>
        <v>16.18</v>
      </c>
      <c r="W1495" s="15">
        <f>IF(MarkupType="Store Markup",ROUND(V1495+V1495*StoreMarkup,2),IF(MarkupType="Supplier Markup",V1495+V1495*SupplierMarkup,"Error at finding value"))</f>
        <v>25.48</v>
      </c>
      <c r="X1495" s="32" t="str">
        <f t="shared" si="524"/>
        <v>0.00</v>
      </c>
      <c r="Y1495" s="15">
        <f t="shared" si="525"/>
        <v>80.900000000000006</v>
      </c>
      <c r="Z1495" s="15">
        <f t="shared" si="526"/>
        <v>127.4</v>
      </c>
      <c r="AA1495" s="15">
        <f>IF(FreightType="Lethbridge-Stewart Freight ",ROUND(2.99+IF(N1495&gt;0.75,(N1495-0.75)*2.25,0)*S1495,2),IF(MarkupType="Supplier Markup",V1495+V1495*SupplierMarkup,"Error at finding value"))</f>
        <v>2.99</v>
      </c>
      <c r="AB1495" s="15">
        <f t="shared" si="527"/>
        <v>0</v>
      </c>
    </row>
    <row r="1496" spans="1:28" x14ac:dyDescent="0.25">
      <c r="A1496" s="16">
        <f>OrdersTable!A1496</f>
        <v>331</v>
      </c>
      <c r="B1496" s="15" t="str">
        <f t="shared" si="507"/>
        <v>Mrs</v>
      </c>
      <c r="C1496" s="15" t="str">
        <f t="shared" si="528"/>
        <v>McKenzie</v>
      </c>
      <c r="D1496" s="15" t="str">
        <f t="shared" si="508"/>
        <v>Melinda Kate</v>
      </c>
      <c r="E1496" s="15" t="str">
        <f t="shared" si="509"/>
        <v>49 McKay Way</v>
      </c>
      <c r="F1496" s="15" t="str">
        <f t="shared" si="510"/>
        <v>Black Hills</v>
      </c>
      <c r="G1496" s="15" t="str">
        <f t="shared" si="511"/>
        <v>TAS</v>
      </c>
      <c r="H1496" s="15">
        <f t="shared" si="512"/>
        <v>7140</v>
      </c>
      <c r="I1496" s="15">
        <f t="shared" si="523"/>
        <v>2191</v>
      </c>
      <c r="J1496" s="15">
        <f>OrdersTable!B1496</f>
        <v>757</v>
      </c>
      <c r="K1496" s="15" t="str">
        <f t="shared" si="513"/>
        <v>Statues and Busts</v>
      </c>
      <c r="L1496" s="15" t="str">
        <f t="shared" si="514"/>
        <v>Doctor Who: Helmet: Ice Warrior</v>
      </c>
      <c r="M1496" s="15" t="str">
        <f t="shared" si="515"/>
        <v>-</v>
      </c>
      <c r="N1496" s="15">
        <f t="shared" si="516"/>
        <v>1.75</v>
      </c>
      <c r="O1496" s="15" t="str">
        <f t="shared" si="517"/>
        <v>A20</v>
      </c>
      <c r="P1496" s="15" t="str">
        <f t="shared" si="518"/>
        <v>Morbius Inc.</v>
      </c>
      <c r="Q1496" s="15" t="str">
        <f t="shared" si="519"/>
        <v>56 Michael Spice Hwy</v>
      </c>
      <c r="R1496" s="3">
        <f>OrdersTable!C1496</f>
        <v>44667</v>
      </c>
      <c r="S1496" s="15">
        <f>OrdersTable!E1496</f>
        <v>9</v>
      </c>
      <c r="T1496" s="15">
        <f t="shared" si="520"/>
        <v>34.99</v>
      </c>
      <c r="U1496" s="15">
        <f t="shared" si="521"/>
        <v>47.88</v>
      </c>
      <c r="V1496" s="15">
        <f t="shared" si="522"/>
        <v>56.68</v>
      </c>
      <c r="W1496" s="15">
        <f>IF(MarkupType="Store Markup",ROUND(V1496+V1496*StoreMarkup,2),IF(MarkupType="Supplier Markup",V1496+V1496*SupplierMarkup,"Error at finding value"))</f>
        <v>89.27</v>
      </c>
      <c r="X1496" s="32" t="str">
        <f t="shared" si="524"/>
        <v>0.00</v>
      </c>
      <c r="Y1496" s="15">
        <f t="shared" si="525"/>
        <v>510.12</v>
      </c>
      <c r="Z1496" s="15">
        <f t="shared" si="526"/>
        <v>803.43</v>
      </c>
      <c r="AA1496" s="15">
        <f>IF(FreightType="Lethbridge-Stewart Freight ",ROUND(2.99+IF(N1496&gt;0.75,(N1496-0.75)*2.25,0)*S1496,2),IF(MarkupType="Supplier Markup",V1496+V1496*SupplierMarkup,"Error at finding value"))</f>
        <v>23.24</v>
      </c>
      <c r="AB1496" s="15">
        <f t="shared" si="527"/>
        <v>0</v>
      </c>
    </row>
    <row r="1497" spans="1:28" x14ac:dyDescent="0.25">
      <c r="A1497" s="16">
        <f>OrdersTable!A1497</f>
        <v>489</v>
      </c>
      <c r="B1497" s="15" t="str">
        <f t="shared" si="507"/>
        <v>Mr</v>
      </c>
      <c r="C1497" s="15" t="str">
        <f t="shared" si="528"/>
        <v>Edwards</v>
      </c>
      <c r="D1497" s="15" t="str">
        <f t="shared" si="508"/>
        <v>Luke Russell</v>
      </c>
      <c r="E1497" s="15" t="str">
        <f t="shared" si="509"/>
        <v>43 Valusaga Court</v>
      </c>
      <c r="F1497" s="15" t="str">
        <f t="shared" si="510"/>
        <v>Alfredtown</v>
      </c>
      <c r="G1497" s="15" t="str">
        <f t="shared" si="511"/>
        <v>NSW</v>
      </c>
      <c r="H1497" s="15">
        <f t="shared" si="512"/>
        <v>2650</v>
      </c>
      <c r="I1497" s="15">
        <f t="shared" si="523"/>
        <v>1124</v>
      </c>
      <c r="J1497" s="15">
        <f>OrdersTable!B1497</f>
        <v>830</v>
      </c>
      <c r="K1497" s="15" t="str">
        <f t="shared" si="513"/>
        <v>Statues and Busts</v>
      </c>
      <c r="L1497" s="15" t="str">
        <f t="shared" si="514"/>
        <v>Doctor Who: Mini Bust: Weeping Angel</v>
      </c>
      <c r="M1497" s="15" t="str">
        <f t="shared" si="515"/>
        <v>-</v>
      </c>
      <c r="N1497" s="15">
        <f t="shared" si="516"/>
        <v>1.8</v>
      </c>
      <c r="O1497" s="15" t="str">
        <f t="shared" si="517"/>
        <v>A50</v>
      </c>
      <c r="P1497" s="15" t="str">
        <f t="shared" si="518"/>
        <v>Rassilon Ltd.</v>
      </c>
      <c r="Q1497" s="15" t="str">
        <f t="shared" si="519"/>
        <v>82 Richard Mathews Road</v>
      </c>
      <c r="R1497" s="3">
        <f>OrdersTable!C1497</f>
        <v>44667</v>
      </c>
      <c r="S1497" s="15">
        <f>OrdersTable!E1497</f>
        <v>1</v>
      </c>
      <c r="T1497" s="15">
        <f t="shared" si="520"/>
        <v>35.99</v>
      </c>
      <c r="U1497" s="15">
        <f t="shared" si="521"/>
        <v>49.35</v>
      </c>
      <c r="V1497" s="15">
        <f t="shared" si="522"/>
        <v>58.3</v>
      </c>
      <c r="W1497" s="15">
        <f>IF(MarkupType="Store Markup",ROUND(V1497+V1497*StoreMarkup,2),IF(MarkupType="Supplier Markup",V1497+V1497*SupplierMarkup,"Error at finding value"))</f>
        <v>91.82</v>
      </c>
      <c r="X1497" s="32" t="str">
        <f t="shared" si="524"/>
        <v>0.00</v>
      </c>
      <c r="Y1497" s="15">
        <f t="shared" si="525"/>
        <v>58.3</v>
      </c>
      <c r="Z1497" s="15">
        <f t="shared" si="526"/>
        <v>91.82</v>
      </c>
      <c r="AA1497" s="15">
        <f>IF(FreightType="Lethbridge-Stewart Freight ",ROUND(2.99+IF(N1497&gt;0.75,(N1497-0.75)*2.25,0)*S1497,2),IF(MarkupType="Supplier Markup",V1497+V1497*SupplierMarkup,"Error at finding value"))</f>
        <v>5.35</v>
      </c>
      <c r="AB1497" s="15">
        <f t="shared" si="527"/>
        <v>0</v>
      </c>
    </row>
    <row r="1498" spans="1:28" x14ac:dyDescent="0.25">
      <c r="A1498" s="16">
        <f>OrdersTable!A1498</f>
        <v>557</v>
      </c>
      <c r="B1498" s="15" t="str">
        <f t="shared" si="507"/>
        <v>Mrs</v>
      </c>
      <c r="C1498" s="15" t="str">
        <f t="shared" si="528"/>
        <v>Allen</v>
      </c>
      <c r="D1498" s="15" t="str">
        <f t="shared" si="508"/>
        <v>Morgan</v>
      </c>
      <c r="E1498" s="15" t="str">
        <f t="shared" si="509"/>
        <v>15 Winsor Street</v>
      </c>
      <c r="F1498" s="15" t="str">
        <f t="shared" si="510"/>
        <v>Appletree Flat</v>
      </c>
      <c r="G1498" s="15" t="str">
        <f t="shared" si="511"/>
        <v>NSW</v>
      </c>
      <c r="H1498" s="15">
        <f t="shared" si="512"/>
        <v>2330</v>
      </c>
      <c r="I1498" s="15">
        <f t="shared" si="523"/>
        <v>691</v>
      </c>
      <c r="J1498" s="15">
        <f>OrdersTable!B1498</f>
        <v>782</v>
      </c>
      <c r="K1498" s="15" t="str">
        <f t="shared" si="513"/>
        <v>Statues and Busts</v>
      </c>
      <c r="L1498" s="15" t="str">
        <f t="shared" si="514"/>
        <v>Doctor Who: Masterpiece Collection Maxi Bust: 10th Doctor</v>
      </c>
      <c r="M1498" s="15" t="str">
        <f t="shared" si="515"/>
        <v>-</v>
      </c>
      <c r="N1498" s="15">
        <f t="shared" si="516"/>
        <v>2.5</v>
      </c>
      <c r="O1498" s="15" t="str">
        <f t="shared" si="517"/>
        <v>A30</v>
      </c>
      <c r="P1498" s="15" t="str">
        <f t="shared" si="518"/>
        <v>Chesterton Enterprises</v>
      </c>
      <c r="Q1498" s="15" t="str">
        <f t="shared" si="519"/>
        <v>41 William Russell Road</v>
      </c>
      <c r="R1498" s="3">
        <f>OrdersTable!C1498</f>
        <v>44667</v>
      </c>
      <c r="S1498" s="15">
        <f>OrdersTable!E1498</f>
        <v>7</v>
      </c>
      <c r="T1498" s="15">
        <f t="shared" si="520"/>
        <v>49.99</v>
      </c>
      <c r="U1498" s="15">
        <f t="shared" si="521"/>
        <v>68.5</v>
      </c>
      <c r="V1498" s="15">
        <f t="shared" si="522"/>
        <v>80.98</v>
      </c>
      <c r="W1498" s="15">
        <f>IF(MarkupType="Store Markup",ROUND(V1498+V1498*StoreMarkup,2),IF(MarkupType="Supplier Markup",V1498+V1498*SupplierMarkup,"Error at finding value"))</f>
        <v>127.54</v>
      </c>
      <c r="X1498" s="32">
        <f t="shared" si="524"/>
        <v>9.09</v>
      </c>
      <c r="Y1498" s="15">
        <f t="shared" si="525"/>
        <v>566.86</v>
      </c>
      <c r="Z1498" s="15">
        <f t="shared" si="526"/>
        <v>829.15</v>
      </c>
      <c r="AA1498" s="15">
        <f>IF(FreightType="Lethbridge-Stewart Freight ",ROUND(2.99+IF(N1498&gt;0.75,(N1498-0.75)*2.25,0)*S1498,2),IF(MarkupType="Supplier Markup",V1498+V1498*SupplierMarkup,"Error at finding value"))</f>
        <v>30.55</v>
      </c>
      <c r="AB1498" s="15">
        <f t="shared" si="527"/>
        <v>63.63</v>
      </c>
    </row>
    <row r="1499" spans="1:28" x14ac:dyDescent="0.25">
      <c r="A1499" s="16">
        <f>OrdersTable!A1499</f>
        <v>568</v>
      </c>
      <c r="B1499" s="15" t="str">
        <f t="shared" si="507"/>
        <v>Mr</v>
      </c>
      <c r="C1499" s="15" t="str">
        <f t="shared" si="528"/>
        <v>Byrne</v>
      </c>
      <c r="D1499" s="15" t="str">
        <f t="shared" si="508"/>
        <v>Gregory James</v>
      </c>
      <c r="E1499" s="15" t="str">
        <f t="shared" si="509"/>
        <v>18 Doroshenko Crescent</v>
      </c>
      <c r="F1499" s="15" t="str">
        <f t="shared" si="510"/>
        <v>Abington</v>
      </c>
      <c r="G1499" s="15" t="str">
        <f t="shared" si="511"/>
        <v>QLD</v>
      </c>
      <c r="H1499" s="15">
        <f t="shared" si="512"/>
        <v>4660</v>
      </c>
      <c r="I1499" s="15">
        <f t="shared" si="523"/>
        <v>336</v>
      </c>
      <c r="J1499" s="15">
        <f>OrdersTable!B1499</f>
        <v>752</v>
      </c>
      <c r="K1499" s="15" t="str">
        <f t="shared" si="513"/>
        <v>Statues and Busts</v>
      </c>
      <c r="L1499" s="15" t="str">
        <f t="shared" si="514"/>
        <v>Doctor Who: Helmet: Cyberman Leader</v>
      </c>
      <c r="M1499" s="15" t="str">
        <f t="shared" si="515"/>
        <v>-</v>
      </c>
      <c r="N1499" s="15">
        <f t="shared" si="516"/>
        <v>2</v>
      </c>
      <c r="O1499" s="15" t="str">
        <f t="shared" si="517"/>
        <v>A30</v>
      </c>
      <c r="P1499" s="15" t="str">
        <f t="shared" si="518"/>
        <v>Chesterton Enterprises</v>
      </c>
      <c r="Q1499" s="15" t="str">
        <f t="shared" si="519"/>
        <v>41 William Russell Road</v>
      </c>
      <c r="R1499" s="3">
        <f>OrdersTable!C1499</f>
        <v>44667</v>
      </c>
      <c r="S1499" s="15">
        <f>OrdersTable!E1499</f>
        <v>6</v>
      </c>
      <c r="T1499" s="15">
        <f t="shared" si="520"/>
        <v>39.99</v>
      </c>
      <c r="U1499" s="15">
        <f t="shared" si="521"/>
        <v>54.85</v>
      </c>
      <c r="V1499" s="15">
        <f t="shared" si="522"/>
        <v>64.78</v>
      </c>
      <c r="W1499" s="15">
        <f>IF(MarkupType="Store Markup",ROUND(V1499+V1499*StoreMarkup,2),IF(MarkupType="Supplier Markup",V1499+V1499*SupplierMarkup,"Error at finding value"))</f>
        <v>102.03</v>
      </c>
      <c r="X1499" s="32">
        <f t="shared" si="524"/>
        <v>7.27</v>
      </c>
      <c r="Y1499" s="15">
        <f t="shared" si="525"/>
        <v>388.68</v>
      </c>
      <c r="Z1499" s="15">
        <f t="shared" si="526"/>
        <v>568.55999999999995</v>
      </c>
      <c r="AA1499" s="15">
        <f>IF(FreightType="Lethbridge-Stewart Freight ",ROUND(2.99+IF(N1499&gt;0.75,(N1499-0.75)*2.25,0)*S1499,2),IF(MarkupType="Supplier Markup",V1499+V1499*SupplierMarkup,"Error at finding value"))</f>
        <v>19.87</v>
      </c>
      <c r="AB1499" s="15">
        <f t="shared" si="527"/>
        <v>43.62</v>
      </c>
    </row>
    <row r="1500" spans="1:28" x14ac:dyDescent="0.25">
      <c r="A1500" s="16">
        <f>OrdersTable!A1500</f>
        <v>659</v>
      </c>
      <c r="B1500" s="15" t="str">
        <f t="shared" si="507"/>
        <v>Mr</v>
      </c>
      <c r="C1500" s="15" t="str">
        <f t="shared" si="528"/>
        <v>Douglas</v>
      </c>
      <c r="D1500" s="15" t="str">
        <f t="shared" si="508"/>
        <v>Jason Richard</v>
      </c>
      <c r="E1500" s="15" t="str">
        <f t="shared" si="509"/>
        <v>14 Young Crescent</v>
      </c>
      <c r="F1500" s="15" t="str">
        <f t="shared" si="510"/>
        <v>Caliph</v>
      </c>
      <c r="G1500" s="15" t="str">
        <f t="shared" si="511"/>
        <v>SA</v>
      </c>
      <c r="H1500" s="15">
        <f t="shared" si="512"/>
        <v>5310</v>
      </c>
      <c r="I1500" s="15">
        <f t="shared" si="523"/>
        <v>1720</v>
      </c>
      <c r="J1500" s="15">
        <f>OrdersTable!B1500</f>
        <v>702</v>
      </c>
      <c r="K1500" s="15" t="str">
        <f t="shared" si="513"/>
        <v>Posters, Prints and Standees</v>
      </c>
      <c r="L1500" s="15" t="str">
        <f t="shared" si="514"/>
        <v>Doctor Who: Poster: Daleks</v>
      </c>
      <c r="M1500" s="15" t="str">
        <f t="shared" si="515"/>
        <v>-</v>
      </c>
      <c r="N1500" s="15">
        <f t="shared" si="516"/>
        <v>0.2</v>
      </c>
      <c r="O1500" s="15" t="str">
        <f t="shared" si="517"/>
        <v>A50</v>
      </c>
      <c r="P1500" s="15" t="str">
        <f t="shared" si="518"/>
        <v>Rassilon Ltd.</v>
      </c>
      <c r="Q1500" s="15" t="str">
        <f t="shared" si="519"/>
        <v>82 Richard Mathews Road</v>
      </c>
      <c r="R1500" s="3">
        <f>OrdersTable!C1500</f>
        <v>44667</v>
      </c>
      <c r="S1500" s="15">
        <f>OrdersTable!E1500</f>
        <v>10</v>
      </c>
      <c r="T1500" s="15">
        <f t="shared" si="520"/>
        <v>3.99</v>
      </c>
      <c r="U1500" s="15">
        <f t="shared" si="521"/>
        <v>5.46</v>
      </c>
      <c r="V1500" s="15">
        <f t="shared" si="522"/>
        <v>6.46</v>
      </c>
      <c r="W1500" s="15">
        <f>IF(MarkupType="Store Markup",ROUND(V1500+V1500*StoreMarkup,2),IF(MarkupType="Supplier Markup",V1500+V1500*SupplierMarkup,"Error at finding value"))</f>
        <v>10.17</v>
      </c>
      <c r="X1500" s="32" t="str">
        <f t="shared" si="524"/>
        <v>0.00</v>
      </c>
      <c r="Y1500" s="15">
        <f t="shared" si="525"/>
        <v>64.599999999999994</v>
      </c>
      <c r="Z1500" s="15">
        <f t="shared" si="526"/>
        <v>101.7</v>
      </c>
      <c r="AA1500" s="15">
        <f>IF(FreightType="Lethbridge-Stewart Freight ",ROUND(2.99+IF(N1500&gt;0.75,(N1500-0.75)*2.25,0)*S1500,2),IF(MarkupType="Supplier Markup",V1500+V1500*SupplierMarkup,"Error at finding value"))</f>
        <v>2.99</v>
      </c>
      <c r="AB1500" s="15">
        <f t="shared" si="527"/>
        <v>0</v>
      </c>
    </row>
    <row r="1501" spans="1:28" x14ac:dyDescent="0.25">
      <c r="A1501" s="16">
        <f>OrdersTable!A1501</f>
        <v>802</v>
      </c>
      <c r="B1501" s="15" t="str">
        <f t="shared" si="507"/>
        <v>Mr</v>
      </c>
      <c r="C1501" s="15" t="str">
        <f t="shared" si="528"/>
        <v>Carlton</v>
      </c>
      <c r="D1501" s="15" t="str">
        <f t="shared" si="508"/>
        <v>Lawrence</v>
      </c>
      <c r="E1501" s="15" t="str">
        <f t="shared" si="509"/>
        <v>39 Walsh Way</v>
      </c>
      <c r="F1501" s="15" t="str">
        <f t="shared" si="510"/>
        <v>Breakwater</v>
      </c>
      <c r="G1501" s="15" t="str">
        <f t="shared" si="511"/>
        <v>VIC</v>
      </c>
      <c r="H1501" s="15">
        <f t="shared" si="512"/>
        <v>3219</v>
      </c>
      <c r="I1501" s="15">
        <f t="shared" si="523"/>
        <v>1596</v>
      </c>
      <c r="J1501" s="15">
        <f>OrdersTable!B1501</f>
        <v>703</v>
      </c>
      <c r="K1501" s="15" t="str">
        <f t="shared" si="513"/>
        <v>Posters, Prints and Standees</v>
      </c>
      <c r="L1501" s="15" t="str">
        <f t="shared" si="514"/>
        <v>Doctor Who: Poster: Doctor With Sonic Screwdriver</v>
      </c>
      <c r="M1501" s="15" t="str">
        <f t="shared" si="515"/>
        <v>-</v>
      </c>
      <c r="N1501" s="15">
        <f t="shared" si="516"/>
        <v>0.2</v>
      </c>
      <c r="O1501" s="15" t="str">
        <f t="shared" si="517"/>
        <v>A50</v>
      </c>
      <c r="P1501" s="15" t="str">
        <f t="shared" si="518"/>
        <v>Rassilon Ltd.</v>
      </c>
      <c r="Q1501" s="15" t="str">
        <f t="shared" si="519"/>
        <v>82 Richard Mathews Road</v>
      </c>
      <c r="R1501" s="3">
        <f>OrdersTable!C1501</f>
        <v>44667</v>
      </c>
      <c r="S1501" s="15">
        <f>OrdersTable!E1501</f>
        <v>10</v>
      </c>
      <c r="T1501" s="15">
        <f t="shared" si="520"/>
        <v>3.99</v>
      </c>
      <c r="U1501" s="15">
        <f t="shared" si="521"/>
        <v>5.51</v>
      </c>
      <c r="V1501" s="15">
        <f t="shared" si="522"/>
        <v>6.46</v>
      </c>
      <c r="W1501" s="15">
        <f>IF(MarkupType="Store Markup",ROUND(V1501+V1501*StoreMarkup,2),IF(MarkupType="Supplier Markup",V1501+V1501*SupplierMarkup,"Error at finding value"))</f>
        <v>10.17</v>
      </c>
      <c r="X1501" s="32" t="str">
        <f t="shared" si="524"/>
        <v>0.00</v>
      </c>
      <c r="Y1501" s="15">
        <f t="shared" si="525"/>
        <v>64.599999999999994</v>
      </c>
      <c r="Z1501" s="15">
        <f t="shared" si="526"/>
        <v>101.7</v>
      </c>
      <c r="AA1501" s="15">
        <f>IF(FreightType="Lethbridge-Stewart Freight ",ROUND(2.99+IF(N1501&gt;0.75,(N1501-0.75)*2.25,0)*S1501,2),IF(MarkupType="Supplier Markup",V1501+V1501*SupplierMarkup,"Error at finding value"))</f>
        <v>2.99</v>
      </c>
      <c r="AB1501" s="15">
        <f t="shared" si="527"/>
        <v>0</v>
      </c>
    </row>
    <row r="1502" spans="1:28" x14ac:dyDescent="0.25">
      <c r="A1502" s="16">
        <f>OrdersTable!A1502</f>
        <v>802</v>
      </c>
      <c r="B1502" s="15" t="str">
        <f t="shared" si="507"/>
        <v>Mr</v>
      </c>
      <c r="C1502" s="15" t="str">
        <f t="shared" si="528"/>
        <v>Carlton</v>
      </c>
      <c r="D1502" s="15" t="str">
        <f t="shared" si="508"/>
        <v>Lawrence</v>
      </c>
      <c r="E1502" s="15" t="str">
        <f t="shared" si="509"/>
        <v>39 Walsh Way</v>
      </c>
      <c r="F1502" s="15" t="str">
        <f t="shared" si="510"/>
        <v>Breakwater</v>
      </c>
      <c r="G1502" s="15" t="str">
        <f t="shared" si="511"/>
        <v>VIC</v>
      </c>
      <c r="H1502" s="15">
        <f t="shared" si="512"/>
        <v>3219</v>
      </c>
      <c r="I1502" s="15">
        <f t="shared" si="523"/>
        <v>1596</v>
      </c>
      <c r="J1502" s="15">
        <f>OrdersTable!B1502</f>
        <v>801</v>
      </c>
      <c r="K1502" s="15" t="str">
        <f t="shared" si="513"/>
        <v>Statues and Busts</v>
      </c>
      <c r="L1502" s="15" t="str">
        <f t="shared" si="514"/>
        <v>Doctor Who: Masterpiece Collection Maxi Bust: 4th Doctor</v>
      </c>
      <c r="M1502" s="15" t="str">
        <f t="shared" si="515"/>
        <v>-</v>
      </c>
      <c r="N1502" s="15">
        <f t="shared" si="516"/>
        <v>2.5</v>
      </c>
      <c r="O1502" s="15" t="str">
        <f t="shared" si="517"/>
        <v>A30</v>
      </c>
      <c r="P1502" s="15" t="str">
        <f t="shared" si="518"/>
        <v>Chesterton Enterprises</v>
      </c>
      <c r="Q1502" s="15" t="str">
        <f t="shared" si="519"/>
        <v>41 William Russell Road</v>
      </c>
      <c r="R1502" s="3">
        <f>OrdersTable!C1502</f>
        <v>44667</v>
      </c>
      <c r="S1502" s="15">
        <f>OrdersTable!E1502</f>
        <v>5</v>
      </c>
      <c r="T1502" s="15">
        <f t="shared" si="520"/>
        <v>49.99</v>
      </c>
      <c r="U1502" s="15">
        <f t="shared" si="521"/>
        <v>68.180000000000007</v>
      </c>
      <c r="V1502" s="15">
        <f t="shared" si="522"/>
        <v>80.98</v>
      </c>
      <c r="W1502" s="15">
        <f>IF(MarkupType="Store Markup",ROUND(V1502+V1502*StoreMarkup,2),IF(MarkupType="Supplier Markup",V1502+V1502*SupplierMarkup,"Error at finding value"))</f>
        <v>127.54</v>
      </c>
      <c r="X1502" s="32">
        <f t="shared" si="524"/>
        <v>9.09</v>
      </c>
      <c r="Y1502" s="15">
        <f t="shared" si="525"/>
        <v>404.9</v>
      </c>
      <c r="Z1502" s="15">
        <f t="shared" si="526"/>
        <v>592.25</v>
      </c>
      <c r="AA1502" s="15">
        <f>IF(FreightType="Lethbridge-Stewart Freight ",ROUND(2.99+IF(N1502&gt;0.75,(N1502-0.75)*2.25,0)*S1502,2),IF(MarkupType="Supplier Markup",V1502+V1502*SupplierMarkup,"Error at finding value"))</f>
        <v>22.68</v>
      </c>
      <c r="AB1502" s="15">
        <f t="shared" si="527"/>
        <v>45.45</v>
      </c>
    </row>
    <row r="1503" spans="1:28" x14ac:dyDescent="0.25">
      <c r="A1503" s="16">
        <f>OrdersTable!A1503</f>
        <v>830</v>
      </c>
      <c r="B1503" s="15" t="str">
        <f t="shared" si="507"/>
        <v>Miss</v>
      </c>
      <c r="C1503" s="15" t="str">
        <f t="shared" si="528"/>
        <v>Blakeney</v>
      </c>
      <c r="D1503" s="15" t="str">
        <f t="shared" si="508"/>
        <v>Hannah</v>
      </c>
      <c r="E1503" s="15" t="str">
        <f t="shared" si="509"/>
        <v>31 Sproule Street</v>
      </c>
      <c r="F1503" s="15" t="str">
        <f t="shared" si="510"/>
        <v>Belford</v>
      </c>
      <c r="G1503" s="15" t="str">
        <f t="shared" si="511"/>
        <v>NSW</v>
      </c>
      <c r="H1503" s="15">
        <f t="shared" si="512"/>
        <v>2335</v>
      </c>
      <c r="I1503" s="15">
        <f t="shared" si="523"/>
        <v>716</v>
      </c>
      <c r="J1503" s="15">
        <f>OrdersTable!B1503</f>
        <v>853</v>
      </c>
      <c r="K1503" s="15" t="str">
        <f t="shared" si="513"/>
        <v>Statues and Busts</v>
      </c>
      <c r="L1503" s="15" t="str">
        <f t="shared" si="514"/>
        <v>Doctor Who: Statue: The Master And Auton</v>
      </c>
      <c r="M1503" s="15" t="str">
        <f t="shared" si="515"/>
        <v>-</v>
      </c>
      <c r="N1503" s="15">
        <f t="shared" si="516"/>
        <v>3.5</v>
      </c>
      <c r="O1503" s="15" t="str">
        <f t="shared" si="517"/>
        <v>A50</v>
      </c>
      <c r="P1503" s="15" t="str">
        <f t="shared" si="518"/>
        <v>Rassilon Ltd.</v>
      </c>
      <c r="Q1503" s="15" t="str">
        <f t="shared" si="519"/>
        <v>82 Richard Mathews Road</v>
      </c>
      <c r="R1503" s="3">
        <f>OrdersTable!C1503</f>
        <v>44667</v>
      </c>
      <c r="S1503" s="15">
        <f>OrdersTable!E1503</f>
        <v>4</v>
      </c>
      <c r="T1503" s="15">
        <f t="shared" si="520"/>
        <v>69.989999999999995</v>
      </c>
      <c r="U1503" s="15">
        <f t="shared" si="521"/>
        <v>95.51</v>
      </c>
      <c r="V1503" s="15">
        <f t="shared" si="522"/>
        <v>113.38</v>
      </c>
      <c r="W1503" s="15">
        <f>IF(MarkupType="Store Markup",ROUND(V1503+V1503*StoreMarkup,2),IF(MarkupType="Supplier Markup",V1503+V1503*SupplierMarkup,"Error at finding value"))</f>
        <v>178.57</v>
      </c>
      <c r="X1503" s="32">
        <f t="shared" si="524"/>
        <v>12.72</v>
      </c>
      <c r="Y1503" s="15">
        <f t="shared" si="525"/>
        <v>453.52</v>
      </c>
      <c r="Z1503" s="15">
        <f t="shared" si="526"/>
        <v>663.4</v>
      </c>
      <c r="AA1503" s="15">
        <f>IF(FreightType="Lethbridge-Stewart Freight ",ROUND(2.99+IF(N1503&gt;0.75,(N1503-0.75)*2.25,0)*S1503,2),IF(MarkupType="Supplier Markup",V1503+V1503*SupplierMarkup,"Error at finding value"))</f>
        <v>27.74</v>
      </c>
      <c r="AB1503" s="15">
        <f t="shared" si="527"/>
        <v>50.88</v>
      </c>
    </row>
    <row r="1504" spans="1:28" x14ac:dyDescent="0.25">
      <c r="A1504" s="16">
        <f>OrdersTable!A1504</f>
        <v>989</v>
      </c>
      <c r="B1504" s="15" t="str">
        <f t="shared" si="507"/>
        <v>Miss</v>
      </c>
      <c r="C1504" s="15" t="str">
        <f t="shared" si="528"/>
        <v>McInnes</v>
      </c>
      <c r="D1504" s="15" t="str">
        <f t="shared" si="508"/>
        <v>Nina Marie</v>
      </c>
      <c r="E1504" s="15" t="str">
        <f t="shared" si="509"/>
        <v>28 Caruss Road</v>
      </c>
      <c r="F1504" s="15" t="str">
        <f t="shared" si="510"/>
        <v>Belford</v>
      </c>
      <c r="G1504" s="15" t="str">
        <f t="shared" si="511"/>
        <v>NSW</v>
      </c>
      <c r="H1504" s="15">
        <f t="shared" si="512"/>
        <v>2335</v>
      </c>
      <c r="I1504" s="15">
        <f t="shared" si="523"/>
        <v>716</v>
      </c>
      <c r="J1504" s="15">
        <f>OrdersTable!B1504</f>
        <v>373</v>
      </c>
      <c r="K1504" s="15" t="str">
        <f t="shared" si="513"/>
        <v>Clothing and Apparel</v>
      </c>
      <c r="L1504" s="15" t="str">
        <f t="shared" si="514"/>
        <v xml:space="preserve">Doctor Who: T-Shirts: 5th Doctor Costume </v>
      </c>
      <c r="M1504" s="15" t="str">
        <f t="shared" si="515"/>
        <v>L</v>
      </c>
      <c r="N1504" s="15">
        <f t="shared" si="516"/>
        <v>0.8</v>
      </c>
      <c r="O1504" s="15" t="str">
        <f t="shared" si="517"/>
        <v>A20</v>
      </c>
      <c r="P1504" s="15" t="str">
        <f t="shared" si="518"/>
        <v>Morbius Inc.</v>
      </c>
      <c r="Q1504" s="15" t="str">
        <f t="shared" si="519"/>
        <v>56 Michael Spice Hwy</v>
      </c>
      <c r="R1504" s="3">
        <f>OrdersTable!C1504</f>
        <v>44667</v>
      </c>
      <c r="S1504" s="15">
        <f>OrdersTable!E1504</f>
        <v>2</v>
      </c>
      <c r="T1504" s="15">
        <f t="shared" si="520"/>
        <v>15.99</v>
      </c>
      <c r="U1504" s="15">
        <f t="shared" si="521"/>
        <v>22.09</v>
      </c>
      <c r="V1504" s="15">
        <f t="shared" si="522"/>
        <v>25.9</v>
      </c>
      <c r="W1504" s="15">
        <f>IF(MarkupType="Store Markup",ROUND(V1504+V1504*StoreMarkup,2),IF(MarkupType="Supplier Markup",V1504+V1504*SupplierMarkup,"Error at finding value"))</f>
        <v>40.79</v>
      </c>
      <c r="X1504" s="32" t="str">
        <f t="shared" si="524"/>
        <v>0.00</v>
      </c>
      <c r="Y1504" s="15">
        <f t="shared" si="525"/>
        <v>51.8</v>
      </c>
      <c r="Z1504" s="15">
        <f t="shared" si="526"/>
        <v>81.58</v>
      </c>
      <c r="AA1504" s="15">
        <f>IF(FreightType="Lethbridge-Stewart Freight ",ROUND(2.99+IF(N1504&gt;0.75,(N1504-0.75)*2.25,0)*S1504,2),IF(MarkupType="Supplier Markup",V1504+V1504*SupplierMarkup,"Error at finding value"))</f>
        <v>3.22</v>
      </c>
      <c r="AB1504" s="15">
        <f t="shared" si="527"/>
        <v>0</v>
      </c>
    </row>
    <row r="1505" spans="1:28" x14ac:dyDescent="0.25">
      <c r="A1505" s="16">
        <f>OrdersTable!A1505</f>
        <v>989</v>
      </c>
      <c r="B1505" s="15" t="str">
        <f t="shared" si="507"/>
        <v>Miss</v>
      </c>
      <c r="C1505" s="15" t="str">
        <f t="shared" si="528"/>
        <v>McInnes</v>
      </c>
      <c r="D1505" s="15" t="str">
        <f t="shared" si="508"/>
        <v>Nina Marie</v>
      </c>
      <c r="E1505" s="15" t="str">
        <f t="shared" si="509"/>
        <v>28 Caruss Road</v>
      </c>
      <c r="F1505" s="15" t="str">
        <f t="shared" si="510"/>
        <v>Belford</v>
      </c>
      <c r="G1505" s="15" t="str">
        <f t="shared" si="511"/>
        <v>NSW</v>
      </c>
      <c r="H1505" s="15">
        <f t="shared" si="512"/>
        <v>2335</v>
      </c>
      <c r="I1505" s="15">
        <f t="shared" si="523"/>
        <v>716</v>
      </c>
      <c r="J1505" s="15">
        <f>OrdersTable!B1505</f>
        <v>726</v>
      </c>
      <c r="K1505" s="15" t="str">
        <f t="shared" si="513"/>
        <v>Props and Replicas</v>
      </c>
      <c r="L1505" s="15" t="str">
        <f t="shared" si="514"/>
        <v>Doctor Who: Dalek Death Ray</v>
      </c>
      <c r="M1505" s="15" t="str">
        <f t="shared" si="515"/>
        <v>-</v>
      </c>
      <c r="N1505" s="15">
        <f t="shared" si="516"/>
        <v>18</v>
      </c>
      <c r="O1505" s="15" t="str">
        <f t="shared" si="517"/>
        <v>A30</v>
      </c>
      <c r="P1505" s="15" t="str">
        <f t="shared" si="518"/>
        <v>Chesterton Enterprises</v>
      </c>
      <c r="Q1505" s="15" t="str">
        <f t="shared" si="519"/>
        <v>41 William Russell Road</v>
      </c>
      <c r="R1505" s="3">
        <f>OrdersTable!C1505</f>
        <v>44667</v>
      </c>
      <c r="S1505" s="15">
        <f>OrdersTable!E1505</f>
        <v>7</v>
      </c>
      <c r="T1505" s="15">
        <f t="shared" si="520"/>
        <v>359.99</v>
      </c>
      <c r="U1505" s="15">
        <f t="shared" si="521"/>
        <v>491.12</v>
      </c>
      <c r="V1505" s="15">
        <f t="shared" si="522"/>
        <v>583.17999999999995</v>
      </c>
      <c r="W1505" s="15">
        <f>IF(MarkupType="Store Markup",ROUND(V1505+V1505*StoreMarkup,2),IF(MarkupType="Supplier Markup",V1505+V1505*SupplierMarkup,"Error at finding value"))</f>
        <v>918.51</v>
      </c>
      <c r="X1505" s="32">
        <f t="shared" si="524"/>
        <v>65.44</v>
      </c>
      <c r="Y1505" s="15">
        <f t="shared" si="525"/>
        <v>4082.26</v>
      </c>
      <c r="Z1505" s="15">
        <f t="shared" si="526"/>
        <v>5971.49</v>
      </c>
      <c r="AA1505" s="15">
        <f>IF(FreightType="Lethbridge-Stewart Freight ",ROUND(2.99+IF(N1505&gt;0.75,(N1505-0.75)*2.25,0)*S1505,2),IF(MarkupType="Supplier Markup",V1505+V1505*SupplierMarkup,"Error at finding value"))</f>
        <v>274.68</v>
      </c>
      <c r="AB1505" s="15">
        <f t="shared" si="527"/>
        <v>458.08</v>
      </c>
    </row>
    <row r="1506" spans="1:28" x14ac:dyDescent="0.25">
      <c r="A1506" s="16">
        <f>OrdersTable!A1506</f>
        <v>22</v>
      </c>
      <c r="B1506" s="15" t="str">
        <f t="shared" si="507"/>
        <v>Mr</v>
      </c>
      <c r="C1506" s="15" t="str">
        <f t="shared" si="528"/>
        <v>Tyrrell</v>
      </c>
      <c r="D1506" s="15" t="str">
        <f t="shared" si="508"/>
        <v>Timothy James</v>
      </c>
      <c r="E1506" s="15" t="str">
        <f t="shared" si="509"/>
        <v>48 Lambourne Crescent</v>
      </c>
      <c r="F1506" s="15" t="str">
        <f t="shared" si="510"/>
        <v>Belford</v>
      </c>
      <c r="G1506" s="15" t="str">
        <f t="shared" si="511"/>
        <v>NSW</v>
      </c>
      <c r="H1506" s="15">
        <f t="shared" si="512"/>
        <v>2335</v>
      </c>
      <c r="I1506" s="15">
        <f t="shared" si="523"/>
        <v>716</v>
      </c>
      <c r="J1506" s="15">
        <f>OrdersTable!B1506</f>
        <v>196</v>
      </c>
      <c r="K1506" s="15" t="str">
        <f t="shared" si="513"/>
        <v>Clothing and Apparel</v>
      </c>
      <c r="L1506" s="15" t="str">
        <f t="shared" si="514"/>
        <v>Doctor Who: 12 Foot Tom Baker Scarf</v>
      </c>
      <c r="M1506" s="15" t="str">
        <f t="shared" si="515"/>
        <v>-</v>
      </c>
      <c r="N1506" s="15">
        <f t="shared" si="516"/>
        <v>2.5</v>
      </c>
      <c r="O1506" s="15" t="str">
        <f t="shared" si="517"/>
        <v>A40</v>
      </c>
      <c r="P1506" s="15" t="str">
        <f t="shared" si="518"/>
        <v>Romana Imports</v>
      </c>
      <c r="Q1506" s="15" t="str">
        <f t="shared" si="519"/>
        <v>17 Lalla Ward Road</v>
      </c>
      <c r="R1506" s="3">
        <f>OrdersTable!C1506</f>
        <v>44668</v>
      </c>
      <c r="S1506" s="15">
        <f>OrdersTable!E1506</f>
        <v>6</v>
      </c>
      <c r="T1506" s="15">
        <f t="shared" si="520"/>
        <v>49.99</v>
      </c>
      <c r="U1506" s="15">
        <f t="shared" si="521"/>
        <v>68.28</v>
      </c>
      <c r="V1506" s="15">
        <f t="shared" si="522"/>
        <v>80.98</v>
      </c>
      <c r="W1506" s="15">
        <f>IF(MarkupType="Store Markup",ROUND(V1506+V1506*StoreMarkup,2),IF(MarkupType="Supplier Markup",V1506+V1506*SupplierMarkup,"Error at finding value"))</f>
        <v>127.54</v>
      </c>
      <c r="X1506" s="32">
        <f t="shared" si="524"/>
        <v>9.09</v>
      </c>
      <c r="Y1506" s="15">
        <f t="shared" si="525"/>
        <v>485.88</v>
      </c>
      <c r="Z1506" s="15">
        <f t="shared" si="526"/>
        <v>710.7</v>
      </c>
      <c r="AA1506" s="15">
        <f>IF(FreightType="Lethbridge-Stewart Freight ",ROUND(2.99+IF(N1506&gt;0.75,(N1506-0.75)*2.25,0)*S1506,2),IF(MarkupType="Supplier Markup",V1506+V1506*SupplierMarkup,"Error at finding value"))</f>
        <v>26.62</v>
      </c>
      <c r="AB1506" s="15">
        <f t="shared" si="527"/>
        <v>54.54</v>
      </c>
    </row>
    <row r="1507" spans="1:28" x14ac:dyDescent="0.25">
      <c r="A1507" s="16">
        <f>OrdersTable!A1507</f>
        <v>139</v>
      </c>
      <c r="B1507" s="15" t="str">
        <f t="shared" si="507"/>
        <v>Mrs</v>
      </c>
      <c r="C1507" s="15" t="str">
        <f t="shared" si="528"/>
        <v>Atkinson</v>
      </c>
      <c r="D1507" s="15" t="str">
        <f t="shared" si="508"/>
        <v>Leanne</v>
      </c>
      <c r="E1507" s="15" t="str">
        <f t="shared" si="509"/>
        <v>45 Maloney Boulevard</v>
      </c>
      <c r="F1507" s="15" t="str">
        <f t="shared" si="510"/>
        <v>Avon Plains</v>
      </c>
      <c r="G1507" s="15" t="str">
        <f t="shared" si="511"/>
        <v>VIC</v>
      </c>
      <c r="H1507" s="15">
        <f t="shared" si="512"/>
        <v>3477</v>
      </c>
      <c r="I1507" s="15">
        <f t="shared" si="523"/>
        <v>1565</v>
      </c>
      <c r="J1507" s="15">
        <f>OrdersTable!B1507</f>
        <v>810</v>
      </c>
      <c r="K1507" s="15" t="str">
        <f t="shared" si="513"/>
        <v>Statues and Busts</v>
      </c>
      <c r="L1507" s="15" t="str">
        <f t="shared" si="514"/>
        <v>Doctor Who: Masterpiece Collection Maxi Bust: Amy Pond</v>
      </c>
      <c r="M1507" s="15" t="str">
        <f t="shared" si="515"/>
        <v>-</v>
      </c>
      <c r="N1507" s="15">
        <f t="shared" si="516"/>
        <v>2.5</v>
      </c>
      <c r="O1507" s="15" t="str">
        <f t="shared" si="517"/>
        <v>A50</v>
      </c>
      <c r="P1507" s="15" t="str">
        <f t="shared" si="518"/>
        <v>Rassilon Ltd.</v>
      </c>
      <c r="Q1507" s="15" t="str">
        <f t="shared" si="519"/>
        <v>82 Richard Mathews Road</v>
      </c>
      <c r="R1507" s="3">
        <f>OrdersTable!C1507</f>
        <v>44668</v>
      </c>
      <c r="S1507" s="15">
        <f>OrdersTable!E1507</f>
        <v>3</v>
      </c>
      <c r="T1507" s="15">
        <f t="shared" si="520"/>
        <v>49.99</v>
      </c>
      <c r="U1507" s="15">
        <f t="shared" si="521"/>
        <v>68.260000000000005</v>
      </c>
      <c r="V1507" s="15">
        <f t="shared" si="522"/>
        <v>80.98</v>
      </c>
      <c r="W1507" s="15">
        <f>IF(MarkupType="Store Markup",ROUND(V1507+V1507*StoreMarkup,2),IF(MarkupType="Supplier Markup",V1507+V1507*SupplierMarkup,"Error at finding value"))</f>
        <v>127.54</v>
      </c>
      <c r="X1507" s="32">
        <f t="shared" si="524"/>
        <v>9.09</v>
      </c>
      <c r="Y1507" s="15">
        <f t="shared" si="525"/>
        <v>242.94</v>
      </c>
      <c r="Z1507" s="15">
        <f t="shared" si="526"/>
        <v>355.35</v>
      </c>
      <c r="AA1507" s="15">
        <f>IF(FreightType="Lethbridge-Stewart Freight ",ROUND(2.99+IF(N1507&gt;0.75,(N1507-0.75)*2.25,0)*S1507,2),IF(MarkupType="Supplier Markup",V1507+V1507*SupplierMarkup,"Error at finding value"))</f>
        <v>14.8</v>
      </c>
      <c r="AB1507" s="15">
        <f t="shared" si="527"/>
        <v>27.27</v>
      </c>
    </row>
    <row r="1508" spans="1:28" x14ac:dyDescent="0.25">
      <c r="A1508" s="16">
        <f>OrdersTable!A1508</f>
        <v>302</v>
      </c>
      <c r="B1508" s="15" t="str">
        <f t="shared" si="507"/>
        <v>Ms</v>
      </c>
      <c r="C1508" s="15" t="str">
        <f t="shared" si="528"/>
        <v>Lamshed</v>
      </c>
      <c r="D1508" s="15" t="str">
        <f t="shared" si="508"/>
        <v>Laura Clare</v>
      </c>
      <c r="E1508" s="15" t="str">
        <f t="shared" si="509"/>
        <v>22 Edser Drive</v>
      </c>
      <c r="F1508" s="15" t="str">
        <f t="shared" si="510"/>
        <v>Caliph</v>
      </c>
      <c r="G1508" s="15" t="str">
        <f t="shared" si="511"/>
        <v>SA</v>
      </c>
      <c r="H1508" s="15">
        <f t="shared" si="512"/>
        <v>5310</v>
      </c>
      <c r="I1508" s="15">
        <f t="shared" si="523"/>
        <v>1720</v>
      </c>
      <c r="J1508" s="15">
        <f>OrdersTable!B1508</f>
        <v>826</v>
      </c>
      <c r="K1508" s="15" t="str">
        <f t="shared" si="513"/>
        <v>Statues and Busts</v>
      </c>
      <c r="L1508" s="15" t="str">
        <f t="shared" si="514"/>
        <v>Doctor Who: Mini Bust: Cyberman</v>
      </c>
      <c r="M1508" s="15" t="str">
        <f t="shared" si="515"/>
        <v>-</v>
      </c>
      <c r="N1508" s="15">
        <f t="shared" si="516"/>
        <v>1.8</v>
      </c>
      <c r="O1508" s="15" t="str">
        <f t="shared" si="517"/>
        <v>A40</v>
      </c>
      <c r="P1508" s="15" t="str">
        <f t="shared" si="518"/>
        <v>Romana Imports</v>
      </c>
      <c r="Q1508" s="15" t="str">
        <f t="shared" si="519"/>
        <v>17 Lalla Ward Road</v>
      </c>
      <c r="R1508" s="3">
        <f>OrdersTable!C1508</f>
        <v>44668</v>
      </c>
      <c r="S1508" s="15">
        <f>OrdersTable!E1508</f>
        <v>1</v>
      </c>
      <c r="T1508" s="15">
        <f t="shared" si="520"/>
        <v>35.99</v>
      </c>
      <c r="U1508" s="15">
        <f t="shared" si="521"/>
        <v>49.13</v>
      </c>
      <c r="V1508" s="15">
        <f t="shared" si="522"/>
        <v>58.3</v>
      </c>
      <c r="W1508" s="15">
        <f>IF(MarkupType="Store Markup",ROUND(V1508+V1508*StoreMarkup,2),IF(MarkupType="Supplier Markup",V1508+V1508*SupplierMarkup,"Error at finding value"))</f>
        <v>91.82</v>
      </c>
      <c r="X1508" s="32" t="str">
        <f t="shared" si="524"/>
        <v>0.00</v>
      </c>
      <c r="Y1508" s="15">
        <f t="shared" si="525"/>
        <v>58.3</v>
      </c>
      <c r="Z1508" s="15">
        <f t="shared" si="526"/>
        <v>91.82</v>
      </c>
      <c r="AA1508" s="15">
        <f>IF(FreightType="Lethbridge-Stewart Freight ",ROUND(2.99+IF(N1508&gt;0.75,(N1508-0.75)*2.25,0)*S1508,2),IF(MarkupType="Supplier Markup",V1508+V1508*SupplierMarkup,"Error at finding value"))</f>
        <v>5.35</v>
      </c>
      <c r="AB1508" s="15">
        <f t="shared" si="527"/>
        <v>0</v>
      </c>
    </row>
    <row r="1509" spans="1:28" x14ac:dyDescent="0.25">
      <c r="A1509" s="16">
        <f>OrdersTable!A1509</f>
        <v>333</v>
      </c>
      <c r="B1509" s="15" t="str">
        <f t="shared" si="507"/>
        <v>Mr</v>
      </c>
      <c r="C1509" s="15" t="str">
        <f t="shared" si="528"/>
        <v>Martin</v>
      </c>
      <c r="D1509" s="15" t="str">
        <f t="shared" si="508"/>
        <v>Damien Roger</v>
      </c>
      <c r="E1509" s="15" t="str">
        <f t="shared" si="509"/>
        <v>23 Quennell Way</v>
      </c>
      <c r="F1509" s="15" t="str">
        <f t="shared" si="510"/>
        <v>Aberfoyle</v>
      </c>
      <c r="G1509" s="15" t="str">
        <f t="shared" si="511"/>
        <v>NSW</v>
      </c>
      <c r="H1509" s="15">
        <f t="shared" si="512"/>
        <v>2350</v>
      </c>
      <c r="I1509" s="15">
        <f t="shared" si="523"/>
        <v>363</v>
      </c>
      <c r="J1509" s="15">
        <f>OrdersTable!B1509</f>
        <v>282</v>
      </c>
      <c r="K1509" s="15" t="str">
        <f t="shared" si="513"/>
        <v>Clothing and Apparel</v>
      </c>
      <c r="L1509" s="15" t="str">
        <f t="shared" si="514"/>
        <v>Doctor Who: Tardis Laplander Hat</v>
      </c>
      <c r="M1509" s="15" t="str">
        <f t="shared" si="515"/>
        <v>-</v>
      </c>
      <c r="N1509" s="15">
        <f t="shared" si="516"/>
        <v>0.97499999999999998</v>
      </c>
      <c r="O1509" s="15" t="str">
        <f t="shared" si="517"/>
        <v>A10</v>
      </c>
      <c r="P1509" s="15" t="str">
        <f t="shared" si="518"/>
        <v>Gallifrey International</v>
      </c>
      <c r="Q1509" s="15" t="str">
        <f t="shared" si="519"/>
        <v>181 Arcadia Street</v>
      </c>
      <c r="R1509" s="3">
        <f>OrdersTable!C1509</f>
        <v>44668</v>
      </c>
      <c r="S1509" s="15">
        <f>OrdersTable!E1509</f>
        <v>8</v>
      </c>
      <c r="T1509" s="15">
        <f t="shared" si="520"/>
        <v>19.5</v>
      </c>
      <c r="U1509" s="15">
        <f t="shared" si="521"/>
        <v>26.93</v>
      </c>
      <c r="V1509" s="15">
        <f t="shared" si="522"/>
        <v>31.59</v>
      </c>
      <c r="W1509" s="15">
        <f>IF(MarkupType="Store Markup",ROUND(V1509+V1509*StoreMarkup,2),IF(MarkupType="Supplier Markup",V1509+V1509*SupplierMarkup,"Error at finding value"))</f>
        <v>49.75</v>
      </c>
      <c r="X1509" s="32" t="str">
        <f t="shared" si="524"/>
        <v>0.00</v>
      </c>
      <c r="Y1509" s="15">
        <f t="shared" si="525"/>
        <v>252.72</v>
      </c>
      <c r="Z1509" s="15">
        <f t="shared" si="526"/>
        <v>398</v>
      </c>
      <c r="AA1509" s="15">
        <f>IF(FreightType="Lethbridge-Stewart Freight ",ROUND(2.99+IF(N1509&gt;0.75,(N1509-0.75)*2.25,0)*S1509,2),IF(MarkupType="Supplier Markup",V1509+V1509*SupplierMarkup,"Error at finding value"))</f>
        <v>7.04</v>
      </c>
      <c r="AB1509" s="15">
        <f t="shared" si="527"/>
        <v>0</v>
      </c>
    </row>
    <row r="1510" spans="1:28" x14ac:dyDescent="0.25">
      <c r="A1510" s="16">
        <f>OrdersTable!A1510</f>
        <v>364</v>
      </c>
      <c r="B1510" s="15" t="str">
        <f t="shared" si="507"/>
        <v>Dr</v>
      </c>
      <c r="C1510" s="15" t="str">
        <f t="shared" si="528"/>
        <v>Reibelt</v>
      </c>
      <c r="D1510" s="15" t="str">
        <f t="shared" si="508"/>
        <v>Corey James</v>
      </c>
      <c r="E1510" s="15" t="str">
        <f t="shared" si="509"/>
        <v>23 Burns Drive</v>
      </c>
      <c r="F1510" s="15" t="str">
        <f t="shared" si="510"/>
        <v>Caliph</v>
      </c>
      <c r="G1510" s="15" t="str">
        <f t="shared" si="511"/>
        <v>SA</v>
      </c>
      <c r="H1510" s="15">
        <f t="shared" si="512"/>
        <v>5310</v>
      </c>
      <c r="I1510" s="15">
        <f t="shared" si="523"/>
        <v>1720</v>
      </c>
      <c r="J1510" s="15">
        <f>OrdersTable!B1510</f>
        <v>759</v>
      </c>
      <c r="K1510" s="15" t="str">
        <f t="shared" si="513"/>
        <v>Statues and Busts</v>
      </c>
      <c r="L1510" s="15" t="str">
        <f t="shared" si="514"/>
        <v>Doctor Who: Legends Forever Bust: Jon Pertwee</v>
      </c>
      <c r="M1510" s="15" t="str">
        <f t="shared" si="515"/>
        <v>-</v>
      </c>
      <c r="N1510" s="15">
        <f t="shared" si="516"/>
        <v>1.375</v>
      </c>
      <c r="O1510" s="15" t="str">
        <f t="shared" si="517"/>
        <v>A30</v>
      </c>
      <c r="P1510" s="15" t="str">
        <f t="shared" si="518"/>
        <v>Chesterton Enterprises</v>
      </c>
      <c r="Q1510" s="15" t="str">
        <f t="shared" si="519"/>
        <v>41 William Russell Road</v>
      </c>
      <c r="R1510" s="3">
        <f>OrdersTable!C1510</f>
        <v>44668</v>
      </c>
      <c r="S1510" s="15">
        <f>OrdersTable!E1510</f>
        <v>8</v>
      </c>
      <c r="T1510" s="15">
        <f t="shared" si="520"/>
        <v>27.5</v>
      </c>
      <c r="U1510" s="15">
        <f t="shared" si="521"/>
        <v>37.630000000000003</v>
      </c>
      <c r="V1510" s="15">
        <f t="shared" si="522"/>
        <v>44.55</v>
      </c>
      <c r="W1510" s="15">
        <f>IF(MarkupType="Store Markup",ROUND(V1510+V1510*StoreMarkup,2),IF(MarkupType="Supplier Markup",V1510+V1510*SupplierMarkup,"Error at finding value"))</f>
        <v>70.17</v>
      </c>
      <c r="X1510" s="32" t="str">
        <f t="shared" si="524"/>
        <v>0.00</v>
      </c>
      <c r="Y1510" s="15">
        <f t="shared" si="525"/>
        <v>356.4</v>
      </c>
      <c r="Z1510" s="15">
        <f t="shared" si="526"/>
        <v>561.36</v>
      </c>
      <c r="AA1510" s="15">
        <f>IF(FreightType="Lethbridge-Stewart Freight ",ROUND(2.99+IF(N1510&gt;0.75,(N1510-0.75)*2.25,0)*S1510,2),IF(MarkupType="Supplier Markup",V1510+V1510*SupplierMarkup,"Error at finding value"))</f>
        <v>14.24</v>
      </c>
      <c r="AB1510" s="15">
        <f t="shared" si="527"/>
        <v>0</v>
      </c>
    </row>
    <row r="1511" spans="1:28" x14ac:dyDescent="0.25">
      <c r="A1511" s="16">
        <f>OrdersTable!A1511</f>
        <v>573</v>
      </c>
      <c r="B1511" s="15" t="str">
        <f t="shared" si="507"/>
        <v>Mrs</v>
      </c>
      <c r="C1511" s="15" t="str">
        <f t="shared" si="528"/>
        <v>Hollonds</v>
      </c>
      <c r="D1511" s="15" t="str">
        <f t="shared" si="508"/>
        <v>Suzan</v>
      </c>
      <c r="E1511" s="15" t="str">
        <f t="shared" si="509"/>
        <v>49 Patel Way</v>
      </c>
      <c r="F1511" s="15" t="str">
        <f t="shared" si="510"/>
        <v>Belconnen</v>
      </c>
      <c r="G1511" s="15" t="str">
        <f t="shared" si="511"/>
        <v>ACT</v>
      </c>
      <c r="H1511" s="15">
        <f t="shared" si="512"/>
        <v>2617</v>
      </c>
      <c r="I1511" s="15">
        <f t="shared" si="523"/>
        <v>1194</v>
      </c>
      <c r="J1511" s="15">
        <f>OrdersTable!B1511</f>
        <v>580</v>
      </c>
      <c r="K1511" s="15" t="str">
        <f t="shared" si="513"/>
        <v>Giftware</v>
      </c>
      <c r="L1511" s="15" t="str">
        <f t="shared" si="514"/>
        <v>Doctor Who: Wallpaper: Classic TARDIS Columns</v>
      </c>
      <c r="M1511" s="15" t="str">
        <f t="shared" si="515"/>
        <v>-</v>
      </c>
      <c r="N1511" s="15">
        <f t="shared" si="516"/>
        <v>0.65500000000000003</v>
      </c>
      <c r="O1511" s="15" t="str">
        <f t="shared" si="517"/>
        <v>A50</v>
      </c>
      <c r="P1511" s="15" t="str">
        <f t="shared" si="518"/>
        <v>Rassilon Ltd.</v>
      </c>
      <c r="Q1511" s="15" t="str">
        <f t="shared" si="519"/>
        <v>82 Richard Mathews Road</v>
      </c>
      <c r="R1511" s="3">
        <f>OrdersTable!C1511</f>
        <v>44668</v>
      </c>
      <c r="S1511" s="15">
        <f>OrdersTable!E1511</f>
        <v>8</v>
      </c>
      <c r="T1511" s="15">
        <f t="shared" si="520"/>
        <v>13.11</v>
      </c>
      <c r="U1511" s="15">
        <f t="shared" si="521"/>
        <v>18.18</v>
      </c>
      <c r="V1511" s="15">
        <f t="shared" si="522"/>
        <v>21.24</v>
      </c>
      <c r="W1511" s="15">
        <f>IF(MarkupType="Store Markup",ROUND(V1511+V1511*StoreMarkup,2),IF(MarkupType="Supplier Markup",V1511+V1511*SupplierMarkup,"Error at finding value"))</f>
        <v>33.450000000000003</v>
      </c>
      <c r="X1511" s="32" t="str">
        <f t="shared" si="524"/>
        <v>0.00</v>
      </c>
      <c r="Y1511" s="15">
        <f t="shared" si="525"/>
        <v>169.92</v>
      </c>
      <c r="Z1511" s="15">
        <f t="shared" si="526"/>
        <v>267.60000000000002</v>
      </c>
      <c r="AA1511" s="15">
        <f>IF(FreightType="Lethbridge-Stewart Freight ",ROUND(2.99+IF(N1511&gt;0.75,(N1511-0.75)*2.25,0)*S1511,2),IF(MarkupType="Supplier Markup",V1511+V1511*SupplierMarkup,"Error at finding value"))</f>
        <v>2.99</v>
      </c>
      <c r="AB1511" s="15">
        <f t="shared" si="527"/>
        <v>0</v>
      </c>
    </row>
    <row r="1512" spans="1:28" x14ac:dyDescent="0.25">
      <c r="A1512" s="16">
        <f>OrdersTable!A1512</f>
        <v>730</v>
      </c>
      <c r="B1512" s="15" t="str">
        <f t="shared" si="507"/>
        <v>Mr</v>
      </c>
      <c r="C1512" s="15" t="str">
        <f t="shared" si="528"/>
        <v>Romer</v>
      </c>
      <c r="D1512" s="15" t="str">
        <f t="shared" si="508"/>
        <v>Leo Alexander</v>
      </c>
      <c r="E1512" s="15" t="str">
        <f t="shared" si="509"/>
        <v>47 Bennett Circuit</v>
      </c>
      <c r="F1512" s="15" t="str">
        <f t="shared" si="510"/>
        <v>Caliph</v>
      </c>
      <c r="G1512" s="15" t="str">
        <f t="shared" si="511"/>
        <v>SA</v>
      </c>
      <c r="H1512" s="15">
        <f t="shared" si="512"/>
        <v>5310</v>
      </c>
      <c r="I1512" s="15">
        <f t="shared" si="523"/>
        <v>1720</v>
      </c>
      <c r="J1512" s="15">
        <f>OrdersTable!B1512</f>
        <v>698</v>
      </c>
      <c r="K1512" s="15" t="str">
        <f t="shared" si="513"/>
        <v>Posters, Prints and Standees</v>
      </c>
      <c r="L1512" s="15" t="str">
        <f t="shared" si="514"/>
        <v>Doctor Who: Art Print: My Mysterious Doctor</v>
      </c>
      <c r="M1512" s="15" t="str">
        <f t="shared" si="515"/>
        <v>-</v>
      </c>
      <c r="N1512" s="15">
        <f t="shared" si="516"/>
        <v>0.75</v>
      </c>
      <c r="O1512" s="15" t="str">
        <f t="shared" si="517"/>
        <v>A30</v>
      </c>
      <c r="P1512" s="15" t="str">
        <f t="shared" si="518"/>
        <v>Chesterton Enterprises</v>
      </c>
      <c r="Q1512" s="15" t="str">
        <f t="shared" si="519"/>
        <v>41 William Russell Road</v>
      </c>
      <c r="R1512" s="3">
        <f>OrdersTable!C1512</f>
        <v>44668</v>
      </c>
      <c r="S1512" s="15">
        <f>OrdersTable!E1512</f>
        <v>8</v>
      </c>
      <c r="T1512" s="15">
        <f t="shared" si="520"/>
        <v>14.99</v>
      </c>
      <c r="U1512" s="15">
        <f t="shared" si="521"/>
        <v>20.56</v>
      </c>
      <c r="V1512" s="15">
        <f t="shared" si="522"/>
        <v>24.28</v>
      </c>
      <c r="W1512" s="15">
        <f>IF(MarkupType="Store Markup",ROUND(V1512+V1512*StoreMarkup,2),IF(MarkupType="Supplier Markup",V1512+V1512*SupplierMarkup,"Error at finding value"))</f>
        <v>38.24</v>
      </c>
      <c r="X1512" s="32" t="str">
        <f t="shared" si="524"/>
        <v>0.00</v>
      </c>
      <c r="Y1512" s="15">
        <f t="shared" si="525"/>
        <v>194.24</v>
      </c>
      <c r="Z1512" s="15">
        <f t="shared" si="526"/>
        <v>305.92</v>
      </c>
      <c r="AA1512" s="15">
        <f>IF(FreightType="Lethbridge-Stewart Freight ",ROUND(2.99+IF(N1512&gt;0.75,(N1512-0.75)*2.25,0)*S1512,2),IF(MarkupType="Supplier Markup",V1512+V1512*SupplierMarkup,"Error at finding value"))</f>
        <v>2.99</v>
      </c>
      <c r="AB1512" s="15">
        <f t="shared" si="527"/>
        <v>0</v>
      </c>
    </row>
    <row r="1513" spans="1:28" x14ac:dyDescent="0.25">
      <c r="A1513" s="16">
        <f>OrdersTable!A1513</f>
        <v>802</v>
      </c>
      <c r="B1513" s="15" t="str">
        <f t="shared" si="507"/>
        <v>Mr</v>
      </c>
      <c r="C1513" s="15" t="str">
        <f t="shared" si="528"/>
        <v>Carlton</v>
      </c>
      <c r="D1513" s="15" t="str">
        <f t="shared" si="508"/>
        <v>Lawrence</v>
      </c>
      <c r="E1513" s="15" t="str">
        <f t="shared" si="509"/>
        <v>39 Walsh Way</v>
      </c>
      <c r="F1513" s="15" t="str">
        <f t="shared" si="510"/>
        <v>Breakwater</v>
      </c>
      <c r="G1513" s="15" t="str">
        <f t="shared" si="511"/>
        <v>VIC</v>
      </c>
      <c r="H1513" s="15">
        <f t="shared" si="512"/>
        <v>3219</v>
      </c>
      <c r="I1513" s="15">
        <f t="shared" si="523"/>
        <v>1596</v>
      </c>
      <c r="J1513" s="15">
        <f>OrdersTable!B1513</f>
        <v>702</v>
      </c>
      <c r="K1513" s="15" t="str">
        <f t="shared" si="513"/>
        <v>Posters, Prints and Standees</v>
      </c>
      <c r="L1513" s="15" t="str">
        <f t="shared" si="514"/>
        <v>Doctor Who: Poster: Daleks</v>
      </c>
      <c r="M1513" s="15" t="str">
        <f t="shared" si="515"/>
        <v>-</v>
      </c>
      <c r="N1513" s="15">
        <f t="shared" si="516"/>
        <v>0.2</v>
      </c>
      <c r="O1513" s="15" t="str">
        <f t="shared" si="517"/>
        <v>A50</v>
      </c>
      <c r="P1513" s="15" t="str">
        <f t="shared" si="518"/>
        <v>Rassilon Ltd.</v>
      </c>
      <c r="Q1513" s="15" t="str">
        <f t="shared" si="519"/>
        <v>82 Richard Mathews Road</v>
      </c>
      <c r="R1513" s="3">
        <f>OrdersTable!C1513</f>
        <v>44668</v>
      </c>
      <c r="S1513" s="15">
        <f>OrdersTable!E1513</f>
        <v>3</v>
      </c>
      <c r="T1513" s="15">
        <f t="shared" si="520"/>
        <v>3.99</v>
      </c>
      <c r="U1513" s="15">
        <f t="shared" si="521"/>
        <v>5.46</v>
      </c>
      <c r="V1513" s="15">
        <f t="shared" si="522"/>
        <v>6.46</v>
      </c>
      <c r="W1513" s="15">
        <f>IF(MarkupType="Store Markup",ROUND(V1513+V1513*StoreMarkup,2),IF(MarkupType="Supplier Markup",V1513+V1513*SupplierMarkup,"Error at finding value"))</f>
        <v>10.17</v>
      </c>
      <c r="X1513" s="32" t="str">
        <f t="shared" si="524"/>
        <v>0.00</v>
      </c>
      <c r="Y1513" s="15">
        <f t="shared" si="525"/>
        <v>19.38</v>
      </c>
      <c r="Z1513" s="15">
        <f t="shared" si="526"/>
        <v>30.51</v>
      </c>
      <c r="AA1513" s="15">
        <f>IF(FreightType="Lethbridge-Stewart Freight ",ROUND(2.99+IF(N1513&gt;0.75,(N1513-0.75)*2.25,0)*S1513,2),IF(MarkupType="Supplier Markup",V1513+V1513*SupplierMarkup,"Error at finding value"))</f>
        <v>2.99</v>
      </c>
      <c r="AB1513" s="15">
        <f t="shared" si="527"/>
        <v>0</v>
      </c>
    </row>
    <row r="1514" spans="1:28" x14ac:dyDescent="0.25">
      <c r="A1514" s="16">
        <f>OrdersTable!A1514</f>
        <v>843</v>
      </c>
      <c r="B1514" s="15" t="str">
        <f t="shared" si="507"/>
        <v>Mr</v>
      </c>
      <c r="C1514" s="15" t="str">
        <f t="shared" si="528"/>
        <v>Goodwin</v>
      </c>
      <c r="D1514" s="15" t="str">
        <f t="shared" si="508"/>
        <v>Damon Joel</v>
      </c>
      <c r="E1514" s="15" t="str">
        <f t="shared" si="509"/>
        <v>40 Powell Boulevard</v>
      </c>
      <c r="F1514" s="15" t="str">
        <f t="shared" si="510"/>
        <v>Abington</v>
      </c>
      <c r="G1514" s="15" t="str">
        <f t="shared" si="511"/>
        <v>QLD</v>
      </c>
      <c r="H1514" s="15">
        <f t="shared" si="512"/>
        <v>4660</v>
      </c>
      <c r="I1514" s="15">
        <f t="shared" si="523"/>
        <v>336</v>
      </c>
      <c r="J1514" s="15">
        <f>OrdersTable!B1514</f>
        <v>834</v>
      </c>
      <c r="K1514" s="15" t="str">
        <f t="shared" si="513"/>
        <v>Statues and Busts</v>
      </c>
      <c r="L1514" s="15" t="str">
        <f t="shared" si="514"/>
        <v>Doctor Who: Signature Edition Statue: Gallifrey Edition: Matt Smith</v>
      </c>
      <c r="M1514" s="15" t="str">
        <f t="shared" si="515"/>
        <v>-</v>
      </c>
      <c r="N1514" s="15">
        <f t="shared" si="516"/>
        <v>2.5</v>
      </c>
      <c r="O1514" s="15" t="str">
        <f t="shared" si="517"/>
        <v>A30</v>
      </c>
      <c r="P1514" s="15" t="str">
        <f t="shared" si="518"/>
        <v>Chesterton Enterprises</v>
      </c>
      <c r="Q1514" s="15" t="str">
        <f t="shared" si="519"/>
        <v>41 William Russell Road</v>
      </c>
      <c r="R1514" s="3">
        <f>OrdersTable!C1514</f>
        <v>44668</v>
      </c>
      <c r="S1514" s="15">
        <f>OrdersTable!E1514</f>
        <v>10</v>
      </c>
      <c r="T1514" s="15">
        <f t="shared" si="520"/>
        <v>49.99</v>
      </c>
      <c r="U1514" s="15">
        <f t="shared" si="521"/>
        <v>68.52</v>
      </c>
      <c r="V1514" s="15">
        <f t="shared" si="522"/>
        <v>80.98</v>
      </c>
      <c r="W1514" s="15">
        <f>IF(MarkupType="Store Markup",ROUND(V1514+V1514*StoreMarkup,2),IF(MarkupType="Supplier Markup",V1514+V1514*SupplierMarkup,"Error at finding value"))</f>
        <v>127.54</v>
      </c>
      <c r="X1514" s="32">
        <f t="shared" si="524"/>
        <v>9.09</v>
      </c>
      <c r="Y1514" s="15">
        <f t="shared" si="525"/>
        <v>809.8</v>
      </c>
      <c r="Z1514" s="15">
        <f t="shared" si="526"/>
        <v>1184.5</v>
      </c>
      <c r="AA1514" s="15">
        <f>IF(FreightType="Lethbridge-Stewart Freight ",ROUND(2.99+IF(N1514&gt;0.75,(N1514-0.75)*2.25,0)*S1514,2),IF(MarkupType="Supplier Markup",V1514+V1514*SupplierMarkup,"Error at finding value"))</f>
        <v>42.37</v>
      </c>
      <c r="AB1514" s="15">
        <f t="shared" si="527"/>
        <v>90.9</v>
      </c>
    </row>
    <row r="1515" spans="1:28" x14ac:dyDescent="0.25">
      <c r="A1515" s="16">
        <f>OrdersTable!A1515</f>
        <v>849</v>
      </c>
      <c r="B1515" s="15" t="str">
        <f t="shared" si="507"/>
        <v>Dr</v>
      </c>
      <c r="C1515" s="15" t="str">
        <f t="shared" si="528"/>
        <v>Blair</v>
      </c>
      <c r="D1515" s="15" t="str">
        <f t="shared" si="508"/>
        <v>Taylor Ashleigh</v>
      </c>
      <c r="E1515" s="15" t="str">
        <f t="shared" si="509"/>
        <v>42 Ward Avenue</v>
      </c>
      <c r="F1515" s="15" t="str">
        <f t="shared" si="510"/>
        <v>Airly</v>
      </c>
      <c r="G1515" s="15" t="str">
        <f t="shared" si="511"/>
        <v>VIC</v>
      </c>
      <c r="H1515" s="15">
        <f t="shared" si="512"/>
        <v>3851</v>
      </c>
      <c r="I1515" s="15">
        <f t="shared" si="523"/>
        <v>1583</v>
      </c>
      <c r="J1515" s="15">
        <f>OrdersTable!B1515</f>
        <v>801</v>
      </c>
      <c r="K1515" s="15" t="str">
        <f t="shared" si="513"/>
        <v>Statues and Busts</v>
      </c>
      <c r="L1515" s="15" t="str">
        <f t="shared" si="514"/>
        <v>Doctor Who: Masterpiece Collection Maxi Bust: 4th Doctor</v>
      </c>
      <c r="M1515" s="15" t="str">
        <f t="shared" si="515"/>
        <v>-</v>
      </c>
      <c r="N1515" s="15">
        <f t="shared" si="516"/>
        <v>2.5</v>
      </c>
      <c r="O1515" s="15" t="str">
        <f t="shared" si="517"/>
        <v>A30</v>
      </c>
      <c r="P1515" s="15" t="str">
        <f t="shared" si="518"/>
        <v>Chesterton Enterprises</v>
      </c>
      <c r="Q1515" s="15" t="str">
        <f t="shared" si="519"/>
        <v>41 William Russell Road</v>
      </c>
      <c r="R1515" s="3">
        <f>OrdersTable!C1515</f>
        <v>44668</v>
      </c>
      <c r="S1515" s="15">
        <f>OrdersTable!E1515</f>
        <v>9</v>
      </c>
      <c r="T1515" s="15">
        <f t="shared" si="520"/>
        <v>49.99</v>
      </c>
      <c r="U1515" s="15">
        <f t="shared" si="521"/>
        <v>68.180000000000007</v>
      </c>
      <c r="V1515" s="15">
        <f t="shared" si="522"/>
        <v>80.98</v>
      </c>
      <c r="W1515" s="15">
        <f>IF(MarkupType="Store Markup",ROUND(V1515+V1515*StoreMarkup,2),IF(MarkupType="Supplier Markup",V1515+V1515*SupplierMarkup,"Error at finding value"))</f>
        <v>127.54</v>
      </c>
      <c r="X1515" s="32">
        <f t="shared" si="524"/>
        <v>9.09</v>
      </c>
      <c r="Y1515" s="15">
        <f t="shared" si="525"/>
        <v>728.82</v>
      </c>
      <c r="Z1515" s="15">
        <f t="shared" si="526"/>
        <v>1066.05</v>
      </c>
      <c r="AA1515" s="15">
        <f>IF(FreightType="Lethbridge-Stewart Freight ",ROUND(2.99+IF(N1515&gt;0.75,(N1515-0.75)*2.25,0)*S1515,2),IF(MarkupType="Supplier Markup",V1515+V1515*SupplierMarkup,"Error at finding value"))</f>
        <v>38.43</v>
      </c>
      <c r="AB1515" s="15">
        <f t="shared" si="527"/>
        <v>81.81</v>
      </c>
    </row>
    <row r="1516" spans="1:28" x14ac:dyDescent="0.25">
      <c r="A1516" s="16">
        <f>OrdersTable!A1516</f>
        <v>884</v>
      </c>
      <c r="B1516" s="15" t="str">
        <f t="shared" si="507"/>
        <v>Mr</v>
      </c>
      <c r="C1516" s="15" t="str">
        <f t="shared" si="528"/>
        <v>Smy</v>
      </c>
      <c r="D1516" s="15" t="str">
        <f t="shared" si="508"/>
        <v>Corey Alexander</v>
      </c>
      <c r="E1516" s="15" t="str">
        <f t="shared" si="509"/>
        <v>47 Lindsay Circuit</v>
      </c>
      <c r="F1516" s="15" t="str">
        <f t="shared" si="510"/>
        <v>Boston</v>
      </c>
      <c r="G1516" s="15" t="str">
        <f t="shared" si="511"/>
        <v>SA</v>
      </c>
      <c r="H1516" s="15">
        <f t="shared" si="512"/>
        <v>5607</v>
      </c>
      <c r="I1516" s="15">
        <f t="shared" si="523"/>
        <v>2076</v>
      </c>
      <c r="J1516" s="15">
        <f>OrdersTable!B1516</f>
        <v>778</v>
      </c>
      <c r="K1516" s="15" t="str">
        <f t="shared" si="513"/>
        <v>Statues and Busts</v>
      </c>
      <c r="L1516" s="15" t="str">
        <f t="shared" si="514"/>
        <v>Doctor Who: Legends Forever Bust: William Hartnell</v>
      </c>
      <c r="M1516" s="15" t="str">
        <f t="shared" si="515"/>
        <v>-</v>
      </c>
      <c r="N1516" s="15">
        <f t="shared" si="516"/>
        <v>1.375</v>
      </c>
      <c r="O1516" s="15" t="str">
        <f t="shared" si="517"/>
        <v>A40</v>
      </c>
      <c r="P1516" s="15" t="str">
        <f t="shared" si="518"/>
        <v>Romana Imports</v>
      </c>
      <c r="Q1516" s="15" t="str">
        <f t="shared" si="519"/>
        <v>17 Lalla Ward Road</v>
      </c>
      <c r="R1516" s="3">
        <f>OrdersTable!C1516</f>
        <v>44668</v>
      </c>
      <c r="S1516" s="15">
        <f>OrdersTable!E1516</f>
        <v>8</v>
      </c>
      <c r="T1516" s="15">
        <f t="shared" si="520"/>
        <v>27.5</v>
      </c>
      <c r="U1516" s="15">
        <f t="shared" si="521"/>
        <v>37.520000000000003</v>
      </c>
      <c r="V1516" s="15">
        <f t="shared" si="522"/>
        <v>44.55</v>
      </c>
      <c r="W1516" s="15">
        <f>IF(MarkupType="Store Markup",ROUND(V1516+V1516*StoreMarkup,2),IF(MarkupType="Supplier Markup",V1516+V1516*SupplierMarkup,"Error at finding value"))</f>
        <v>70.17</v>
      </c>
      <c r="X1516" s="32" t="str">
        <f t="shared" si="524"/>
        <v>0.00</v>
      </c>
      <c r="Y1516" s="15">
        <f t="shared" si="525"/>
        <v>356.4</v>
      </c>
      <c r="Z1516" s="15">
        <f t="shared" si="526"/>
        <v>561.36</v>
      </c>
      <c r="AA1516" s="15">
        <f>IF(FreightType="Lethbridge-Stewart Freight ",ROUND(2.99+IF(N1516&gt;0.75,(N1516-0.75)*2.25,0)*S1516,2),IF(MarkupType="Supplier Markup",V1516+V1516*SupplierMarkup,"Error at finding value"))</f>
        <v>14.24</v>
      </c>
      <c r="AB1516" s="15">
        <f t="shared" si="527"/>
        <v>0</v>
      </c>
    </row>
    <row r="1517" spans="1:28" x14ac:dyDescent="0.25">
      <c r="A1517" s="16">
        <f>OrdersTable!A1517</f>
        <v>989</v>
      </c>
      <c r="B1517" s="15" t="str">
        <f t="shared" si="507"/>
        <v>Miss</v>
      </c>
      <c r="C1517" s="15" t="str">
        <f t="shared" si="528"/>
        <v>McInnes</v>
      </c>
      <c r="D1517" s="15" t="str">
        <f t="shared" si="508"/>
        <v>Nina Marie</v>
      </c>
      <c r="E1517" s="15" t="str">
        <f t="shared" si="509"/>
        <v>28 Caruss Road</v>
      </c>
      <c r="F1517" s="15" t="str">
        <f t="shared" si="510"/>
        <v>Belford</v>
      </c>
      <c r="G1517" s="15" t="str">
        <f t="shared" si="511"/>
        <v>NSW</v>
      </c>
      <c r="H1517" s="15">
        <f t="shared" si="512"/>
        <v>2335</v>
      </c>
      <c r="I1517" s="15">
        <f t="shared" si="523"/>
        <v>716</v>
      </c>
      <c r="J1517" s="15">
        <f>OrdersTable!B1517</f>
        <v>758</v>
      </c>
      <c r="K1517" s="15" t="str">
        <f t="shared" si="513"/>
        <v>Statues and Busts</v>
      </c>
      <c r="L1517" s="15" t="str">
        <f t="shared" si="514"/>
        <v>Doctor Who: Helmet: Sontaran Officer Linx</v>
      </c>
      <c r="M1517" s="15" t="str">
        <f t="shared" si="515"/>
        <v>-</v>
      </c>
      <c r="N1517" s="15">
        <f t="shared" si="516"/>
        <v>1.75</v>
      </c>
      <c r="O1517" s="15" t="str">
        <f t="shared" si="517"/>
        <v>A50</v>
      </c>
      <c r="P1517" s="15" t="str">
        <f t="shared" si="518"/>
        <v>Rassilon Ltd.</v>
      </c>
      <c r="Q1517" s="15" t="str">
        <f t="shared" si="519"/>
        <v>82 Richard Mathews Road</v>
      </c>
      <c r="R1517" s="3">
        <f>OrdersTable!C1517</f>
        <v>44668</v>
      </c>
      <c r="S1517" s="15">
        <f>OrdersTable!E1517</f>
        <v>10</v>
      </c>
      <c r="T1517" s="15">
        <f t="shared" si="520"/>
        <v>34.99</v>
      </c>
      <c r="U1517" s="15">
        <f t="shared" si="521"/>
        <v>47.79</v>
      </c>
      <c r="V1517" s="15">
        <f t="shared" si="522"/>
        <v>56.68</v>
      </c>
      <c r="W1517" s="15">
        <f>IF(MarkupType="Store Markup",ROUND(V1517+V1517*StoreMarkup,2),IF(MarkupType="Supplier Markup",V1517+V1517*SupplierMarkup,"Error at finding value"))</f>
        <v>89.27</v>
      </c>
      <c r="X1517" s="32" t="str">
        <f t="shared" si="524"/>
        <v>0.00</v>
      </c>
      <c r="Y1517" s="15">
        <f t="shared" si="525"/>
        <v>566.79999999999995</v>
      </c>
      <c r="Z1517" s="15">
        <f t="shared" si="526"/>
        <v>892.7</v>
      </c>
      <c r="AA1517" s="15">
        <f>IF(FreightType="Lethbridge-Stewart Freight ",ROUND(2.99+IF(N1517&gt;0.75,(N1517-0.75)*2.25,0)*S1517,2),IF(MarkupType="Supplier Markup",V1517+V1517*SupplierMarkup,"Error at finding value"))</f>
        <v>25.49</v>
      </c>
      <c r="AB1517" s="15">
        <f t="shared" si="527"/>
        <v>0</v>
      </c>
    </row>
    <row r="1518" spans="1:28" x14ac:dyDescent="0.25">
      <c r="A1518" s="16">
        <f>OrdersTable!A1518</f>
        <v>42</v>
      </c>
      <c r="B1518" s="15" t="str">
        <f t="shared" si="507"/>
        <v>Mr</v>
      </c>
      <c r="C1518" s="15" t="str">
        <f t="shared" si="528"/>
        <v>Ballantyne</v>
      </c>
      <c r="D1518" s="15" t="str">
        <f t="shared" si="508"/>
        <v>Barry John</v>
      </c>
      <c r="E1518" s="15" t="str">
        <f t="shared" si="509"/>
        <v>14 Bachmann Drive</v>
      </c>
      <c r="F1518" s="15" t="str">
        <f t="shared" si="510"/>
        <v>Alleena</v>
      </c>
      <c r="G1518" s="15" t="str">
        <f t="shared" si="511"/>
        <v>NSW</v>
      </c>
      <c r="H1518" s="15">
        <f t="shared" si="512"/>
        <v>2671</v>
      </c>
      <c r="I1518" s="15">
        <f t="shared" si="523"/>
        <v>988</v>
      </c>
      <c r="J1518" s="15">
        <f>OrdersTable!B1518</f>
        <v>358</v>
      </c>
      <c r="K1518" s="15" t="str">
        <f t="shared" si="513"/>
        <v>Clothing and Apparel</v>
      </c>
      <c r="L1518" s="15" t="str">
        <f t="shared" si="514"/>
        <v xml:space="preserve">Doctor Who: T-Shirts: 5th Doctor Costume </v>
      </c>
      <c r="M1518" s="15" t="str">
        <f t="shared" si="515"/>
        <v>M</v>
      </c>
      <c r="N1518" s="15">
        <f t="shared" si="516"/>
        <v>0.8</v>
      </c>
      <c r="O1518" s="15" t="str">
        <f t="shared" si="517"/>
        <v>A30</v>
      </c>
      <c r="P1518" s="15" t="str">
        <f t="shared" si="518"/>
        <v>Chesterton Enterprises</v>
      </c>
      <c r="Q1518" s="15" t="str">
        <f t="shared" si="519"/>
        <v>41 William Russell Road</v>
      </c>
      <c r="R1518" s="3">
        <f>OrdersTable!C1518</f>
        <v>44669</v>
      </c>
      <c r="S1518" s="15">
        <f>OrdersTable!E1518</f>
        <v>4</v>
      </c>
      <c r="T1518" s="15">
        <f t="shared" si="520"/>
        <v>15.99</v>
      </c>
      <c r="U1518" s="15">
        <f t="shared" si="521"/>
        <v>21.96</v>
      </c>
      <c r="V1518" s="15">
        <f t="shared" si="522"/>
        <v>25.9</v>
      </c>
      <c r="W1518" s="15">
        <f>IF(MarkupType="Store Markup",ROUND(V1518+V1518*StoreMarkup,2),IF(MarkupType="Supplier Markup",V1518+V1518*SupplierMarkup,"Error at finding value"))</f>
        <v>40.79</v>
      </c>
      <c r="X1518" s="32" t="str">
        <f t="shared" si="524"/>
        <v>0.00</v>
      </c>
      <c r="Y1518" s="15">
        <f t="shared" si="525"/>
        <v>103.6</v>
      </c>
      <c r="Z1518" s="15">
        <f t="shared" si="526"/>
        <v>163.16</v>
      </c>
      <c r="AA1518" s="15">
        <f>IF(FreightType="Lethbridge-Stewart Freight ",ROUND(2.99+IF(N1518&gt;0.75,(N1518-0.75)*2.25,0)*S1518,2),IF(MarkupType="Supplier Markup",V1518+V1518*SupplierMarkup,"Error at finding value"))</f>
        <v>3.44</v>
      </c>
      <c r="AB1518" s="15">
        <f t="shared" si="527"/>
        <v>0</v>
      </c>
    </row>
    <row r="1519" spans="1:28" x14ac:dyDescent="0.25">
      <c r="A1519" s="16">
        <f>OrdersTable!A1519</f>
        <v>46</v>
      </c>
      <c r="B1519" s="15" t="str">
        <f t="shared" si="507"/>
        <v>Mrs</v>
      </c>
      <c r="C1519" s="15" t="str">
        <f t="shared" si="528"/>
        <v>Dovey</v>
      </c>
      <c r="D1519" s="15" t="str">
        <f t="shared" si="508"/>
        <v>Aisha Jade</v>
      </c>
      <c r="E1519" s="15" t="str">
        <f t="shared" si="509"/>
        <v>43 Wilkes Circuit</v>
      </c>
      <c r="F1519" s="15" t="str">
        <f t="shared" si="510"/>
        <v>Alfredtown</v>
      </c>
      <c r="G1519" s="15" t="str">
        <f t="shared" si="511"/>
        <v>NSW</v>
      </c>
      <c r="H1519" s="15">
        <f t="shared" si="512"/>
        <v>2650</v>
      </c>
      <c r="I1519" s="15">
        <f t="shared" si="523"/>
        <v>1124</v>
      </c>
      <c r="J1519" s="15">
        <f>OrdersTable!B1519</f>
        <v>762</v>
      </c>
      <c r="K1519" s="15" t="str">
        <f t="shared" si="513"/>
        <v>Statues and Busts</v>
      </c>
      <c r="L1519" s="15" t="str">
        <f t="shared" si="514"/>
        <v>Doctor Who: Legends Forever Bust: Patrick Troughton</v>
      </c>
      <c r="M1519" s="15" t="str">
        <f t="shared" si="515"/>
        <v>-</v>
      </c>
      <c r="N1519" s="15">
        <f t="shared" si="516"/>
        <v>1.375</v>
      </c>
      <c r="O1519" s="15" t="str">
        <f t="shared" si="517"/>
        <v>A40</v>
      </c>
      <c r="P1519" s="15" t="str">
        <f t="shared" si="518"/>
        <v>Romana Imports</v>
      </c>
      <c r="Q1519" s="15" t="str">
        <f t="shared" si="519"/>
        <v>17 Lalla Ward Road</v>
      </c>
      <c r="R1519" s="3">
        <f>OrdersTable!C1519</f>
        <v>44669</v>
      </c>
      <c r="S1519" s="15">
        <f>OrdersTable!E1519</f>
        <v>7</v>
      </c>
      <c r="T1519" s="15">
        <f t="shared" si="520"/>
        <v>27.5</v>
      </c>
      <c r="U1519" s="15">
        <f t="shared" si="521"/>
        <v>37.799999999999997</v>
      </c>
      <c r="V1519" s="15">
        <f t="shared" si="522"/>
        <v>44.55</v>
      </c>
      <c r="W1519" s="15">
        <f>IF(MarkupType="Store Markup",ROUND(V1519+V1519*StoreMarkup,2),IF(MarkupType="Supplier Markup",V1519+V1519*SupplierMarkup,"Error at finding value"))</f>
        <v>70.17</v>
      </c>
      <c r="X1519" s="32" t="str">
        <f t="shared" si="524"/>
        <v>0.00</v>
      </c>
      <c r="Y1519" s="15">
        <f t="shared" si="525"/>
        <v>311.85000000000002</v>
      </c>
      <c r="Z1519" s="15">
        <f t="shared" si="526"/>
        <v>491.19</v>
      </c>
      <c r="AA1519" s="15">
        <f>IF(FreightType="Lethbridge-Stewart Freight ",ROUND(2.99+IF(N1519&gt;0.75,(N1519-0.75)*2.25,0)*S1519,2),IF(MarkupType="Supplier Markup",V1519+V1519*SupplierMarkup,"Error at finding value"))</f>
        <v>12.83</v>
      </c>
      <c r="AB1519" s="15">
        <f t="shared" si="527"/>
        <v>0</v>
      </c>
    </row>
    <row r="1520" spans="1:28" x14ac:dyDescent="0.25">
      <c r="A1520" s="16">
        <f>OrdersTable!A1520</f>
        <v>226</v>
      </c>
      <c r="B1520" s="15" t="str">
        <f t="shared" si="507"/>
        <v>Ms</v>
      </c>
      <c r="C1520" s="15" t="str">
        <f t="shared" si="528"/>
        <v>Stewart</v>
      </c>
      <c r="D1520" s="15" t="str">
        <f t="shared" si="508"/>
        <v>Jodi Louise</v>
      </c>
      <c r="E1520" s="15" t="str">
        <f t="shared" si="509"/>
        <v>33 Abington Court</v>
      </c>
      <c r="F1520" s="15" t="str">
        <f t="shared" si="510"/>
        <v>Iluka</v>
      </c>
      <c r="G1520" s="15" t="str">
        <f t="shared" si="511"/>
        <v>NSW</v>
      </c>
      <c r="H1520" s="15">
        <f t="shared" si="512"/>
        <v>2466</v>
      </c>
      <c r="I1520" s="15">
        <f t="shared" si="523"/>
        <v>347</v>
      </c>
      <c r="J1520" s="15">
        <f>OrdersTable!B1520</f>
        <v>747</v>
      </c>
      <c r="K1520" s="15" t="str">
        <f t="shared" si="513"/>
        <v>Props and Replicas</v>
      </c>
      <c r="L1520" s="15" t="str">
        <f t="shared" si="514"/>
        <v>Doctor Who: The Master's Fob Watch</v>
      </c>
      <c r="M1520" s="15" t="str">
        <f t="shared" si="515"/>
        <v>-</v>
      </c>
      <c r="N1520" s="15">
        <f t="shared" si="516"/>
        <v>2.25</v>
      </c>
      <c r="O1520" s="15" t="str">
        <f t="shared" si="517"/>
        <v>A10</v>
      </c>
      <c r="P1520" s="15" t="str">
        <f t="shared" si="518"/>
        <v>Gallifrey International</v>
      </c>
      <c r="Q1520" s="15" t="str">
        <f t="shared" si="519"/>
        <v>181 Arcadia Street</v>
      </c>
      <c r="R1520" s="3">
        <f>OrdersTable!C1520</f>
        <v>44669</v>
      </c>
      <c r="S1520" s="15">
        <f>OrdersTable!E1520</f>
        <v>4</v>
      </c>
      <c r="T1520" s="15">
        <f t="shared" si="520"/>
        <v>44.99</v>
      </c>
      <c r="U1520" s="15">
        <f t="shared" si="521"/>
        <v>61.7</v>
      </c>
      <c r="V1520" s="15">
        <f t="shared" si="522"/>
        <v>72.88</v>
      </c>
      <c r="W1520" s="15">
        <f>IF(MarkupType="Store Markup",ROUND(V1520+V1520*StoreMarkup,2),IF(MarkupType="Supplier Markup",V1520+V1520*SupplierMarkup,"Error at finding value"))</f>
        <v>114.79</v>
      </c>
      <c r="X1520" s="32">
        <f t="shared" si="524"/>
        <v>8.18</v>
      </c>
      <c r="Y1520" s="15">
        <f t="shared" si="525"/>
        <v>291.52</v>
      </c>
      <c r="Z1520" s="15">
        <f t="shared" si="526"/>
        <v>426.44</v>
      </c>
      <c r="AA1520" s="15">
        <f>IF(FreightType="Lethbridge-Stewart Freight ",ROUND(2.99+IF(N1520&gt;0.75,(N1520-0.75)*2.25,0)*S1520,2),IF(MarkupType="Supplier Markup",V1520+V1520*SupplierMarkup,"Error at finding value"))</f>
        <v>16.489999999999998</v>
      </c>
      <c r="AB1520" s="15">
        <f t="shared" si="527"/>
        <v>32.72</v>
      </c>
    </row>
    <row r="1521" spans="1:28" x14ac:dyDescent="0.25">
      <c r="A1521" s="16">
        <f>OrdersTable!A1521</f>
        <v>232</v>
      </c>
      <c r="B1521" s="15" t="str">
        <f t="shared" si="507"/>
        <v>Mrs</v>
      </c>
      <c r="C1521" s="15" t="str">
        <f t="shared" si="528"/>
        <v>Bishop</v>
      </c>
      <c r="D1521" s="15" t="str">
        <f t="shared" si="508"/>
        <v>Katherine Marie</v>
      </c>
      <c r="E1521" s="15" t="str">
        <f t="shared" si="509"/>
        <v>19 Whitehorn Circuit</v>
      </c>
      <c r="F1521" s="15" t="str">
        <f t="shared" si="510"/>
        <v>Black Hills</v>
      </c>
      <c r="G1521" s="15" t="str">
        <f t="shared" si="511"/>
        <v>TAS</v>
      </c>
      <c r="H1521" s="15">
        <f t="shared" si="512"/>
        <v>7140</v>
      </c>
      <c r="I1521" s="15">
        <f t="shared" si="523"/>
        <v>2191</v>
      </c>
      <c r="J1521" s="15">
        <f>OrdersTable!B1521</f>
        <v>436</v>
      </c>
      <c r="K1521" s="15" t="str">
        <f t="shared" si="513"/>
        <v>Giftware</v>
      </c>
      <c r="L1521" s="15" t="str">
        <f t="shared" si="514"/>
        <v>Doctor Who: Adult Watch: TARDIS</v>
      </c>
      <c r="M1521" s="15" t="str">
        <f t="shared" si="515"/>
        <v>-</v>
      </c>
      <c r="N1521" s="15">
        <f t="shared" si="516"/>
        <v>1.5</v>
      </c>
      <c r="O1521" s="15" t="str">
        <f t="shared" si="517"/>
        <v>A20</v>
      </c>
      <c r="P1521" s="15" t="str">
        <f t="shared" si="518"/>
        <v>Morbius Inc.</v>
      </c>
      <c r="Q1521" s="15" t="str">
        <f t="shared" si="519"/>
        <v>56 Michael Spice Hwy</v>
      </c>
      <c r="R1521" s="3">
        <f>OrdersTable!C1521</f>
        <v>44669</v>
      </c>
      <c r="S1521" s="15">
        <f>OrdersTable!E1521</f>
        <v>8</v>
      </c>
      <c r="T1521" s="15">
        <f t="shared" si="520"/>
        <v>29.99</v>
      </c>
      <c r="U1521" s="15">
        <f t="shared" si="521"/>
        <v>40.96</v>
      </c>
      <c r="V1521" s="15">
        <f t="shared" si="522"/>
        <v>48.58</v>
      </c>
      <c r="W1521" s="15">
        <f>IF(MarkupType="Store Markup",ROUND(V1521+V1521*StoreMarkup,2),IF(MarkupType="Supplier Markup",V1521+V1521*SupplierMarkup,"Error at finding value"))</f>
        <v>76.510000000000005</v>
      </c>
      <c r="X1521" s="32" t="str">
        <f t="shared" si="524"/>
        <v>0.00</v>
      </c>
      <c r="Y1521" s="15">
        <f t="shared" si="525"/>
        <v>388.64</v>
      </c>
      <c r="Z1521" s="15">
        <f t="shared" si="526"/>
        <v>612.08000000000004</v>
      </c>
      <c r="AA1521" s="15">
        <f>IF(FreightType="Lethbridge-Stewart Freight ",ROUND(2.99+IF(N1521&gt;0.75,(N1521-0.75)*2.25,0)*S1521,2),IF(MarkupType="Supplier Markup",V1521+V1521*SupplierMarkup,"Error at finding value"))</f>
        <v>16.489999999999998</v>
      </c>
      <c r="AB1521" s="15">
        <f t="shared" si="527"/>
        <v>0</v>
      </c>
    </row>
    <row r="1522" spans="1:28" x14ac:dyDescent="0.25">
      <c r="A1522" s="16">
        <f>OrdersTable!A1522</f>
        <v>448</v>
      </c>
      <c r="B1522" s="15" t="str">
        <f t="shared" si="507"/>
        <v>Mr</v>
      </c>
      <c r="C1522" s="15" t="str">
        <f t="shared" si="528"/>
        <v>Earl</v>
      </c>
      <c r="D1522" s="15" t="str">
        <f t="shared" si="508"/>
        <v>Benn Robert</v>
      </c>
      <c r="E1522" s="15" t="str">
        <f t="shared" si="509"/>
        <v>31 Kae Drive</v>
      </c>
      <c r="F1522" s="15" t="str">
        <f t="shared" si="510"/>
        <v>Belford</v>
      </c>
      <c r="G1522" s="15" t="str">
        <f t="shared" si="511"/>
        <v>NSW</v>
      </c>
      <c r="H1522" s="15">
        <f t="shared" si="512"/>
        <v>2335</v>
      </c>
      <c r="I1522" s="15">
        <f t="shared" si="523"/>
        <v>716</v>
      </c>
      <c r="J1522" s="15">
        <f>OrdersTable!B1522</f>
        <v>186</v>
      </c>
      <c r="K1522" s="15" t="str">
        <f t="shared" si="513"/>
        <v>Bobbleheads</v>
      </c>
      <c r="L1522" s="15" t="str">
        <f t="shared" si="514"/>
        <v>Doctor Who: Monitor Mate: 50th Anniversary Original TARDIS</v>
      </c>
      <c r="M1522" s="15" t="str">
        <f t="shared" si="515"/>
        <v>-</v>
      </c>
      <c r="N1522" s="15">
        <f t="shared" si="516"/>
        <v>0.45</v>
      </c>
      <c r="O1522" s="15" t="str">
        <f t="shared" si="517"/>
        <v>A20</v>
      </c>
      <c r="P1522" s="15" t="str">
        <f t="shared" si="518"/>
        <v>Morbius Inc.</v>
      </c>
      <c r="Q1522" s="15" t="str">
        <f t="shared" si="519"/>
        <v>56 Michael Spice Hwy</v>
      </c>
      <c r="R1522" s="3">
        <f>OrdersTable!C1522</f>
        <v>44669</v>
      </c>
      <c r="S1522" s="15">
        <f>OrdersTable!E1522</f>
        <v>8</v>
      </c>
      <c r="T1522" s="15">
        <f t="shared" si="520"/>
        <v>8.99</v>
      </c>
      <c r="U1522" s="15">
        <f t="shared" si="521"/>
        <v>12.46</v>
      </c>
      <c r="V1522" s="15">
        <f t="shared" si="522"/>
        <v>14.56</v>
      </c>
      <c r="W1522" s="15">
        <f>IF(MarkupType="Store Markup",ROUND(V1522+V1522*StoreMarkup,2),IF(MarkupType="Supplier Markup",V1522+V1522*SupplierMarkup,"Error at finding value"))</f>
        <v>22.93</v>
      </c>
      <c r="X1522" s="32" t="str">
        <f t="shared" si="524"/>
        <v>0.00</v>
      </c>
      <c r="Y1522" s="15">
        <f t="shared" si="525"/>
        <v>116.48</v>
      </c>
      <c r="Z1522" s="15">
        <f t="shared" si="526"/>
        <v>183.44</v>
      </c>
      <c r="AA1522" s="15">
        <f>IF(FreightType="Lethbridge-Stewart Freight ",ROUND(2.99+IF(N1522&gt;0.75,(N1522-0.75)*2.25,0)*S1522,2),IF(MarkupType="Supplier Markup",V1522+V1522*SupplierMarkup,"Error at finding value"))</f>
        <v>2.99</v>
      </c>
      <c r="AB1522" s="15">
        <f t="shared" si="527"/>
        <v>0</v>
      </c>
    </row>
    <row r="1523" spans="1:28" x14ac:dyDescent="0.25">
      <c r="A1523" s="16">
        <f>OrdersTable!A1523</f>
        <v>501</v>
      </c>
      <c r="B1523" s="15" t="str">
        <f t="shared" si="507"/>
        <v>Miss</v>
      </c>
      <c r="C1523" s="15" t="str">
        <f t="shared" si="528"/>
        <v>Tharenou</v>
      </c>
      <c r="D1523" s="15" t="str">
        <f t="shared" si="508"/>
        <v>Kimberley Jacinta</v>
      </c>
      <c r="E1523" s="15" t="str">
        <f t="shared" si="509"/>
        <v>49 Moncada Circuit</v>
      </c>
      <c r="F1523" s="15" t="str">
        <f t="shared" si="510"/>
        <v>Belford</v>
      </c>
      <c r="G1523" s="15" t="str">
        <f t="shared" si="511"/>
        <v>NSW</v>
      </c>
      <c r="H1523" s="15">
        <f t="shared" si="512"/>
        <v>2335</v>
      </c>
      <c r="I1523" s="15">
        <f t="shared" si="523"/>
        <v>716</v>
      </c>
      <c r="J1523" s="15">
        <f>OrdersTable!B1523</f>
        <v>316</v>
      </c>
      <c r="K1523" s="15" t="str">
        <f t="shared" si="513"/>
        <v>Clothing and Apparel</v>
      </c>
      <c r="L1523" s="15" t="str">
        <f t="shared" si="514"/>
        <v xml:space="preserve">Doctor Who: T-Shirts: 4th Doctor Costume </v>
      </c>
      <c r="M1523" s="15" t="str">
        <f t="shared" si="515"/>
        <v>S</v>
      </c>
      <c r="N1523" s="15">
        <f t="shared" si="516"/>
        <v>0.8</v>
      </c>
      <c r="O1523" s="15" t="str">
        <f t="shared" si="517"/>
        <v>A30</v>
      </c>
      <c r="P1523" s="15" t="str">
        <f t="shared" si="518"/>
        <v>Chesterton Enterprises</v>
      </c>
      <c r="Q1523" s="15" t="str">
        <f t="shared" si="519"/>
        <v>41 William Russell Road</v>
      </c>
      <c r="R1523" s="3">
        <f>OrdersTable!C1523</f>
        <v>44669</v>
      </c>
      <c r="S1523" s="15">
        <f>OrdersTable!E1523</f>
        <v>3</v>
      </c>
      <c r="T1523" s="15">
        <f t="shared" si="520"/>
        <v>15.99</v>
      </c>
      <c r="U1523" s="15">
        <f t="shared" si="521"/>
        <v>21.94</v>
      </c>
      <c r="V1523" s="15">
        <f t="shared" si="522"/>
        <v>25.9</v>
      </c>
      <c r="W1523" s="15">
        <f>IF(MarkupType="Store Markup",ROUND(V1523+V1523*StoreMarkup,2),IF(MarkupType="Supplier Markup",V1523+V1523*SupplierMarkup,"Error at finding value"))</f>
        <v>40.79</v>
      </c>
      <c r="X1523" s="32" t="str">
        <f t="shared" si="524"/>
        <v>0.00</v>
      </c>
      <c r="Y1523" s="15">
        <f t="shared" si="525"/>
        <v>77.7</v>
      </c>
      <c r="Z1523" s="15">
        <f t="shared" si="526"/>
        <v>122.37</v>
      </c>
      <c r="AA1523" s="15">
        <f>IF(FreightType="Lethbridge-Stewart Freight ",ROUND(2.99+IF(N1523&gt;0.75,(N1523-0.75)*2.25,0)*S1523,2),IF(MarkupType="Supplier Markup",V1523+V1523*SupplierMarkup,"Error at finding value"))</f>
        <v>3.33</v>
      </c>
      <c r="AB1523" s="15">
        <f t="shared" si="527"/>
        <v>0</v>
      </c>
    </row>
    <row r="1524" spans="1:28" x14ac:dyDescent="0.25">
      <c r="A1524" s="16">
        <f>OrdersTable!A1524</f>
        <v>501</v>
      </c>
      <c r="B1524" s="15" t="str">
        <f t="shared" si="507"/>
        <v>Miss</v>
      </c>
      <c r="C1524" s="15" t="str">
        <f t="shared" si="528"/>
        <v>Tharenou</v>
      </c>
      <c r="D1524" s="15" t="str">
        <f t="shared" si="508"/>
        <v>Kimberley Jacinta</v>
      </c>
      <c r="E1524" s="15" t="str">
        <f t="shared" si="509"/>
        <v>49 Moncada Circuit</v>
      </c>
      <c r="F1524" s="15" t="str">
        <f t="shared" si="510"/>
        <v>Belford</v>
      </c>
      <c r="G1524" s="15" t="str">
        <f t="shared" si="511"/>
        <v>NSW</v>
      </c>
      <c r="H1524" s="15">
        <f t="shared" si="512"/>
        <v>2335</v>
      </c>
      <c r="I1524" s="15">
        <f t="shared" si="523"/>
        <v>716</v>
      </c>
      <c r="J1524" s="15">
        <f>OrdersTable!B1524</f>
        <v>812</v>
      </c>
      <c r="K1524" s="15" t="str">
        <f t="shared" si="513"/>
        <v>Statues and Busts</v>
      </c>
      <c r="L1524" s="15" t="str">
        <f t="shared" si="514"/>
        <v>Doctor Who: Masterpiece Collection Maxi Bust: Dalek: Day Of The Daleks</v>
      </c>
      <c r="M1524" s="15" t="str">
        <f t="shared" si="515"/>
        <v>-</v>
      </c>
      <c r="N1524" s="15">
        <f t="shared" si="516"/>
        <v>2.5</v>
      </c>
      <c r="O1524" s="15" t="str">
        <f t="shared" si="517"/>
        <v>A20</v>
      </c>
      <c r="P1524" s="15" t="str">
        <f t="shared" si="518"/>
        <v>Morbius Inc.</v>
      </c>
      <c r="Q1524" s="15" t="str">
        <f t="shared" si="519"/>
        <v>56 Michael Spice Hwy</v>
      </c>
      <c r="R1524" s="3">
        <f>OrdersTable!C1524</f>
        <v>44669</v>
      </c>
      <c r="S1524" s="15">
        <f>OrdersTable!E1524</f>
        <v>7</v>
      </c>
      <c r="T1524" s="15">
        <f t="shared" si="520"/>
        <v>49.99</v>
      </c>
      <c r="U1524" s="15">
        <f t="shared" si="521"/>
        <v>68.47</v>
      </c>
      <c r="V1524" s="15">
        <f t="shared" si="522"/>
        <v>80.98</v>
      </c>
      <c r="W1524" s="15">
        <f>IF(MarkupType="Store Markup",ROUND(V1524+V1524*StoreMarkup,2),IF(MarkupType="Supplier Markup",V1524+V1524*SupplierMarkup,"Error at finding value"))</f>
        <v>127.54</v>
      </c>
      <c r="X1524" s="32">
        <f t="shared" si="524"/>
        <v>9.09</v>
      </c>
      <c r="Y1524" s="15">
        <f t="shared" si="525"/>
        <v>566.86</v>
      </c>
      <c r="Z1524" s="15">
        <f t="shared" si="526"/>
        <v>829.15</v>
      </c>
      <c r="AA1524" s="15">
        <f>IF(FreightType="Lethbridge-Stewart Freight ",ROUND(2.99+IF(N1524&gt;0.75,(N1524-0.75)*2.25,0)*S1524,2),IF(MarkupType="Supplier Markup",V1524+V1524*SupplierMarkup,"Error at finding value"))</f>
        <v>30.55</v>
      </c>
      <c r="AB1524" s="15">
        <f t="shared" si="527"/>
        <v>63.63</v>
      </c>
    </row>
    <row r="1525" spans="1:28" x14ac:dyDescent="0.25">
      <c r="A1525" s="16">
        <f>OrdersTable!A1525</f>
        <v>544</v>
      </c>
      <c r="B1525" s="15" t="str">
        <f t="shared" si="507"/>
        <v>Mr</v>
      </c>
      <c r="C1525" s="15" t="str">
        <f t="shared" si="528"/>
        <v>Sullivan</v>
      </c>
      <c r="D1525" s="15" t="str">
        <f t="shared" si="508"/>
        <v>Lawrence Bernard</v>
      </c>
      <c r="E1525" s="15" t="str">
        <f t="shared" si="509"/>
        <v>11 Haydon Boulevard</v>
      </c>
      <c r="F1525" s="15" t="str">
        <f t="shared" si="510"/>
        <v>Breakwater</v>
      </c>
      <c r="G1525" s="15" t="str">
        <f t="shared" si="511"/>
        <v>VIC</v>
      </c>
      <c r="H1525" s="15">
        <f t="shared" si="512"/>
        <v>3219</v>
      </c>
      <c r="I1525" s="15">
        <f t="shared" si="523"/>
        <v>1596</v>
      </c>
      <c r="J1525" s="15">
        <f>OrdersTable!B1525</f>
        <v>373</v>
      </c>
      <c r="K1525" s="15" t="str">
        <f t="shared" si="513"/>
        <v>Clothing and Apparel</v>
      </c>
      <c r="L1525" s="15" t="str">
        <f t="shared" si="514"/>
        <v xml:space="preserve">Doctor Who: T-Shirts: 5th Doctor Costume </v>
      </c>
      <c r="M1525" s="15" t="str">
        <f t="shared" si="515"/>
        <v>L</v>
      </c>
      <c r="N1525" s="15">
        <f t="shared" si="516"/>
        <v>0.8</v>
      </c>
      <c r="O1525" s="15" t="str">
        <f t="shared" si="517"/>
        <v>A20</v>
      </c>
      <c r="P1525" s="15" t="str">
        <f t="shared" si="518"/>
        <v>Morbius Inc.</v>
      </c>
      <c r="Q1525" s="15" t="str">
        <f t="shared" si="519"/>
        <v>56 Michael Spice Hwy</v>
      </c>
      <c r="R1525" s="3">
        <f>OrdersTable!C1525</f>
        <v>44669</v>
      </c>
      <c r="S1525" s="15">
        <f>OrdersTable!E1525</f>
        <v>8</v>
      </c>
      <c r="T1525" s="15">
        <f t="shared" si="520"/>
        <v>15.99</v>
      </c>
      <c r="U1525" s="15">
        <f t="shared" si="521"/>
        <v>22.09</v>
      </c>
      <c r="V1525" s="15">
        <f t="shared" si="522"/>
        <v>25.9</v>
      </c>
      <c r="W1525" s="15">
        <f>IF(MarkupType="Store Markup",ROUND(V1525+V1525*StoreMarkup,2),IF(MarkupType="Supplier Markup",V1525+V1525*SupplierMarkup,"Error at finding value"))</f>
        <v>40.79</v>
      </c>
      <c r="X1525" s="32" t="str">
        <f t="shared" si="524"/>
        <v>0.00</v>
      </c>
      <c r="Y1525" s="15">
        <f t="shared" si="525"/>
        <v>207.2</v>
      </c>
      <c r="Z1525" s="15">
        <f t="shared" si="526"/>
        <v>326.32</v>
      </c>
      <c r="AA1525" s="15">
        <f>IF(FreightType="Lethbridge-Stewart Freight ",ROUND(2.99+IF(N1525&gt;0.75,(N1525-0.75)*2.25,0)*S1525,2),IF(MarkupType="Supplier Markup",V1525+V1525*SupplierMarkup,"Error at finding value"))</f>
        <v>3.89</v>
      </c>
      <c r="AB1525" s="15">
        <f t="shared" si="527"/>
        <v>0</v>
      </c>
    </row>
    <row r="1526" spans="1:28" x14ac:dyDescent="0.25">
      <c r="A1526" s="16">
        <f>OrdersTable!A1526</f>
        <v>568</v>
      </c>
      <c r="B1526" s="15" t="str">
        <f t="shared" si="507"/>
        <v>Mr</v>
      </c>
      <c r="C1526" s="15" t="str">
        <f t="shared" si="528"/>
        <v>Byrne</v>
      </c>
      <c r="D1526" s="15" t="str">
        <f t="shared" si="508"/>
        <v>Gregory James</v>
      </c>
      <c r="E1526" s="15" t="str">
        <f t="shared" si="509"/>
        <v>18 Doroshenko Crescent</v>
      </c>
      <c r="F1526" s="15" t="str">
        <f t="shared" si="510"/>
        <v>Abington</v>
      </c>
      <c r="G1526" s="15" t="str">
        <f t="shared" si="511"/>
        <v>QLD</v>
      </c>
      <c r="H1526" s="15">
        <f t="shared" si="512"/>
        <v>4660</v>
      </c>
      <c r="I1526" s="15">
        <f t="shared" si="523"/>
        <v>336</v>
      </c>
      <c r="J1526" s="15">
        <f>OrdersTable!B1526</f>
        <v>703</v>
      </c>
      <c r="K1526" s="15" t="str">
        <f t="shared" si="513"/>
        <v>Posters, Prints and Standees</v>
      </c>
      <c r="L1526" s="15" t="str">
        <f t="shared" si="514"/>
        <v>Doctor Who: Poster: Doctor With Sonic Screwdriver</v>
      </c>
      <c r="M1526" s="15" t="str">
        <f t="shared" si="515"/>
        <v>-</v>
      </c>
      <c r="N1526" s="15">
        <f t="shared" si="516"/>
        <v>0.2</v>
      </c>
      <c r="O1526" s="15" t="str">
        <f t="shared" si="517"/>
        <v>A50</v>
      </c>
      <c r="P1526" s="15" t="str">
        <f t="shared" si="518"/>
        <v>Rassilon Ltd.</v>
      </c>
      <c r="Q1526" s="15" t="str">
        <f t="shared" si="519"/>
        <v>82 Richard Mathews Road</v>
      </c>
      <c r="R1526" s="3">
        <f>OrdersTable!C1526</f>
        <v>44669</v>
      </c>
      <c r="S1526" s="15">
        <f>OrdersTable!E1526</f>
        <v>9</v>
      </c>
      <c r="T1526" s="15">
        <f t="shared" si="520"/>
        <v>3.99</v>
      </c>
      <c r="U1526" s="15">
        <f t="shared" si="521"/>
        <v>5.51</v>
      </c>
      <c r="V1526" s="15">
        <f t="shared" si="522"/>
        <v>6.46</v>
      </c>
      <c r="W1526" s="15">
        <f>IF(MarkupType="Store Markup",ROUND(V1526+V1526*StoreMarkup,2),IF(MarkupType="Supplier Markup",V1526+V1526*SupplierMarkup,"Error at finding value"))</f>
        <v>10.17</v>
      </c>
      <c r="X1526" s="32" t="str">
        <f t="shared" si="524"/>
        <v>0.00</v>
      </c>
      <c r="Y1526" s="15">
        <f t="shared" si="525"/>
        <v>58.14</v>
      </c>
      <c r="Z1526" s="15">
        <f t="shared" si="526"/>
        <v>91.53</v>
      </c>
      <c r="AA1526" s="15">
        <f>IF(FreightType="Lethbridge-Stewart Freight ",ROUND(2.99+IF(N1526&gt;0.75,(N1526-0.75)*2.25,0)*S1526,2),IF(MarkupType="Supplier Markup",V1526+V1526*SupplierMarkup,"Error at finding value"))</f>
        <v>2.99</v>
      </c>
      <c r="AB1526" s="15">
        <f t="shared" si="527"/>
        <v>0</v>
      </c>
    </row>
    <row r="1527" spans="1:28" x14ac:dyDescent="0.25">
      <c r="A1527" s="16">
        <f>OrdersTable!A1527</f>
        <v>594</v>
      </c>
      <c r="B1527" s="15" t="str">
        <f t="shared" si="507"/>
        <v>Mrs</v>
      </c>
      <c r="C1527" s="15" t="str">
        <f t="shared" si="528"/>
        <v>Entriken</v>
      </c>
      <c r="D1527" s="15" t="str">
        <f t="shared" si="508"/>
        <v>Gwenda Dawn</v>
      </c>
      <c r="E1527" s="15" t="str">
        <f t="shared" si="509"/>
        <v>8 Miljkovic Drive</v>
      </c>
      <c r="F1527" s="15" t="str">
        <f t="shared" si="510"/>
        <v>Nayook</v>
      </c>
      <c r="G1527" s="15" t="str">
        <f t="shared" si="511"/>
        <v>VIC</v>
      </c>
      <c r="H1527" s="15">
        <f t="shared" si="512"/>
        <v>3832</v>
      </c>
      <c r="I1527" s="15">
        <f t="shared" si="523"/>
        <v>1552</v>
      </c>
      <c r="J1527" s="15">
        <f>OrdersTable!B1527</f>
        <v>398</v>
      </c>
      <c r="K1527" s="15" t="str">
        <f t="shared" si="513"/>
        <v>Clothing and Apparel</v>
      </c>
      <c r="L1527" s="15" t="str">
        <f t="shared" si="514"/>
        <v>Doctor Who: Women's Winter Pyjamas</v>
      </c>
      <c r="M1527" s="15" t="str">
        <f t="shared" si="515"/>
        <v>S</v>
      </c>
      <c r="N1527" s="15">
        <f t="shared" si="516"/>
        <v>1.5</v>
      </c>
      <c r="O1527" s="15" t="str">
        <f t="shared" si="517"/>
        <v>A40</v>
      </c>
      <c r="P1527" s="15" t="str">
        <f t="shared" si="518"/>
        <v>Romana Imports</v>
      </c>
      <c r="Q1527" s="15" t="str">
        <f t="shared" si="519"/>
        <v>17 Lalla Ward Road</v>
      </c>
      <c r="R1527" s="3">
        <f>OrdersTable!C1527</f>
        <v>44669</v>
      </c>
      <c r="S1527" s="15">
        <f>OrdersTable!E1527</f>
        <v>2</v>
      </c>
      <c r="T1527" s="15">
        <f t="shared" si="520"/>
        <v>29.99</v>
      </c>
      <c r="U1527" s="15">
        <f t="shared" si="521"/>
        <v>41.07</v>
      </c>
      <c r="V1527" s="15">
        <f t="shared" si="522"/>
        <v>48.58</v>
      </c>
      <c r="W1527" s="15">
        <f>IF(MarkupType="Store Markup",ROUND(V1527+V1527*StoreMarkup,2),IF(MarkupType="Supplier Markup",V1527+V1527*SupplierMarkup,"Error at finding value"))</f>
        <v>76.510000000000005</v>
      </c>
      <c r="X1527" s="32" t="str">
        <f t="shared" si="524"/>
        <v>0.00</v>
      </c>
      <c r="Y1527" s="15">
        <f t="shared" si="525"/>
        <v>97.16</v>
      </c>
      <c r="Z1527" s="15">
        <f t="shared" si="526"/>
        <v>153.02000000000001</v>
      </c>
      <c r="AA1527" s="15">
        <f>IF(FreightType="Lethbridge-Stewart Freight ",ROUND(2.99+IF(N1527&gt;0.75,(N1527-0.75)*2.25,0)*S1527,2),IF(MarkupType="Supplier Markup",V1527+V1527*SupplierMarkup,"Error at finding value"))</f>
        <v>6.37</v>
      </c>
      <c r="AB1527" s="15">
        <f t="shared" si="527"/>
        <v>0</v>
      </c>
    </row>
    <row r="1528" spans="1:28" x14ac:dyDescent="0.25">
      <c r="A1528" s="16">
        <f>OrdersTable!A1528</f>
        <v>841</v>
      </c>
      <c r="B1528" s="15" t="str">
        <f t="shared" si="507"/>
        <v>Miss</v>
      </c>
      <c r="C1528" s="15" t="str">
        <f t="shared" si="528"/>
        <v>Donaghy</v>
      </c>
      <c r="D1528" s="15" t="str">
        <f t="shared" si="508"/>
        <v>Elizabeth Mathilde Jane</v>
      </c>
      <c r="E1528" s="15" t="str">
        <f t="shared" si="509"/>
        <v>31 Johnson Boulevard</v>
      </c>
      <c r="F1528" s="15" t="str">
        <f t="shared" si="510"/>
        <v>Belford</v>
      </c>
      <c r="G1528" s="15" t="str">
        <f t="shared" si="511"/>
        <v>NSW</v>
      </c>
      <c r="H1528" s="15">
        <f t="shared" si="512"/>
        <v>2335</v>
      </c>
      <c r="I1528" s="15">
        <f t="shared" si="523"/>
        <v>716</v>
      </c>
      <c r="J1528" s="15">
        <f>OrdersTable!B1528</f>
        <v>543</v>
      </c>
      <c r="K1528" s="15" t="str">
        <f t="shared" si="513"/>
        <v>Giftware</v>
      </c>
      <c r="L1528" s="15" t="str">
        <f t="shared" si="514"/>
        <v>Doctor Who: Sonic Screwdriver Pen</v>
      </c>
      <c r="M1528" s="15" t="str">
        <f t="shared" si="515"/>
        <v>-</v>
      </c>
      <c r="N1528" s="15">
        <f t="shared" si="516"/>
        <v>0.65</v>
      </c>
      <c r="O1528" s="15" t="str">
        <f t="shared" si="517"/>
        <v>A20</v>
      </c>
      <c r="P1528" s="15" t="str">
        <f t="shared" si="518"/>
        <v>Morbius Inc.</v>
      </c>
      <c r="Q1528" s="15" t="str">
        <f t="shared" si="519"/>
        <v>56 Michael Spice Hwy</v>
      </c>
      <c r="R1528" s="3">
        <f>OrdersTable!C1528</f>
        <v>44669</v>
      </c>
      <c r="S1528" s="15">
        <f>OrdersTable!E1528</f>
        <v>2</v>
      </c>
      <c r="T1528" s="15">
        <f t="shared" si="520"/>
        <v>12.99</v>
      </c>
      <c r="U1528" s="15">
        <f t="shared" si="521"/>
        <v>18.02</v>
      </c>
      <c r="V1528" s="15">
        <f t="shared" si="522"/>
        <v>21.04</v>
      </c>
      <c r="W1528" s="15">
        <f>IF(MarkupType="Store Markup",ROUND(V1528+V1528*StoreMarkup,2),IF(MarkupType="Supplier Markup",V1528+V1528*SupplierMarkup,"Error at finding value"))</f>
        <v>33.14</v>
      </c>
      <c r="X1528" s="32" t="str">
        <f t="shared" si="524"/>
        <v>0.00</v>
      </c>
      <c r="Y1528" s="15">
        <f t="shared" si="525"/>
        <v>42.08</v>
      </c>
      <c r="Z1528" s="15">
        <f t="shared" si="526"/>
        <v>66.28</v>
      </c>
      <c r="AA1528" s="15">
        <f>IF(FreightType="Lethbridge-Stewart Freight ",ROUND(2.99+IF(N1528&gt;0.75,(N1528-0.75)*2.25,0)*S1528,2),IF(MarkupType="Supplier Markup",V1528+V1528*SupplierMarkup,"Error at finding value"))</f>
        <v>2.99</v>
      </c>
      <c r="AB1528" s="15">
        <f t="shared" si="527"/>
        <v>0</v>
      </c>
    </row>
    <row r="1529" spans="1:28" x14ac:dyDescent="0.25">
      <c r="A1529" s="16">
        <f>OrdersTable!A1529</f>
        <v>972</v>
      </c>
      <c r="B1529" s="15" t="str">
        <f t="shared" si="507"/>
        <v>Miss</v>
      </c>
      <c r="C1529" s="15" t="str">
        <f t="shared" si="528"/>
        <v>Walsh</v>
      </c>
      <c r="D1529" s="15" t="str">
        <f t="shared" si="508"/>
        <v>Alana Jane</v>
      </c>
      <c r="E1529" s="15" t="str">
        <f t="shared" si="509"/>
        <v>40 Betts Crescent</v>
      </c>
      <c r="F1529" s="15" t="str">
        <f t="shared" si="510"/>
        <v>Alleena</v>
      </c>
      <c r="G1529" s="15" t="str">
        <f t="shared" si="511"/>
        <v>NSW</v>
      </c>
      <c r="H1529" s="15">
        <f t="shared" si="512"/>
        <v>2671</v>
      </c>
      <c r="I1529" s="15">
        <f t="shared" si="523"/>
        <v>988</v>
      </c>
      <c r="J1529" s="15">
        <f>OrdersTable!B1529</f>
        <v>374</v>
      </c>
      <c r="K1529" s="15" t="str">
        <f t="shared" si="513"/>
        <v>Clothing and Apparel</v>
      </c>
      <c r="L1529" s="15" t="str">
        <f t="shared" si="514"/>
        <v xml:space="preserve">Doctor Who: T-Shirts: 5th Doctor Costume </v>
      </c>
      <c r="M1529" s="15" t="str">
        <f t="shared" si="515"/>
        <v>XL</v>
      </c>
      <c r="N1529" s="15">
        <f t="shared" si="516"/>
        <v>0.8</v>
      </c>
      <c r="O1529" s="15" t="str">
        <f t="shared" si="517"/>
        <v>A50</v>
      </c>
      <c r="P1529" s="15" t="str">
        <f t="shared" si="518"/>
        <v>Rassilon Ltd.</v>
      </c>
      <c r="Q1529" s="15" t="str">
        <f t="shared" si="519"/>
        <v>82 Richard Mathews Road</v>
      </c>
      <c r="R1529" s="3">
        <f>OrdersTable!C1529</f>
        <v>44669</v>
      </c>
      <c r="S1529" s="15">
        <f>OrdersTable!E1529</f>
        <v>10</v>
      </c>
      <c r="T1529" s="15">
        <f t="shared" si="520"/>
        <v>15.99</v>
      </c>
      <c r="U1529" s="15">
        <f t="shared" si="521"/>
        <v>21.97</v>
      </c>
      <c r="V1529" s="15">
        <f t="shared" si="522"/>
        <v>25.9</v>
      </c>
      <c r="W1529" s="15">
        <f>IF(MarkupType="Store Markup",ROUND(V1529+V1529*StoreMarkup,2),IF(MarkupType="Supplier Markup",V1529+V1529*SupplierMarkup,"Error at finding value"))</f>
        <v>40.79</v>
      </c>
      <c r="X1529" s="32" t="str">
        <f t="shared" si="524"/>
        <v>0.00</v>
      </c>
      <c r="Y1529" s="15">
        <f t="shared" si="525"/>
        <v>259</v>
      </c>
      <c r="Z1529" s="15">
        <f t="shared" si="526"/>
        <v>407.9</v>
      </c>
      <c r="AA1529" s="15">
        <f>IF(FreightType="Lethbridge-Stewart Freight ",ROUND(2.99+IF(N1529&gt;0.75,(N1529-0.75)*2.25,0)*S1529,2),IF(MarkupType="Supplier Markup",V1529+V1529*SupplierMarkup,"Error at finding value"))</f>
        <v>4.12</v>
      </c>
      <c r="AB1529" s="15">
        <f t="shared" si="527"/>
        <v>0</v>
      </c>
    </row>
    <row r="1530" spans="1:28" x14ac:dyDescent="0.25">
      <c r="A1530" s="16">
        <f>OrdersTable!A1530</f>
        <v>989</v>
      </c>
      <c r="B1530" s="15" t="str">
        <f t="shared" si="507"/>
        <v>Miss</v>
      </c>
      <c r="C1530" s="15" t="str">
        <f t="shared" si="528"/>
        <v>McInnes</v>
      </c>
      <c r="D1530" s="15" t="str">
        <f t="shared" si="508"/>
        <v>Nina Marie</v>
      </c>
      <c r="E1530" s="15" t="str">
        <f t="shared" si="509"/>
        <v>28 Caruss Road</v>
      </c>
      <c r="F1530" s="15" t="str">
        <f t="shared" si="510"/>
        <v>Belford</v>
      </c>
      <c r="G1530" s="15" t="str">
        <f t="shared" si="511"/>
        <v>NSW</v>
      </c>
      <c r="H1530" s="15">
        <f t="shared" si="512"/>
        <v>2335</v>
      </c>
      <c r="I1530" s="15">
        <f t="shared" si="523"/>
        <v>716</v>
      </c>
      <c r="J1530" s="15">
        <f>OrdersTable!B1530</f>
        <v>643</v>
      </c>
      <c r="K1530" s="15" t="str">
        <f t="shared" si="513"/>
        <v>Mugs</v>
      </c>
      <c r="L1530" s="15" t="str">
        <f t="shared" si="514"/>
        <v>Doctor Who: Giant Mug: Logo</v>
      </c>
      <c r="M1530" s="15" t="str">
        <f t="shared" si="515"/>
        <v>-</v>
      </c>
      <c r="N1530" s="15">
        <f t="shared" si="516"/>
        <v>0.44500000000000001</v>
      </c>
      <c r="O1530" s="15" t="str">
        <f t="shared" si="517"/>
        <v>A10</v>
      </c>
      <c r="P1530" s="15" t="str">
        <f t="shared" si="518"/>
        <v>Gallifrey International</v>
      </c>
      <c r="Q1530" s="15" t="str">
        <f t="shared" si="519"/>
        <v>181 Arcadia Street</v>
      </c>
      <c r="R1530" s="3">
        <f>OrdersTable!C1530</f>
        <v>44669</v>
      </c>
      <c r="S1530" s="15">
        <f>OrdersTable!E1530</f>
        <v>10</v>
      </c>
      <c r="T1530" s="15">
        <f t="shared" si="520"/>
        <v>8.89</v>
      </c>
      <c r="U1530" s="15">
        <f t="shared" si="521"/>
        <v>12.19</v>
      </c>
      <c r="V1530" s="15">
        <f t="shared" si="522"/>
        <v>14.4</v>
      </c>
      <c r="W1530" s="15">
        <f>IF(MarkupType="Store Markup",ROUND(V1530+V1530*StoreMarkup,2),IF(MarkupType="Supplier Markup",V1530+V1530*SupplierMarkup,"Error at finding value"))</f>
        <v>22.68</v>
      </c>
      <c r="X1530" s="32" t="str">
        <f t="shared" si="524"/>
        <v>0.00</v>
      </c>
      <c r="Y1530" s="15">
        <f t="shared" si="525"/>
        <v>144</v>
      </c>
      <c r="Z1530" s="15">
        <f t="shared" si="526"/>
        <v>226.8</v>
      </c>
      <c r="AA1530" s="15">
        <f>IF(FreightType="Lethbridge-Stewart Freight ",ROUND(2.99+IF(N1530&gt;0.75,(N1530-0.75)*2.25,0)*S1530,2),IF(MarkupType="Supplier Markup",V1530+V1530*SupplierMarkup,"Error at finding value"))</f>
        <v>2.99</v>
      </c>
      <c r="AB1530" s="15">
        <f t="shared" si="527"/>
        <v>0</v>
      </c>
    </row>
    <row r="1531" spans="1:28" x14ac:dyDescent="0.25">
      <c r="A1531" s="16">
        <f>OrdersTable!A1531</f>
        <v>22</v>
      </c>
      <c r="B1531" s="15" t="str">
        <f t="shared" si="507"/>
        <v>Mr</v>
      </c>
      <c r="C1531" s="15" t="str">
        <f t="shared" si="528"/>
        <v>Tyrrell</v>
      </c>
      <c r="D1531" s="15" t="str">
        <f t="shared" si="508"/>
        <v>Timothy James</v>
      </c>
      <c r="E1531" s="15" t="str">
        <f t="shared" si="509"/>
        <v>48 Lambourne Crescent</v>
      </c>
      <c r="F1531" s="15" t="str">
        <f t="shared" si="510"/>
        <v>Belford</v>
      </c>
      <c r="G1531" s="15" t="str">
        <f t="shared" si="511"/>
        <v>NSW</v>
      </c>
      <c r="H1531" s="15">
        <f t="shared" si="512"/>
        <v>2335</v>
      </c>
      <c r="I1531" s="15">
        <f t="shared" si="523"/>
        <v>716</v>
      </c>
      <c r="J1531" s="15">
        <f>OrdersTable!B1531</f>
        <v>704</v>
      </c>
      <c r="K1531" s="15" t="str">
        <f t="shared" si="513"/>
        <v>Posters, Prints and Standees</v>
      </c>
      <c r="L1531" s="15" t="str">
        <f t="shared" si="514"/>
        <v>Doctor Who: Poster: Doctor's Enemies</v>
      </c>
      <c r="M1531" s="15" t="str">
        <f t="shared" si="515"/>
        <v>-</v>
      </c>
      <c r="N1531" s="15">
        <f t="shared" si="516"/>
        <v>0.2</v>
      </c>
      <c r="O1531" s="15" t="str">
        <f t="shared" si="517"/>
        <v>A30</v>
      </c>
      <c r="P1531" s="15" t="str">
        <f t="shared" si="518"/>
        <v>Chesterton Enterprises</v>
      </c>
      <c r="Q1531" s="15" t="str">
        <f t="shared" si="519"/>
        <v>41 William Russell Road</v>
      </c>
      <c r="R1531" s="3">
        <f>OrdersTable!C1531</f>
        <v>44670</v>
      </c>
      <c r="S1531" s="15">
        <f>OrdersTable!E1531</f>
        <v>3</v>
      </c>
      <c r="T1531" s="15">
        <f t="shared" si="520"/>
        <v>3.99</v>
      </c>
      <c r="U1531" s="15">
        <f t="shared" si="521"/>
        <v>5.52</v>
      </c>
      <c r="V1531" s="15">
        <f t="shared" si="522"/>
        <v>6.46</v>
      </c>
      <c r="W1531" s="15">
        <f>IF(MarkupType="Store Markup",ROUND(V1531+V1531*StoreMarkup,2),IF(MarkupType="Supplier Markup",V1531+V1531*SupplierMarkup,"Error at finding value"))</f>
        <v>10.17</v>
      </c>
      <c r="X1531" s="32" t="str">
        <f t="shared" si="524"/>
        <v>0.00</v>
      </c>
      <c r="Y1531" s="15">
        <f t="shared" si="525"/>
        <v>19.38</v>
      </c>
      <c r="Z1531" s="15">
        <f t="shared" si="526"/>
        <v>30.51</v>
      </c>
      <c r="AA1531" s="15">
        <f>IF(FreightType="Lethbridge-Stewart Freight ",ROUND(2.99+IF(N1531&gt;0.75,(N1531-0.75)*2.25,0)*S1531,2),IF(MarkupType="Supplier Markup",V1531+V1531*SupplierMarkup,"Error at finding value"))</f>
        <v>2.99</v>
      </c>
      <c r="AB1531" s="15">
        <f t="shared" si="527"/>
        <v>0</v>
      </c>
    </row>
    <row r="1532" spans="1:28" x14ac:dyDescent="0.25">
      <c r="A1532" s="16">
        <f>OrdersTable!A1532</f>
        <v>42</v>
      </c>
      <c r="B1532" s="15" t="str">
        <f t="shared" si="507"/>
        <v>Mr</v>
      </c>
      <c r="C1532" s="15" t="str">
        <f t="shared" si="528"/>
        <v>Ballantyne</v>
      </c>
      <c r="D1532" s="15" t="str">
        <f t="shared" si="508"/>
        <v>Barry John</v>
      </c>
      <c r="E1532" s="15" t="str">
        <f t="shared" si="509"/>
        <v>14 Bachmann Drive</v>
      </c>
      <c r="F1532" s="15" t="str">
        <f t="shared" si="510"/>
        <v>Alleena</v>
      </c>
      <c r="G1532" s="15" t="str">
        <f t="shared" si="511"/>
        <v>NSW</v>
      </c>
      <c r="H1532" s="15">
        <f t="shared" si="512"/>
        <v>2671</v>
      </c>
      <c r="I1532" s="15">
        <f t="shared" si="523"/>
        <v>988</v>
      </c>
      <c r="J1532" s="15">
        <f>OrdersTable!B1532</f>
        <v>685</v>
      </c>
      <c r="K1532" s="15" t="str">
        <f t="shared" si="513"/>
        <v>Mugs</v>
      </c>
      <c r="L1532" s="15" t="str">
        <f t="shared" si="514"/>
        <v>Doctor Who: Teapot: Sliver TARDIS</v>
      </c>
      <c r="M1532" s="15" t="str">
        <f t="shared" si="515"/>
        <v>-</v>
      </c>
      <c r="N1532" s="15">
        <f t="shared" si="516"/>
        <v>1.35</v>
      </c>
      <c r="O1532" s="15" t="str">
        <f t="shared" si="517"/>
        <v>A30</v>
      </c>
      <c r="P1532" s="15" t="str">
        <f t="shared" si="518"/>
        <v>Chesterton Enterprises</v>
      </c>
      <c r="Q1532" s="15" t="str">
        <f t="shared" si="519"/>
        <v>41 William Russell Road</v>
      </c>
      <c r="R1532" s="3">
        <f>OrdersTable!C1532</f>
        <v>44670</v>
      </c>
      <c r="S1532" s="15">
        <f>OrdersTable!E1532</f>
        <v>4</v>
      </c>
      <c r="T1532" s="15">
        <f t="shared" si="520"/>
        <v>26.99</v>
      </c>
      <c r="U1532" s="15">
        <f t="shared" si="521"/>
        <v>36.869999999999997</v>
      </c>
      <c r="V1532" s="15">
        <f t="shared" si="522"/>
        <v>43.72</v>
      </c>
      <c r="W1532" s="15">
        <f>IF(MarkupType="Store Markup",ROUND(V1532+V1532*StoreMarkup,2),IF(MarkupType="Supplier Markup",V1532+V1532*SupplierMarkup,"Error at finding value"))</f>
        <v>68.86</v>
      </c>
      <c r="X1532" s="32" t="str">
        <f t="shared" si="524"/>
        <v>0.00</v>
      </c>
      <c r="Y1532" s="15">
        <f t="shared" si="525"/>
        <v>174.88</v>
      </c>
      <c r="Z1532" s="15">
        <f t="shared" si="526"/>
        <v>275.44</v>
      </c>
      <c r="AA1532" s="15">
        <f>IF(FreightType="Lethbridge-Stewart Freight ",ROUND(2.99+IF(N1532&gt;0.75,(N1532-0.75)*2.25,0)*S1532,2),IF(MarkupType="Supplier Markup",V1532+V1532*SupplierMarkup,"Error at finding value"))</f>
        <v>8.39</v>
      </c>
      <c r="AB1532" s="15">
        <f t="shared" si="527"/>
        <v>0</v>
      </c>
    </row>
    <row r="1533" spans="1:28" x14ac:dyDescent="0.25">
      <c r="A1533" s="16">
        <f>OrdersTable!A1533</f>
        <v>55</v>
      </c>
      <c r="B1533" s="15" t="str">
        <f t="shared" si="507"/>
        <v>Mr</v>
      </c>
      <c r="C1533" s="15" t="str">
        <f t="shared" si="528"/>
        <v>Myers</v>
      </c>
      <c r="D1533" s="15" t="str">
        <f t="shared" si="508"/>
        <v>Luke Charles</v>
      </c>
      <c r="E1533" s="15" t="str">
        <f t="shared" si="509"/>
        <v>25 Penrose Street</v>
      </c>
      <c r="F1533" s="15" t="str">
        <f t="shared" si="510"/>
        <v>Black Hills</v>
      </c>
      <c r="G1533" s="15" t="str">
        <f t="shared" si="511"/>
        <v>TAS</v>
      </c>
      <c r="H1533" s="15">
        <f t="shared" si="512"/>
        <v>7140</v>
      </c>
      <c r="I1533" s="15">
        <f t="shared" si="523"/>
        <v>2191</v>
      </c>
      <c r="J1533" s="15">
        <f>OrdersTable!B1533</f>
        <v>849</v>
      </c>
      <c r="K1533" s="15" t="str">
        <f t="shared" si="513"/>
        <v>Statues and Busts</v>
      </c>
      <c r="L1533" s="15" t="str">
        <f t="shared" si="514"/>
        <v>Doctor Who: Statue: Cyber Controller</v>
      </c>
      <c r="M1533" s="15" t="str">
        <f t="shared" si="515"/>
        <v>-</v>
      </c>
      <c r="N1533" s="15">
        <f t="shared" si="516"/>
        <v>5</v>
      </c>
      <c r="O1533" s="15" t="str">
        <f t="shared" si="517"/>
        <v>A10</v>
      </c>
      <c r="P1533" s="15" t="str">
        <f t="shared" si="518"/>
        <v>Gallifrey International</v>
      </c>
      <c r="Q1533" s="15" t="str">
        <f t="shared" si="519"/>
        <v>181 Arcadia Street</v>
      </c>
      <c r="R1533" s="3">
        <f>OrdersTable!C1533</f>
        <v>44670</v>
      </c>
      <c r="S1533" s="15">
        <f>OrdersTable!E1533</f>
        <v>6</v>
      </c>
      <c r="T1533" s="15">
        <f t="shared" si="520"/>
        <v>99.99</v>
      </c>
      <c r="U1533" s="15">
        <f t="shared" si="521"/>
        <v>136.41</v>
      </c>
      <c r="V1533" s="15">
        <f t="shared" si="522"/>
        <v>161.97999999999999</v>
      </c>
      <c r="W1533" s="15">
        <f>IF(MarkupType="Store Markup",ROUND(V1533+V1533*StoreMarkup,2),IF(MarkupType="Supplier Markup",V1533+V1533*SupplierMarkup,"Error at finding value"))</f>
        <v>255.12</v>
      </c>
      <c r="X1533" s="32">
        <f t="shared" si="524"/>
        <v>18.18</v>
      </c>
      <c r="Y1533" s="15">
        <f t="shared" si="525"/>
        <v>971.88</v>
      </c>
      <c r="Z1533" s="15">
        <f t="shared" si="526"/>
        <v>1421.64</v>
      </c>
      <c r="AA1533" s="15">
        <f>IF(FreightType="Lethbridge-Stewart Freight ",ROUND(2.99+IF(N1533&gt;0.75,(N1533-0.75)*2.25,0)*S1533,2),IF(MarkupType="Supplier Markup",V1533+V1533*SupplierMarkup,"Error at finding value"))</f>
        <v>60.37</v>
      </c>
      <c r="AB1533" s="15">
        <f t="shared" si="527"/>
        <v>109.08</v>
      </c>
    </row>
    <row r="1534" spans="1:28" x14ac:dyDescent="0.25">
      <c r="A1534" s="16">
        <f>OrdersTable!A1534</f>
        <v>226</v>
      </c>
      <c r="B1534" s="15" t="str">
        <f t="shared" si="507"/>
        <v>Ms</v>
      </c>
      <c r="C1534" s="15" t="str">
        <f t="shared" si="528"/>
        <v>Stewart</v>
      </c>
      <c r="D1534" s="15" t="str">
        <f t="shared" si="508"/>
        <v>Jodi Louise</v>
      </c>
      <c r="E1534" s="15" t="str">
        <f t="shared" si="509"/>
        <v>33 Abington Court</v>
      </c>
      <c r="F1534" s="15" t="str">
        <f t="shared" si="510"/>
        <v>Iluka</v>
      </c>
      <c r="G1534" s="15" t="str">
        <f t="shared" si="511"/>
        <v>NSW</v>
      </c>
      <c r="H1534" s="15">
        <f t="shared" si="512"/>
        <v>2466</v>
      </c>
      <c r="I1534" s="15">
        <f t="shared" si="523"/>
        <v>347</v>
      </c>
      <c r="J1534" s="15">
        <f>OrdersTable!B1534</f>
        <v>852</v>
      </c>
      <c r="K1534" s="15" t="str">
        <f t="shared" si="513"/>
        <v>Statues and Busts</v>
      </c>
      <c r="L1534" s="15" t="str">
        <f t="shared" si="514"/>
        <v>Doctor Who: Statue: Revenge Of The Cybermen Cyberleader</v>
      </c>
      <c r="M1534" s="15" t="str">
        <f t="shared" si="515"/>
        <v>-</v>
      </c>
      <c r="N1534" s="15">
        <f t="shared" si="516"/>
        <v>5.4</v>
      </c>
      <c r="O1534" s="15" t="str">
        <f t="shared" si="517"/>
        <v>A50</v>
      </c>
      <c r="P1534" s="15" t="str">
        <f t="shared" si="518"/>
        <v>Rassilon Ltd.</v>
      </c>
      <c r="Q1534" s="15" t="str">
        <f t="shared" si="519"/>
        <v>82 Richard Mathews Road</v>
      </c>
      <c r="R1534" s="3">
        <f>OrdersTable!C1534</f>
        <v>44670</v>
      </c>
      <c r="S1534" s="15">
        <f>OrdersTable!E1534</f>
        <v>5</v>
      </c>
      <c r="T1534" s="15">
        <f t="shared" si="520"/>
        <v>108</v>
      </c>
      <c r="U1534" s="15">
        <f t="shared" si="521"/>
        <v>147.29</v>
      </c>
      <c r="V1534" s="15">
        <f t="shared" si="522"/>
        <v>174.96</v>
      </c>
      <c r="W1534" s="15">
        <f>IF(MarkupType="Store Markup",ROUND(V1534+V1534*StoreMarkup,2),IF(MarkupType="Supplier Markup",V1534+V1534*SupplierMarkup,"Error at finding value"))</f>
        <v>275.56</v>
      </c>
      <c r="X1534" s="32">
        <f t="shared" si="524"/>
        <v>19.63</v>
      </c>
      <c r="Y1534" s="15">
        <f t="shared" si="525"/>
        <v>874.8</v>
      </c>
      <c r="Z1534" s="15">
        <f t="shared" si="526"/>
        <v>1279.6500000000001</v>
      </c>
      <c r="AA1534" s="15">
        <f>IF(FreightType="Lethbridge-Stewart Freight ",ROUND(2.99+IF(N1534&gt;0.75,(N1534-0.75)*2.25,0)*S1534,2),IF(MarkupType="Supplier Markup",V1534+V1534*SupplierMarkup,"Error at finding value"))</f>
        <v>55.3</v>
      </c>
      <c r="AB1534" s="15">
        <f t="shared" si="527"/>
        <v>98.15</v>
      </c>
    </row>
    <row r="1535" spans="1:28" x14ac:dyDescent="0.25">
      <c r="A1535" s="16">
        <f>OrdersTable!A1535</f>
        <v>232</v>
      </c>
      <c r="B1535" s="15" t="str">
        <f t="shared" si="507"/>
        <v>Mrs</v>
      </c>
      <c r="C1535" s="15" t="str">
        <f t="shared" si="528"/>
        <v>Bishop</v>
      </c>
      <c r="D1535" s="15" t="str">
        <f t="shared" si="508"/>
        <v>Katherine Marie</v>
      </c>
      <c r="E1535" s="15" t="str">
        <f t="shared" si="509"/>
        <v>19 Whitehorn Circuit</v>
      </c>
      <c r="F1535" s="15" t="str">
        <f t="shared" si="510"/>
        <v>Black Hills</v>
      </c>
      <c r="G1535" s="15" t="str">
        <f t="shared" si="511"/>
        <v>TAS</v>
      </c>
      <c r="H1535" s="15">
        <f t="shared" si="512"/>
        <v>7140</v>
      </c>
      <c r="I1535" s="15">
        <f t="shared" si="523"/>
        <v>2191</v>
      </c>
      <c r="J1535" s="15">
        <f>OrdersTable!B1535</f>
        <v>849</v>
      </c>
      <c r="K1535" s="15" t="str">
        <f t="shared" si="513"/>
        <v>Statues and Busts</v>
      </c>
      <c r="L1535" s="15" t="str">
        <f t="shared" si="514"/>
        <v>Doctor Who: Statue: Cyber Controller</v>
      </c>
      <c r="M1535" s="15" t="str">
        <f t="shared" si="515"/>
        <v>-</v>
      </c>
      <c r="N1535" s="15">
        <f t="shared" si="516"/>
        <v>5</v>
      </c>
      <c r="O1535" s="15" t="str">
        <f t="shared" si="517"/>
        <v>A10</v>
      </c>
      <c r="P1535" s="15" t="str">
        <f t="shared" si="518"/>
        <v>Gallifrey International</v>
      </c>
      <c r="Q1535" s="15" t="str">
        <f t="shared" si="519"/>
        <v>181 Arcadia Street</v>
      </c>
      <c r="R1535" s="3">
        <f>OrdersTable!C1535</f>
        <v>44670</v>
      </c>
      <c r="S1535" s="15">
        <f>OrdersTable!E1535</f>
        <v>1</v>
      </c>
      <c r="T1535" s="15">
        <f t="shared" si="520"/>
        <v>99.99</v>
      </c>
      <c r="U1535" s="15">
        <f t="shared" si="521"/>
        <v>136.41</v>
      </c>
      <c r="V1535" s="15">
        <f t="shared" si="522"/>
        <v>161.97999999999999</v>
      </c>
      <c r="W1535" s="15">
        <f>IF(MarkupType="Store Markup",ROUND(V1535+V1535*StoreMarkup,2),IF(MarkupType="Supplier Markup",V1535+V1535*SupplierMarkup,"Error at finding value"))</f>
        <v>255.12</v>
      </c>
      <c r="X1535" s="32" t="str">
        <f t="shared" si="524"/>
        <v>0.00</v>
      </c>
      <c r="Y1535" s="15">
        <f t="shared" si="525"/>
        <v>161.97999999999999</v>
      </c>
      <c r="Z1535" s="15">
        <f t="shared" si="526"/>
        <v>255.12</v>
      </c>
      <c r="AA1535" s="15">
        <f>IF(FreightType="Lethbridge-Stewart Freight ",ROUND(2.99+IF(N1535&gt;0.75,(N1535-0.75)*2.25,0)*S1535,2),IF(MarkupType="Supplier Markup",V1535+V1535*SupplierMarkup,"Error at finding value"))</f>
        <v>12.55</v>
      </c>
      <c r="AB1535" s="15">
        <f t="shared" si="527"/>
        <v>0</v>
      </c>
    </row>
    <row r="1536" spans="1:28" x14ac:dyDescent="0.25">
      <c r="A1536" s="16">
        <f>OrdersTable!A1536</f>
        <v>249</v>
      </c>
      <c r="B1536" s="15" t="str">
        <f t="shared" si="507"/>
        <v>Mr</v>
      </c>
      <c r="C1536" s="15" t="str">
        <f t="shared" si="528"/>
        <v>Sinclair</v>
      </c>
      <c r="D1536" s="15" t="str">
        <f t="shared" si="508"/>
        <v>Travis James Foord</v>
      </c>
      <c r="E1536" s="15" t="str">
        <f t="shared" si="509"/>
        <v>25 Leunen Avenue</v>
      </c>
      <c r="F1536" s="15" t="str">
        <f t="shared" si="510"/>
        <v>Batlow</v>
      </c>
      <c r="G1536" s="15" t="str">
        <f t="shared" si="511"/>
        <v>NSW</v>
      </c>
      <c r="H1536" s="15">
        <f t="shared" si="512"/>
        <v>2730</v>
      </c>
      <c r="I1536" s="15">
        <f t="shared" si="523"/>
        <v>1138</v>
      </c>
      <c r="J1536" s="15">
        <f>OrdersTable!B1536</f>
        <v>778</v>
      </c>
      <c r="K1536" s="15" t="str">
        <f t="shared" si="513"/>
        <v>Statues and Busts</v>
      </c>
      <c r="L1536" s="15" t="str">
        <f t="shared" si="514"/>
        <v>Doctor Who: Legends Forever Bust: William Hartnell</v>
      </c>
      <c r="M1536" s="15" t="str">
        <f t="shared" si="515"/>
        <v>-</v>
      </c>
      <c r="N1536" s="15">
        <f t="shared" si="516"/>
        <v>1.375</v>
      </c>
      <c r="O1536" s="15" t="str">
        <f t="shared" si="517"/>
        <v>A40</v>
      </c>
      <c r="P1536" s="15" t="str">
        <f t="shared" si="518"/>
        <v>Romana Imports</v>
      </c>
      <c r="Q1536" s="15" t="str">
        <f t="shared" si="519"/>
        <v>17 Lalla Ward Road</v>
      </c>
      <c r="R1536" s="3">
        <f>OrdersTable!C1536</f>
        <v>44670</v>
      </c>
      <c r="S1536" s="15">
        <f>OrdersTable!E1536</f>
        <v>6</v>
      </c>
      <c r="T1536" s="15">
        <f t="shared" si="520"/>
        <v>27.5</v>
      </c>
      <c r="U1536" s="15">
        <f t="shared" si="521"/>
        <v>37.520000000000003</v>
      </c>
      <c r="V1536" s="15">
        <f t="shared" si="522"/>
        <v>44.55</v>
      </c>
      <c r="W1536" s="15">
        <f>IF(MarkupType="Store Markup",ROUND(V1536+V1536*StoreMarkup,2),IF(MarkupType="Supplier Markup",V1536+V1536*SupplierMarkup,"Error at finding value"))</f>
        <v>70.17</v>
      </c>
      <c r="X1536" s="32" t="str">
        <f t="shared" si="524"/>
        <v>0.00</v>
      </c>
      <c r="Y1536" s="15">
        <f t="shared" si="525"/>
        <v>267.3</v>
      </c>
      <c r="Z1536" s="15">
        <f t="shared" si="526"/>
        <v>421.02</v>
      </c>
      <c r="AA1536" s="15">
        <f>IF(FreightType="Lethbridge-Stewart Freight ",ROUND(2.99+IF(N1536&gt;0.75,(N1536-0.75)*2.25,0)*S1536,2),IF(MarkupType="Supplier Markup",V1536+V1536*SupplierMarkup,"Error at finding value"))</f>
        <v>11.43</v>
      </c>
      <c r="AB1536" s="15">
        <f t="shared" si="527"/>
        <v>0</v>
      </c>
    </row>
    <row r="1537" spans="1:28" x14ac:dyDescent="0.25">
      <c r="A1537" s="16">
        <f>OrdersTable!A1537</f>
        <v>338</v>
      </c>
      <c r="B1537" s="15" t="str">
        <f t="shared" si="507"/>
        <v>Miss</v>
      </c>
      <c r="C1537" s="15" t="str">
        <f t="shared" si="528"/>
        <v>Pellegrino</v>
      </c>
      <c r="D1537" s="15" t="str">
        <f t="shared" si="508"/>
        <v>Samantha</v>
      </c>
      <c r="E1537" s="15" t="str">
        <f t="shared" si="509"/>
        <v>38 McKeown Street</v>
      </c>
      <c r="F1537" s="15" t="str">
        <f t="shared" si="510"/>
        <v>Avon Plains</v>
      </c>
      <c r="G1537" s="15" t="str">
        <f t="shared" si="511"/>
        <v>VIC</v>
      </c>
      <c r="H1537" s="15">
        <f t="shared" si="512"/>
        <v>3477</v>
      </c>
      <c r="I1537" s="15">
        <f t="shared" si="523"/>
        <v>1565</v>
      </c>
      <c r="J1537" s="15">
        <f>OrdersTable!B1537</f>
        <v>563</v>
      </c>
      <c r="K1537" s="15" t="str">
        <f t="shared" si="513"/>
        <v>Giftware</v>
      </c>
      <c r="L1537" s="15" t="str">
        <f t="shared" si="514"/>
        <v>Doctor Who: TARDIS Jewellery Box</v>
      </c>
      <c r="M1537" s="15" t="str">
        <f t="shared" si="515"/>
        <v>-</v>
      </c>
      <c r="N1537" s="15">
        <f t="shared" si="516"/>
        <v>1.1499999999999999</v>
      </c>
      <c r="O1537" s="15" t="str">
        <f t="shared" si="517"/>
        <v>A50</v>
      </c>
      <c r="P1537" s="15" t="str">
        <f t="shared" si="518"/>
        <v>Rassilon Ltd.</v>
      </c>
      <c r="Q1537" s="15" t="str">
        <f t="shared" si="519"/>
        <v>82 Richard Mathews Road</v>
      </c>
      <c r="R1537" s="3">
        <f>OrdersTable!C1537</f>
        <v>44670</v>
      </c>
      <c r="S1537" s="15">
        <f>OrdersTable!E1537</f>
        <v>7</v>
      </c>
      <c r="T1537" s="15">
        <f t="shared" si="520"/>
        <v>22.99</v>
      </c>
      <c r="U1537" s="15">
        <f t="shared" si="521"/>
        <v>31.63</v>
      </c>
      <c r="V1537" s="15">
        <f t="shared" si="522"/>
        <v>37.24</v>
      </c>
      <c r="W1537" s="15">
        <f>IF(MarkupType="Store Markup",ROUND(V1537+V1537*StoreMarkup,2),IF(MarkupType="Supplier Markup",V1537+V1537*SupplierMarkup,"Error at finding value"))</f>
        <v>58.65</v>
      </c>
      <c r="X1537" s="32" t="str">
        <f t="shared" si="524"/>
        <v>0.00</v>
      </c>
      <c r="Y1537" s="15">
        <f t="shared" si="525"/>
        <v>260.68</v>
      </c>
      <c r="Z1537" s="15">
        <f t="shared" si="526"/>
        <v>410.55</v>
      </c>
      <c r="AA1537" s="15">
        <f>IF(FreightType="Lethbridge-Stewart Freight ",ROUND(2.99+IF(N1537&gt;0.75,(N1537-0.75)*2.25,0)*S1537,2),IF(MarkupType="Supplier Markup",V1537+V1537*SupplierMarkup,"Error at finding value"))</f>
        <v>9.2899999999999991</v>
      </c>
      <c r="AB1537" s="15">
        <f t="shared" si="527"/>
        <v>0</v>
      </c>
    </row>
    <row r="1538" spans="1:28" x14ac:dyDescent="0.25">
      <c r="A1538" s="16">
        <f>OrdersTable!A1538</f>
        <v>500</v>
      </c>
      <c r="B1538" s="15" t="str">
        <f t="shared" si="507"/>
        <v>Ms</v>
      </c>
      <c r="C1538" s="15" t="str">
        <f t="shared" si="528"/>
        <v>Helmers</v>
      </c>
      <c r="D1538" s="15" t="str">
        <f t="shared" si="508"/>
        <v>Kristy-Lee</v>
      </c>
      <c r="E1538" s="15" t="str">
        <f t="shared" si="509"/>
        <v>43 Welthagen Court</v>
      </c>
      <c r="F1538" s="15" t="str">
        <f t="shared" si="510"/>
        <v>Areegra</v>
      </c>
      <c r="G1538" s="15" t="str">
        <f t="shared" si="511"/>
        <v>VIC</v>
      </c>
      <c r="H1538" s="15">
        <f t="shared" si="512"/>
        <v>3480</v>
      </c>
      <c r="I1538" s="15">
        <f t="shared" si="523"/>
        <v>1559</v>
      </c>
      <c r="J1538" s="15">
        <f>OrdersTable!B1538</f>
        <v>239</v>
      </c>
      <c r="K1538" s="15" t="str">
        <f t="shared" si="513"/>
        <v>Clothing and Apparel</v>
      </c>
      <c r="L1538" s="15" t="str">
        <f t="shared" si="514"/>
        <v>Doctor Who: Men's Winter Pyjamas</v>
      </c>
      <c r="M1538" s="15" t="str">
        <f t="shared" si="515"/>
        <v>L</v>
      </c>
      <c r="N1538" s="15">
        <f t="shared" si="516"/>
        <v>1.5</v>
      </c>
      <c r="O1538" s="15" t="str">
        <f t="shared" si="517"/>
        <v>A10</v>
      </c>
      <c r="P1538" s="15" t="str">
        <f t="shared" si="518"/>
        <v>Gallifrey International</v>
      </c>
      <c r="Q1538" s="15" t="str">
        <f t="shared" si="519"/>
        <v>181 Arcadia Street</v>
      </c>
      <c r="R1538" s="3">
        <f>OrdersTable!C1538</f>
        <v>44670</v>
      </c>
      <c r="S1538" s="15">
        <f>OrdersTable!E1538</f>
        <v>2</v>
      </c>
      <c r="T1538" s="15">
        <f t="shared" si="520"/>
        <v>29.99</v>
      </c>
      <c r="U1538" s="15">
        <f t="shared" si="521"/>
        <v>41.23</v>
      </c>
      <c r="V1538" s="15">
        <f t="shared" si="522"/>
        <v>48.58</v>
      </c>
      <c r="W1538" s="15">
        <f>IF(MarkupType="Store Markup",ROUND(V1538+V1538*StoreMarkup,2),IF(MarkupType="Supplier Markup",V1538+V1538*SupplierMarkup,"Error at finding value"))</f>
        <v>76.510000000000005</v>
      </c>
      <c r="X1538" s="32" t="str">
        <f t="shared" si="524"/>
        <v>0.00</v>
      </c>
      <c r="Y1538" s="15">
        <f t="shared" si="525"/>
        <v>97.16</v>
      </c>
      <c r="Z1538" s="15">
        <f t="shared" si="526"/>
        <v>153.02000000000001</v>
      </c>
      <c r="AA1538" s="15">
        <f>IF(FreightType="Lethbridge-Stewart Freight ",ROUND(2.99+IF(N1538&gt;0.75,(N1538-0.75)*2.25,0)*S1538,2),IF(MarkupType="Supplier Markup",V1538+V1538*SupplierMarkup,"Error at finding value"))</f>
        <v>6.37</v>
      </c>
      <c r="AB1538" s="15">
        <f t="shared" si="527"/>
        <v>0</v>
      </c>
    </row>
    <row r="1539" spans="1:28" x14ac:dyDescent="0.25">
      <c r="A1539" s="16">
        <f>OrdersTable!A1539</f>
        <v>501</v>
      </c>
      <c r="B1539" s="15" t="str">
        <f t="shared" si="507"/>
        <v>Miss</v>
      </c>
      <c r="C1539" s="15" t="str">
        <f t="shared" si="528"/>
        <v>Tharenou</v>
      </c>
      <c r="D1539" s="15" t="str">
        <f t="shared" si="508"/>
        <v>Kimberley Jacinta</v>
      </c>
      <c r="E1539" s="15" t="str">
        <f t="shared" si="509"/>
        <v>49 Moncada Circuit</v>
      </c>
      <c r="F1539" s="15" t="str">
        <f t="shared" si="510"/>
        <v>Belford</v>
      </c>
      <c r="G1539" s="15" t="str">
        <f t="shared" si="511"/>
        <v>NSW</v>
      </c>
      <c r="H1539" s="15">
        <f t="shared" si="512"/>
        <v>2335</v>
      </c>
      <c r="I1539" s="15">
        <f t="shared" si="523"/>
        <v>716</v>
      </c>
      <c r="J1539" s="15">
        <f>OrdersTable!B1539</f>
        <v>843</v>
      </c>
      <c r="K1539" s="15" t="str">
        <f t="shared" si="513"/>
        <v>Statues and Busts</v>
      </c>
      <c r="L1539" s="15" t="str">
        <f t="shared" si="514"/>
        <v>Doctor Who: Signature Edition Statue: Gallifrey Edition: Tom Baker</v>
      </c>
      <c r="M1539" s="15" t="str">
        <f t="shared" si="515"/>
        <v>-</v>
      </c>
      <c r="N1539" s="15">
        <f t="shared" si="516"/>
        <v>2.5</v>
      </c>
      <c r="O1539" s="15" t="str">
        <f t="shared" si="517"/>
        <v>A20</v>
      </c>
      <c r="P1539" s="15" t="str">
        <f t="shared" si="518"/>
        <v>Morbius Inc.</v>
      </c>
      <c r="Q1539" s="15" t="str">
        <f t="shared" si="519"/>
        <v>56 Michael Spice Hwy</v>
      </c>
      <c r="R1539" s="3">
        <f>OrdersTable!C1539</f>
        <v>44670</v>
      </c>
      <c r="S1539" s="15">
        <f>OrdersTable!E1539</f>
        <v>4</v>
      </c>
      <c r="T1539" s="15">
        <f t="shared" si="520"/>
        <v>49.99</v>
      </c>
      <c r="U1539" s="15">
        <f t="shared" si="521"/>
        <v>68.33</v>
      </c>
      <c r="V1539" s="15">
        <f t="shared" si="522"/>
        <v>80.98</v>
      </c>
      <c r="W1539" s="15">
        <f>IF(MarkupType="Store Markup",ROUND(V1539+V1539*StoreMarkup,2),IF(MarkupType="Supplier Markup",V1539+V1539*SupplierMarkup,"Error at finding value"))</f>
        <v>127.54</v>
      </c>
      <c r="X1539" s="32">
        <f t="shared" si="524"/>
        <v>9.09</v>
      </c>
      <c r="Y1539" s="15">
        <f t="shared" si="525"/>
        <v>323.92</v>
      </c>
      <c r="Z1539" s="15">
        <f t="shared" si="526"/>
        <v>473.8</v>
      </c>
      <c r="AA1539" s="15">
        <f>IF(FreightType="Lethbridge-Stewart Freight ",ROUND(2.99+IF(N1539&gt;0.75,(N1539-0.75)*2.25,0)*S1539,2),IF(MarkupType="Supplier Markup",V1539+V1539*SupplierMarkup,"Error at finding value"))</f>
        <v>18.739999999999998</v>
      </c>
      <c r="AB1539" s="15">
        <f t="shared" si="527"/>
        <v>36.36</v>
      </c>
    </row>
    <row r="1540" spans="1:28" x14ac:dyDescent="0.25">
      <c r="A1540" s="16">
        <f>OrdersTable!A1540</f>
        <v>515</v>
      </c>
      <c r="B1540" s="15" t="str">
        <f t="shared" ref="B1540:B1603" si="529">VLOOKUP($A1540,Cust,2,0)</f>
        <v>Mr</v>
      </c>
      <c r="C1540" s="15" t="str">
        <f t="shared" si="528"/>
        <v>Noffke</v>
      </c>
      <c r="D1540" s="15" t="str">
        <f t="shared" ref="D1540:D1603" si="530">VLOOKUP($A1540,Cust,4,0)</f>
        <v>William Thomas</v>
      </c>
      <c r="E1540" s="15" t="str">
        <f t="shared" ref="E1540:E1603" si="531">VLOOKUP($A1540,Cust,6,0)</f>
        <v>20 Tyler Drive</v>
      </c>
      <c r="F1540" s="15" t="str">
        <f t="shared" ref="F1540:F1603" si="532">VLOOKUP($A1540,Cust,7,0)</f>
        <v>Areegra</v>
      </c>
      <c r="G1540" s="15" t="str">
        <f t="shared" ref="G1540:G1603" si="533">VLOOKUP($A1540,Cust,8,0)</f>
        <v>VIC</v>
      </c>
      <c r="H1540" s="15">
        <f t="shared" ref="H1540:H1603" si="534">VLOOKUP($A1540,Cust,9,0)</f>
        <v>3480</v>
      </c>
      <c r="I1540" s="15">
        <f t="shared" si="523"/>
        <v>1559</v>
      </c>
      <c r="J1540" s="15">
        <f>OrdersTable!B1540</f>
        <v>341</v>
      </c>
      <c r="K1540" s="15" t="str">
        <f t="shared" ref="K1540:K1603" si="535">VLOOKUP($J1540,Itms,2,0)</f>
        <v>Clothing and Apparel</v>
      </c>
      <c r="L1540" s="15" t="str">
        <f t="shared" ref="L1540:L1603" si="536">VLOOKUP($J1540,Itms,3,0)</f>
        <v xml:space="preserve">Doctor Who: T-Shirts: 4th Doctor Costume </v>
      </c>
      <c r="M1540" s="15" t="str">
        <f t="shared" ref="M1540:M1603" si="537">VLOOKUP($J1540,Itms,4,0)</f>
        <v>XL</v>
      </c>
      <c r="N1540" s="15">
        <f t="shared" ref="N1540:N1603" si="538">VLOOKUP($J1540,Itms,5,0)</f>
        <v>0.8</v>
      </c>
      <c r="O1540" s="15" t="str">
        <f t="shared" ref="O1540:O1603" si="539">VLOOKUP($J1540,Itms,6,0)</f>
        <v>A20</v>
      </c>
      <c r="P1540" s="15" t="str">
        <f t="shared" ref="P1540:P1603" si="540">VLOOKUP($O1540,Supp,2,0)</f>
        <v>Morbius Inc.</v>
      </c>
      <c r="Q1540" s="15" t="str">
        <f t="shared" ref="Q1540:Q1603" si="541">VLOOKUP($O1540,Supp,3,0)</f>
        <v>56 Michael Spice Hwy</v>
      </c>
      <c r="R1540" s="3">
        <f>OrdersTable!C1540</f>
        <v>44670</v>
      </c>
      <c r="S1540" s="15">
        <f>OrdersTable!E1540</f>
        <v>8</v>
      </c>
      <c r="T1540" s="15">
        <f t="shared" ref="T1540:T1603" si="542">VLOOKUP($J1540,Itms,9,0)</f>
        <v>15.99</v>
      </c>
      <c r="U1540" s="15">
        <f t="shared" ref="U1540:U1603" si="543">VLOOKUP($J1540,Itms,10,0)</f>
        <v>22.05</v>
      </c>
      <c r="V1540" s="15">
        <f t="shared" ref="V1540:V1603" si="544">IF(ExchRateType="IR",ROUND(T1540*ExchRateIR,2),IF(ExchRateType="CA",ROUND(U1540*ExchRateCA,2),"Error at finding value"))</f>
        <v>25.9</v>
      </c>
      <c r="W1540" s="15">
        <f>IF(MarkupType="Store Markup",ROUND(V1540+V1540*StoreMarkup,2),IF(MarkupType="Supplier Markup",V1540+V1540*SupplierMarkup,"Error at finding value"))</f>
        <v>40.79</v>
      </c>
      <c r="X1540" s="32" t="str">
        <f t="shared" si="524"/>
        <v>0.00</v>
      </c>
      <c r="Y1540" s="15">
        <f t="shared" si="525"/>
        <v>207.2</v>
      </c>
      <c r="Z1540" s="15">
        <f t="shared" si="526"/>
        <v>326.32</v>
      </c>
      <c r="AA1540" s="15">
        <f>IF(FreightType="Lethbridge-Stewart Freight ",ROUND(2.99+IF(N1540&gt;0.75,(N1540-0.75)*2.25,0)*S1540,2),IF(MarkupType="Supplier Markup",V1540+V1540*SupplierMarkup,"Error at finding value"))</f>
        <v>3.89</v>
      </c>
      <c r="AB1540" s="15">
        <f t="shared" si="527"/>
        <v>0</v>
      </c>
    </row>
    <row r="1541" spans="1:28" x14ac:dyDescent="0.25">
      <c r="A1541" s="16">
        <f>OrdersTable!A1541</f>
        <v>515</v>
      </c>
      <c r="B1541" s="15" t="str">
        <f t="shared" si="529"/>
        <v>Mr</v>
      </c>
      <c r="C1541" s="15" t="str">
        <f t="shared" si="528"/>
        <v>Noffke</v>
      </c>
      <c r="D1541" s="15" t="str">
        <f t="shared" si="530"/>
        <v>William Thomas</v>
      </c>
      <c r="E1541" s="15" t="str">
        <f t="shared" si="531"/>
        <v>20 Tyler Drive</v>
      </c>
      <c r="F1541" s="15" t="str">
        <f t="shared" si="532"/>
        <v>Areegra</v>
      </c>
      <c r="G1541" s="15" t="str">
        <f t="shared" si="533"/>
        <v>VIC</v>
      </c>
      <c r="H1541" s="15">
        <f t="shared" si="534"/>
        <v>3480</v>
      </c>
      <c r="I1541" s="15">
        <f t="shared" ref="I1541:I1604" si="545">VLOOKUP($A1541,Cust,10,0)</f>
        <v>1559</v>
      </c>
      <c r="J1541" s="15">
        <f>OrdersTable!B1541</f>
        <v>689</v>
      </c>
      <c r="K1541" s="15" t="str">
        <f t="shared" si="535"/>
        <v>Posters, Prints and Standees</v>
      </c>
      <c r="L1541" s="15" t="str">
        <f t="shared" si="536"/>
        <v>Doctor Who: 16'x12' Framed Print: Cold War</v>
      </c>
      <c r="M1541" s="15" t="str">
        <f t="shared" si="537"/>
        <v>-</v>
      </c>
      <c r="N1541" s="15">
        <f t="shared" si="538"/>
        <v>0.75</v>
      </c>
      <c r="O1541" s="15" t="str">
        <f t="shared" si="539"/>
        <v>A50</v>
      </c>
      <c r="P1541" s="15" t="str">
        <f t="shared" si="540"/>
        <v>Rassilon Ltd.</v>
      </c>
      <c r="Q1541" s="15" t="str">
        <f t="shared" si="541"/>
        <v>82 Richard Mathews Road</v>
      </c>
      <c r="R1541" s="3">
        <f>OrdersTable!C1541</f>
        <v>44670</v>
      </c>
      <c r="S1541" s="15">
        <f>OrdersTable!E1541</f>
        <v>4</v>
      </c>
      <c r="T1541" s="15">
        <f t="shared" si="542"/>
        <v>14.99</v>
      </c>
      <c r="U1541" s="15">
        <f t="shared" si="543"/>
        <v>20.77</v>
      </c>
      <c r="V1541" s="15">
        <f t="shared" si="544"/>
        <v>24.28</v>
      </c>
      <c r="W1541" s="15">
        <f>IF(MarkupType="Store Markup",ROUND(V1541+V1541*StoreMarkup,2),IF(MarkupType="Supplier Markup",V1541+V1541*SupplierMarkup,"Error at finding value"))</f>
        <v>38.24</v>
      </c>
      <c r="X1541" s="32" t="str">
        <f t="shared" ref="X1541:X1604" si="546">IF(AND(W1541&gt;100,S1541&gt;=3),ROUND(0.07125*W1541,2),"0.00")</f>
        <v>0.00</v>
      </c>
      <c r="Y1541" s="15">
        <f t="shared" ref="Y1541:Y1604" si="547">ROUND(V1541*S1541,2)</f>
        <v>97.12</v>
      </c>
      <c r="Z1541" s="15">
        <f t="shared" ref="Z1541:Z1604" si="548">ROUND((W1541-X1541)*S1541,2)</f>
        <v>152.96</v>
      </c>
      <c r="AA1541" s="15">
        <f>IF(FreightType="Lethbridge-Stewart Freight ",ROUND(2.99+IF(N1541&gt;0.75,(N1541-0.75)*2.25,0)*S1541,2),IF(MarkupType="Supplier Markup",V1541+V1541*SupplierMarkup,"Error at finding value"))</f>
        <v>2.99</v>
      </c>
      <c r="AB1541" s="15">
        <f t="shared" ref="AB1541:AB1604" si="549">ROUND(X1541*S1541,2)</f>
        <v>0</v>
      </c>
    </row>
    <row r="1542" spans="1:28" x14ac:dyDescent="0.25">
      <c r="A1542" s="16">
        <f>OrdersTable!A1542</f>
        <v>515</v>
      </c>
      <c r="B1542" s="15" t="str">
        <f t="shared" si="529"/>
        <v>Mr</v>
      </c>
      <c r="C1542" s="15" t="str">
        <f t="shared" si="528"/>
        <v>Noffke</v>
      </c>
      <c r="D1542" s="15" t="str">
        <f t="shared" si="530"/>
        <v>William Thomas</v>
      </c>
      <c r="E1542" s="15" t="str">
        <f t="shared" si="531"/>
        <v>20 Tyler Drive</v>
      </c>
      <c r="F1542" s="15" t="str">
        <f t="shared" si="532"/>
        <v>Areegra</v>
      </c>
      <c r="G1542" s="15" t="str">
        <f t="shared" si="533"/>
        <v>VIC</v>
      </c>
      <c r="H1542" s="15">
        <f t="shared" si="534"/>
        <v>3480</v>
      </c>
      <c r="I1542" s="15">
        <f t="shared" si="545"/>
        <v>1559</v>
      </c>
      <c r="J1542" s="15">
        <f>OrdersTable!B1542</f>
        <v>792</v>
      </c>
      <c r="K1542" s="15" t="str">
        <f t="shared" si="535"/>
        <v>Statues and Busts</v>
      </c>
      <c r="L1542" s="15" t="str">
        <f t="shared" si="536"/>
        <v>Doctor Who: Masterpiece Collection Maxi Bust: 3rd Doctor</v>
      </c>
      <c r="M1542" s="15" t="str">
        <f t="shared" si="537"/>
        <v>-</v>
      </c>
      <c r="N1542" s="15">
        <f t="shared" si="538"/>
        <v>2.5</v>
      </c>
      <c r="O1542" s="15" t="str">
        <f t="shared" si="539"/>
        <v>A20</v>
      </c>
      <c r="P1542" s="15" t="str">
        <f t="shared" si="540"/>
        <v>Morbius Inc.</v>
      </c>
      <c r="Q1542" s="15" t="str">
        <f t="shared" si="541"/>
        <v>56 Michael Spice Hwy</v>
      </c>
      <c r="R1542" s="3">
        <f>OrdersTable!C1542</f>
        <v>44670</v>
      </c>
      <c r="S1542" s="15">
        <f>OrdersTable!E1542</f>
        <v>2</v>
      </c>
      <c r="T1542" s="15">
        <f t="shared" si="542"/>
        <v>49.99</v>
      </c>
      <c r="U1542" s="15">
        <f t="shared" si="543"/>
        <v>68.39</v>
      </c>
      <c r="V1542" s="15">
        <f t="shared" si="544"/>
        <v>80.98</v>
      </c>
      <c r="W1542" s="15">
        <f>IF(MarkupType="Store Markup",ROUND(V1542+V1542*StoreMarkup,2),IF(MarkupType="Supplier Markup",V1542+V1542*SupplierMarkup,"Error at finding value"))</f>
        <v>127.54</v>
      </c>
      <c r="X1542" s="32" t="str">
        <f t="shared" si="546"/>
        <v>0.00</v>
      </c>
      <c r="Y1542" s="15">
        <f t="shared" si="547"/>
        <v>161.96</v>
      </c>
      <c r="Z1542" s="15">
        <f t="shared" si="548"/>
        <v>255.08</v>
      </c>
      <c r="AA1542" s="15">
        <f>IF(FreightType="Lethbridge-Stewart Freight ",ROUND(2.99+IF(N1542&gt;0.75,(N1542-0.75)*2.25,0)*S1542,2),IF(MarkupType="Supplier Markup",V1542+V1542*SupplierMarkup,"Error at finding value"))</f>
        <v>10.87</v>
      </c>
      <c r="AB1542" s="15">
        <f t="shared" si="549"/>
        <v>0</v>
      </c>
    </row>
    <row r="1543" spans="1:28" x14ac:dyDescent="0.25">
      <c r="A1543" s="16">
        <f>OrdersTable!A1543</f>
        <v>557</v>
      </c>
      <c r="B1543" s="15" t="str">
        <f t="shared" si="529"/>
        <v>Mrs</v>
      </c>
      <c r="C1543" s="15" t="str">
        <f t="shared" si="528"/>
        <v>Allen</v>
      </c>
      <c r="D1543" s="15" t="str">
        <f t="shared" si="530"/>
        <v>Morgan</v>
      </c>
      <c r="E1543" s="15" t="str">
        <f t="shared" si="531"/>
        <v>15 Winsor Street</v>
      </c>
      <c r="F1543" s="15" t="str">
        <f t="shared" si="532"/>
        <v>Appletree Flat</v>
      </c>
      <c r="G1543" s="15" t="str">
        <f t="shared" si="533"/>
        <v>NSW</v>
      </c>
      <c r="H1543" s="15">
        <f t="shared" si="534"/>
        <v>2330</v>
      </c>
      <c r="I1543" s="15">
        <f t="shared" si="545"/>
        <v>691</v>
      </c>
      <c r="J1543" s="15">
        <f>OrdersTable!B1543</f>
        <v>145</v>
      </c>
      <c r="K1543" s="15" t="str">
        <f t="shared" si="535"/>
        <v>Bobbleheads</v>
      </c>
      <c r="L1543" s="15" t="str">
        <f t="shared" si="536"/>
        <v>Doctor Who: Bobblehead: Eleventh Doctor</v>
      </c>
      <c r="M1543" s="15" t="str">
        <f t="shared" si="537"/>
        <v>-</v>
      </c>
      <c r="N1543" s="15">
        <f t="shared" si="538"/>
        <v>1</v>
      </c>
      <c r="O1543" s="15" t="str">
        <f t="shared" si="539"/>
        <v>A30</v>
      </c>
      <c r="P1543" s="15" t="str">
        <f t="shared" si="540"/>
        <v>Chesterton Enterprises</v>
      </c>
      <c r="Q1543" s="15" t="str">
        <f t="shared" si="541"/>
        <v>41 William Russell Road</v>
      </c>
      <c r="R1543" s="3">
        <f>OrdersTable!C1543</f>
        <v>44670</v>
      </c>
      <c r="S1543" s="15">
        <f>OrdersTable!E1543</f>
        <v>7</v>
      </c>
      <c r="T1543" s="15">
        <f t="shared" si="542"/>
        <v>19.989999999999998</v>
      </c>
      <c r="U1543" s="15">
        <f t="shared" si="543"/>
        <v>27.54</v>
      </c>
      <c r="V1543" s="15">
        <f t="shared" si="544"/>
        <v>32.380000000000003</v>
      </c>
      <c r="W1543" s="15">
        <f>IF(MarkupType="Store Markup",ROUND(V1543+V1543*StoreMarkup,2),IF(MarkupType="Supplier Markup",V1543+V1543*SupplierMarkup,"Error at finding value"))</f>
        <v>51</v>
      </c>
      <c r="X1543" s="32" t="str">
        <f t="shared" si="546"/>
        <v>0.00</v>
      </c>
      <c r="Y1543" s="15">
        <f t="shared" si="547"/>
        <v>226.66</v>
      </c>
      <c r="Z1543" s="15">
        <f t="shared" si="548"/>
        <v>357</v>
      </c>
      <c r="AA1543" s="15">
        <f>IF(FreightType="Lethbridge-Stewart Freight ",ROUND(2.99+IF(N1543&gt;0.75,(N1543-0.75)*2.25,0)*S1543,2),IF(MarkupType="Supplier Markup",V1543+V1543*SupplierMarkup,"Error at finding value"))</f>
        <v>6.93</v>
      </c>
      <c r="AB1543" s="15">
        <f t="shared" si="549"/>
        <v>0</v>
      </c>
    </row>
    <row r="1544" spans="1:28" x14ac:dyDescent="0.25">
      <c r="A1544" s="16">
        <f>OrdersTable!A1544</f>
        <v>568</v>
      </c>
      <c r="B1544" s="15" t="str">
        <f t="shared" si="529"/>
        <v>Mr</v>
      </c>
      <c r="C1544" s="15" t="str">
        <f t="shared" si="528"/>
        <v>Byrne</v>
      </c>
      <c r="D1544" s="15" t="str">
        <f t="shared" si="530"/>
        <v>Gregory James</v>
      </c>
      <c r="E1544" s="15" t="str">
        <f t="shared" si="531"/>
        <v>18 Doroshenko Crescent</v>
      </c>
      <c r="F1544" s="15" t="str">
        <f t="shared" si="532"/>
        <v>Abington</v>
      </c>
      <c r="G1544" s="15" t="str">
        <f t="shared" si="533"/>
        <v>QLD</v>
      </c>
      <c r="H1544" s="15">
        <f t="shared" si="534"/>
        <v>4660</v>
      </c>
      <c r="I1544" s="15">
        <f t="shared" si="545"/>
        <v>336</v>
      </c>
      <c r="J1544" s="15">
        <f>OrdersTable!B1544</f>
        <v>810</v>
      </c>
      <c r="K1544" s="15" t="str">
        <f t="shared" si="535"/>
        <v>Statues and Busts</v>
      </c>
      <c r="L1544" s="15" t="str">
        <f t="shared" si="536"/>
        <v>Doctor Who: Masterpiece Collection Maxi Bust: Amy Pond</v>
      </c>
      <c r="M1544" s="15" t="str">
        <f t="shared" si="537"/>
        <v>-</v>
      </c>
      <c r="N1544" s="15">
        <f t="shared" si="538"/>
        <v>2.5</v>
      </c>
      <c r="O1544" s="15" t="str">
        <f t="shared" si="539"/>
        <v>A50</v>
      </c>
      <c r="P1544" s="15" t="str">
        <f t="shared" si="540"/>
        <v>Rassilon Ltd.</v>
      </c>
      <c r="Q1544" s="15" t="str">
        <f t="shared" si="541"/>
        <v>82 Richard Mathews Road</v>
      </c>
      <c r="R1544" s="3">
        <f>OrdersTable!C1544</f>
        <v>44670</v>
      </c>
      <c r="S1544" s="15">
        <f>OrdersTable!E1544</f>
        <v>10</v>
      </c>
      <c r="T1544" s="15">
        <f t="shared" si="542"/>
        <v>49.99</v>
      </c>
      <c r="U1544" s="15">
        <f t="shared" si="543"/>
        <v>68.260000000000005</v>
      </c>
      <c r="V1544" s="15">
        <f t="shared" si="544"/>
        <v>80.98</v>
      </c>
      <c r="W1544" s="15">
        <f>IF(MarkupType="Store Markup",ROUND(V1544+V1544*StoreMarkup,2),IF(MarkupType="Supplier Markup",V1544+V1544*SupplierMarkup,"Error at finding value"))</f>
        <v>127.54</v>
      </c>
      <c r="X1544" s="32">
        <f t="shared" si="546"/>
        <v>9.09</v>
      </c>
      <c r="Y1544" s="15">
        <f t="shared" si="547"/>
        <v>809.8</v>
      </c>
      <c r="Z1544" s="15">
        <f t="shared" si="548"/>
        <v>1184.5</v>
      </c>
      <c r="AA1544" s="15">
        <f>IF(FreightType="Lethbridge-Stewart Freight ",ROUND(2.99+IF(N1544&gt;0.75,(N1544-0.75)*2.25,0)*S1544,2),IF(MarkupType="Supplier Markup",V1544+V1544*SupplierMarkup,"Error at finding value"))</f>
        <v>42.37</v>
      </c>
      <c r="AB1544" s="15">
        <f t="shared" si="549"/>
        <v>90.9</v>
      </c>
    </row>
    <row r="1545" spans="1:28" x14ac:dyDescent="0.25">
      <c r="A1545" s="16">
        <f>OrdersTable!A1545</f>
        <v>600</v>
      </c>
      <c r="B1545" s="15" t="str">
        <f t="shared" si="529"/>
        <v>Dr</v>
      </c>
      <c r="C1545" s="15" t="str">
        <f t="shared" si="528"/>
        <v>McConnell</v>
      </c>
      <c r="D1545" s="15" t="str">
        <f t="shared" si="530"/>
        <v>Hannah Clair</v>
      </c>
      <c r="E1545" s="15" t="str">
        <f t="shared" si="531"/>
        <v>27 Mccarthy Circuit</v>
      </c>
      <c r="F1545" s="15" t="str">
        <f t="shared" si="532"/>
        <v>Ashford</v>
      </c>
      <c r="G1545" s="15" t="str">
        <f t="shared" si="533"/>
        <v>SA</v>
      </c>
      <c r="H1545" s="15">
        <f t="shared" si="534"/>
        <v>5035</v>
      </c>
      <c r="I1545" s="15">
        <f t="shared" si="545"/>
        <v>1877</v>
      </c>
      <c r="J1545" s="15">
        <f>OrdersTable!B1545</f>
        <v>817</v>
      </c>
      <c r="K1545" s="15" t="str">
        <f t="shared" si="535"/>
        <v>Statues and Busts</v>
      </c>
      <c r="L1545" s="15" t="str">
        <f t="shared" si="536"/>
        <v>Doctor Who: Masterpiece Collection Maxi Bust: Torchwood Captain Jack Harkness</v>
      </c>
      <c r="M1545" s="15" t="str">
        <f t="shared" si="537"/>
        <v>-</v>
      </c>
      <c r="N1545" s="15">
        <f t="shared" si="538"/>
        <v>2.5</v>
      </c>
      <c r="O1545" s="15" t="str">
        <f t="shared" si="539"/>
        <v>A10</v>
      </c>
      <c r="P1545" s="15" t="str">
        <f t="shared" si="540"/>
        <v>Gallifrey International</v>
      </c>
      <c r="Q1545" s="15" t="str">
        <f t="shared" si="541"/>
        <v>181 Arcadia Street</v>
      </c>
      <c r="R1545" s="3">
        <f>OrdersTable!C1545</f>
        <v>44670</v>
      </c>
      <c r="S1545" s="15">
        <f>OrdersTable!E1545</f>
        <v>4</v>
      </c>
      <c r="T1545" s="15">
        <f t="shared" si="542"/>
        <v>49.99</v>
      </c>
      <c r="U1545" s="15">
        <f t="shared" si="543"/>
        <v>68.44</v>
      </c>
      <c r="V1545" s="15">
        <f t="shared" si="544"/>
        <v>80.98</v>
      </c>
      <c r="W1545" s="15">
        <f>IF(MarkupType="Store Markup",ROUND(V1545+V1545*StoreMarkup,2),IF(MarkupType="Supplier Markup",V1545+V1545*SupplierMarkup,"Error at finding value"))</f>
        <v>127.54</v>
      </c>
      <c r="X1545" s="32">
        <f t="shared" si="546"/>
        <v>9.09</v>
      </c>
      <c r="Y1545" s="15">
        <f t="shared" si="547"/>
        <v>323.92</v>
      </c>
      <c r="Z1545" s="15">
        <f t="shared" si="548"/>
        <v>473.8</v>
      </c>
      <c r="AA1545" s="15">
        <f>IF(FreightType="Lethbridge-Stewart Freight ",ROUND(2.99+IF(N1545&gt;0.75,(N1545-0.75)*2.25,0)*S1545,2),IF(MarkupType="Supplier Markup",V1545+V1545*SupplierMarkup,"Error at finding value"))</f>
        <v>18.739999999999998</v>
      </c>
      <c r="AB1545" s="15">
        <f t="shared" si="549"/>
        <v>36.36</v>
      </c>
    </row>
    <row r="1546" spans="1:28" x14ac:dyDescent="0.25">
      <c r="A1546" s="16">
        <f>OrdersTable!A1546</f>
        <v>758</v>
      </c>
      <c r="B1546" s="15" t="str">
        <f t="shared" si="529"/>
        <v>Mr</v>
      </c>
      <c r="C1546" s="15" t="str">
        <f t="shared" si="528"/>
        <v>Whitehorn</v>
      </c>
      <c r="D1546" s="15" t="str">
        <f t="shared" si="530"/>
        <v>James</v>
      </c>
      <c r="E1546" s="15" t="str">
        <f t="shared" si="531"/>
        <v>32 Raubenheimer Circuit</v>
      </c>
      <c r="F1546" s="15" t="str">
        <f t="shared" si="532"/>
        <v>Belconnen</v>
      </c>
      <c r="G1546" s="15" t="str">
        <f t="shared" si="533"/>
        <v>ACT</v>
      </c>
      <c r="H1546" s="15">
        <f t="shared" si="534"/>
        <v>2617</v>
      </c>
      <c r="I1546" s="15">
        <f t="shared" si="545"/>
        <v>1194</v>
      </c>
      <c r="J1546" s="15">
        <f>OrdersTable!B1546</f>
        <v>782</v>
      </c>
      <c r="K1546" s="15" t="str">
        <f t="shared" si="535"/>
        <v>Statues and Busts</v>
      </c>
      <c r="L1546" s="15" t="str">
        <f t="shared" si="536"/>
        <v>Doctor Who: Masterpiece Collection Maxi Bust: 10th Doctor</v>
      </c>
      <c r="M1546" s="15" t="str">
        <f t="shared" si="537"/>
        <v>-</v>
      </c>
      <c r="N1546" s="15">
        <f t="shared" si="538"/>
        <v>2.5</v>
      </c>
      <c r="O1546" s="15" t="str">
        <f t="shared" si="539"/>
        <v>A30</v>
      </c>
      <c r="P1546" s="15" t="str">
        <f t="shared" si="540"/>
        <v>Chesterton Enterprises</v>
      </c>
      <c r="Q1546" s="15" t="str">
        <f t="shared" si="541"/>
        <v>41 William Russell Road</v>
      </c>
      <c r="R1546" s="3">
        <f>OrdersTable!C1546</f>
        <v>44670</v>
      </c>
      <c r="S1546" s="15">
        <f>OrdersTable!E1546</f>
        <v>2</v>
      </c>
      <c r="T1546" s="15">
        <f t="shared" si="542"/>
        <v>49.99</v>
      </c>
      <c r="U1546" s="15">
        <f t="shared" si="543"/>
        <v>68.5</v>
      </c>
      <c r="V1546" s="15">
        <f t="shared" si="544"/>
        <v>80.98</v>
      </c>
      <c r="W1546" s="15">
        <f>IF(MarkupType="Store Markup",ROUND(V1546+V1546*StoreMarkup,2),IF(MarkupType="Supplier Markup",V1546+V1546*SupplierMarkup,"Error at finding value"))</f>
        <v>127.54</v>
      </c>
      <c r="X1546" s="32" t="str">
        <f t="shared" si="546"/>
        <v>0.00</v>
      </c>
      <c r="Y1546" s="15">
        <f t="shared" si="547"/>
        <v>161.96</v>
      </c>
      <c r="Z1546" s="15">
        <f t="shared" si="548"/>
        <v>255.08</v>
      </c>
      <c r="AA1546" s="15">
        <f>IF(FreightType="Lethbridge-Stewart Freight ",ROUND(2.99+IF(N1546&gt;0.75,(N1546-0.75)*2.25,0)*S1546,2),IF(MarkupType="Supplier Markup",V1546+V1546*SupplierMarkup,"Error at finding value"))</f>
        <v>10.87</v>
      </c>
      <c r="AB1546" s="15">
        <f t="shared" si="549"/>
        <v>0</v>
      </c>
    </row>
    <row r="1547" spans="1:28" x14ac:dyDescent="0.25">
      <c r="A1547" s="16">
        <f>OrdersTable!A1547</f>
        <v>843</v>
      </c>
      <c r="B1547" s="15" t="str">
        <f t="shared" si="529"/>
        <v>Mr</v>
      </c>
      <c r="C1547" s="15" t="str">
        <f t="shared" ref="C1547:C1610" si="550">VLOOKUP($A1547,Cust,3,0)</f>
        <v>Goodwin</v>
      </c>
      <c r="D1547" s="15" t="str">
        <f t="shared" si="530"/>
        <v>Damon Joel</v>
      </c>
      <c r="E1547" s="15" t="str">
        <f t="shared" si="531"/>
        <v>40 Powell Boulevard</v>
      </c>
      <c r="F1547" s="15" t="str">
        <f t="shared" si="532"/>
        <v>Abington</v>
      </c>
      <c r="G1547" s="15" t="str">
        <f t="shared" si="533"/>
        <v>QLD</v>
      </c>
      <c r="H1547" s="15">
        <f t="shared" si="534"/>
        <v>4660</v>
      </c>
      <c r="I1547" s="15">
        <f t="shared" si="545"/>
        <v>336</v>
      </c>
      <c r="J1547" s="15">
        <f>OrdersTable!B1547</f>
        <v>702</v>
      </c>
      <c r="K1547" s="15" t="str">
        <f t="shared" si="535"/>
        <v>Posters, Prints and Standees</v>
      </c>
      <c r="L1547" s="15" t="str">
        <f t="shared" si="536"/>
        <v>Doctor Who: Poster: Daleks</v>
      </c>
      <c r="M1547" s="15" t="str">
        <f t="shared" si="537"/>
        <v>-</v>
      </c>
      <c r="N1547" s="15">
        <f t="shared" si="538"/>
        <v>0.2</v>
      </c>
      <c r="O1547" s="15" t="str">
        <f t="shared" si="539"/>
        <v>A50</v>
      </c>
      <c r="P1547" s="15" t="str">
        <f t="shared" si="540"/>
        <v>Rassilon Ltd.</v>
      </c>
      <c r="Q1547" s="15" t="str">
        <f t="shared" si="541"/>
        <v>82 Richard Mathews Road</v>
      </c>
      <c r="R1547" s="3">
        <f>OrdersTable!C1547</f>
        <v>44670</v>
      </c>
      <c r="S1547" s="15">
        <f>OrdersTable!E1547</f>
        <v>6</v>
      </c>
      <c r="T1547" s="15">
        <f t="shared" si="542"/>
        <v>3.99</v>
      </c>
      <c r="U1547" s="15">
        <f t="shared" si="543"/>
        <v>5.46</v>
      </c>
      <c r="V1547" s="15">
        <f t="shared" si="544"/>
        <v>6.46</v>
      </c>
      <c r="W1547" s="15">
        <f>IF(MarkupType="Store Markup",ROUND(V1547+V1547*StoreMarkup,2),IF(MarkupType="Supplier Markup",V1547+V1547*SupplierMarkup,"Error at finding value"))</f>
        <v>10.17</v>
      </c>
      <c r="X1547" s="32" t="str">
        <f t="shared" si="546"/>
        <v>0.00</v>
      </c>
      <c r="Y1547" s="15">
        <f t="shared" si="547"/>
        <v>38.76</v>
      </c>
      <c r="Z1547" s="15">
        <f t="shared" si="548"/>
        <v>61.02</v>
      </c>
      <c r="AA1547" s="15">
        <f>IF(FreightType="Lethbridge-Stewart Freight ",ROUND(2.99+IF(N1547&gt;0.75,(N1547-0.75)*2.25,0)*S1547,2),IF(MarkupType="Supplier Markup",V1547+V1547*SupplierMarkup,"Error at finding value"))</f>
        <v>2.99</v>
      </c>
      <c r="AB1547" s="15">
        <f t="shared" si="549"/>
        <v>0</v>
      </c>
    </row>
    <row r="1548" spans="1:28" x14ac:dyDescent="0.25">
      <c r="A1548" s="16">
        <f>OrdersTable!A1548</f>
        <v>46</v>
      </c>
      <c r="B1548" s="15" t="str">
        <f t="shared" si="529"/>
        <v>Mrs</v>
      </c>
      <c r="C1548" s="15" t="str">
        <f t="shared" si="550"/>
        <v>Dovey</v>
      </c>
      <c r="D1548" s="15" t="str">
        <f t="shared" si="530"/>
        <v>Aisha Jade</v>
      </c>
      <c r="E1548" s="15" t="str">
        <f t="shared" si="531"/>
        <v>43 Wilkes Circuit</v>
      </c>
      <c r="F1548" s="15" t="str">
        <f t="shared" si="532"/>
        <v>Alfredtown</v>
      </c>
      <c r="G1548" s="15" t="str">
        <f t="shared" si="533"/>
        <v>NSW</v>
      </c>
      <c r="H1548" s="15">
        <f t="shared" si="534"/>
        <v>2650</v>
      </c>
      <c r="I1548" s="15">
        <f t="shared" si="545"/>
        <v>1124</v>
      </c>
      <c r="J1548" s="15">
        <f>OrdersTable!B1548</f>
        <v>543</v>
      </c>
      <c r="K1548" s="15" t="str">
        <f t="shared" si="535"/>
        <v>Giftware</v>
      </c>
      <c r="L1548" s="15" t="str">
        <f t="shared" si="536"/>
        <v>Doctor Who: Sonic Screwdriver Pen</v>
      </c>
      <c r="M1548" s="15" t="str">
        <f t="shared" si="537"/>
        <v>-</v>
      </c>
      <c r="N1548" s="15">
        <f t="shared" si="538"/>
        <v>0.65</v>
      </c>
      <c r="O1548" s="15" t="str">
        <f t="shared" si="539"/>
        <v>A20</v>
      </c>
      <c r="P1548" s="15" t="str">
        <f t="shared" si="540"/>
        <v>Morbius Inc.</v>
      </c>
      <c r="Q1548" s="15" t="str">
        <f t="shared" si="541"/>
        <v>56 Michael Spice Hwy</v>
      </c>
      <c r="R1548" s="3">
        <f>OrdersTable!C1548</f>
        <v>44671</v>
      </c>
      <c r="S1548" s="15">
        <f>OrdersTable!E1548</f>
        <v>8</v>
      </c>
      <c r="T1548" s="15">
        <f t="shared" si="542"/>
        <v>12.99</v>
      </c>
      <c r="U1548" s="15">
        <f t="shared" si="543"/>
        <v>18.02</v>
      </c>
      <c r="V1548" s="15">
        <f t="shared" si="544"/>
        <v>21.04</v>
      </c>
      <c r="W1548" s="15">
        <f>IF(MarkupType="Store Markup",ROUND(V1548+V1548*StoreMarkup,2),IF(MarkupType="Supplier Markup",V1548+V1548*SupplierMarkup,"Error at finding value"))</f>
        <v>33.14</v>
      </c>
      <c r="X1548" s="32" t="str">
        <f t="shared" si="546"/>
        <v>0.00</v>
      </c>
      <c r="Y1548" s="15">
        <f t="shared" si="547"/>
        <v>168.32</v>
      </c>
      <c r="Z1548" s="15">
        <f t="shared" si="548"/>
        <v>265.12</v>
      </c>
      <c r="AA1548" s="15">
        <f>IF(FreightType="Lethbridge-Stewart Freight ",ROUND(2.99+IF(N1548&gt;0.75,(N1548-0.75)*2.25,0)*S1548,2),IF(MarkupType="Supplier Markup",V1548+V1548*SupplierMarkup,"Error at finding value"))</f>
        <v>2.99</v>
      </c>
      <c r="AB1548" s="15">
        <f t="shared" si="549"/>
        <v>0</v>
      </c>
    </row>
    <row r="1549" spans="1:28" x14ac:dyDescent="0.25">
      <c r="A1549" s="16">
        <f>OrdersTable!A1549</f>
        <v>282</v>
      </c>
      <c r="B1549" s="15" t="str">
        <f t="shared" si="529"/>
        <v>Dr</v>
      </c>
      <c r="C1549" s="15" t="str">
        <f t="shared" si="550"/>
        <v>Johnson</v>
      </c>
      <c r="D1549" s="15" t="str">
        <f t="shared" si="530"/>
        <v>Samantha Emily Louise</v>
      </c>
      <c r="E1549" s="15" t="str">
        <f t="shared" si="531"/>
        <v>2 Wiggan Avenue</v>
      </c>
      <c r="F1549" s="15" t="str">
        <f t="shared" si="532"/>
        <v>Boston</v>
      </c>
      <c r="G1549" s="15" t="str">
        <f t="shared" si="533"/>
        <v>SA</v>
      </c>
      <c r="H1549" s="15">
        <f t="shared" si="534"/>
        <v>5607</v>
      </c>
      <c r="I1549" s="15">
        <f t="shared" si="545"/>
        <v>2076</v>
      </c>
      <c r="J1549" s="15">
        <f>OrdersTable!B1549</f>
        <v>679</v>
      </c>
      <c r="K1549" s="15" t="str">
        <f t="shared" si="535"/>
        <v>Mugs</v>
      </c>
      <c r="L1549" s="15" t="str">
        <f t="shared" si="536"/>
        <v>Doctor Who: Mug: The Fifth Doctor</v>
      </c>
      <c r="M1549" s="15" t="str">
        <f t="shared" si="537"/>
        <v>-</v>
      </c>
      <c r="N1549" s="15">
        <f t="shared" si="538"/>
        <v>0.45</v>
      </c>
      <c r="O1549" s="15" t="str">
        <f t="shared" si="539"/>
        <v>A40</v>
      </c>
      <c r="P1549" s="15" t="str">
        <f t="shared" si="540"/>
        <v>Romana Imports</v>
      </c>
      <c r="Q1549" s="15" t="str">
        <f t="shared" si="541"/>
        <v>17 Lalla Ward Road</v>
      </c>
      <c r="R1549" s="3">
        <f>OrdersTable!C1549</f>
        <v>44671</v>
      </c>
      <c r="S1549" s="15">
        <f>OrdersTable!E1549</f>
        <v>3</v>
      </c>
      <c r="T1549" s="15">
        <f t="shared" si="542"/>
        <v>8.99</v>
      </c>
      <c r="U1549" s="15">
        <f t="shared" si="543"/>
        <v>12.28</v>
      </c>
      <c r="V1549" s="15">
        <f t="shared" si="544"/>
        <v>14.56</v>
      </c>
      <c r="W1549" s="15">
        <f>IF(MarkupType="Store Markup",ROUND(V1549+V1549*StoreMarkup,2),IF(MarkupType="Supplier Markup",V1549+V1549*SupplierMarkup,"Error at finding value"))</f>
        <v>22.93</v>
      </c>
      <c r="X1549" s="32" t="str">
        <f t="shared" si="546"/>
        <v>0.00</v>
      </c>
      <c r="Y1549" s="15">
        <f t="shared" si="547"/>
        <v>43.68</v>
      </c>
      <c r="Z1549" s="15">
        <f t="shared" si="548"/>
        <v>68.790000000000006</v>
      </c>
      <c r="AA1549" s="15">
        <f>IF(FreightType="Lethbridge-Stewart Freight ",ROUND(2.99+IF(N1549&gt;0.75,(N1549-0.75)*2.25,0)*S1549,2),IF(MarkupType="Supplier Markup",V1549+V1549*SupplierMarkup,"Error at finding value"))</f>
        <v>2.99</v>
      </c>
      <c r="AB1549" s="15">
        <f t="shared" si="549"/>
        <v>0</v>
      </c>
    </row>
    <row r="1550" spans="1:28" x14ac:dyDescent="0.25">
      <c r="A1550" s="16">
        <f>OrdersTable!A1550</f>
        <v>284</v>
      </c>
      <c r="B1550" s="15" t="str">
        <f t="shared" si="529"/>
        <v>Mr</v>
      </c>
      <c r="C1550" s="15" t="str">
        <f t="shared" si="550"/>
        <v>Aitcheson</v>
      </c>
      <c r="D1550" s="15" t="str">
        <f t="shared" si="530"/>
        <v>Ben James</v>
      </c>
      <c r="E1550" s="15" t="str">
        <f t="shared" si="531"/>
        <v>32 Evans Avenue</v>
      </c>
      <c r="F1550" s="15" t="str">
        <f t="shared" si="532"/>
        <v>Batlow</v>
      </c>
      <c r="G1550" s="15" t="str">
        <f t="shared" si="533"/>
        <v>NSW</v>
      </c>
      <c r="H1550" s="15">
        <f t="shared" si="534"/>
        <v>2730</v>
      </c>
      <c r="I1550" s="15">
        <f t="shared" si="545"/>
        <v>1138</v>
      </c>
      <c r="J1550" s="15">
        <f>OrdersTable!B1550</f>
        <v>701</v>
      </c>
      <c r="K1550" s="15" t="str">
        <f t="shared" si="535"/>
        <v>Posters, Prints and Standees</v>
      </c>
      <c r="L1550" s="15" t="str">
        <f t="shared" si="536"/>
        <v>Doctor Who: Half Sized Standee: The TARDIS</v>
      </c>
      <c r="M1550" s="15" t="str">
        <f t="shared" si="537"/>
        <v>-</v>
      </c>
      <c r="N1550" s="15">
        <f t="shared" si="538"/>
        <v>0.5</v>
      </c>
      <c r="O1550" s="15" t="str">
        <f t="shared" si="539"/>
        <v>A40</v>
      </c>
      <c r="P1550" s="15" t="str">
        <f t="shared" si="540"/>
        <v>Romana Imports</v>
      </c>
      <c r="Q1550" s="15" t="str">
        <f t="shared" si="541"/>
        <v>17 Lalla Ward Road</v>
      </c>
      <c r="R1550" s="3">
        <f>OrdersTable!C1550</f>
        <v>44671</v>
      </c>
      <c r="S1550" s="15">
        <f>OrdersTable!E1550</f>
        <v>7</v>
      </c>
      <c r="T1550" s="15">
        <f t="shared" si="542"/>
        <v>9.99</v>
      </c>
      <c r="U1550" s="15">
        <f t="shared" si="543"/>
        <v>13.83</v>
      </c>
      <c r="V1550" s="15">
        <f t="shared" si="544"/>
        <v>16.18</v>
      </c>
      <c r="W1550" s="15">
        <f>IF(MarkupType="Store Markup",ROUND(V1550+V1550*StoreMarkup,2),IF(MarkupType="Supplier Markup",V1550+V1550*SupplierMarkup,"Error at finding value"))</f>
        <v>25.48</v>
      </c>
      <c r="X1550" s="32" t="str">
        <f t="shared" si="546"/>
        <v>0.00</v>
      </c>
      <c r="Y1550" s="15">
        <f t="shared" si="547"/>
        <v>113.26</v>
      </c>
      <c r="Z1550" s="15">
        <f t="shared" si="548"/>
        <v>178.36</v>
      </c>
      <c r="AA1550" s="15">
        <f>IF(FreightType="Lethbridge-Stewart Freight ",ROUND(2.99+IF(N1550&gt;0.75,(N1550-0.75)*2.25,0)*S1550,2),IF(MarkupType="Supplier Markup",V1550+V1550*SupplierMarkup,"Error at finding value"))</f>
        <v>2.99</v>
      </c>
      <c r="AB1550" s="15">
        <f t="shared" si="549"/>
        <v>0</v>
      </c>
    </row>
    <row r="1551" spans="1:28" x14ac:dyDescent="0.25">
      <c r="A1551" s="16">
        <f>OrdersTable!A1551</f>
        <v>285</v>
      </c>
      <c r="B1551" s="15" t="str">
        <f t="shared" si="529"/>
        <v>Mr</v>
      </c>
      <c r="C1551" s="15" t="str">
        <f t="shared" si="550"/>
        <v>Temple Morgan</v>
      </c>
      <c r="D1551" s="15" t="str">
        <f t="shared" si="530"/>
        <v>Mathew Peter</v>
      </c>
      <c r="E1551" s="15" t="str">
        <f t="shared" si="531"/>
        <v>19 Tansky Court</v>
      </c>
      <c r="F1551" s="15" t="str">
        <f t="shared" si="532"/>
        <v>Belford</v>
      </c>
      <c r="G1551" s="15" t="str">
        <f t="shared" si="533"/>
        <v>NSW</v>
      </c>
      <c r="H1551" s="15">
        <f t="shared" si="534"/>
        <v>2335</v>
      </c>
      <c r="I1551" s="15">
        <f t="shared" si="545"/>
        <v>716</v>
      </c>
      <c r="J1551" s="15">
        <f>OrdersTable!B1551</f>
        <v>801</v>
      </c>
      <c r="K1551" s="15" t="str">
        <f t="shared" si="535"/>
        <v>Statues and Busts</v>
      </c>
      <c r="L1551" s="15" t="str">
        <f t="shared" si="536"/>
        <v>Doctor Who: Masterpiece Collection Maxi Bust: 4th Doctor</v>
      </c>
      <c r="M1551" s="15" t="str">
        <f t="shared" si="537"/>
        <v>-</v>
      </c>
      <c r="N1551" s="15">
        <f t="shared" si="538"/>
        <v>2.5</v>
      </c>
      <c r="O1551" s="15" t="str">
        <f t="shared" si="539"/>
        <v>A30</v>
      </c>
      <c r="P1551" s="15" t="str">
        <f t="shared" si="540"/>
        <v>Chesterton Enterprises</v>
      </c>
      <c r="Q1551" s="15" t="str">
        <f t="shared" si="541"/>
        <v>41 William Russell Road</v>
      </c>
      <c r="R1551" s="3">
        <f>OrdersTable!C1551</f>
        <v>44671</v>
      </c>
      <c r="S1551" s="15">
        <f>OrdersTable!E1551</f>
        <v>9</v>
      </c>
      <c r="T1551" s="15">
        <f t="shared" si="542"/>
        <v>49.99</v>
      </c>
      <c r="U1551" s="15">
        <f t="shared" si="543"/>
        <v>68.180000000000007</v>
      </c>
      <c r="V1551" s="15">
        <f t="shared" si="544"/>
        <v>80.98</v>
      </c>
      <c r="W1551" s="15">
        <f>IF(MarkupType="Store Markup",ROUND(V1551+V1551*StoreMarkup,2),IF(MarkupType="Supplier Markup",V1551+V1551*SupplierMarkup,"Error at finding value"))</f>
        <v>127.54</v>
      </c>
      <c r="X1551" s="32">
        <f t="shared" si="546"/>
        <v>9.09</v>
      </c>
      <c r="Y1551" s="15">
        <f t="shared" si="547"/>
        <v>728.82</v>
      </c>
      <c r="Z1551" s="15">
        <f t="shared" si="548"/>
        <v>1066.05</v>
      </c>
      <c r="AA1551" s="15">
        <f>IF(FreightType="Lethbridge-Stewart Freight ",ROUND(2.99+IF(N1551&gt;0.75,(N1551-0.75)*2.25,0)*S1551,2),IF(MarkupType="Supplier Markup",V1551+V1551*SupplierMarkup,"Error at finding value"))</f>
        <v>38.43</v>
      </c>
      <c r="AB1551" s="15">
        <f t="shared" si="549"/>
        <v>81.81</v>
      </c>
    </row>
    <row r="1552" spans="1:28" x14ac:dyDescent="0.25">
      <c r="A1552" s="16">
        <f>OrdersTable!A1552</f>
        <v>323</v>
      </c>
      <c r="B1552" s="15" t="str">
        <f t="shared" si="529"/>
        <v>Dr</v>
      </c>
      <c r="C1552" s="15" t="str">
        <f t="shared" si="550"/>
        <v>King</v>
      </c>
      <c r="D1552" s="15" t="str">
        <f t="shared" si="530"/>
        <v>Leith</v>
      </c>
      <c r="E1552" s="15" t="str">
        <f t="shared" si="531"/>
        <v>25 Carbone Court</v>
      </c>
      <c r="F1552" s="15" t="str">
        <f t="shared" si="532"/>
        <v>Nayook</v>
      </c>
      <c r="G1552" s="15" t="str">
        <f t="shared" si="533"/>
        <v>VIC</v>
      </c>
      <c r="H1552" s="15">
        <f t="shared" si="534"/>
        <v>3832</v>
      </c>
      <c r="I1552" s="15">
        <f t="shared" si="545"/>
        <v>1552</v>
      </c>
      <c r="J1552" s="15">
        <f>OrdersTable!B1552</f>
        <v>782</v>
      </c>
      <c r="K1552" s="15" t="str">
        <f t="shared" si="535"/>
        <v>Statues and Busts</v>
      </c>
      <c r="L1552" s="15" t="str">
        <f t="shared" si="536"/>
        <v>Doctor Who: Masterpiece Collection Maxi Bust: 10th Doctor</v>
      </c>
      <c r="M1552" s="15" t="str">
        <f t="shared" si="537"/>
        <v>-</v>
      </c>
      <c r="N1552" s="15">
        <f t="shared" si="538"/>
        <v>2.5</v>
      </c>
      <c r="O1552" s="15" t="str">
        <f t="shared" si="539"/>
        <v>A30</v>
      </c>
      <c r="P1552" s="15" t="str">
        <f t="shared" si="540"/>
        <v>Chesterton Enterprises</v>
      </c>
      <c r="Q1552" s="15" t="str">
        <f t="shared" si="541"/>
        <v>41 William Russell Road</v>
      </c>
      <c r="R1552" s="3">
        <f>OrdersTable!C1552</f>
        <v>44671</v>
      </c>
      <c r="S1552" s="15">
        <f>OrdersTable!E1552</f>
        <v>3</v>
      </c>
      <c r="T1552" s="15">
        <f t="shared" si="542"/>
        <v>49.99</v>
      </c>
      <c r="U1552" s="15">
        <f t="shared" si="543"/>
        <v>68.5</v>
      </c>
      <c r="V1552" s="15">
        <f t="shared" si="544"/>
        <v>80.98</v>
      </c>
      <c r="W1552" s="15">
        <f>IF(MarkupType="Store Markup",ROUND(V1552+V1552*StoreMarkup,2),IF(MarkupType="Supplier Markup",V1552+V1552*SupplierMarkup,"Error at finding value"))</f>
        <v>127.54</v>
      </c>
      <c r="X1552" s="32">
        <f t="shared" si="546"/>
        <v>9.09</v>
      </c>
      <c r="Y1552" s="15">
        <f t="shared" si="547"/>
        <v>242.94</v>
      </c>
      <c r="Z1552" s="15">
        <f t="shared" si="548"/>
        <v>355.35</v>
      </c>
      <c r="AA1552" s="15">
        <f>IF(FreightType="Lethbridge-Stewart Freight ",ROUND(2.99+IF(N1552&gt;0.75,(N1552-0.75)*2.25,0)*S1552,2),IF(MarkupType="Supplier Markup",V1552+V1552*SupplierMarkup,"Error at finding value"))</f>
        <v>14.8</v>
      </c>
      <c r="AB1552" s="15">
        <f t="shared" si="549"/>
        <v>27.27</v>
      </c>
    </row>
    <row r="1553" spans="1:28" x14ac:dyDescent="0.25">
      <c r="A1553" s="16">
        <f>OrdersTable!A1553</f>
        <v>333</v>
      </c>
      <c r="B1553" s="15" t="str">
        <f t="shared" si="529"/>
        <v>Mr</v>
      </c>
      <c r="C1553" s="15" t="str">
        <f t="shared" si="550"/>
        <v>Martin</v>
      </c>
      <c r="D1553" s="15" t="str">
        <f t="shared" si="530"/>
        <v>Damien Roger</v>
      </c>
      <c r="E1553" s="15" t="str">
        <f t="shared" si="531"/>
        <v>23 Quennell Way</v>
      </c>
      <c r="F1553" s="15" t="str">
        <f t="shared" si="532"/>
        <v>Aberfoyle</v>
      </c>
      <c r="G1553" s="15" t="str">
        <f t="shared" si="533"/>
        <v>NSW</v>
      </c>
      <c r="H1553" s="15">
        <f t="shared" si="534"/>
        <v>2350</v>
      </c>
      <c r="I1553" s="15">
        <f t="shared" si="545"/>
        <v>363</v>
      </c>
      <c r="J1553" s="15">
        <f>OrdersTable!B1553</f>
        <v>719</v>
      </c>
      <c r="K1553" s="15" t="str">
        <f t="shared" si="535"/>
        <v>Posters, Prints and Standees</v>
      </c>
      <c r="L1553" s="15" t="str">
        <f t="shared" si="536"/>
        <v>Doctor Who: Standee: Supreme Dalek</v>
      </c>
      <c r="M1553" s="15" t="str">
        <f t="shared" si="537"/>
        <v>-</v>
      </c>
      <c r="N1553" s="15">
        <f t="shared" si="538"/>
        <v>1.125</v>
      </c>
      <c r="O1553" s="15" t="str">
        <f t="shared" si="539"/>
        <v>A50</v>
      </c>
      <c r="P1553" s="15" t="str">
        <f t="shared" si="540"/>
        <v>Rassilon Ltd.</v>
      </c>
      <c r="Q1553" s="15" t="str">
        <f t="shared" si="541"/>
        <v>82 Richard Mathews Road</v>
      </c>
      <c r="R1553" s="3">
        <f>OrdersTable!C1553</f>
        <v>44671</v>
      </c>
      <c r="S1553" s="15">
        <f>OrdersTable!E1553</f>
        <v>9</v>
      </c>
      <c r="T1553" s="15">
        <f t="shared" si="542"/>
        <v>22.49</v>
      </c>
      <c r="U1553" s="15">
        <f t="shared" si="543"/>
        <v>30.76</v>
      </c>
      <c r="V1553" s="15">
        <f t="shared" si="544"/>
        <v>36.43</v>
      </c>
      <c r="W1553" s="15">
        <f>IF(MarkupType="Store Markup",ROUND(V1553+V1553*StoreMarkup,2),IF(MarkupType="Supplier Markup",V1553+V1553*SupplierMarkup,"Error at finding value"))</f>
        <v>57.38</v>
      </c>
      <c r="X1553" s="32" t="str">
        <f t="shared" si="546"/>
        <v>0.00</v>
      </c>
      <c r="Y1553" s="15">
        <f t="shared" si="547"/>
        <v>327.87</v>
      </c>
      <c r="Z1553" s="15">
        <f t="shared" si="548"/>
        <v>516.41999999999996</v>
      </c>
      <c r="AA1553" s="15">
        <f>IF(FreightType="Lethbridge-Stewart Freight ",ROUND(2.99+IF(N1553&gt;0.75,(N1553-0.75)*2.25,0)*S1553,2),IF(MarkupType="Supplier Markup",V1553+V1553*SupplierMarkup,"Error at finding value"))</f>
        <v>10.58</v>
      </c>
      <c r="AB1553" s="15">
        <f t="shared" si="549"/>
        <v>0</v>
      </c>
    </row>
    <row r="1554" spans="1:28" x14ac:dyDescent="0.25">
      <c r="A1554" s="16">
        <f>OrdersTable!A1554</f>
        <v>416</v>
      </c>
      <c r="B1554" s="15" t="str">
        <f t="shared" si="529"/>
        <v>Mr</v>
      </c>
      <c r="C1554" s="15" t="str">
        <f t="shared" si="550"/>
        <v>Mohammed</v>
      </c>
      <c r="D1554" s="15" t="str">
        <f t="shared" si="530"/>
        <v>Ahmed</v>
      </c>
      <c r="E1554" s="15" t="str">
        <f t="shared" si="531"/>
        <v>35 Ridley Avenue</v>
      </c>
      <c r="F1554" s="15" t="str">
        <f t="shared" si="532"/>
        <v>Iluka</v>
      </c>
      <c r="G1554" s="15" t="str">
        <f t="shared" si="533"/>
        <v>NSW</v>
      </c>
      <c r="H1554" s="15">
        <f t="shared" si="534"/>
        <v>2466</v>
      </c>
      <c r="I1554" s="15">
        <f t="shared" si="545"/>
        <v>347</v>
      </c>
      <c r="J1554" s="15">
        <f>OrdersTable!B1554</f>
        <v>694</v>
      </c>
      <c r="K1554" s="15" t="str">
        <f t="shared" si="535"/>
        <v>Posters, Prints and Standees</v>
      </c>
      <c r="L1554" s="15" t="str">
        <f t="shared" si="536"/>
        <v>Doctor Who: 16'x12' Framed Print: Hide</v>
      </c>
      <c r="M1554" s="15" t="str">
        <f t="shared" si="537"/>
        <v>-</v>
      </c>
      <c r="N1554" s="15">
        <f t="shared" si="538"/>
        <v>0.75</v>
      </c>
      <c r="O1554" s="15" t="str">
        <f t="shared" si="539"/>
        <v>A40</v>
      </c>
      <c r="P1554" s="15" t="str">
        <f t="shared" si="540"/>
        <v>Romana Imports</v>
      </c>
      <c r="Q1554" s="15" t="str">
        <f t="shared" si="541"/>
        <v>17 Lalla Ward Road</v>
      </c>
      <c r="R1554" s="3">
        <f>OrdersTable!C1554</f>
        <v>44671</v>
      </c>
      <c r="S1554" s="15">
        <f>OrdersTable!E1554</f>
        <v>3</v>
      </c>
      <c r="T1554" s="15">
        <f t="shared" si="542"/>
        <v>14.99</v>
      </c>
      <c r="U1554" s="15">
        <f t="shared" si="543"/>
        <v>20.49</v>
      </c>
      <c r="V1554" s="15">
        <f t="shared" si="544"/>
        <v>24.28</v>
      </c>
      <c r="W1554" s="15">
        <f>IF(MarkupType="Store Markup",ROUND(V1554+V1554*StoreMarkup,2),IF(MarkupType="Supplier Markup",V1554+V1554*SupplierMarkup,"Error at finding value"))</f>
        <v>38.24</v>
      </c>
      <c r="X1554" s="32" t="str">
        <f t="shared" si="546"/>
        <v>0.00</v>
      </c>
      <c r="Y1554" s="15">
        <f t="shared" si="547"/>
        <v>72.84</v>
      </c>
      <c r="Z1554" s="15">
        <f t="shared" si="548"/>
        <v>114.72</v>
      </c>
      <c r="AA1554" s="15">
        <f>IF(FreightType="Lethbridge-Stewart Freight ",ROUND(2.99+IF(N1554&gt;0.75,(N1554-0.75)*2.25,0)*S1554,2),IF(MarkupType="Supplier Markup",V1554+V1554*SupplierMarkup,"Error at finding value"))</f>
        <v>2.99</v>
      </c>
      <c r="AB1554" s="15">
        <f t="shared" si="549"/>
        <v>0</v>
      </c>
    </row>
    <row r="1555" spans="1:28" x14ac:dyDescent="0.25">
      <c r="A1555" s="16">
        <f>OrdersTable!A1555</f>
        <v>501</v>
      </c>
      <c r="B1555" s="15" t="str">
        <f t="shared" si="529"/>
        <v>Miss</v>
      </c>
      <c r="C1555" s="15" t="str">
        <f t="shared" si="550"/>
        <v>Tharenou</v>
      </c>
      <c r="D1555" s="15" t="str">
        <f t="shared" si="530"/>
        <v>Kimberley Jacinta</v>
      </c>
      <c r="E1555" s="15" t="str">
        <f t="shared" si="531"/>
        <v>49 Moncada Circuit</v>
      </c>
      <c r="F1555" s="15" t="str">
        <f t="shared" si="532"/>
        <v>Belford</v>
      </c>
      <c r="G1555" s="15" t="str">
        <f t="shared" si="533"/>
        <v>NSW</v>
      </c>
      <c r="H1555" s="15">
        <f t="shared" si="534"/>
        <v>2335</v>
      </c>
      <c r="I1555" s="15">
        <f t="shared" si="545"/>
        <v>716</v>
      </c>
      <c r="J1555" s="15">
        <f>OrdersTable!B1555</f>
        <v>590</v>
      </c>
      <c r="K1555" s="15" t="str">
        <f t="shared" si="535"/>
        <v>iPhone Skins</v>
      </c>
      <c r="L1555" s="15" t="str">
        <f t="shared" si="536"/>
        <v>Doctor Who: iPhone Skin: Exploding TARDIS</v>
      </c>
      <c r="M1555" s="15" t="str">
        <f t="shared" si="537"/>
        <v>-</v>
      </c>
      <c r="N1555" s="15">
        <f t="shared" si="538"/>
        <v>0.5</v>
      </c>
      <c r="O1555" s="15" t="str">
        <f t="shared" si="539"/>
        <v>A20</v>
      </c>
      <c r="P1555" s="15" t="str">
        <f t="shared" si="540"/>
        <v>Morbius Inc.</v>
      </c>
      <c r="Q1555" s="15" t="str">
        <f t="shared" si="541"/>
        <v>56 Michael Spice Hwy</v>
      </c>
      <c r="R1555" s="3">
        <f>OrdersTable!C1555</f>
        <v>44671</v>
      </c>
      <c r="S1555" s="15">
        <f>OrdersTable!E1555</f>
        <v>3</v>
      </c>
      <c r="T1555" s="15">
        <f t="shared" si="542"/>
        <v>9.99</v>
      </c>
      <c r="U1555" s="15">
        <f t="shared" si="543"/>
        <v>13.86</v>
      </c>
      <c r="V1555" s="15">
        <f t="shared" si="544"/>
        <v>16.18</v>
      </c>
      <c r="W1555" s="15">
        <f>IF(MarkupType="Store Markup",ROUND(V1555+V1555*StoreMarkup,2),IF(MarkupType="Supplier Markup",V1555+V1555*SupplierMarkup,"Error at finding value"))</f>
        <v>25.48</v>
      </c>
      <c r="X1555" s="32" t="str">
        <f t="shared" si="546"/>
        <v>0.00</v>
      </c>
      <c r="Y1555" s="15">
        <f t="shared" si="547"/>
        <v>48.54</v>
      </c>
      <c r="Z1555" s="15">
        <f t="shared" si="548"/>
        <v>76.44</v>
      </c>
      <c r="AA1555" s="15">
        <f>IF(FreightType="Lethbridge-Stewart Freight ",ROUND(2.99+IF(N1555&gt;0.75,(N1555-0.75)*2.25,0)*S1555,2),IF(MarkupType="Supplier Markup",V1555+V1555*SupplierMarkup,"Error at finding value"))</f>
        <v>2.99</v>
      </c>
      <c r="AB1555" s="15">
        <f t="shared" si="549"/>
        <v>0</v>
      </c>
    </row>
    <row r="1556" spans="1:28" x14ac:dyDescent="0.25">
      <c r="A1556" s="16">
        <f>OrdersTable!A1556</f>
        <v>543</v>
      </c>
      <c r="B1556" s="15" t="str">
        <f t="shared" si="529"/>
        <v>Ms</v>
      </c>
      <c r="C1556" s="15" t="str">
        <f t="shared" si="550"/>
        <v>Mendezona</v>
      </c>
      <c r="D1556" s="15" t="str">
        <f t="shared" si="530"/>
        <v>Tara Colleen-Mary</v>
      </c>
      <c r="E1556" s="15" t="str">
        <f t="shared" si="531"/>
        <v>27 Picone Drive</v>
      </c>
      <c r="F1556" s="15" t="str">
        <f t="shared" si="532"/>
        <v>Aberfoyle</v>
      </c>
      <c r="G1556" s="15" t="str">
        <f t="shared" si="533"/>
        <v>NSW</v>
      </c>
      <c r="H1556" s="15">
        <f t="shared" si="534"/>
        <v>2350</v>
      </c>
      <c r="I1556" s="15">
        <f t="shared" si="545"/>
        <v>363</v>
      </c>
      <c r="J1556" s="15">
        <f>OrdersTable!B1556</f>
        <v>453</v>
      </c>
      <c r="K1556" s="15" t="str">
        <f t="shared" si="535"/>
        <v>Giftware</v>
      </c>
      <c r="L1556" s="15" t="str">
        <f t="shared" si="536"/>
        <v>Doctor Who: Ceramic Cookie Jar: TARDIS</v>
      </c>
      <c r="M1556" s="15" t="str">
        <f t="shared" si="537"/>
        <v>-</v>
      </c>
      <c r="N1556" s="15">
        <f t="shared" si="538"/>
        <v>1.35</v>
      </c>
      <c r="O1556" s="15" t="str">
        <f t="shared" si="539"/>
        <v>A40</v>
      </c>
      <c r="P1556" s="15" t="str">
        <f t="shared" si="540"/>
        <v>Romana Imports</v>
      </c>
      <c r="Q1556" s="15" t="str">
        <f t="shared" si="541"/>
        <v>17 Lalla Ward Road</v>
      </c>
      <c r="R1556" s="3">
        <f>OrdersTable!C1556</f>
        <v>44671</v>
      </c>
      <c r="S1556" s="15">
        <f>OrdersTable!E1556</f>
        <v>2</v>
      </c>
      <c r="T1556" s="15">
        <f t="shared" si="542"/>
        <v>26.99</v>
      </c>
      <c r="U1556" s="15">
        <f t="shared" si="543"/>
        <v>37.119999999999997</v>
      </c>
      <c r="V1556" s="15">
        <f t="shared" si="544"/>
        <v>43.72</v>
      </c>
      <c r="W1556" s="15">
        <f>IF(MarkupType="Store Markup",ROUND(V1556+V1556*StoreMarkup,2),IF(MarkupType="Supplier Markup",V1556+V1556*SupplierMarkup,"Error at finding value"))</f>
        <v>68.86</v>
      </c>
      <c r="X1556" s="32" t="str">
        <f t="shared" si="546"/>
        <v>0.00</v>
      </c>
      <c r="Y1556" s="15">
        <f t="shared" si="547"/>
        <v>87.44</v>
      </c>
      <c r="Z1556" s="15">
        <f t="shared" si="548"/>
        <v>137.72</v>
      </c>
      <c r="AA1556" s="15">
        <f>IF(FreightType="Lethbridge-Stewart Freight ",ROUND(2.99+IF(N1556&gt;0.75,(N1556-0.75)*2.25,0)*S1556,2),IF(MarkupType="Supplier Markup",V1556+V1556*SupplierMarkup,"Error at finding value"))</f>
        <v>5.69</v>
      </c>
      <c r="AB1556" s="15">
        <f t="shared" si="549"/>
        <v>0</v>
      </c>
    </row>
    <row r="1557" spans="1:28" x14ac:dyDescent="0.25">
      <c r="A1557" s="16">
        <f>OrdersTable!A1557</f>
        <v>557</v>
      </c>
      <c r="B1557" s="15" t="str">
        <f t="shared" si="529"/>
        <v>Mrs</v>
      </c>
      <c r="C1557" s="15" t="str">
        <f t="shared" si="550"/>
        <v>Allen</v>
      </c>
      <c r="D1557" s="15" t="str">
        <f t="shared" si="530"/>
        <v>Morgan</v>
      </c>
      <c r="E1557" s="15" t="str">
        <f t="shared" si="531"/>
        <v>15 Winsor Street</v>
      </c>
      <c r="F1557" s="15" t="str">
        <f t="shared" si="532"/>
        <v>Appletree Flat</v>
      </c>
      <c r="G1557" s="15" t="str">
        <f t="shared" si="533"/>
        <v>NSW</v>
      </c>
      <c r="H1557" s="15">
        <f t="shared" si="534"/>
        <v>2330</v>
      </c>
      <c r="I1557" s="15">
        <f t="shared" si="545"/>
        <v>691</v>
      </c>
      <c r="J1557" s="15">
        <f>OrdersTable!B1557</f>
        <v>667</v>
      </c>
      <c r="K1557" s="15" t="str">
        <f t="shared" si="535"/>
        <v>Mugs</v>
      </c>
      <c r="L1557" s="15" t="str">
        <f t="shared" si="536"/>
        <v>Doctor Who: Mug: Keep Calm And Don't Blink</v>
      </c>
      <c r="M1557" s="15" t="str">
        <f t="shared" si="537"/>
        <v>-</v>
      </c>
      <c r="N1557" s="15">
        <f t="shared" si="538"/>
        <v>0.35</v>
      </c>
      <c r="O1557" s="15" t="str">
        <f t="shared" si="539"/>
        <v>A10</v>
      </c>
      <c r="P1557" s="15" t="str">
        <f t="shared" si="540"/>
        <v>Gallifrey International</v>
      </c>
      <c r="Q1557" s="15" t="str">
        <f t="shared" si="541"/>
        <v>181 Arcadia Street</v>
      </c>
      <c r="R1557" s="3">
        <f>OrdersTable!C1557</f>
        <v>44671</v>
      </c>
      <c r="S1557" s="15">
        <f>OrdersTable!E1557</f>
        <v>9</v>
      </c>
      <c r="T1557" s="15">
        <f t="shared" si="542"/>
        <v>6.99</v>
      </c>
      <c r="U1557" s="15">
        <f t="shared" si="543"/>
        <v>9.84</v>
      </c>
      <c r="V1557" s="15">
        <f t="shared" si="544"/>
        <v>11.32</v>
      </c>
      <c r="W1557" s="15">
        <f>IF(MarkupType="Store Markup",ROUND(V1557+V1557*StoreMarkup,2),IF(MarkupType="Supplier Markup",V1557+V1557*SupplierMarkup,"Error at finding value"))</f>
        <v>17.829999999999998</v>
      </c>
      <c r="X1557" s="32" t="str">
        <f t="shared" si="546"/>
        <v>0.00</v>
      </c>
      <c r="Y1557" s="15">
        <f t="shared" si="547"/>
        <v>101.88</v>
      </c>
      <c r="Z1557" s="15">
        <f t="shared" si="548"/>
        <v>160.47</v>
      </c>
      <c r="AA1557" s="15">
        <f>IF(FreightType="Lethbridge-Stewart Freight ",ROUND(2.99+IF(N1557&gt;0.75,(N1557-0.75)*2.25,0)*S1557,2),IF(MarkupType="Supplier Markup",V1557+V1557*SupplierMarkup,"Error at finding value"))</f>
        <v>2.99</v>
      </c>
      <c r="AB1557" s="15">
        <f t="shared" si="549"/>
        <v>0</v>
      </c>
    </row>
    <row r="1558" spans="1:28" x14ac:dyDescent="0.25">
      <c r="A1558" s="16">
        <f>OrdersTable!A1558</f>
        <v>573</v>
      </c>
      <c r="B1558" s="15" t="str">
        <f t="shared" si="529"/>
        <v>Mrs</v>
      </c>
      <c r="C1558" s="15" t="str">
        <f t="shared" si="550"/>
        <v>Hollonds</v>
      </c>
      <c r="D1558" s="15" t="str">
        <f t="shared" si="530"/>
        <v>Suzan</v>
      </c>
      <c r="E1558" s="15" t="str">
        <f t="shared" si="531"/>
        <v>49 Patel Way</v>
      </c>
      <c r="F1558" s="15" t="str">
        <f t="shared" si="532"/>
        <v>Belconnen</v>
      </c>
      <c r="G1558" s="15" t="str">
        <f t="shared" si="533"/>
        <v>ACT</v>
      </c>
      <c r="H1558" s="15">
        <f t="shared" si="534"/>
        <v>2617</v>
      </c>
      <c r="I1558" s="15">
        <f t="shared" si="545"/>
        <v>1194</v>
      </c>
      <c r="J1558" s="15">
        <f>OrdersTable!B1558</f>
        <v>590</v>
      </c>
      <c r="K1558" s="15" t="str">
        <f t="shared" si="535"/>
        <v>iPhone Skins</v>
      </c>
      <c r="L1558" s="15" t="str">
        <f t="shared" si="536"/>
        <v>Doctor Who: iPhone Skin: Exploding TARDIS</v>
      </c>
      <c r="M1558" s="15" t="str">
        <f t="shared" si="537"/>
        <v>-</v>
      </c>
      <c r="N1558" s="15">
        <f t="shared" si="538"/>
        <v>0.5</v>
      </c>
      <c r="O1558" s="15" t="str">
        <f t="shared" si="539"/>
        <v>A20</v>
      </c>
      <c r="P1558" s="15" t="str">
        <f t="shared" si="540"/>
        <v>Morbius Inc.</v>
      </c>
      <c r="Q1558" s="15" t="str">
        <f t="shared" si="541"/>
        <v>56 Michael Spice Hwy</v>
      </c>
      <c r="R1558" s="3">
        <f>OrdersTable!C1558</f>
        <v>44671</v>
      </c>
      <c r="S1558" s="15">
        <f>OrdersTable!E1558</f>
        <v>3</v>
      </c>
      <c r="T1558" s="15">
        <f t="shared" si="542"/>
        <v>9.99</v>
      </c>
      <c r="U1558" s="15">
        <f t="shared" si="543"/>
        <v>13.86</v>
      </c>
      <c r="V1558" s="15">
        <f t="shared" si="544"/>
        <v>16.18</v>
      </c>
      <c r="W1558" s="15">
        <f>IF(MarkupType="Store Markup",ROUND(V1558+V1558*StoreMarkup,2),IF(MarkupType="Supplier Markup",V1558+V1558*SupplierMarkup,"Error at finding value"))</f>
        <v>25.48</v>
      </c>
      <c r="X1558" s="32" t="str">
        <f t="shared" si="546"/>
        <v>0.00</v>
      </c>
      <c r="Y1558" s="15">
        <f t="shared" si="547"/>
        <v>48.54</v>
      </c>
      <c r="Z1558" s="15">
        <f t="shared" si="548"/>
        <v>76.44</v>
      </c>
      <c r="AA1558" s="15">
        <f>IF(FreightType="Lethbridge-Stewart Freight ",ROUND(2.99+IF(N1558&gt;0.75,(N1558-0.75)*2.25,0)*S1558,2),IF(MarkupType="Supplier Markup",V1558+V1558*SupplierMarkup,"Error at finding value"))</f>
        <v>2.99</v>
      </c>
      <c r="AB1558" s="15">
        <f t="shared" si="549"/>
        <v>0</v>
      </c>
    </row>
    <row r="1559" spans="1:28" x14ac:dyDescent="0.25">
      <c r="A1559" s="16">
        <f>OrdersTable!A1559</f>
        <v>585</v>
      </c>
      <c r="B1559" s="15" t="str">
        <f t="shared" si="529"/>
        <v>Miss</v>
      </c>
      <c r="C1559" s="15" t="str">
        <f t="shared" si="550"/>
        <v>Long</v>
      </c>
      <c r="D1559" s="15" t="str">
        <f t="shared" si="530"/>
        <v>Bellinda May</v>
      </c>
      <c r="E1559" s="15" t="str">
        <f t="shared" si="531"/>
        <v>5 Hutcheson Avenue</v>
      </c>
      <c r="F1559" s="15" t="str">
        <f t="shared" si="532"/>
        <v>Glenfern</v>
      </c>
      <c r="G1559" s="15" t="str">
        <f t="shared" si="533"/>
        <v>QLD</v>
      </c>
      <c r="H1559" s="15">
        <f t="shared" si="534"/>
        <v>4515</v>
      </c>
      <c r="I1559" s="15">
        <f t="shared" si="545"/>
        <v>128</v>
      </c>
      <c r="J1559" s="15">
        <f>OrdersTable!B1559</f>
        <v>358</v>
      </c>
      <c r="K1559" s="15" t="str">
        <f t="shared" si="535"/>
        <v>Clothing and Apparel</v>
      </c>
      <c r="L1559" s="15" t="str">
        <f t="shared" si="536"/>
        <v xml:space="preserve">Doctor Who: T-Shirts: 5th Doctor Costume </v>
      </c>
      <c r="M1559" s="15" t="str">
        <f t="shared" si="537"/>
        <v>M</v>
      </c>
      <c r="N1559" s="15">
        <f t="shared" si="538"/>
        <v>0.8</v>
      </c>
      <c r="O1559" s="15" t="str">
        <f t="shared" si="539"/>
        <v>A30</v>
      </c>
      <c r="P1559" s="15" t="str">
        <f t="shared" si="540"/>
        <v>Chesterton Enterprises</v>
      </c>
      <c r="Q1559" s="15" t="str">
        <f t="shared" si="541"/>
        <v>41 William Russell Road</v>
      </c>
      <c r="R1559" s="3">
        <f>OrdersTable!C1559</f>
        <v>44671</v>
      </c>
      <c r="S1559" s="15">
        <f>OrdersTable!E1559</f>
        <v>10</v>
      </c>
      <c r="T1559" s="15">
        <f t="shared" si="542"/>
        <v>15.99</v>
      </c>
      <c r="U1559" s="15">
        <f t="shared" si="543"/>
        <v>21.96</v>
      </c>
      <c r="V1559" s="15">
        <f t="shared" si="544"/>
        <v>25.9</v>
      </c>
      <c r="W1559" s="15">
        <f>IF(MarkupType="Store Markup",ROUND(V1559+V1559*StoreMarkup,2),IF(MarkupType="Supplier Markup",V1559+V1559*SupplierMarkup,"Error at finding value"))</f>
        <v>40.79</v>
      </c>
      <c r="X1559" s="32" t="str">
        <f t="shared" si="546"/>
        <v>0.00</v>
      </c>
      <c r="Y1559" s="15">
        <f t="shared" si="547"/>
        <v>259</v>
      </c>
      <c r="Z1559" s="15">
        <f t="shared" si="548"/>
        <v>407.9</v>
      </c>
      <c r="AA1559" s="15">
        <f>IF(FreightType="Lethbridge-Stewart Freight ",ROUND(2.99+IF(N1559&gt;0.75,(N1559-0.75)*2.25,0)*S1559,2),IF(MarkupType="Supplier Markup",V1559+V1559*SupplierMarkup,"Error at finding value"))</f>
        <v>4.12</v>
      </c>
      <c r="AB1559" s="15">
        <f t="shared" si="549"/>
        <v>0</v>
      </c>
    </row>
    <row r="1560" spans="1:28" x14ac:dyDescent="0.25">
      <c r="A1560" s="16">
        <f>OrdersTable!A1560</f>
        <v>634</v>
      </c>
      <c r="B1560" s="15" t="str">
        <f t="shared" si="529"/>
        <v>Miss</v>
      </c>
      <c r="C1560" s="15" t="str">
        <f t="shared" si="550"/>
        <v>Betts</v>
      </c>
      <c r="D1560" s="15" t="str">
        <f t="shared" si="530"/>
        <v>Melissa Leigh</v>
      </c>
      <c r="E1560" s="15" t="str">
        <f t="shared" si="531"/>
        <v>4 Aitcheson Drive</v>
      </c>
      <c r="F1560" s="15" t="str">
        <f t="shared" si="532"/>
        <v>Bray Park</v>
      </c>
      <c r="G1560" s="15" t="str">
        <f t="shared" si="533"/>
        <v>QLD</v>
      </c>
      <c r="H1560" s="15">
        <f t="shared" si="534"/>
        <v>4500</v>
      </c>
      <c r="I1560" s="15">
        <f t="shared" si="545"/>
        <v>139</v>
      </c>
      <c r="J1560" s="15">
        <f>OrdersTable!B1560</f>
        <v>580</v>
      </c>
      <c r="K1560" s="15" t="str">
        <f t="shared" si="535"/>
        <v>Giftware</v>
      </c>
      <c r="L1560" s="15" t="str">
        <f t="shared" si="536"/>
        <v>Doctor Who: Wallpaper: Classic TARDIS Columns</v>
      </c>
      <c r="M1560" s="15" t="str">
        <f t="shared" si="537"/>
        <v>-</v>
      </c>
      <c r="N1560" s="15">
        <f t="shared" si="538"/>
        <v>0.65500000000000003</v>
      </c>
      <c r="O1560" s="15" t="str">
        <f t="shared" si="539"/>
        <v>A50</v>
      </c>
      <c r="P1560" s="15" t="str">
        <f t="shared" si="540"/>
        <v>Rassilon Ltd.</v>
      </c>
      <c r="Q1560" s="15" t="str">
        <f t="shared" si="541"/>
        <v>82 Richard Mathews Road</v>
      </c>
      <c r="R1560" s="3">
        <f>OrdersTable!C1560</f>
        <v>44671</v>
      </c>
      <c r="S1560" s="15">
        <f>OrdersTable!E1560</f>
        <v>7</v>
      </c>
      <c r="T1560" s="15">
        <f t="shared" si="542"/>
        <v>13.11</v>
      </c>
      <c r="U1560" s="15">
        <f t="shared" si="543"/>
        <v>18.18</v>
      </c>
      <c r="V1560" s="15">
        <f t="shared" si="544"/>
        <v>21.24</v>
      </c>
      <c r="W1560" s="15">
        <f>IF(MarkupType="Store Markup",ROUND(V1560+V1560*StoreMarkup,2),IF(MarkupType="Supplier Markup",V1560+V1560*SupplierMarkup,"Error at finding value"))</f>
        <v>33.450000000000003</v>
      </c>
      <c r="X1560" s="32" t="str">
        <f t="shared" si="546"/>
        <v>0.00</v>
      </c>
      <c r="Y1560" s="15">
        <f t="shared" si="547"/>
        <v>148.68</v>
      </c>
      <c r="Z1560" s="15">
        <f t="shared" si="548"/>
        <v>234.15</v>
      </c>
      <c r="AA1560" s="15">
        <f>IF(FreightType="Lethbridge-Stewart Freight ",ROUND(2.99+IF(N1560&gt;0.75,(N1560-0.75)*2.25,0)*S1560,2),IF(MarkupType="Supplier Markup",V1560+V1560*SupplierMarkup,"Error at finding value"))</f>
        <v>2.99</v>
      </c>
      <c r="AB1560" s="15">
        <f t="shared" si="549"/>
        <v>0</v>
      </c>
    </row>
    <row r="1561" spans="1:28" x14ac:dyDescent="0.25">
      <c r="A1561" s="16">
        <f>OrdersTable!A1561</f>
        <v>823</v>
      </c>
      <c r="B1561" s="15" t="str">
        <f t="shared" si="529"/>
        <v>Mrs</v>
      </c>
      <c r="C1561" s="15" t="str">
        <f t="shared" si="550"/>
        <v>Riordan</v>
      </c>
      <c r="D1561" s="15" t="str">
        <f t="shared" si="530"/>
        <v>Brianna Leigh</v>
      </c>
      <c r="E1561" s="15" t="str">
        <f t="shared" si="531"/>
        <v>7 Boyd Crescent</v>
      </c>
      <c r="F1561" s="15" t="str">
        <f t="shared" si="532"/>
        <v>Bamboo</v>
      </c>
      <c r="G1561" s="15" t="str">
        <f t="shared" si="533"/>
        <v>QLD</v>
      </c>
      <c r="H1561" s="15">
        <f t="shared" si="534"/>
        <v>4873</v>
      </c>
      <c r="I1561" s="15">
        <f t="shared" si="545"/>
        <v>1741</v>
      </c>
      <c r="J1561" s="15">
        <f>OrdersTable!B1561</f>
        <v>699</v>
      </c>
      <c r="K1561" s="15" t="str">
        <f t="shared" si="535"/>
        <v>Posters, Prints and Standees</v>
      </c>
      <c r="L1561" s="15" t="str">
        <f t="shared" si="536"/>
        <v>Doctor Who: Half Sized Standee: The Master</v>
      </c>
      <c r="M1561" s="15" t="str">
        <f t="shared" si="537"/>
        <v>-</v>
      </c>
      <c r="N1561" s="15">
        <f t="shared" si="538"/>
        <v>0.5</v>
      </c>
      <c r="O1561" s="15" t="str">
        <f t="shared" si="539"/>
        <v>A20</v>
      </c>
      <c r="P1561" s="15" t="str">
        <f t="shared" si="540"/>
        <v>Morbius Inc.</v>
      </c>
      <c r="Q1561" s="15" t="str">
        <f t="shared" si="541"/>
        <v>56 Michael Spice Hwy</v>
      </c>
      <c r="R1561" s="3">
        <f>OrdersTable!C1561</f>
        <v>44671</v>
      </c>
      <c r="S1561" s="15">
        <f>OrdersTable!E1561</f>
        <v>7</v>
      </c>
      <c r="T1561" s="15">
        <f t="shared" si="542"/>
        <v>9.99</v>
      </c>
      <c r="U1561" s="15">
        <f t="shared" si="543"/>
        <v>13.79</v>
      </c>
      <c r="V1561" s="15">
        <f t="shared" si="544"/>
        <v>16.18</v>
      </c>
      <c r="W1561" s="15">
        <f>IF(MarkupType="Store Markup",ROUND(V1561+V1561*StoreMarkup,2),IF(MarkupType="Supplier Markup",V1561+V1561*SupplierMarkup,"Error at finding value"))</f>
        <v>25.48</v>
      </c>
      <c r="X1561" s="32" t="str">
        <f t="shared" si="546"/>
        <v>0.00</v>
      </c>
      <c r="Y1561" s="15">
        <f t="shared" si="547"/>
        <v>113.26</v>
      </c>
      <c r="Z1561" s="15">
        <f t="shared" si="548"/>
        <v>178.36</v>
      </c>
      <c r="AA1561" s="15">
        <f>IF(FreightType="Lethbridge-Stewart Freight ",ROUND(2.99+IF(N1561&gt;0.75,(N1561-0.75)*2.25,0)*S1561,2),IF(MarkupType="Supplier Markup",V1561+V1561*SupplierMarkup,"Error at finding value"))</f>
        <v>2.99</v>
      </c>
      <c r="AB1561" s="15">
        <f t="shared" si="549"/>
        <v>0</v>
      </c>
    </row>
    <row r="1562" spans="1:28" x14ac:dyDescent="0.25">
      <c r="A1562" s="16">
        <f>OrdersTable!A1562</f>
        <v>841</v>
      </c>
      <c r="B1562" s="15" t="str">
        <f t="shared" si="529"/>
        <v>Miss</v>
      </c>
      <c r="C1562" s="15" t="str">
        <f t="shared" si="550"/>
        <v>Donaghy</v>
      </c>
      <c r="D1562" s="15" t="str">
        <f t="shared" si="530"/>
        <v>Elizabeth Mathilde Jane</v>
      </c>
      <c r="E1562" s="15" t="str">
        <f t="shared" si="531"/>
        <v>31 Johnson Boulevard</v>
      </c>
      <c r="F1562" s="15" t="str">
        <f t="shared" si="532"/>
        <v>Belford</v>
      </c>
      <c r="G1562" s="15" t="str">
        <f t="shared" si="533"/>
        <v>NSW</v>
      </c>
      <c r="H1562" s="15">
        <f t="shared" si="534"/>
        <v>2335</v>
      </c>
      <c r="I1562" s="15">
        <f t="shared" si="545"/>
        <v>716</v>
      </c>
      <c r="J1562" s="15">
        <f>OrdersTable!B1562</f>
        <v>745</v>
      </c>
      <c r="K1562" s="15" t="str">
        <f t="shared" si="535"/>
        <v>Props and Replicas</v>
      </c>
      <c r="L1562" s="15" t="str">
        <f t="shared" si="536"/>
        <v>Doctor Who: TARDIS Type 40 Plaque</v>
      </c>
      <c r="M1562" s="15" t="str">
        <f t="shared" si="537"/>
        <v>-</v>
      </c>
      <c r="N1562" s="15">
        <f t="shared" si="538"/>
        <v>1.75</v>
      </c>
      <c r="O1562" s="15" t="str">
        <f t="shared" si="539"/>
        <v>A30</v>
      </c>
      <c r="P1562" s="15" t="str">
        <f t="shared" si="540"/>
        <v>Chesterton Enterprises</v>
      </c>
      <c r="Q1562" s="15" t="str">
        <f t="shared" si="541"/>
        <v>41 William Russell Road</v>
      </c>
      <c r="R1562" s="3">
        <f>OrdersTable!C1562</f>
        <v>44671</v>
      </c>
      <c r="S1562" s="15">
        <f>OrdersTable!E1562</f>
        <v>8</v>
      </c>
      <c r="T1562" s="15">
        <f t="shared" si="542"/>
        <v>34.99</v>
      </c>
      <c r="U1562" s="15">
        <f t="shared" si="543"/>
        <v>47.86</v>
      </c>
      <c r="V1562" s="15">
        <f t="shared" si="544"/>
        <v>56.68</v>
      </c>
      <c r="W1562" s="15">
        <f>IF(MarkupType="Store Markup",ROUND(V1562+V1562*StoreMarkup,2),IF(MarkupType="Supplier Markup",V1562+V1562*SupplierMarkup,"Error at finding value"))</f>
        <v>89.27</v>
      </c>
      <c r="X1562" s="32" t="str">
        <f t="shared" si="546"/>
        <v>0.00</v>
      </c>
      <c r="Y1562" s="15">
        <f t="shared" si="547"/>
        <v>453.44</v>
      </c>
      <c r="Z1562" s="15">
        <f t="shared" si="548"/>
        <v>714.16</v>
      </c>
      <c r="AA1562" s="15">
        <f>IF(FreightType="Lethbridge-Stewart Freight ",ROUND(2.99+IF(N1562&gt;0.75,(N1562-0.75)*2.25,0)*S1562,2),IF(MarkupType="Supplier Markup",V1562+V1562*SupplierMarkup,"Error at finding value"))</f>
        <v>20.99</v>
      </c>
      <c r="AB1562" s="15">
        <f t="shared" si="549"/>
        <v>0</v>
      </c>
    </row>
    <row r="1563" spans="1:28" x14ac:dyDescent="0.25">
      <c r="A1563" s="16">
        <f>OrdersTable!A1563</f>
        <v>200</v>
      </c>
      <c r="B1563" s="15" t="str">
        <f t="shared" si="529"/>
        <v>Ms</v>
      </c>
      <c r="C1563" s="15" t="str">
        <f t="shared" si="550"/>
        <v>Barton</v>
      </c>
      <c r="D1563" s="15" t="str">
        <f t="shared" si="530"/>
        <v>Kimberley</v>
      </c>
      <c r="E1563" s="15" t="str">
        <f t="shared" si="531"/>
        <v>9 Decuyper Road</v>
      </c>
      <c r="F1563" s="15" t="str">
        <f t="shared" si="532"/>
        <v>Ashford</v>
      </c>
      <c r="G1563" s="15" t="str">
        <f t="shared" si="533"/>
        <v>SA</v>
      </c>
      <c r="H1563" s="15">
        <f t="shared" si="534"/>
        <v>5035</v>
      </c>
      <c r="I1563" s="15">
        <f t="shared" si="545"/>
        <v>1877</v>
      </c>
      <c r="J1563" s="15">
        <f>OrdersTable!B1563</f>
        <v>867</v>
      </c>
      <c r="K1563" s="15" t="str">
        <f t="shared" si="535"/>
        <v>Statues and Busts</v>
      </c>
      <c r="L1563" s="15" t="str">
        <f t="shared" si="536"/>
        <v>Doctor Who: TITANS: The 11th Doctor</v>
      </c>
      <c r="M1563" s="15" t="str">
        <f t="shared" si="537"/>
        <v>-</v>
      </c>
      <c r="N1563" s="15">
        <f t="shared" si="538"/>
        <v>0.4</v>
      </c>
      <c r="O1563" s="15" t="str">
        <f t="shared" si="539"/>
        <v>A20</v>
      </c>
      <c r="P1563" s="15" t="str">
        <f t="shared" si="540"/>
        <v>Morbius Inc.</v>
      </c>
      <c r="Q1563" s="15" t="str">
        <f t="shared" si="541"/>
        <v>56 Michael Spice Hwy</v>
      </c>
      <c r="R1563" s="3">
        <f>OrdersTable!C1563</f>
        <v>44672</v>
      </c>
      <c r="S1563" s="15">
        <f>OrdersTable!E1563</f>
        <v>1</v>
      </c>
      <c r="T1563" s="15">
        <f t="shared" si="542"/>
        <v>7.99</v>
      </c>
      <c r="U1563" s="15">
        <f t="shared" si="543"/>
        <v>11.1</v>
      </c>
      <c r="V1563" s="15">
        <f t="shared" si="544"/>
        <v>12.94</v>
      </c>
      <c r="W1563" s="15">
        <f>IF(MarkupType="Store Markup",ROUND(V1563+V1563*StoreMarkup,2),IF(MarkupType="Supplier Markup",V1563+V1563*SupplierMarkup,"Error at finding value"))</f>
        <v>20.38</v>
      </c>
      <c r="X1563" s="32" t="str">
        <f t="shared" si="546"/>
        <v>0.00</v>
      </c>
      <c r="Y1563" s="15">
        <f t="shared" si="547"/>
        <v>12.94</v>
      </c>
      <c r="Z1563" s="15">
        <f t="shared" si="548"/>
        <v>20.38</v>
      </c>
      <c r="AA1563" s="15">
        <f>IF(FreightType="Lethbridge-Stewart Freight ",ROUND(2.99+IF(N1563&gt;0.75,(N1563-0.75)*2.25,0)*S1563,2),IF(MarkupType="Supplier Markup",V1563+V1563*SupplierMarkup,"Error at finding value"))</f>
        <v>2.99</v>
      </c>
      <c r="AB1563" s="15">
        <f t="shared" si="549"/>
        <v>0</v>
      </c>
    </row>
    <row r="1564" spans="1:28" x14ac:dyDescent="0.25">
      <c r="A1564" s="16">
        <f>OrdersTable!A1564</f>
        <v>226</v>
      </c>
      <c r="B1564" s="15" t="str">
        <f t="shared" si="529"/>
        <v>Ms</v>
      </c>
      <c r="C1564" s="15" t="str">
        <f t="shared" si="550"/>
        <v>Stewart</v>
      </c>
      <c r="D1564" s="15" t="str">
        <f t="shared" si="530"/>
        <v>Jodi Louise</v>
      </c>
      <c r="E1564" s="15" t="str">
        <f t="shared" si="531"/>
        <v>33 Abington Court</v>
      </c>
      <c r="F1564" s="15" t="str">
        <f t="shared" si="532"/>
        <v>Iluka</v>
      </c>
      <c r="G1564" s="15" t="str">
        <f t="shared" si="533"/>
        <v>NSW</v>
      </c>
      <c r="H1564" s="15">
        <f t="shared" si="534"/>
        <v>2466</v>
      </c>
      <c r="I1564" s="15">
        <f t="shared" si="545"/>
        <v>347</v>
      </c>
      <c r="J1564" s="15">
        <f>OrdersTable!B1564</f>
        <v>582</v>
      </c>
      <c r="K1564" s="15" t="str">
        <f t="shared" si="535"/>
        <v>Giftware</v>
      </c>
      <c r="L1564" s="15" t="str">
        <f t="shared" si="536"/>
        <v>Doctor Who: Wallpaper: Classic TARDIS Roundels</v>
      </c>
      <c r="M1564" s="15" t="str">
        <f t="shared" si="537"/>
        <v>-</v>
      </c>
      <c r="N1564" s="15">
        <f t="shared" si="538"/>
        <v>1.75</v>
      </c>
      <c r="O1564" s="15" t="str">
        <f t="shared" si="539"/>
        <v>A40</v>
      </c>
      <c r="P1564" s="15" t="str">
        <f t="shared" si="540"/>
        <v>Romana Imports</v>
      </c>
      <c r="Q1564" s="15" t="str">
        <f t="shared" si="541"/>
        <v>17 Lalla Ward Road</v>
      </c>
      <c r="R1564" s="3">
        <f>OrdersTable!C1564</f>
        <v>44672</v>
      </c>
      <c r="S1564" s="15">
        <f>OrdersTable!E1564</f>
        <v>2</v>
      </c>
      <c r="T1564" s="15">
        <f t="shared" si="542"/>
        <v>34.99</v>
      </c>
      <c r="U1564" s="15">
        <f t="shared" si="543"/>
        <v>47.77</v>
      </c>
      <c r="V1564" s="15">
        <f t="shared" si="544"/>
        <v>56.68</v>
      </c>
      <c r="W1564" s="15">
        <f>IF(MarkupType="Store Markup",ROUND(V1564+V1564*StoreMarkup,2),IF(MarkupType="Supplier Markup",V1564+V1564*SupplierMarkup,"Error at finding value"))</f>
        <v>89.27</v>
      </c>
      <c r="X1564" s="32" t="str">
        <f t="shared" si="546"/>
        <v>0.00</v>
      </c>
      <c r="Y1564" s="15">
        <f t="shared" si="547"/>
        <v>113.36</v>
      </c>
      <c r="Z1564" s="15">
        <f t="shared" si="548"/>
        <v>178.54</v>
      </c>
      <c r="AA1564" s="15">
        <f>IF(FreightType="Lethbridge-Stewart Freight ",ROUND(2.99+IF(N1564&gt;0.75,(N1564-0.75)*2.25,0)*S1564,2),IF(MarkupType="Supplier Markup",V1564+V1564*SupplierMarkup,"Error at finding value"))</f>
        <v>7.49</v>
      </c>
      <c r="AB1564" s="15">
        <f t="shared" si="549"/>
        <v>0</v>
      </c>
    </row>
    <row r="1565" spans="1:28" x14ac:dyDescent="0.25">
      <c r="A1565" s="16">
        <f>OrdersTable!A1565</f>
        <v>285</v>
      </c>
      <c r="B1565" s="15" t="str">
        <f t="shared" si="529"/>
        <v>Mr</v>
      </c>
      <c r="C1565" s="15" t="str">
        <f t="shared" si="550"/>
        <v>Temple Morgan</v>
      </c>
      <c r="D1565" s="15" t="str">
        <f t="shared" si="530"/>
        <v>Mathew Peter</v>
      </c>
      <c r="E1565" s="15" t="str">
        <f t="shared" si="531"/>
        <v>19 Tansky Court</v>
      </c>
      <c r="F1565" s="15" t="str">
        <f t="shared" si="532"/>
        <v>Belford</v>
      </c>
      <c r="G1565" s="15" t="str">
        <f t="shared" si="533"/>
        <v>NSW</v>
      </c>
      <c r="H1565" s="15">
        <f t="shared" si="534"/>
        <v>2335</v>
      </c>
      <c r="I1565" s="15">
        <f t="shared" si="545"/>
        <v>716</v>
      </c>
      <c r="J1565" s="15">
        <f>OrdersTable!B1565</f>
        <v>643</v>
      </c>
      <c r="K1565" s="15" t="str">
        <f t="shared" si="535"/>
        <v>Mugs</v>
      </c>
      <c r="L1565" s="15" t="str">
        <f t="shared" si="536"/>
        <v>Doctor Who: Giant Mug: Logo</v>
      </c>
      <c r="M1565" s="15" t="str">
        <f t="shared" si="537"/>
        <v>-</v>
      </c>
      <c r="N1565" s="15">
        <f t="shared" si="538"/>
        <v>0.44500000000000001</v>
      </c>
      <c r="O1565" s="15" t="str">
        <f t="shared" si="539"/>
        <v>A10</v>
      </c>
      <c r="P1565" s="15" t="str">
        <f t="shared" si="540"/>
        <v>Gallifrey International</v>
      </c>
      <c r="Q1565" s="15" t="str">
        <f t="shared" si="541"/>
        <v>181 Arcadia Street</v>
      </c>
      <c r="R1565" s="3">
        <f>OrdersTable!C1565</f>
        <v>44672</v>
      </c>
      <c r="S1565" s="15">
        <f>OrdersTable!E1565</f>
        <v>7</v>
      </c>
      <c r="T1565" s="15">
        <f t="shared" si="542"/>
        <v>8.89</v>
      </c>
      <c r="U1565" s="15">
        <f t="shared" si="543"/>
        <v>12.19</v>
      </c>
      <c r="V1565" s="15">
        <f t="shared" si="544"/>
        <v>14.4</v>
      </c>
      <c r="W1565" s="15">
        <f>IF(MarkupType="Store Markup",ROUND(V1565+V1565*StoreMarkup,2),IF(MarkupType="Supplier Markup",V1565+V1565*SupplierMarkup,"Error at finding value"))</f>
        <v>22.68</v>
      </c>
      <c r="X1565" s="32" t="str">
        <f t="shared" si="546"/>
        <v>0.00</v>
      </c>
      <c r="Y1565" s="15">
        <f t="shared" si="547"/>
        <v>100.8</v>
      </c>
      <c r="Z1565" s="15">
        <f t="shared" si="548"/>
        <v>158.76</v>
      </c>
      <c r="AA1565" s="15">
        <f>IF(FreightType="Lethbridge-Stewart Freight ",ROUND(2.99+IF(N1565&gt;0.75,(N1565-0.75)*2.25,0)*S1565,2),IF(MarkupType="Supplier Markup",V1565+V1565*SupplierMarkup,"Error at finding value"))</f>
        <v>2.99</v>
      </c>
      <c r="AB1565" s="15">
        <f t="shared" si="549"/>
        <v>0</v>
      </c>
    </row>
    <row r="1566" spans="1:28" x14ac:dyDescent="0.25">
      <c r="A1566" s="16">
        <f>OrdersTable!A1566</f>
        <v>329</v>
      </c>
      <c r="B1566" s="15" t="str">
        <f t="shared" si="529"/>
        <v>Ms</v>
      </c>
      <c r="C1566" s="15" t="str">
        <f t="shared" si="550"/>
        <v>Hubbard</v>
      </c>
      <c r="D1566" s="15" t="str">
        <f t="shared" si="530"/>
        <v>Sonya Marie</v>
      </c>
      <c r="E1566" s="15" t="str">
        <f t="shared" si="531"/>
        <v>42 Keable Crescent</v>
      </c>
      <c r="F1566" s="15" t="str">
        <f t="shared" si="532"/>
        <v>Boston</v>
      </c>
      <c r="G1566" s="15" t="str">
        <f t="shared" si="533"/>
        <v>SA</v>
      </c>
      <c r="H1566" s="15">
        <f t="shared" si="534"/>
        <v>5607</v>
      </c>
      <c r="I1566" s="15">
        <f t="shared" si="545"/>
        <v>2076</v>
      </c>
      <c r="J1566" s="15">
        <f>OrdersTable!B1566</f>
        <v>817</v>
      </c>
      <c r="K1566" s="15" t="str">
        <f t="shared" si="535"/>
        <v>Statues and Busts</v>
      </c>
      <c r="L1566" s="15" t="str">
        <f t="shared" si="536"/>
        <v>Doctor Who: Masterpiece Collection Maxi Bust: Torchwood Captain Jack Harkness</v>
      </c>
      <c r="M1566" s="15" t="str">
        <f t="shared" si="537"/>
        <v>-</v>
      </c>
      <c r="N1566" s="15">
        <f t="shared" si="538"/>
        <v>2.5</v>
      </c>
      <c r="O1566" s="15" t="str">
        <f t="shared" si="539"/>
        <v>A10</v>
      </c>
      <c r="P1566" s="15" t="str">
        <f t="shared" si="540"/>
        <v>Gallifrey International</v>
      </c>
      <c r="Q1566" s="15" t="str">
        <f t="shared" si="541"/>
        <v>181 Arcadia Street</v>
      </c>
      <c r="R1566" s="3">
        <f>OrdersTable!C1566</f>
        <v>44672</v>
      </c>
      <c r="S1566" s="15">
        <f>OrdersTable!E1566</f>
        <v>1</v>
      </c>
      <c r="T1566" s="15">
        <f t="shared" si="542"/>
        <v>49.99</v>
      </c>
      <c r="U1566" s="15">
        <f t="shared" si="543"/>
        <v>68.44</v>
      </c>
      <c r="V1566" s="15">
        <f t="shared" si="544"/>
        <v>80.98</v>
      </c>
      <c r="W1566" s="15">
        <f>IF(MarkupType="Store Markup",ROUND(V1566+V1566*StoreMarkup,2),IF(MarkupType="Supplier Markup",V1566+V1566*SupplierMarkup,"Error at finding value"))</f>
        <v>127.54</v>
      </c>
      <c r="X1566" s="32" t="str">
        <f t="shared" si="546"/>
        <v>0.00</v>
      </c>
      <c r="Y1566" s="15">
        <f t="shared" si="547"/>
        <v>80.98</v>
      </c>
      <c r="Z1566" s="15">
        <f t="shared" si="548"/>
        <v>127.54</v>
      </c>
      <c r="AA1566" s="15">
        <f>IF(FreightType="Lethbridge-Stewart Freight ",ROUND(2.99+IF(N1566&gt;0.75,(N1566-0.75)*2.25,0)*S1566,2),IF(MarkupType="Supplier Markup",V1566+V1566*SupplierMarkup,"Error at finding value"))</f>
        <v>6.93</v>
      </c>
      <c r="AB1566" s="15">
        <f t="shared" si="549"/>
        <v>0</v>
      </c>
    </row>
    <row r="1567" spans="1:28" x14ac:dyDescent="0.25">
      <c r="A1567" s="16">
        <f>OrdersTable!A1567</f>
        <v>332</v>
      </c>
      <c r="B1567" s="15" t="str">
        <f t="shared" si="529"/>
        <v>Mr</v>
      </c>
      <c r="C1567" s="15" t="str">
        <f t="shared" si="550"/>
        <v>Selman</v>
      </c>
      <c r="D1567" s="15" t="str">
        <f t="shared" si="530"/>
        <v>Jack Ryan</v>
      </c>
      <c r="E1567" s="15" t="str">
        <f t="shared" si="531"/>
        <v>17 Van Essen Street</v>
      </c>
      <c r="F1567" s="15" t="str">
        <f t="shared" si="532"/>
        <v>Airly</v>
      </c>
      <c r="G1567" s="15" t="str">
        <f t="shared" si="533"/>
        <v>VIC</v>
      </c>
      <c r="H1567" s="15">
        <f t="shared" si="534"/>
        <v>3851</v>
      </c>
      <c r="I1567" s="15">
        <f t="shared" si="545"/>
        <v>1583</v>
      </c>
      <c r="J1567" s="15">
        <f>OrdersTable!B1567</f>
        <v>843</v>
      </c>
      <c r="K1567" s="15" t="str">
        <f t="shared" si="535"/>
        <v>Statues and Busts</v>
      </c>
      <c r="L1567" s="15" t="str">
        <f t="shared" si="536"/>
        <v>Doctor Who: Signature Edition Statue: Gallifrey Edition: Tom Baker</v>
      </c>
      <c r="M1567" s="15" t="str">
        <f t="shared" si="537"/>
        <v>-</v>
      </c>
      <c r="N1567" s="15">
        <f t="shared" si="538"/>
        <v>2.5</v>
      </c>
      <c r="O1567" s="15" t="str">
        <f t="shared" si="539"/>
        <v>A20</v>
      </c>
      <c r="P1567" s="15" t="str">
        <f t="shared" si="540"/>
        <v>Morbius Inc.</v>
      </c>
      <c r="Q1567" s="15" t="str">
        <f t="shared" si="541"/>
        <v>56 Michael Spice Hwy</v>
      </c>
      <c r="R1567" s="3">
        <f>OrdersTable!C1567</f>
        <v>44672</v>
      </c>
      <c r="S1567" s="15">
        <f>OrdersTable!E1567</f>
        <v>3</v>
      </c>
      <c r="T1567" s="15">
        <f t="shared" si="542"/>
        <v>49.99</v>
      </c>
      <c r="U1567" s="15">
        <f t="shared" si="543"/>
        <v>68.33</v>
      </c>
      <c r="V1567" s="15">
        <f t="shared" si="544"/>
        <v>80.98</v>
      </c>
      <c r="W1567" s="15">
        <f>IF(MarkupType="Store Markup",ROUND(V1567+V1567*StoreMarkup,2),IF(MarkupType="Supplier Markup",V1567+V1567*SupplierMarkup,"Error at finding value"))</f>
        <v>127.54</v>
      </c>
      <c r="X1567" s="32">
        <f t="shared" si="546"/>
        <v>9.09</v>
      </c>
      <c r="Y1567" s="15">
        <f t="shared" si="547"/>
        <v>242.94</v>
      </c>
      <c r="Z1567" s="15">
        <f t="shared" si="548"/>
        <v>355.35</v>
      </c>
      <c r="AA1567" s="15">
        <f>IF(FreightType="Lethbridge-Stewart Freight ",ROUND(2.99+IF(N1567&gt;0.75,(N1567-0.75)*2.25,0)*S1567,2),IF(MarkupType="Supplier Markup",V1567+V1567*SupplierMarkup,"Error at finding value"))</f>
        <v>14.8</v>
      </c>
      <c r="AB1567" s="15">
        <f t="shared" si="549"/>
        <v>27.27</v>
      </c>
    </row>
    <row r="1568" spans="1:28" x14ac:dyDescent="0.25">
      <c r="A1568" s="16">
        <f>OrdersTable!A1568</f>
        <v>333</v>
      </c>
      <c r="B1568" s="15" t="str">
        <f t="shared" si="529"/>
        <v>Mr</v>
      </c>
      <c r="C1568" s="15" t="str">
        <f t="shared" si="550"/>
        <v>Martin</v>
      </c>
      <c r="D1568" s="15" t="str">
        <f t="shared" si="530"/>
        <v>Damien Roger</v>
      </c>
      <c r="E1568" s="15" t="str">
        <f t="shared" si="531"/>
        <v>23 Quennell Way</v>
      </c>
      <c r="F1568" s="15" t="str">
        <f t="shared" si="532"/>
        <v>Aberfoyle</v>
      </c>
      <c r="G1568" s="15" t="str">
        <f t="shared" si="533"/>
        <v>NSW</v>
      </c>
      <c r="H1568" s="15">
        <f t="shared" si="534"/>
        <v>2350</v>
      </c>
      <c r="I1568" s="15">
        <f t="shared" si="545"/>
        <v>363</v>
      </c>
      <c r="J1568" s="15">
        <f>OrdersTable!B1568</f>
        <v>464</v>
      </c>
      <c r="K1568" s="15" t="str">
        <f t="shared" si="535"/>
        <v>Giftware</v>
      </c>
      <c r="L1568" s="15" t="str">
        <f t="shared" si="536"/>
        <v>Doctor Who: Collectable License Plate: My Other Car Is A TARDIS</v>
      </c>
      <c r="M1568" s="15" t="str">
        <f t="shared" si="537"/>
        <v>-</v>
      </c>
      <c r="N1568" s="15">
        <f t="shared" si="538"/>
        <v>0.6</v>
      </c>
      <c r="O1568" s="15" t="str">
        <f t="shared" si="539"/>
        <v>A50</v>
      </c>
      <c r="P1568" s="15" t="str">
        <f t="shared" si="540"/>
        <v>Rassilon Ltd.</v>
      </c>
      <c r="Q1568" s="15" t="str">
        <f t="shared" si="541"/>
        <v>82 Richard Mathews Road</v>
      </c>
      <c r="R1568" s="3">
        <f>OrdersTable!C1568</f>
        <v>44672</v>
      </c>
      <c r="S1568" s="15">
        <f>OrdersTable!E1568</f>
        <v>9</v>
      </c>
      <c r="T1568" s="15">
        <f t="shared" si="542"/>
        <v>11.99</v>
      </c>
      <c r="U1568" s="15">
        <f t="shared" si="543"/>
        <v>16.579999999999998</v>
      </c>
      <c r="V1568" s="15">
        <f t="shared" si="544"/>
        <v>19.420000000000002</v>
      </c>
      <c r="W1568" s="15">
        <f>IF(MarkupType="Store Markup",ROUND(V1568+V1568*StoreMarkup,2),IF(MarkupType="Supplier Markup",V1568+V1568*SupplierMarkup,"Error at finding value"))</f>
        <v>30.59</v>
      </c>
      <c r="X1568" s="32" t="str">
        <f t="shared" si="546"/>
        <v>0.00</v>
      </c>
      <c r="Y1568" s="15">
        <f t="shared" si="547"/>
        <v>174.78</v>
      </c>
      <c r="Z1568" s="15">
        <f t="shared" si="548"/>
        <v>275.31</v>
      </c>
      <c r="AA1568" s="15">
        <f>IF(FreightType="Lethbridge-Stewart Freight ",ROUND(2.99+IF(N1568&gt;0.75,(N1568-0.75)*2.25,0)*S1568,2),IF(MarkupType="Supplier Markup",V1568+V1568*SupplierMarkup,"Error at finding value"))</f>
        <v>2.99</v>
      </c>
      <c r="AB1568" s="15">
        <f t="shared" si="549"/>
        <v>0</v>
      </c>
    </row>
    <row r="1569" spans="1:28" x14ac:dyDescent="0.25">
      <c r="A1569" s="16">
        <f>OrdersTable!A1569</f>
        <v>334</v>
      </c>
      <c r="B1569" s="15" t="str">
        <f t="shared" si="529"/>
        <v>Mrs</v>
      </c>
      <c r="C1569" s="15" t="str">
        <f t="shared" si="550"/>
        <v>Wilson</v>
      </c>
      <c r="D1569" s="15" t="str">
        <f t="shared" si="530"/>
        <v>Hayley Lauren</v>
      </c>
      <c r="E1569" s="15" t="str">
        <f t="shared" si="531"/>
        <v>3 Ashley Crescent</v>
      </c>
      <c r="F1569" s="15" t="str">
        <f t="shared" si="532"/>
        <v>Black Hills</v>
      </c>
      <c r="G1569" s="15" t="str">
        <f t="shared" si="533"/>
        <v>TAS</v>
      </c>
      <c r="H1569" s="15">
        <f t="shared" si="534"/>
        <v>7140</v>
      </c>
      <c r="I1569" s="15">
        <f t="shared" si="545"/>
        <v>2191</v>
      </c>
      <c r="J1569" s="15">
        <f>OrdersTable!B1569</f>
        <v>702</v>
      </c>
      <c r="K1569" s="15" t="str">
        <f t="shared" si="535"/>
        <v>Posters, Prints and Standees</v>
      </c>
      <c r="L1569" s="15" t="str">
        <f t="shared" si="536"/>
        <v>Doctor Who: Poster: Daleks</v>
      </c>
      <c r="M1569" s="15" t="str">
        <f t="shared" si="537"/>
        <v>-</v>
      </c>
      <c r="N1569" s="15">
        <f t="shared" si="538"/>
        <v>0.2</v>
      </c>
      <c r="O1569" s="15" t="str">
        <f t="shared" si="539"/>
        <v>A50</v>
      </c>
      <c r="P1569" s="15" t="str">
        <f t="shared" si="540"/>
        <v>Rassilon Ltd.</v>
      </c>
      <c r="Q1569" s="15" t="str">
        <f t="shared" si="541"/>
        <v>82 Richard Mathews Road</v>
      </c>
      <c r="R1569" s="3">
        <f>OrdersTable!C1569</f>
        <v>44672</v>
      </c>
      <c r="S1569" s="15">
        <f>OrdersTable!E1569</f>
        <v>8</v>
      </c>
      <c r="T1569" s="15">
        <f t="shared" si="542"/>
        <v>3.99</v>
      </c>
      <c r="U1569" s="15">
        <f t="shared" si="543"/>
        <v>5.46</v>
      </c>
      <c r="V1569" s="15">
        <f t="shared" si="544"/>
        <v>6.46</v>
      </c>
      <c r="W1569" s="15">
        <f>IF(MarkupType="Store Markup",ROUND(V1569+V1569*StoreMarkup,2),IF(MarkupType="Supplier Markup",V1569+V1569*SupplierMarkup,"Error at finding value"))</f>
        <v>10.17</v>
      </c>
      <c r="X1569" s="32" t="str">
        <f t="shared" si="546"/>
        <v>0.00</v>
      </c>
      <c r="Y1569" s="15">
        <f t="shared" si="547"/>
        <v>51.68</v>
      </c>
      <c r="Z1569" s="15">
        <f t="shared" si="548"/>
        <v>81.36</v>
      </c>
      <c r="AA1569" s="15">
        <f>IF(FreightType="Lethbridge-Stewart Freight ",ROUND(2.99+IF(N1569&gt;0.75,(N1569-0.75)*2.25,0)*S1569,2),IF(MarkupType="Supplier Markup",V1569+V1569*SupplierMarkup,"Error at finding value"))</f>
        <v>2.99</v>
      </c>
      <c r="AB1569" s="15">
        <f t="shared" si="549"/>
        <v>0</v>
      </c>
    </row>
    <row r="1570" spans="1:28" x14ac:dyDescent="0.25">
      <c r="A1570" s="16">
        <f>OrdersTable!A1570</f>
        <v>657</v>
      </c>
      <c r="B1570" s="15" t="str">
        <f t="shared" si="529"/>
        <v>Mr</v>
      </c>
      <c r="C1570" s="15" t="str">
        <f t="shared" si="550"/>
        <v>Poljak</v>
      </c>
      <c r="D1570" s="15" t="str">
        <f t="shared" si="530"/>
        <v>Anthony</v>
      </c>
      <c r="E1570" s="15" t="str">
        <f t="shared" si="531"/>
        <v>45 Robertson Boulevard</v>
      </c>
      <c r="F1570" s="15" t="str">
        <f t="shared" si="532"/>
        <v>Iluka</v>
      </c>
      <c r="G1570" s="15" t="str">
        <f t="shared" si="533"/>
        <v>NSW</v>
      </c>
      <c r="H1570" s="15">
        <f t="shared" si="534"/>
        <v>2466</v>
      </c>
      <c r="I1570" s="15">
        <f t="shared" si="545"/>
        <v>347</v>
      </c>
      <c r="J1570" s="15">
        <f>OrdersTable!B1570</f>
        <v>843</v>
      </c>
      <c r="K1570" s="15" t="str">
        <f t="shared" si="535"/>
        <v>Statues and Busts</v>
      </c>
      <c r="L1570" s="15" t="str">
        <f t="shared" si="536"/>
        <v>Doctor Who: Signature Edition Statue: Gallifrey Edition: Tom Baker</v>
      </c>
      <c r="M1570" s="15" t="str">
        <f t="shared" si="537"/>
        <v>-</v>
      </c>
      <c r="N1570" s="15">
        <f t="shared" si="538"/>
        <v>2.5</v>
      </c>
      <c r="O1570" s="15" t="str">
        <f t="shared" si="539"/>
        <v>A20</v>
      </c>
      <c r="P1570" s="15" t="str">
        <f t="shared" si="540"/>
        <v>Morbius Inc.</v>
      </c>
      <c r="Q1570" s="15" t="str">
        <f t="shared" si="541"/>
        <v>56 Michael Spice Hwy</v>
      </c>
      <c r="R1570" s="3">
        <f>OrdersTable!C1570</f>
        <v>44672</v>
      </c>
      <c r="S1570" s="15">
        <f>OrdersTable!E1570</f>
        <v>5</v>
      </c>
      <c r="T1570" s="15">
        <f t="shared" si="542"/>
        <v>49.99</v>
      </c>
      <c r="U1570" s="15">
        <f t="shared" si="543"/>
        <v>68.33</v>
      </c>
      <c r="V1570" s="15">
        <f t="shared" si="544"/>
        <v>80.98</v>
      </c>
      <c r="W1570" s="15">
        <f>IF(MarkupType="Store Markup",ROUND(V1570+V1570*StoreMarkup,2),IF(MarkupType="Supplier Markup",V1570+V1570*SupplierMarkup,"Error at finding value"))</f>
        <v>127.54</v>
      </c>
      <c r="X1570" s="32">
        <f t="shared" si="546"/>
        <v>9.09</v>
      </c>
      <c r="Y1570" s="15">
        <f t="shared" si="547"/>
        <v>404.9</v>
      </c>
      <c r="Z1570" s="15">
        <f t="shared" si="548"/>
        <v>592.25</v>
      </c>
      <c r="AA1570" s="15">
        <f>IF(FreightType="Lethbridge-Stewart Freight ",ROUND(2.99+IF(N1570&gt;0.75,(N1570-0.75)*2.25,0)*S1570,2),IF(MarkupType="Supplier Markup",V1570+V1570*SupplierMarkup,"Error at finding value"))</f>
        <v>22.68</v>
      </c>
      <c r="AB1570" s="15">
        <f t="shared" si="549"/>
        <v>45.45</v>
      </c>
    </row>
    <row r="1571" spans="1:28" x14ac:dyDescent="0.25">
      <c r="A1571" s="16">
        <f>OrdersTable!A1571</f>
        <v>750</v>
      </c>
      <c r="B1571" s="15" t="str">
        <f t="shared" si="529"/>
        <v>Ms</v>
      </c>
      <c r="C1571" s="15" t="str">
        <f t="shared" si="550"/>
        <v>Talbot</v>
      </c>
      <c r="D1571" s="15" t="str">
        <f t="shared" si="530"/>
        <v>Carlie Wenderly</v>
      </c>
      <c r="E1571" s="15" t="str">
        <f t="shared" si="531"/>
        <v>31 Somerville Way</v>
      </c>
      <c r="F1571" s="15" t="str">
        <f t="shared" si="532"/>
        <v>Boston</v>
      </c>
      <c r="G1571" s="15" t="str">
        <f t="shared" si="533"/>
        <v>SA</v>
      </c>
      <c r="H1571" s="15">
        <f t="shared" si="534"/>
        <v>5607</v>
      </c>
      <c r="I1571" s="15">
        <f t="shared" si="545"/>
        <v>2076</v>
      </c>
      <c r="J1571" s="15">
        <f>OrdersTable!B1571</f>
        <v>724</v>
      </c>
      <c r="K1571" s="15" t="str">
        <f t="shared" si="535"/>
        <v>Posters, Prints and Standees</v>
      </c>
      <c r="L1571" s="15" t="str">
        <f t="shared" si="536"/>
        <v>Doctor Who: Standee: The 10th Doctor</v>
      </c>
      <c r="M1571" s="15" t="str">
        <f t="shared" si="537"/>
        <v>-</v>
      </c>
      <c r="N1571" s="15">
        <f t="shared" si="538"/>
        <v>1.125</v>
      </c>
      <c r="O1571" s="15" t="str">
        <f t="shared" si="539"/>
        <v>A50</v>
      </c>
      <c r="P1571" s="15" t="str">
        <f t="shared" si="540"/>
        <v>Rassilon Ltd.</v>
      </c>
      <c r="Q1571" s="15" t="str">
        <f t="shared" si="541"/>
        <v>82 Richard Mathews Road</v>
      </c>
      <c r="R1571" s="3">
        <f>OrdersTable!C1571</f>
        <v>44672</v>
      </c>
      <c r="S1571" s="15">
        <f>OrdersTable!E1571</f>
        <v>6</v>
      </c>
      <c r="T1571" s="15">
        <f t="shared" si="542"/>
        <v>22.49</v>
      </c>
      <c r="U1571" s="15">
        <f t="shared" si="543"/>
        <v>30.77</v>
      </c>
      <c r="V1571" s="15">
        <f t="shared" si="544"/>
        <v>36.43</v>
      </c>
      <c r="W1571" s="15">
        <f>IF(MarkupType="Store Markup",ROUND(V1571+V1571*StoreMarkup,2),IF(MarkupType="Supplier Markup",V1571+V1571*SupplierMarkup,"Error at finding value"))</f>
        <v>57.38</v>
      </c>
      <c r="X1571" s="32" t="str">
        <f t="shared" si="546"/>
        <v>0.00</v>
      </c>
      <c r="Y1571" s="15">
        <f t="shared" si="547"/>
        <v>218.58</v>
      </c>
      <c r="Z1571" s="15">
        <f t="shared" si="548"/>
        <v>344.28</v>
      </c>
      <c r="AA1571" s="15">
        <f>IF(FreightType="Lethbridge-Stewart Freight ",ROUND(2.99+IF(N1571&gt;0.75,(N1571-0.75)*2.25,0)*S1571,2),IF(MarkupType="Supplier Markup",V1571+V1571*SupplierMarkup,"Error at finding value"))</f>
        <v>8.0500000000000007</v>
      </c>
      <c r="AB1571" s="15">
        <f t="shared" si="549"/>
        <v>0</v>
      </c>
    </row>
    <row r="1572" spans="1:28" x14ac:dyDescent="0.25">
      <c r="A1572" s="16">
        <f>OrdersTable!A1572</f>
        <v>761</v>
      </c>
      <c r="B1572" s="15" t="str">
        <f t="shared" si="529"/>
        <v>Miss</v>
      </c>
      <c r="C1572" s="15" t="str">
        <f t="shared" si="550"/>
        <v>Randall</v>
      </c>
      <c r="D1572" s="15" t="str">
        <f t="shared" si="530"/>
        <v>Kylee</v>
      </c>
      <c r="E1572" s="15" t="str">
        <f t="shared" si="531"/>
        <v>45 Cremasco Avenue</v>
      </c>
      <c r="F1572" s="15" t="str">
        <f t="shared" si="532"/>
        <v>Breakwater</v>
      </c>
      <c r="G1572" s="15" t="str">
        <f t="shared" si="533"/>
        <v>VIC</v>
      </c>
      <c r="H1572" s="15">
        <f t="shared" si="534"/>
        <v>3219</v>
      </c>
      <c r="I1572" s="15">
        <f t="shared" si="545"/>
        <v>1596</v>
      </c>
      <c r="J1572" s="15">
        <f>OrdersTable!B1572</f>
        <v>787</v>
      </c>
      <c r="K1572" s="15" t="str">
        <f t="shared" si="535"/>
        <v>Statues and Busts</v>
      </c>
      <c r="L1572" s="15" t="str">
        <f t="shared" si="536"/>
        <v>Doctor Who: Masterpiece Collection Maxi Bust: 1st Doctor</v>
      </c>
      <c r="M1572" s="15" t="str">
        <f t="shared" si="537"/>
        <v>-</v>
      </c>
      <c r="N1572" s="15">
        <f t="shared" si="538"/>
        <v>2.5</v>
      </c>
      <c r="O1572" s="15" t="str">
        <f t="shared" si="539"/>
        <v>A10</v>
      </c>
      <c r="P1572" s="15" t="str">
        <f t="shared" si="540"/>
        <v>Gallifrey International</v>
      </c>
      <c r="Q1572" s="15" t="str">
        <f t="shared" si="541"/>
        <v>181 Arcadia Street</v>
      </c>
      <c r="R1572" s="3">
        <f>OrdersTable!C1572</f>
        <v>44672</v>
      </c>
      <c r="S1572" s="15">
        <f>OrdersTable!E1572</f>
        <v>9</v>
      </c>
      <c r="T1572" s="15">
        <f t="shared" si="542"/>
        <v>49.99</v>
      </c>
      <c r="U1572" s="15">
        <f t="shared" si="543"/>
        <v>68.290000000000006</v>
      </c>
      <c r="V1572" s="15">
        <f t="shared" si="544"/>
        <v>80.98</v>
      </c>
      <c r="W1572" s="15">
        <f>IF(MarkupType="Store Markup",ROUND(V1572+V1572*StoreMarkup,2),IF(MarkupType="Supplier Markup",V1572+V1572*SupplierMarkup,"Error at finding value"))</f>
        <v>127.54</v>
      </c>
      <c r="X1572" s="32">
        <f t="shared" si="546"/>
        <v>9.09</v>
      </c>
      <c r="Y1572" s="15">
        <f t="shared" si="547"/>
        <v>728.82</v>
      </c>
      <c r="Z1572" s="15">
        <f t="shared" si="548"/>
        <v>1066.05</v>
      </c>
      <c r="AA1572" s="15">
        <f>IF(FreightType="Lethbridge-Stewart Freight ",ROUND(2.99+IF(N1572&gt;0.75,(N1572-0.75)*2.25,0)*S1572,2),IF(MarkupType="Supplier Markup",V1572+V1572*SupplierMarkup,"Error at finding value"))</f>
        <v>38.43</v>
      </c>
      <c r="AB1572" s="15">
        <f t="shared" si="549"/>
        <v>81.81</v>
      </c>
    </row>
    <row r="1573" spans="1:28" x14ac:dyDescent="0.25">
      <c r="A1573" s="16">
        <f>OrdersTable!A1573</f>
        <v>923</v>
      </c>
      <c r="B1573" s="15" t="str">
        <f t="shared" si="529"/>
        <v>Ms</v>
      </c>
      <c r="C1573" s="15" t="str">
        <f t="shared" si="550"/>
        <v>Savage</v>
      </c>
      <c r="D1573" s="15" t="str">
        <f t="shared" si="530"/>
        <v>Eliza Margaret</v>
      </c>
      <c r="E1573" s="15" t="str">
        <f t="shared" si="531"/>
        <v>28 Whisson Crescent</v>
      </c>
      <c r="F1573" s="15" t="str">
        <f t="shared" si="532"/>
        <v>Belconnen</v>
      </c>
      <c r="G1573" s="15" t="str">
        <f t="shared" si="533"/>
        <v>ACT</v>
      </c>
      <c r="H1573" s="15">
        <f t="shared" si="534"/>
        <v>2617</v>
      </c>
      <c r="I1573" s="15">
        <f t="shared" si="545"/>
        <v>1194</v>
      </c>
      <c r="J1573" s="15">
        <f>OrdersTable!B1573</f>
        <v>668</v>
      </c>
      <c r="K1573" s="15" t="str">
        <f t="shared" si="535"/>
        <v>Mugs</v>
      </c>
      <c r="L1573" s="15" t="str">
        <f t="shared" si="536"/>
        <v>Doctor Who: Mug: Silver TARDIS</v>
      </c>
      <c r="M1573" s="15" t="str">
        <f t="shared" si="537"/>
        <v>-</v>
      </c>
      <c r="N1573" s="15">
        <f t="shared" si="538"/>
        <v>1.1499999999999999</v>
      </c>
      <c r="O1573" s="15" t="str">
        <f t="shared" si="539"/>
        <v>A50</v>
      </c>
      <c r="P1573" s="15" t="str">
        <f t="shared" si="540"/>
        <v>Rassilon Ltd.</v>
      </c>
      <c r="Q1573" s="15" t="str">
        <f t="shared" si="541"/>
        <v>82 Richard Mathews Road</v>
      </c>
      <c r="R1573" s="3">
        <f>OrdersTable!C1573</f>
        <v>44672</v>
      </c>
      <c r="S1573" s="15">
        <f>OrdersTable!E1573</f>
        <v>8</v>
      </c>
      <c r="T1573" s="15">
        <f t="shared" si="542"/>
        <v>22.99</v>
      </c>
      <c r="U1573" s="15">
        <f t="shared" si="543"/>
        <v>31.53</v>
      </c>
      <c r="V1573" s="15">
        <f t="shared" si="544"/>
        <v>37.24</v>
      </c>
      <c r="W1573" s="15">
        <f>IF(MarkupType="Store Markup",ROUND(V1573+V1573*StoreMarkup,2),IF(MarkupType="Supplier Markup",V1573+V1573*SupplierMarkup,"Error at finding value"))</f>
        <v>58.65</v>
      </c>
      <c r="X1573" s="32" t="str">
        <f t="shared" si="546"/>
        <v>0.00</v>
      </c>
      <c r="Y1573" s="15">
        <f t="shared" si="547"/>
        <v>297.92</v>
      </c>
      <c r="Z1573" s="15">
        <f t="shared" si="548"/>
        <v>469.2</v>
      </c>
      <c r="AA1573" s="15">
        <f>IF(FreightType="Lethbridge-Stewart Freight ",ROUND(2.99+IF(N1573&gt;0.75,(N1573-0.75)*2.25,0)*S1573,2),IF(MarkupType="Supplier Markup",V1573+V1573*SupplierMarkup,"Error at finding value"))</f>
        <v>10.19</v>
      </c>
      <c r="AB1573" s="15">
        <f t="shared" si="549"/>
        <v>0</v>
      </c>
    </row>
    <row r="1574" spans="1:28" x14ac:dyDescent="0.25">
      <c r="A1574" s="16">
        <f>OrdersTable!A1574</f>
        <v>139</v>
      </c>
      <c r="B1574" s="15" t="str">
        <f t="shared" si="529"/>
        <v>Mrs</v>
      </c>
      <c r="C1574" s="15" t="str">
        <f t="shared" si="550"/>
        <v>Atkinson</v>
      </c>
      <c r="D1574" s="15" t="str">
        <f t="shared" si="530"/>
        <v>Leanne</v>
      </c>
      <c r="E1574" s="15" t="str">
        <f t="shared" si="531"/>
        <v>45 Maloney Boulevard</v>
      </c>
      <c r="F1574" s="15" t="str">
        <f t="shared" si="532"/>
        <v>Avon Plains</v>
      </c>
      <c r="G1574" s="15" t="str">
        <f t="shared" si="533"/>
        <v>VIC</v>
      </c>
      <c r="H1574" s="15">
        <f t="shared" si="534"/>
        <v>3477</v>
      </c>
      <c r="I1574" s="15">
        <f t="shared" si="545"/>
        <v>1565</v>
      </c>
      <c r="J1574" s="15">
        <f>OrdersTable!B1574</f>
        <v>583</v>
      </c>
      <c r="K1574" s="15" t="str">
        <f t="shared" si="535"/>
        <v>iPhone Skins</v>
      </c>
      <c r="L1574" s="15" t="str">
        <f t="shared" si="536"/>
        <v>Doctor Who: iPhone Skin: Cyberman Delete</v>
      </c>
      <c r="M1574" s="15" t="str">
        <f t="shared" si="537"/>
        <v>-</v>
      </c>
      <c r="N1574" s="15">
        <f t="shared" si="538"/>
        <v>0.3</v>
      </c>
      <c r="O1574" s="15" t="str">
        <f t="shared" si="539"/>
        <v>A50</v>
      </c>
      <c r="P1574" s="15" t="str">
        <f t="shared" si="540"/>
        <v>Rassilon Ltd.</v>
      </c>
      <c r="Q1574" s="15" t="str">
        <f t="shared" si="541"/>
        <v>82 Richard Mathews Road</v>
      </c>
      <c r="R1574" s="3">
        <f>OrdersTable!C1574</f>
        <v>44673</v>
      </c>
      <c r="S1574" s="15">
        <f>OrdersTable!E1574</f>
        <v>6</v>
      </c>
      <c r="T1574" s="15">
        <f t="shared" si="542"/>
        <v>5.99</v>
      </c>
      <c r="U1574" s="15">
        <f t="shared" si="543"/>
        <v>8.23</v>
      </c>
      <c r="V1574" s="15">
        <f t="shared" si="544"/>
        <v>9.6999999999999993</v>
      </c>
      <c r="W1574" s="15">
        <f>IF(MarkupType="Store Markup",ROUND(V1574+V1574*StoreMarkup,2),IF(MarkupType="Supplier Markup",V1574+V1574*SupplierMarkup,"Error at finding value"))</f>
        <v>15.28</v>
      </c>
      <c r="X1574" s="32" t="str">
        <f t="shared" si="546"/>
        <v>0.00</v>
      </c>
      <c r="Y1574" s="15">
        <f t="shared" si="547"/>
        <v>58.2</v>
      </c>
      <c r="Z1574" s="15">
        <f t="shared" si="548"/>
        <v>91.68</v>
      </c>
      <c r="AA1574" s="15">
        <f>IF(FreightType="Lethbridge-Stewart Freight ",ROUND(2.99+IF(N1574&gt;0.75,(N1574-0.75)*2.25,0)*S1574,2),IF(MarkupType="Supplier Markup",V1574+V1574*SupplierMarkup,"Error at finding value"))</f>
        <v>2.99</v>
      </c>
      <c r="AB1574" s="15">
        <f t="shared" si="549"/>
        <v>0</v>
      </c>
    </row>
    <row r="1575" spans="1:28" x14ac:dyDescent="0.25">
      <c r="A1575" s="16">
        <f>OrdersTable!A1575</f>
        <v>139</v>
      </c>
      <c r="B1575" s="15" t="str">
        <f t="shared" si="529"/>
        <v>Mrs</v>
      </c>
      <c r="C1575" s="15" t="str">
        <f t="shared" si="550"/>
        <v>Atkinson</v>
      </c>
      <c r="D1575" s="15" t="str">
        <f t="shared" si="530"/>
        <v>Leanne</v>
      </c>
      <c r="E1575" s="15" t="str">
        <f t="shared" si="531"/>
        <v>45 Maloney Boulevard</v>
      </c>
      <c r="F1575" s="15" t="str">
        <f t="shared" si="532"/>
        <v>Avon Plains</v>
      </c>
      <c r="G1575" s="15" t="str">
        <f t="shared" si="533"/>
        <v>VIC</v>
      </c>
      <c r="H1575" s="15">
        <f t="shared" si="534"/>
        <v>3477</v>
      </c>
      <c r="I1575" s="15">
        <f t="shared" si="545"/>
        <v>1565</v>
      </c>
      <c r="J1575" s="15">
        <f>OrdersTable!B1575</f>
        <v>752</v>
      </c>
      <c r="K1575" s="15" t="str">
        <f t="shared" si="535"/>
        <v>Statues and Busts</v>
      </c>
      <c r="L1575" s="15" t="str">
        <f t="shared" si="536"/>
        <v>Doctor Who: Helmet: Cyberman Leader</v>
      </c>
      <c r="M1575" s="15" t="str">
        <f t="shared" si="537"/>
        <v>-</v>
      </c>
      <c r="N1575" s="15">
        <f t="shared" si="538"/>
        <v>2</v>
      </c>
      <c r="O1575" s="15" t="str">
        <f t="shared" si="539"/>
        <v>A30</v>
      </c>
      <c r="P1575" s="15" t="str">
        <f t="shared" si="540"/>
        <v>Chesterton Enterprises</v>
      </c>
      <c r="Q1575" s="15" t="str">
        <f t="shared" si="541"/>
        <v>41 William Russell Road</v>
      </c>
      <c r="R1575" s="3">
        <f>OrdersTable!C1575</f>
        <v>44673</v>
      </c>
      <c r="S1575" s="15">
        <f>OrdersTable!E1575</f>
        <v>7</v>
      </c>
      <c r="T1575" s="15">
        <f t="shared" si="542"/>
        <v>39.99</v>
      </c>
      <c r="U1575" s="15">
        <f t="shared" si="543"/>
        <v>54.85</v>
      </c>
      <c r="V1575" s="15">
        <f t="shared" si="544"/>
        <v>64.78</v>
      </c>
      <c r="W1575" s="15">
        <f>IF(MarkupType="Store Markup",ROUND(V1575+V1575*StoreMarkup,2),IF(MarkupType="Supplier Markup",V1575+V1575*SupplierMarkup,"Error at finding value"))</f>
        <v>102.03</v>
      </c>
      <c r="X1575" s="32">
        <f t="shared" si="546"/>
        <v>7.27</v>
      </c>
      <c r="Y1575" s="15">
        <f t="shared" si="547"/>
        <v>453.46</v>
      </c>
      <c r="Z1575" s="15">
        <f t="shared" si="548"/>
        <v>663.32</v>
      </c>
      <c r="AA1575" s="15">
        <f>IF(FreightType="Lethbridge-Stewart Freight ",ROUND(2.99+IF(N1575&gt;0.75,(N1575-0.75)*2.25,0)*S1575,2),IF(MarkupType="Supplier Markup",V1575+V1575*SupplierMarkup,"Error at finding value"))</f>
        <v>22.68</v>
      </c>
      <c r="AB1575" s="15">
        <f t="shared" si="549"/>
        <v>50.89</v>
      </c>
    </row>
    <row r="1576" spans="1:28" x14ac:dyDescent="0.25">
      <c r="A1576" s="16">
        <f>OrdersTable!A1576</f>
        <v>200</v>
      </c>
      <c r="B1576" s="15" t="str">
        <f t="shared" si="529"/>
        <v>Ms</v>
      </c>
      <c r="C1576" s="15" t="str">
        <f t="shared" si="550"/>
        <v>Barton</v>
      </c>
      <c r="D1576" s="15" t="str">
        <f t="shared" si="530"/>
        <v>Kimberley</v>
      </c>
      <c r="E1576" s="15" t="str">
        <f t="shared" si="531"/>
        <v>9 Decuyper Road</v>
      </c>
      <c r="F1576" s="15" t="str">
        <f t="shared" si="532"/>
        <v>Ashford</v>
      </c>
      <c r="G1576" s="15" t="str">
        <f t="shared" si="533"/>
        <v>SA</v>
      </c>
      <c r="H1576" s="15">
        <f t="shared" si="534"/>
        <v>5035</v>
      </c>
      <c r="I1576" s="15">
        <f t="shared" si="545"/>
        <v>1877</v>
      </c>
      <c r="J1576" s="15">
        <f>OrdersTable!B1576</f>
        <v>563</v>
      </c>
      <c r="K1576" s="15" t="str">
        <f t="shared" si="535"/>
        <v>Giftware</v>
      </c>
      <c r="L1576" s="15" t="str">
        <f t="shared" si="536"/>
        <v>Doctor Who: TARDIS Jewellery Box</v>
      </c>
      <c r="M1576" s="15" t="str">
        <f t="shared" si="537"/>
        <v>-</v>
      </c>
      <c r="N1576" s="15">
        <f t="shared" si="538"/>
        <v>1.1499999999999999</v>
      </c>
      <c r="O1576" s="15" t="str">
        <f t="shared" si="539"/>
        <v>A50</v>
      </c>
      <c r="P1576" s="15" t="str">
        <f t="shared" si="540"/>
        <v>Rassilon Ltd.</v>
      </c>
      <c r="Q1576" s="15" t="str">
        <f t="shared" si="541"/>
        <v>82 Richard Mathews Road</v>
      </c>
      <c r="R1576" s="3">
        <f>OrdersTable!C1576</f>
        <v>44673</v>
      </c>
      <c r="S1576" s="15">
        <f>OrdersTable!E1576</f>
        <v>3</v>
      </c>
      <c r="T1576" s="15">
        <f t="shared" si="542"/>
        <v>22.99</v>
      </c>
      <c r="U1576" s="15">
        <f t="shared" si="543"/>
        <v>31.63</v>
      </c>
      <c r="V1576" s="15">
        <f t="shared" si="544"/>
        <v>37.24</v>
      </c>
      <c r="W1576" s="15">
        <f>IF(MarkupType="Store Markup",ROUND(V1576+V1576*StoreMarkup,2),IF(MarkupType="Supplier Markup",V1576+V1576*SupplierMarkup,"Error at finding value"))</f>
        <v>58.65</v>
      </c>
      <c r="X1576" s="32" t="str">
        <f t="shared" si="546"/>
        <v>0.00</v>
      </c>
      <c r="Y1576" s="15">
        <f t="shared" si="547"/>
        <v>111.72</v>
      </c>
      <c r="Z1576" s="15">
        <f t="shared" si="548"/>
        <v>175.95</v>
      </c>
      <c r="AA1576" s="15">
        <f>IF(FreightType="Lethbridge-Stewart Freight ",ROUND(2.99+IF(N1576&gt;0.75,(N1576-0.75)*2.25,0)*S1576,2),IF(MarkupType="Supplier Markup",V1576+V1576*SupplierMarkup,"Error at finding value"))</f>
        <v>5.69</v>
      </c>
      <c r="AB1576" s="15">
        <f t="shared" si="549"/>
        <v>0</v>
      </c>
    </row>
    <row r="1577" spans="1:28" x14ac:dyDescent="0.25">
      <c r="A1577" s="16">
        <f>OrdersTable!A1577</f>
        <v>308</v>
      </c>
      <c r="B1577" s="15" t="str">
        <f t="shared" si="529"/>
        <v>Dr</v>
      </c>
      <c r="C1577" s="15" t="str">
        <f t="shared" si="550"/>
        <v>Azar</v>
      </c>
      <c r="D1577" s="15" t="str">
        <f t="shared" si="530"/>
        <v>Mariam</v>
      </c>
      <c r="E1577" s="15" t="str">
        <f t="shared" si="531"/>
        <v>26 Osmond Road</v>
      </c>
      <c r="F1577" s="15" t="str">
        <f t="shared" si="532"/>
        <v>Boston</v>
      </c>
      <c r="G1577" s="15" t="str">
        <f t="shared" si="533"/>
        <v>SA</v>
      </c>
      <c r="H1577" s="15">
        <f t="shared" si="534"/>
        <v>5607</v>
      </c>
      <c r="I1577" s="15">
        <f t="shared" si="545"/>
        <v>2076</v>
      </c>
      <c r="J1577" s="15">
        <f>OrdersTable!B1577</f>
        <v>453</v>
      </c>
      <c r="K1577" s="15" t="str">
        <f t="shared" si="535"/>
        <v>Giftware</v>
      </c>
      <c r="L1577" s="15" t="str">
        <f t="shared" si="536"/>
        <v>Doctor Who: Ceramic Cookie Jar: TARDIS</v>
      </c>
      <c r="M1577" s="15" t="str">
        <f t="shared" si="537"/>
        <v>-</v>
      </c>
      <c r="N1577" s="15">
        <f t="shared" si="538"/>
        <v>1.35</v>
      </c>
      <c r="O1577" s="15" t="str">
        <f t="shared" si="539"/>
        <v>A40</v>
      </c>
      <c r="P1577" s="15" t="str">
        <f t="shared" si="540"/>
        <v>Romana Imports</v>
      </c>
      <c r="Q1577" s="15" t="str">
        <f t="shared" si="541"/>
        <v>17 Lalla Ward Road</v>
      </c>
      <c r="R1577" s="3">
        <f>OrdersTable!C1577</f>
        <v>44673</v>
      </c>
      <c r="S1577" s="15">
        <f>OrdersTable!E1577</f>
        <v>7</v>
      </c>
      <c r="T1577" s="15">
        <f t="shared" si="542"/>
        <v>26.99</v>
      </c>
      <c r="U1577" s="15">
        <f t="shared" si="543"/>
        <v>37.119999999999997</v>
      </c>
      <c r="V1577" s="15">
        <f t="shared" si="544"/>
        <v>43.72</v>
      </c>
      <c r="W1577" s="15">
        <f>IF(MarkupType="Store Markup",ROUND(V1577+V1577*StoreMarkup,2),IF(MarkupType="Supplier Markup",V1577+V1577*SupplierMarkup,"Error at finding value"))</f>
        <v>68.86</v>
      </c>
      <c r="X1577" s="32" t="str">
        <f t="shared" si="546"/>
        <v>0.00</v>
      </c>
      <c r="Y1577" s="15">
        <f t="shared" si="547"/>
        <v>306.04000000000002</v>
      </c>
      <c r="Z1577" s="15">
        <f t="shared" si="548"/>
        <v>482.02</v>
      </c>
      <c r="AA1577" s="15">
        <f>IF(FreightType="Lethbridge-Stewart Freight ",ROUND(2.99+IF(N1577&gt;0.75,(N1577-0.75)*2.25,0)*S1577,2),IF(MarkupType="Supplier Markup",V1577+V1577*SupplierMarkup,"Error at finding value"))</f>
        <v>12.44</v>
      </c>
      <c r="AB1577" s="15">
        <f t="shared" si="549"/>
        <v>0</v>
      </c>
    </row>
    <row r="1578" spans="1:28" x14ac:dyDescent="0.25">
      <c r="A1578" s="16">
        <f>OrdersTable!A1578</f>
        <v>330</v>
      </c>
      <c r="B1578" s="15" t="str">
        <f t="shared" si="529"/>
        <v>Mr</v>
      </c>
      <c r="C1578" s="15" t="str">
        <f t="shared" si="550"/>
        <v>Liesegang</v>
      </c>
      <c r="D1578" s="15" t="str">
        <f t="shared" si="530"/>
        <v>Darcey Michelle</v>
      </c>
      <c r="E1578" s="15" t="str">
        <f t="shared" si="531"/>
        <v>50 McCann Drive</v>
      </c>
      <c r="F1578" s="15" t="str">
        <f t="shared" si="532"/>
        <v>Binduli</v>
      </c>
      <c r="G1578" s="15" t="str">
        <f t="shared" si="533"/>
        <v>WA</v>
      </c>
      <c r="H1578" s="15">
        <f t="shared" si="534"/>
        <v>6430</v>
      </c>
      <c r="I1578" s="15">
        <f t="shared" si="545"/>
        <v>3543</v>
      </c>
      <c r="J1578" s="15">
        <f>OrdersTable!B1578</f>
        <v>813</v>
      </c>
      <c r="K1578" s="15" t="str">
        <f t="shared" si="535"/>
        <v>Statues and Busts</v>
      </c>
      <c r="L1578" s="15" t="str">
        <f t="shared" si="536"/>
        <v>Doctor Who: Masterpiece Collection Maxi Bust: Leela</v>
      </c>
      <c r="M1578" s="15" t="str">
        <f t="shared" si="537"/>
        <v>-</v>
      </c>
      <c r="N1578" s="15">
        <f t="shared" si="538"/>
        <v>2.5</v>
      </c>
      <c r="O1578" s="15" t="str">
        <f t="shared" si="539"/>
        <v>A30</v>
      </c>
      <c r="P1578" s="15" t="str">
        <f t="shared" si="540"/>
        <v>Chesterton Enterprises</v>
      </c>
      <c r="Q1578" s="15" t="str">
        <f t="shared" si="541"/>
        <v>41 William Russell Road</v>
      </c>
      <c r="R1578" s="3">
        <f>OrdersTable!C1578</f>
        <v>44673</v>
      </c>
      <c r="S1578" s="15">
        <f>OrdersTable!E1578</f>
        <v>7</v>
      </c>
      <c r="T1578" s="15">
        <f t="shared" si="542"/>
        <v>49.99</v>
      </c>
      <c r="U1578" s="15">
        <f t="shared" si="543"/>
        <v>68.319999999999993</v>
      </c>
      <c r="V1578" s="15">
        <f t="shared" si="544"/>
        <v>80.98</v>
      </c>
      <c r="W1578" s="15">
        <f>IF(MarkupType="Store Markup",ROUND(V1578+V1578*StoreMarkup,2),IF(MarkupType="Supplier Markup",V1578+V1578*SupplierMarkup,"Error at finding value"))</f>
        <v>127.54</v>
      </c>
      <c r="X1578" s="32">
        <f t="shared" si="546"/>
        <v>9.09</v>
      </c>
      <c r="Y1578" s="15">
        <f t="shared" si="547"/>
        <v>566.86</v>
      </c>
      <c r="Z1578" s="15">
        <f t="shared" si="548"/>
        <v>829.15</v>
      </c>
      <c r="AA1578" s="15">
        <f>IF(FreightType="Lethbridge-Stewart Freight ",ROUND(2.99+IF(N1578&gt;0.75,(N1578-0.75)*2.25,0)*S1578,2),IF(MarkupType="Supplier Markup",V1578+V1578*SupplierMarkup,"Error at finding value"))</f>
        <v>30.55</v>
      </c>
      <c r="AB1578" s="15">
        <f t="shared" si="549"/>
        <v>63.63</v>
      </c>
    </row>
    <row r="1579" spans="1:28" x14ac:dyDescent="0.25">
      <c r="A1579" s="16">
        <f>OrdersTable!A1579</f>
        <v>370</v>
      </c>
      <c r="B1579" s="15" t="str">
        <f t="shared" si="529"/>
        <v>Mr</v>
      </c>
      <c r="C1579" s="15" t="str">
        <f t="shared" si="550"/>
        <v>Kennedy</v>
      </c>
      <c r="D1579" s="15" t="str">
        <f t="shared" si="530"/>
        <v>Joseph Dominic</v>
      </c>
      <c r="E1579" s="15" t="str">
        <f t="shared" si="531"/>
        <v>43 Barton Road</v>
      </c>
      <c r="F1579" s="15" t="str">
        <f t="shared" si="532"/>
        <v>Boston</v>
      </c>
      <c r="G1579" s="15" t="str">
        <f t="shared" si="533"/>
        <v>SA</v>
      </c>
      <c r="H1579" s="15">
        <f t="shared" si="534"/>
        <v>5607</v>
      </c>
      <c r="I1579" s="15">
        <f t="shared" si="545"/>
        <v>2076</v>
      </c>
      <c r="J1579" s="15">
        <f>OrdersTable!B1579</f>
        <v>374</v>
      </c>
      <c r="K1579" s="15" t="str">
        <f t="shared" si="535"/>
        <v>Clothing and Apparel</v>
      </c>
      <c r="L1579" s="15" t="str">
        <f t="shared" si="536"/>
        <v xml:space="preserve">Doctor Who: T-Shirts: 5th Doctor Costume </v>
      </c>
      <c r="M1579" s="15" t="str">
        <f t="shared" si="537"/>
        <v>XL</v>
      </c>
      <c r="N1579" s="15">
        <f t="shared" si="538"/>
        <v>0.8</v>
      </c>
      <c r="O1579" s="15" t="str">
        <f t="shared" si="539"/>
        <v>A50</v>
      </c>
      <c r="P1579" s="15" t="str">
        <f t="shared" si="540"/>
        <v>Rassilon Ltd.</v>
      </c>
      <c r="Q1579" s="15" t="str">
        <f t="shared" si="541"/>
        <v>82 Richard Mathews Road</v>
      </c>
      <c r="R1579" s="3">
        <f>OrdersTable!C1579</f>
        <v>44673</v>
      </c>
      <c r="S1579" s="15">
        <f>OrdersTable!E1579</f>
        <v>5</v>
      </c>
      <c r="T1579" s="15">
        <f t="shared" si="542"/>
        <v>15.99</v>
      </c>
      <c r="U1579" s="15">
        <f t="shared" si="543"/>
        <v>21.97</v>
      </c>
      <c r="V1579" s="15">
        <f t="shared" si="544"/>
        <v>25.9</v>
      </c>
      <c r="W1579" s="15">
        <f>IF(MarkupType="Store Markup",ROUND(V1579+V1579*StoreMarkup,2),IF(MarkupType="Supplier Markup",V1579+V1579*SupplierMarkup,"Error at finding value"))</f>
        <v>40.79</v>
      </c>
      <c r="X1579" s="32" t="str">
        <f t="shared" si="546"/>
        <v>0.00</v>
      </c>
      <c r="Y1579" s="15">
        <f t="shared" si="547"/>
        <v>129.5</v>
      </c>
      <c r="Z1579" s="15">
        <f t="shared" si="548"/>
        <v>203.95</v>
      </c>
      <c r="AA1579" s="15">
        <f>IF(FreightType="Lethbridge-Stewart Freight ",ROUND(2.99+IF(N1579&gt;0.75,(N1579-0.75)*2.25,0)*S1579,2),IF(MarkupType="Supplier Markup",V1579+V1579*SupplierMarkup,"Error at finding value"))</f>
        <v>3.55</v>
      </c>
      <c r="AB1579" s="15">
        <f t="shared" si="549"/>
        <v>0</v>
      </c>
    </row>
    <row r="1580" spans="1:28" x14ac:dyDescent="0.25">
      <c r="A1580" s="16">
        <f>OrdersTable!A1580</f>
        <v>370</v>
      </c>
      <c r="B1580" s="15" t="str">
        <f t="shared" si="529"/>
        <v>Mr</v>
      </c>
      <c r="C1580" s="15" t="str">
        <f t="shared" si="550"/>
        <v>Kennedy</v>
      </c>
      <c r="D1580" s="15" t="str">
        <f t="shared" si="530"/>
        <v>Joseph Dominic</v>
      </c>
      <c r="E1580" s="15" t="str">
        <f t="shared" si="531"/>
        <v>43 Barton Road</v>
      </c>
      <c r="F1580" s="15" t="str">
        <f t="shared" si="532"/>
        <v>Boston</v>
      </c>
      <c r="G1580" s="15" t="str">
        <f t="shared" si="533"/>
        <v>SA</v>
      </c>
      <c r="H1580" s="15">
        <f t="shared" si="534"/>
        <v>5607</v>
      </c>
      <c r="I1580" s="15">
        <f t="shared" si="545"/>
        <v>2076</v>
      </c>
      <c r="J1580" s="15">
        <f>OrdersTable!B1580</f>
        <v>668</v>
      </c>
      <c r="K1580" s="15" t="str">
        <f t="shared" si="535"/>
        <v>Mugs</v>
      </c>
      <c r="L1580" s="15" t="str">
        <f t="shared" si="536"/>
        <v>Doctor Who: Mug: Silver TARDIS</v>
      </c>
      <c r="M1580" s="15" t="str">
        <f t="shared" si="537"/>
        <v>-</v>
      </c>
      <c r="N1580" s="15">
        <f t="shared" si="538"/>
        <v>1.1499999999999999</v>
      </c>
      <c r="O1580" s="15" t="str">
        <f t="shared" si="539"/>
        <v>A50</v>
      </c>
      <c r="P1580" s="15" t="str">
        <f t="shared" si="540"/>
        <v>Rassilon Ltd.</v>
      </c>
      <c r="Q1580" s="15" t="str">
        <f t="shared" si="541"/>
        <v>82 Richard Mathews Road</v>
      </c>
      <c r="R1580" s="3">
        <f>OrdersTable!C1580</f>
        <v>44673</v>
      </c>
      <c r="S1580" s="15">
        <f>OrdersTable!E1580</f>
        <v>5</v>
      </c>
      <c r="T1580" s="15">
        <f t="shared" si="542"/>
        <v>22.99</v>
      </c>
      <c r="U1580" s="15">
        <f t="shared" si="543"/>
        <v>31.53</v>
      </c>
      <c r="V1580" s="15">
        <f t="shared" si="544"/>
        <v>37.24</v>
      </c>
      <c r="W1580" s="15">
        <f>IF(MarkupType="Store Markup",ROUND(V1580+V1580*StoreMarkup,2),IF(MarkupType="Supplier Markup",V1580+V1580*SupplierMarkup,"Error at finding value"))</f>
        <v>58.65</v>
      </c>
      <c r="X1580" s="32" t="str">
        <f t="shared" si="546"/>
        <v>0.00</v>
      </c>
      <c r="Y1580" s="15">
        <f t="shared" si="547"/>
        <v>186.2</v>
      </c>
      <c r="Z1580" s="15">
        <f t="shared" si="548"/>
        <v>293.25</v>
      </c>
      <c r="AA1580" s="15">
        <f>IF(FreightType="Lethbridge-Stewart Freight ",ROUND(2.99+IF(N1580&gt;0.75,(N1580-0.75)*2.25,0)*S1580,2),IF(MarkupType="Supplier Markup",V1580+V1580*SupplierMarkup,"Error at finding value"))</f>
        <v>7.49</v>
      </c>
      <c r="AB1580" s="15">
        <f t="shared" si="549"/>
        <v>0</v>
      </c>
    </row>
    <row r="1581" spans="1:28" x14ac:dyDescent="0.25">
      <c r="A1581" s="16">
        <f>OrdersTable!A1581</f>
        <v>651</v>
      </c>
      <c r="B1581" s="15" t="str">
        <f t="shared" si="529"/>
        <v>Mr</v>
      </c>
      <c r="C1581" s="15" t="str">
        <f t="shared" si="550"/>
        <v>Wilkes</v>
      </c>
      <c r="D1581" s="15" t="str">
        <f t="shared" si="530"/>
        <v>Harley</v>
      </c>
      <c r="E1581" s="15" t="str">
        <f t="shared" si="531"/>
        <v>12 Locke Circuit</v>
      </c>
      <c r="F1581" s="15" t="str">
        <f t="shared" si="532"/>
        <v>Bray Park</v>
      </c>
      <c r="G1581" s="15" t="str">
        <f t="shared" si="533"/>
        <v>QLD</v>
      </c>
      <c r="H1581" s="15">
        <f t="shared" si="534"/>
        <v>4500</v>
      </c>
      <c r="I1581" s="15">
        <f t="shared" si="545"/>
        <v>139</v>
      </c>
      <c r="J1581" s="15">
        <f>OrdersTable!B1581</f>
        <v>583</v>
      </c>
      <c r="K1581" s="15" t="str">
        <f t="shared" si="535"/>
        <v>iPhone Skins</v>
      </c>
      <c r="L1581" s="15" t="str">
        <f t="shared" si="536"/>
        <v>Doctor Who: iPhone Skin: Cyberman Delete</v>
      </c>
      <c r="M1581" s="15" t="str">
        <f t="shared" si="537"/>
        <v>-</v>
      </c>
      <c r="N1581" s="15">
        <f t="shared" si="538"/>
        <v>0.3</v>
      </c>
      <c r="O1581" s="15" t="str">
        <f t="shared" si="539"/>
        <v>A50</v>
      </c>
      <c r="P1581" s="15" t="str">
        <f t="shared" si="540"/>
        <v>Rassilon Ltd.</v>
      </c>
      <c r="Q1581" s="15" t="str">
        <f t="shared" si="541"/>
        <v>82 Richard Mathews Road</v>
      </c>
      <c r="R1581" s="3">
        <f>OrdersTable!C1581</f>
        <v>44673</v>
      </c>
      <c r="S1581" s="15">
        <f>OrdersTable!E1581</f>
        <v>1</v>
      </c>
      <c r="T1581" s="15">
        <f t="shared" si="542"/>
        <v>5.99</v>
      </c>
      <c r="U1581" s="15">
        <f t="shared" si="543"/>
        <v>8.23</v>
      </c>
      <c r="V1581" s="15">
        <f t="shared" si="544"/>
        <v>9.6999999999999993</v>
      </c>
      <c r="W1581" s="15">
        <f>IF(MarkupType="Store Markup",ROUND(V1581+V1581*StoreMarkup,2),IF(MarkupType="Supplier Markup",V1581+V1581*SupplierMarkup,"Error at finding value"))</f>
        <v>15.28</v>
      </c>
      <c r="X1581" s="32" t="str">
        <f t="shared" si="546"/>
        <v>0.00</v>
      </c>
      <c r="Y1581" s="15">
        <f t="shared" si="547"/>
        <v>9.6999999999999993</v>
      </c>
      <c r="Z1581" s="15">
        <f t="shared" si="548"/>
        <v>15.28</v>
      </c>
      <c r="AA1581" s="15">
        <f>IF(FreightType="Lethbridge-Stewart Freight ",ROUND(2.99+IF(N1581&gt;0.75,(N1581-0.75)*2.25,0)*S1581,2),IF(MarkupType="Supplier Markup",V1581+V1581*SupplierMarkup,"Error at finding value"))</f>
        <v>2.99</v>
      </c>
      <c r="AB1581" s="15">
        <f t="shared" si="549"/>
        <v>0</v>
      </c>
    </row>
    <row r="1582" spans="1:28" x14ac:dyDescent="0.25">
      <c r="A1582" s="16">
        <f>OrdersTable!A1582</f>
        <v>747</v>
      </c>
      <c r="B1582" s="15" t="str">
        <f t="shared" si="529"/>
        <v>Miss</v>
      </c>
      <c r="C1582" s="15" t="str">
        <f t="shared" si="550"/>
        <v>Coom</v>
      </c>
      <c r="D1582" s="15" t="str">
        <f t="shared" si="530"/>
        <v>Mackenzie Megan</v>
      </c>
      <c r="E1582" s="15" t="str">
        <f t="shared" si="531"/>
        <v>2 Tsalikis Road</v>
      </c>
      <c r="F1582" s="15" t="str">
        <f t="shared" si="532"/>
        <v>Aberfoyle</v>
      </c>
      <c r="G1582" s="15" t="str">
        <f t="shared" si="533"/>
        <v>NSW</v>
      </c>
      <c r="H1582" s="15">
        <f t="shared" si="534"/>
        <v>2350</v>
      </c>
      <c r="I1582" s="15">
        <f t="shared" si="545"/>
        <v>363</v>
      </c>
      <c r="J1582" s="15">
        <f>OrdersTable!B1582</f>
        <v>698</v>
      </c>
      <c r="K1582" s="15" t="str">
        <f t="shared" si="535"/>
        <v>Posters, Prints and Standees</v>
      </c>
      <c r="L1582" s="15" t="str">
        <f t="shared" si="536"/>
        <v>Doctor Who: Art Print: My Mysterious Doctor</v>
      </c>
      <c r="M1582" s="15" t="str">
        <f t="shared" si="537"/>
        <v>-</v>
      </c>
      <c r="N1582" s="15">
        <f t="shared" si="538"/>
        <v>0.75</v>
      </c>
      <c r="O1582" s="15" t="str">
        <f t="shared" si="539"/>
        <v>A30</v>
      </c>
      <c r="P1582" s="15" t="str">
        <f t="shared" si="540"/>
        <v>Chesterton Enterprises</v>
      </c>
      <c r="Q1582" s="15" t="str">
        <f t="shared" si="541"/>
        <v>41 William Russell Road</v>
      </c>
      <c r="R1582" s="3">
        <f>OrdersTable!C1582</f>
        <v>44673</v>
      </c>
      <c r="S1582" s="15">
        <f>OrdersTable!E1582</f>
        <v>2</v>
      </c>
      <c r="T1582" s="15">
        <f t="shared" si="542"/>
        <v>14.99</v>
      </c>
      <c r="U1582" s="15">
        <f t="shared" si="543"/>
        <v>20.56</v>
      </c>
      <c r="V1582" s="15">
        <f t="shared" si="544"/>
        <v>24.28</v>
      </c>
      <c r="W1582" s="15">
        <f>IF(MarkupType="Store Markup",ROUND(V1582+V1582*StoreMarkup,2),IF(MarkupType="Supplier Markup",V1582+V1582*SupplierMarkup,"Error at finding value"))</f>
        <v>38.24</v>
      </c>
      <c r="X1582" s="32" t="str">
        <f t="shared" si="546"/>
        <v>0.00</v>
      </c>
      <c r="Y1582" s="15">
        <f t="shared" si="547"/>
        <v>48.56</v>
      </c>
      <c r="Z1582" s="15">
        <f t="shared" si="548"/>
        <v>76.48</v>
      </c>
      <c r="AA1582" s="15">
        <f>IF(FreightType="Lethbridge-Stewart Freight ",ROUND(2.99+IF(N1582&gt;0.75,(N1582-0.75)*2.25,0)*S1582,2),IF(MarkupType="Supplier Markup",V1582+V1582*SupplierMarkup,"Error at finding value"))</f>
        <v>2.99</v>
      </c>
      <c r="AB1582" s="15">
        <f t="shared" si="549"/>
        <v>0</v>
      </c>
    </row>
    <row r="1583" spans="1:28" x14ac:dyDescent="0.25">
      <c r="A1583" s="16">
        <f>OrdersTable!A1583</f>
        <v>841</v>
      </c>
      <c r="B1583" s="15" t="str">
        <f t="shared" si="529"/>
        <v>Miss</v>
      </c>
      <c r="C1583" s="15" t="str">
        <f t="shared" si="550"/>
        <v>Donaghy</v>
      </c>
      <c r="D1583" s="15" t="str">
        <f t="shared" si="530"/>
        <v>Elizabeth Mathilde Jane</v>
      </c>
      <c r="E1583" s="15" t="str">
        <f t="shared" si="531"/>
        <v>31 Johnson Boulevard</v>
      </c>
      <c r="F1583" s="15" t="str">
        <f t="shared" si="532"/>
        <v>Belford</v>
      </c>
      <c r="G1583" s="15" t="str">
        <f t="shared" si="533"/>
        <v>NSW</v>
      </c>
      <c r="H1583" s="15">
        <f t="shared" si="534"/>
        <v>2335</v>
      </c>
      <c r="I1583" s="15">
        <f t="shared" si="545"/>
        <v>716</v>
      </c>
      <c r="J1583" s="15">
        <f>OrdersTable!B1583</f>
        <v>747</v>
      </c>
      <c r="K1583" s="15" t="str">
        <f t="shared" si="535"/>
        <v>Props and Replicas</v>
      </c>
      <c r="L1583" s="15" t="str">
        <f t="shared" si="536"/>
        <v>Doctor Who: The Master's Fob Watch</v>
      </c>
      <c r="M1583" s="15" t="str">
        <f t="shared" si="537"/>
        <v>-</v>
      </c>
      <c r="N1583" s="15">
        <f t="shared" si="538"/>
        <v>2.25</v>
      </c>
      <c r="O1583" s="15" t="str">
        <f t="shared" si="539"/>
        <v>A10</v>
      </c>
      <c r="P1583" s="15" t="str">
        <f t="shared" si="540"/>
        <v>Gallifrey International</v>
      </c>
      <c r="Q1583" s="15" t="str">
        <f t="shared" si="541"/>
        <v>181 Arcadia Street</v>
      </c>
      <c r="R1583" s="3">
        <f>OrdersTable!C1583</f>
        <v>44673</v>
      </c>
      <c r="S1583" s="15">
        <f>OrdersTable!E1583</f>
        <v>9</v>
      </c>
      <c r="T1583" s="15">
        <f t="shared" si="542"/>
        <v>44.99</v>
      </c>
      <c r="U1583" s="15">
        <f t="shared" si="543"/>
        <v>61.7</v>
      </c>
      <c r="V1583" s="15">
        <f t="shared" si="544"/>
        <v>72.88</v>
      </c>
      <c r="W1583" s="15">
        <f>IF(MarkupType="Store Markup",ROUND(V1583+V1583*StoreMarkup,2),IF(MarkupType="Supplier Markup",V1583+V1583*SupplierMarkup,"Error at finding value"))</f>
        <v>114.79</v>
      </c>
      <c r="X1583" s="32">
        <f t="shared" si="546"/>
        <v>8.18</v>
      </c>
      <c r="Y1583" s="15">
        <f t="shared" si="547"/>
        <v>655.92</v>
      </c>
      <c r="Z1583" s="15">
        <f t="shared" si="548"/>
        <v>959.49</v>
      </c>
      <c r="AA1583" s="15">
        <f>IF(FreightType="Lethbridge-Stewart Freight ",ROUND(2.99+IF(N1583&gt;0.75,(N1583-0.75)*2.25,0)*S1583,2),IF(MarkupType="Supplier Markup",V1583+V1583*SupplierMarkup,"Error at finding value"))</f>
        <v>33.369999999999997</v>
      </c>
      <c r="AB1583" s="15">
        <f t="shared" si="549"/>
        <v>73.62</v>
      </c>
    </row>
    <row r="1584" spans="1:28" x14ac:dyDescent="0.25">
      <c r="A1584" s="16">
        <f>OrdersTable!A1584</f>
        <v>989</v>
      </c>
      <c r="B1584" s="15" t="str">
        <f t="shared" si="529"/>
        <v>Miss</v>
      </c>
      <c r="C1584" s="15" t="str">
        <f t="shared" si="550"/>
        <v>McInnes</v>
      </c>
      <c r="D1584" s="15" t="str">
        <f t="shared" si="530"/>
        <v>Nina Marie</v>
      </c>
      <c r="E1584" s="15" t="str">
        <f t="shared" si="531"/>
        <v>28 Caruss Road</v>
      </c>
      <c r="F1584" s="15" t="str">
        <f t="shared" si="532"/>
        <v>Belford</v>
      </c>
      <c r="G1584" s="15" t="str">
        <f t="shared" si="533"/>
        <v>NSW</v>
      </c>
      <c r="H1584" s="15">
        <f t="shared" si="534"/>
        <v>2335</v>
      </c>
      <c r="I1584" s="15">
        <f t="shared" si="545"/>
        <v>716</v>
      </c>
      <c r="J1584" s="15">
        <f>OrdersTable!B1584</f>
        <v>145</v>
      </c>
      <c r="K1584" s="15" t="str">
        <f t="shared" si="535"/>
        <v>Bobbleheads</v>
      </c>
      <c r="L1584" s="15" t="str">
        <f t="shared" si="536"/>
        <v>Doctor Who: Bobblehead: Eleventh Doctor</v>
      </c>
      <c r="M1584" s="15" t="str">
        <f t="shared" si="537"/>
        <v>-</v>
      </c>
      <c r="N1584" s="15">
        <f t="shared" si="538"/>
        <v>1</v>
      </c>
      <c r="O1584" s="15" t="str">
        <f t="shared" si="539"/>
        <v>A30</v>
      </c>
      <c r="P1584" s="15" t="str">
        <f t="shared" si="540"/>
        <v>Chesterton Enterprises</v>
      </c>
      <c r="Q1584" s="15" t="str">
        <f t="shared" si="541"/>
        <v>41 William Russell Road</v>
      </c>
      <c r="R1584" s="3">
        <f>OrdersTable!C1584</f>
        <v>44673</v>
      </c>
      <c r="S1584" s="15">
        <f>OrdersTable!E1584</f>
        <v>8</v>
      </c>
      <c r="T1584" s="15">
        <f t="shared" si="542"/>
        <v>19.989999999999998</v>
      </c>
      <c r="U1584" s="15">
        <f t="shared" si="543"/>
        <v>27.54</v>
      </c>
      <c r="V1584" s="15">
        <f t="shared" si="544"/>
        <v>32.380000000000003</v>
      </c>
      <c r="W1584" s="15">
        <f>IF(MarkupType="Store Markup",ROUND(V1584+V1584*StoreMarkup,2),IF(MarkupType="Supplier Markup",V1584+V1584*SupplierMarkup,"Error at finding value"))</f>
        <v>51</v>
      </c>
      <c r="X1584" s="32" t="str">
        <f t="shared" si="546"/>
        <v>0.00</v>
      </c>
      <c r="Y1584" s="15">
        <f t="shared" si="547"/>
        <v>259.04000000000002</v>
      </c>
      <c r="Z1584" s="15">
        <f t="shared" si="548"/>
        <v>408</v>
      </c>
      <c r="AA1584" s="15">
        <f>IF(FreightType="Lethbridge-Stewart Freight ",ROUND(2.99+IF(N1584&gt;0.75,(N1584-0.75)*2.25,0)*S1584,2),IF(MarkupType="Supplier Markup",V1584+V1584*SupplierMarkup,"Error at finding value"))</f>
        <v>7.49</v>
      </c>
      <c r="AB1584" s="15">
        <f t="shared" si="549"/>
        <v>0</v>
      </c>
    </row>
    <row r="1585" spans="1:28" x14ac:dyDescent="0.25">
      <c r="A1585" s="16">
        <f>OrdersTable!A1585</f>
        <v>989</v>
      </c>
      <c r="B1585" s="15" t="str">
        <f t="shared" si="529"/>
        <v>Miss</v>
      </c>
      <c r="C1585" s="15" t="str">
        <f t="shared" si="550"/>
        <v>McInnes</v>
      </c>
      <c r="D1585" s="15" t="str">
        <f t="shared" si="530"/>
        <v>Nina Marie</v>
      </c>
      <c r="E1585" s="15" t="str">
        <f t="shared" si="531"/>
        <v>28 Caruss Road</v>
      </c>
      <c r="F1585" s="15" t="str">
        <f t="shared" si="532"/>
        <v>Belford</v>
      </c>
      <c r="G1585" s="15" t="str">
        <f t="shared" si="533"/>
        <v>NSW</v>
      </c>
      <c r="H1585" s="15">
        <f t="shared" si="534"/>
        <v>2335</v>
      </c>
      <c r="I1585" s="15">
        <f t="shared" si="545"/>
        <v>716</v>
      </c>
      <c r="J1585" s="15">
        <f>OrdersTable!B1585</f>
        <v>316</v>
      </c>
      <c r="K1585" s="15" t="str">
        <f t="shared" si="535"/>
        <v>Clothing and Apparel</v>
      </c>
      <c r="L1585" s="15" t="str">
        <f t="shared" si="536"/>
        <v xml:space="preserve">Doctor Who: T-Shirts: 4th Doctor Costume </v>
      </c>
      <c r="M1585" s="15" t="str">
        <f t="shared" si="537"/>
        <v>S</v>
      </c>
      <c r="N1585" s="15">
        <f t="shared" si="538"/>
        <v>0.8</v>
      </c>
      <c r="O1585" s="15" t="str">
        <f t="shared" si="539"/>
        <v>A30</v>
      </c>
      <c r="P1585" s="15" t="str">
        <f t="shared" si="540"/>
        <v>Chesterton Enterprises</v>
      </c>
      <c r="Q1585" s="15" t="str">
        <f t="shared" si="541"/>
        <v>41 William Russell Road</v>
      </c>
      <c r="R1585" s="3">
        <f>OrdersTable!C1585</f>
        <v>44673</v>
      </c>
      <c r="S1585" s="15">
        <f>OrdersTable!E1585</f>
        <v>1</v>
      </c>
      <c r="T1585" s="15">
        <f t="shared" si="542"/>
        <v>15.99</v>
      </c>
      <c r="U1585" s="15">
        <f t="shared" si="543"/>
        <v>21.94</v>
      </c>
      <c r="V1585" s="15">
        <f t="shared" si="544"/>
        <v>25.9</v>
      </c>
      <c r="W1585" s="15">
        <f>IF(MarkupType="Store Markup",ROUND(V1585+V1585*StoreMarkup,2),IF(MarkupType="Supplier Markup",V1585+V1585*SupplierMarkup,"Error at finding value"))</f>
        <v>40.79</v>
      </c>
      <c r="X1585" s="32" t="str">
        <f t="shared" si="546"/>
        <v>0.00</v>
      </c>
      <c r="Y1585" s="15">
        <f t="shared" si="547"/>
        <v>25.9</v>
      </c>
      <c r="Z1585" s="15">
        <f t="shared" si="548"/>
        <v>40.79</v>
      </c>
      <c r="AA1585" s="15">
        <f>IF(FreightType="Lethbridge-Stewart Freight ",ROUND(2.99+IF(N1585&gt;0.75,(N1585-0.75)*2.25,0)*S1585,2),IF(MarkupType="Supplier Markup",V1585+V1585*SupplierMarkup,"Error at finding value"))</f>
        <v>3.1</v>
      </c>
      <c r="AB1585" s="15">
        <f t="shared" si="549"/>
        <v>0</v>
      </c>
    </row>
    <row r="1586" spans="1:28" x14ac:dyDescent="0.25">
      <c r="A1586" s="16">
        <f>OrdersTable!A1586</f>
        <v>47</v>
      </c>
      <c r="B1586" s="15" t="str">
        <f t="shared" si="529"/>
        <v>Dr</v>
      </c>
      <c r="C1586" s="15" t="str">
        <f t="shared" si="550"/>
        <v>Kaur</v>
      </c>
      <c r="D1586" s="15" t="str">
        <f t="shared" si="530"/>
        <v>Jasleen</v>
      </c>
      <c r="E1586" s="15" t="str">
        <f t="shared" si="531"/>
        <v>7 Hong Road</v>
      </c>
      <c r="F1586" s="15" t="str">
        <f t="shared" si="532"/>
        <v>Belconnen</v>
      </c>
      <c r="G1586" s="15" t="str">
        <f t="shared" si="533"/>
        <v>ACT</v>
      </c>
      <c r="H1586" s="15">
        <f t="shared" si="534"/>
        <v>2617</v>
      </c>
      <c r="I1586" s="15">
        <f t="shared" si="545"/>
        <v>1194</v>
      </c>
      <c r="J1586" s="15">
        <f>OrdersTable!B1586</f>
        <v>376</v>
      </c>
      <c r="K1586" s="15" t="str">
        <f t="shared" si="535"/>
        <v>Clothing and Apparel</v>
      </c>
      <c r="L1586" s="15" t="str">
        <f t="shared" si="536"/>
        <v xml:space="preserve">Doctor Who: T-Shirts: 7th Doctor Costume </v>
      </c>
      <c r="M1586" s="15" t="str">
        <f t="shared" si="537"/>
        <v>S</v>
      </c>
      <c r="N1586" s="15">
        <f t="shared" si="538"/>
        <v>0.8</v>
      </c>
      <c r="O1586" s="15" t="str">
        <f t="shared" si="539"/>
        <v>A10</v>
      </c>
      <c r="P1586" s="15" t="str">
        <f t="shared" si="540"/>
        <v>Gallifrey International</v>
      </c>
      <c r="Q1586" s="15" t="str">
        <f t="shared" si="541"/>
        <v>181 Arcadia Street</v>
      </c>
      <c r="R1586" s="3">
        <f>OrdersTable!C1586</f>
        <v>44674</v>
      </c>
      <c r="S1586" s="15">
        <f>OrdersTable!E1586</f>
        <v>2</v>
      </c>
      <c r="T1586" s="15">
        <f t="shared" si="542"/>
        <v>15.99</v>
      </c>
      <c r="U1586" s="15">
        <f t="shared" si="543"/>
        <v>21.83</v>
      </c>
      <c r="V1586" s="15">
        <f t="shared" si="544"/>
        <v>25.9</v>
      </c>
      <c r="W1586" s="15">
        <f>IF(MarkupType="Store Markup",ROUND(V1586+V1586*StoreMarkup,2),IF(MarkupType="Supplier Markup",V1586+V1586*SupplierMarkup,"Error at finding value"))</f>
        <v>40.79</v>
      </c>
      <c r="X1586" s="32" t="str">
        <f t="shared" si="546"/>
        <v>0.00</v>
      </c>
      <c r="Y1586" s="15">
        <f t="shared" si="547"/>
        <v>51.8</v>
      </c>
      <c r="Z1586" s="15">
        <f t="shared" si="548"/>
        <v>81.58</v>
      </c>
      <c r="AA1586" s="15">
        <f>IF(FreightType="Lethbridge-Stewart Freight ",ROUND(2.99+IF(N1586&gt;0.75,(N1586-0.75)*2.25,0)*S1586,2),IF(MarkupType="Supplier Markup",V1586+V1586*SupplierMarkup,"Error at finding value"))</f>
        <v>3.22</v>
      </c>
      <c r="AB1586" s="15">
        <f t="shared" si="549"/>
        <v>0</v>
      </c>
    </row>
    <row r="1587" spans="1:28" x14ac:dyDescent="0.25">
      <c r="A1587" s="16">
        <f>OrdersTable!A1587</f>
        <v>66</v>
      </c>
      <c r="B1587" s="15" t="str">
        <f t="shared" si="529"/>
        <v>Mr</v>
      </c>
      <c r="C1587" s="15" t="str">
        <f t="shared" si="550"/>
        <v>Bachmann</v>
      </c>
      <c r="D1587" s="15" t="str">
        <f t="shared" si="530"/>
        <v>Aaron</v>
      </c>
      <c r="E1587" s="15" t="str">
        <f t="shared" si="531"/>
        <v>3 Csabai Avenue</v>
      </c>
      <c r="F1587" s="15" t="str">
        <f t="shared" si="532"/>
        <v>Bridgewater</v>
      </c>
      <c r="G1587" s="15" t="str">
        <f t="shared" si="533"/>
        <v>VIC</v>
      </c>
      <c r="H1587" s="15">
        <f t="shared" si="534"/>
        <v>3516</v>
      </c>
      <c r="I1587" s="15">
        <f t="shared" si="545"/>
        <v>1486</v>
      </c>
      <c r="J1587" s="15">
        <f>OrdersTable!B1587</f>
        <v>685</v>
      </c>
      <c r="K1587" s="15" t="str">
        <f t="shared" si="535"/>
        <v>Mugs</v>
      </c>
      <c r="L1587" s="15" t="str">
        <f t="shared" si="536"/>
        <v>Doctor Who: Teapot: Sliver TARDIS</v>
      </c>
      <c r="M1587" s="15" t="str">
        <f t="shared" si="537"/>
        <v>-</v>
      </c>
      <c r="N1587" s="15">
        <f t="shared" si="538"/>
        <v>1.35</v>
      </c>
      <c r="O1587" s="15" t="str">
        <f t="shared" si="539"/>
        <v>A30</v>
      </c>
      <c r="P1587" s="15" t="str">
        <f t="shared" si="540"/>
        <v>Chesterton Enterprises</v>
      </c>
      <c r="Q1587" s="15" t="str">
        <f t="shared" si="541"/>
        <v>41 William Russell Road</v>
      </c>
      <c r="R1587" s="3">
        <f>OrdersTable!C1587</f>
        <v>44674</v>
      </c>
      <c r="S1587" s="15">
        <f>OrdersTable!E1587</f>
        <v>3</v>
      </c>
      <c r="T1587" s="15">
        <f t="shared" si="542"/>
        <v>26.99</v>
      </c>
      <c r="U1587" s="15">
        <f t="shared" si="543"/>
        <v>36.869999999999997</v>
      </c>
      <c r="V1587" s="15">
        <f t="shared" si="544"/>
        <v>43.72</v>
      </c>
      <c r="W1587" s="15">
        <f>IF(MarkupType="Store Markup",ROUND(V1587+V1587*StoreMarkup,2),IF(MarkupType="Supplier Markup",V1587+V1587*SupplierMarkup,"Error at finding value"))</f>
        <v>68.86</v>
      </c>
      <c r="X1587" s="32" t="str">
        <f t="shared" si="546"/>
        <v>0.00</v>
      </c>
      <c r="Y1587" s="15">
        <f t="shared" si="547"/>
        <v>131.16</v>
      </c>
      <c r="Z1587" s="15">
        <f t="shared" si="548"/>
        <v>206.58</v>
      </c>
      <c r="AA1587" s="15">
        <f>IF(FreightType="Lethbridge-Stewart Freight ",ROUND(2.99+IF(N1587&gt;0.75,(N1587-0.75)*2.25,0)*S1587,2),IF(MarkupType="Supplier Markup",V1587+V1587*SupplierMarkup,"Error at finding value"))</f>
        <v>7.04</v>
      </c>
      <c r="AB1587" s="15">
        <f t="shared" si="549"/>
        <v>0</v>
      </c>
    </row>
    <row r="1588" spans="1:28" x14ac:dyDescent="0.25">
      <c r="A1588" s="16">
        <f>OrdersTable!A1588</f>
        <v>226</v>
      </c>
      <c r="B1588" s="15" t="str">
        <f t="shared" si="529"/>
        <v>Ms</v>
      </c>
      <c r="C1588" s="15" t="str">
        <f t="shared" si="550"/>
        <v>Stewart</v>
      </c>
      <c r="D1588" s="15" t="str">
        <f t="shared" si="530"/>
        <v>Jodi Louise</v>
      </c>
      <c r="E1588" s="15" t="str">
        <f t="shared" si="531"/>
        <v>33 Abington Court</v>
      </c>
      <c r="F1588" s="15" t="str">
        <f t="shared" si="532"/>
        <v>Iluka</v>
      </c>
      <c r="G1588" s="15" t="str">
        <f t="shared" si="533"/>
        <v>NSW</v>
      </c>
      <c r="H1588" s="15">
        <f t="shared" si="534"/>
        <v>2466</v>
      </c>
      <c r="I1588" s="15">
        <f t="shared" si="545"/>
        <v>347</v>
      </c>
      <c r="J1588" s="15">
        <f>OrdersTable!B1588</f>
        <v>724</v>
      </c>
      <c r="K1588" s="15" t="str">
        <f t="shared" si="535"/>
        <v>Posters, Prints and Standees</v>
      </c>
      <c r="L1588" s="15" t="str">
        <f t="shared" si="536"/>
        <v>Doctor Who: Standee: The 10th Doctor</v>
      </c>
      <c r="M1588" s="15" t="str">
        <f t="shared" si="537"/>
        <v>-</v>
      </c>
      <c r="N1588" s="15">
        <f t="shared" si="538"/>
        <v>1.125</v>
      </c>
      <c r="O1588" s="15" t="str">
        <f t="shared" si="539"/>
        <v>A50</v>
      </c>
      <c r="P1588" s="15" t="str">
        <f t="shared" si="540"/>
        <v>Rassilon Ltd.</v>
      </c>
      <c r="Q1588" s="15" t="str">
        <f t="shared" si="541"/>
        <v>82 Richard Mathews Road</v>
      </c>
      <c r="R1588" s="3">
        <f>OrdersTable!C1588</f>
        <v>44674</v>
      </c>
      <c r="S1588" s="15">
        <f>OrdersTable!E1588</f>
        <v>4</v>
      </c>
      <c r="T1588" s="15">
        <f t="shared" si="542"/>
        <v>22.49</v>
      </c>
      <c r="U1588" s="15">
        <f t="shared" si="543"/>
        <v>30.77</v>
      </c>
      <c r="V1588" s="15">
        <f t="shared" si="544"/>
        <v>36.43</v>
      </c>
      <c r="W1588" s="15">
        <f>IF(MarkupType="Store Markup",ROUND(V1588+V1588*StoreMarkup,2),IF(MarkupType="Supplier Markup",V1588+V1588*SupplierMarkup,"Error at finding value"))</f>
        <v>57.38</v>
      </c>
      <c r="X1588" s="32" t="str">
        <f t="shared" si="546"/>
        <v>0.00</v>
      </c>
      <c r="Y1588" s="15">
        <f t="shared" si="547"/>
        <v>145.72</v>
      </c>
      <c r="Z1588" s="15">
        <f t="shared" si="548"/>
        <v>229.52</v>
      </c>
      <c r="AA1588" s="15">
        <f>IF(FreightType="Lethbridge-Stewart Freight ",ROUND(2.99+IF(N1588&gt;0.75,(N1588-0.75)*2.25,0)*S1588,2),IF(MarkupType="Supplier Markup",V1588+V1588*SupplierMarkup,"Error at finding value"))</f>
        <v>6.37</v>
      </c>
      <c r="AB1588" s="15">
        <f t="shared" si="549"/>
        <v>0</v>
      </c>
    </row>
    <row r="1589" spans="1:28" x14ac:dyDescent="0.25">
      <c r="A1589" s="16">
        <f>OrdersTable!A1589</f>
        <v>489</v>
      </c>
      <c r="B1589" s="15" t="str">
        <f t="shared" si="529"/>
        <v>Mr</v>
      </c>
      <c r="C1589" s="15" t="str">
        <f t="shared" si="550"/>
        <v>Edwards</v>
      </c>
      <c r="D1589" s="15" t="str">
        <f t="shared" si="530"/>
        <v>Luke Russell</v>
      </c>
      <c r="E1589" s="15" t="str">
        <f t="shared" si="531"/>
        <v>43 Valusaga Court</v>
      </c>
      <c r="F1589" s="15" t="str">
        <f t="shared" si="532"/>
        <v>Alfredtown</v>
      </c>
      <c r="G1589" s="15" t="str">
        <f t="shared" si="533"/>
        <v>NSW</v>
      </c>
      <c r="H1589" s="15">
        <f t="shared" si="534"/>
        <v>2650</v>
      </c>
      <c r="I1589" s="15">
        <f t="shared" si="545"/>
        <v>1124</v>
      </c>
      <c r="J1589" s="15">
        <f>OrdersTable!B1589</f>
        <v>374</v>
      </c>
      <c r="K1589" s="15" t="str">
        <f t="shared" si="535"/>
        <v>Clothing and Apparel</v>
      </c>
      <c r="L1589" s="15" t="str">
        <f t="shared" si="536"/>
        <v xml:space="preserve">Doctor Who: T-Shirts: 5th Doctor Costume </v>
      </c>
      <c r="M1589" s="15" t="str">
        <f t="shared" si="537"/>
        <v>XL</v>
      </c>
      <c r="N1589" s="15">
        <f t="shared" si="538"/>
        <v>0.8</v>
      </c>
      <c r="O1589" s="15" t="str">
        <f t="shared" si="539"/>
        <v>A50</v>
      </c>
      <c r="P1589" s="15" t="str">
        <f t="shared" si="540"/>
        <v>Rassilon Ltd.</v>
      </c>
      <c r="Q1589" s="15" t="str">
        <f t="shared" si="541"/>
        <v>82 Richard Mathews Road</v>
      </c>
      <c r="R1589" s="3">
        <f>OrdersTable!C1589</f>
        <v>44674</v>
      </c>
      <c r="S1589" s="15">
        <f>OrdersTable!E1589</f>
        <v>6</v>
      </c>
      <c r="T1589" s="15">
        <f t="shared" si="542"/>
        <v>15.99</v>
      </c>
      <c r="U1589" s="15">
        <f t="shared" si="543"/>
        <v>21.97</v>
      </c>
      <c r="V1589" s="15">
        <f t="shared" si="544"/>
        <v>25.9</v>
      </c>
      <c r="W1589" s="15">
        <f>IF(MarkupType="Store Markup",ROUND(V1589+V1589*StoreMarkup,2),IF(MarkupType="Supplier Markup",V1589+V1589*SupplierMarkup,"Error at finding value"))</f>
        <v>40.79</v>
      </c>
      <c r="X1589" s="32" t="str">
        <f t="shared" si="546"/>
        <v>0.00</v>
      </c>
      <c r="Y1589" s="15">
        <f t="shared" si="547"/>
        <v>155.4</v>
      </c>
      <c r="Z1589" s="15">
        <f t="shared" si="548"/>
        <v>244.74</v>
      </c>
      <c r="AA1589" s="15">
        <f>IF(FreightType="Lethbridge-Stewart Freight ",ROUND(2.99+IF(N1589&gt;0.75,(N1589-0.75)*2.25,0)*S1589,2),IF(MarkupType="Supplier Markup",V1589+V1589*SupplierMarkup,"Error at finding value"))</f>
        <v>3.67</v>
      </c>
      <c r="AB1589" s="15">
        <f t="shared" si="549"/>
        <v>0</v>
      </c>
    </row>
    <row r="1590" spans="1:28" x14ac:dyDescent="0.25">
      <c r="A1590" s="16">
        <f>OrdersTable!A1590</f>
        <v>546</v>
      </c>
      <c r="B1590" s="15" t="str">
        <f t="shared" si="529"/>
        <v>Ms</v>
      </c>
      <c r="C1590" s="15" t="str">
        <f t="shared" si="550"/>
        <v>Shortt</v>
      </c>
      <c r="D1590" s="15" t="str">
        <f t="shared" si="530"/>
        <v>Rickylee Sidonia</v>
      </c>
      <c r="E1590" s="15" t="str">
        <f t="shared" si="531"/>
        <v>4 Hughes Road</v>
      </c>
      <c r="F1590" s="15" t="str">
        <f t="shared" si="532"/>
        <v>Glenfern</v>
      </c>
      <c r="G1590" s="15" t="str">
        <f t="shared" si="533"/>
        <v>QLD</v>
      </c>
      <c r="H1590" s="15">
        <f t="shared" si="534"/>
        <v>4515</v>
      </c>
      <c r="I1590" s="15">
        <f t="shared" si="545"/>
        <v>128</v>
      </c>
      <c r="J1590" s="15">
        <f>OrdersTable!B1590</f>
        <v>689</v>
      </c>
      <c r="K1590" s="15" t="str">
        <f t="shared" si="535"/>
        <v>Posters, Prints and Standees</v>
      </c>
      <c r="L1590" s="15" t="str">
        <f t="shared" si="536"/>
        <v>Doctor Who: 16'x12' Framed Print: Cold War</v>
      </c>
      <c r="M1590" s="15" t="str">
        <f t="shared" si="537"/>
        <v>-</v>
      </c>
      <c r="N1590" s="15">
        <f t="shared" si="538"/>
        <v>0.75</v>
      </c>
      <c r="O1590" s="15" t="str">
        <f t="shared" si="539"/>
        <v>A50</v>
      </c>
      <c r="P1590" s="15" t="str">
        <f t="shared" si="540"/>
        <v>Rassilon Ltd.</v>
      </c>
      <c r="Q1590" s="15" t="str">
        <f t="shared" si="541"/>
        <v>82 Richard Mathews Road</v>
      </c>
      <c r="R1590" s="3">
        <f>OrdersTable!C1590</f>
        <v>44674</v>
      </c>
      <c r="S1590" s="15">
        <f>OrdersTable!E1590</f>
        <v>6</v>
      </c>
      <c r="T1590" s="15">
        <f t="shared" si="542"/>
        <v>14.99</v>
      </c>
      <c r="U1590" s="15">
        <f t="shared" si="543"/>
        <v>20.77</v>
      </c>
      <c r="V1590" s="15">
        <f t="shared" si="544"/>
        <v>24.28</v>
      </c>
      <c r="W1590" s="15">
        <f>IF(MarkupType="Store Markup",ROUND(V1590+V1590*StoreMarkup,2),IF(MarkupType="Supplier Markup",V1590+V1590*SupplierMarkup,"Error at finding value"))</f>
        <v>38.24</v>
      </c>
      <c r="X1590" s="32" t="str">
        <f t="shared" si="546"/>
        <v>0.00</v>
      </c>
      <c r="Y1590" s="15">
        <f t="shared" si="547"/>
        <v>145.68</v>
      </c>
      <c r="Z1590" s="15">
        <f t="shared" si="548"/>
        <v>229.44</v>
      </c>
      <c r="AA1590" s="15">
        <f>IF(FreightType="Lethbridge-Stewart Freight ",ROUND(2.99+IF(N1590&gt;0.75,(N1590-0.75)*2.25,0)*S1590,2),IF(MarkupType="Supplier Markup",V1590+V1590*SupplierMarkup,"Error at finding value"))</f>
        <v>2.99</v>
      </c>
      <c r="AB1590" s="15">
        <f t="shared" si="549"/>
        <v>0</v>
      </c>
    </row>
    <row r="1591" spans="1:28" x14ac:dyDescent="0.25">
      <c r="A1591" s="16">
        <f>OrdersTable!A1591</f>
        <v>546</v>
      </c>
      <c r="B1591" s="15" t="str">
        <f t="shared" si="529"/>
        <v>Ms</v>
      </c>
      <c r="C1591" s="15" t="str">
        <f t="shared" si="550"/>
        <v>Shortt</v>
      </c>
      <c r="D1591" s="15" t="str">
        <f t="shared" si="530"/>
        <v>Rickylee Sidonia</v>
      </c>
      <c r="E1591" s="15" t="str">
        <f t="shared" si="531"/>
        <v>4 Hughes Road</v>
      </c>
      <c r="F1591" s="15" t="str">
        <f t="shared" si="532"/>
        <v>Glenfern</v>
      </c>
      <c r="G1591" s="15" t="str">
        <f t="shared" si="533"/>
        <v>QLD</v>
      </c>
      <c r="H1591" s="15">
        <f t="shared" si="534"/>
        <v>4515</v>
      </c>
      <c r="I1591" s="15">
        <f t="shared" si="545"/>
        <v>128</v>
      </c>
      <c r="J1591" s="15">
        <f>OrdersTable!B1591</f>
        <v>830</v>
      </c>
      <c r="K1591" s="15" t="str">
        <f t="shared" si="535"/>
        <v>Statues and Busts</v>
      </c>
      <c r="L1591" s="15" t="str">
        <f t="shared" si="536"/>
        <v>Doctor Who: Mini Bust: Weeping Angel</v>
      </c>
      <c r="M1591" s="15" t="str">
        <f t="shared" si="537"/>
        <v>-</v>
      </c>
      <c r="N1591" s="15">
        <f t="shared" si="538"/>
        <v>1.8</v>
      </c>
      <c r="O1591" s="15" t="str">
        <f t="shared" si="539"/>
        <v>A50</v>
      </c>
      <c r="P1591" s="15" t="str">
        <f t="shared" si="540"/>
        <v>Rassilon Ltd.</v>
      </c>
      <c r="Q1591" s="15" t="str">
        <f t="shared" si="541"/>
        <v>82 Richard Mathews Road</v>
      </c>
      <c r="R1591" s="3">
        <f>OrdersTable!C1591</f>
        <v>44674</v>
      </c>
      <c r="S1591" s="15">
        <f>OrdersTable!E1591</f>
        <v>7</v>
      </c>
      <c r="T1591" s="15">
        <f t="shared" si="542"/>
        <v>35.99</v>
      </c>
      <c r="U1591" s="15">
        <f t="shared" si="543"/>
        <v>49.35</v>
      </c>
      <c r="V1591" s="15">
        <f t="shared" si="544"/>
        <v>58.3</v>
      </c>
      <c r="W1591" s="15">
        <f>IF(MarkupType="Store Markup",ROUND(V1591+V1591*StoreMarkup,2),IF(MarkupType="Supplier Markup",V1591+V1591*SupplierMarkup,"Error at finding value"))</f>
        <v>91.82</v>
      </c>
      <c r="X1591" s="32" t="str">
        <f t="shared" si="546"/>
        <v>0.00</v>
      </c>
      <c r="Y1591" s="15">
        <f t="shared" si="547"/>
        <v>408.1</v>
      </c>
      <c r="Z1591" s="15">
        <f t="shared" si="548"/>
        <v>642.74</v>
      </c>
      <c r="AA1591" s="15">
        <f>IF(FreightType="Lethbridge-Stewart Freight ",ROUND(2.99+IF(N1591&gt;0.75,(N1591-0.75)*2.25,0)*S1591,2),IF(MarkupType="Supplier Markup",V1591+V1591*SupplierMarkup,"Error at finding value"))</f>
        <v>19.53</v>
      </c>
      <c r="AB1591" s="15">
        <f t="shared" si="549"/>
        <v>0</v>
      </c>
    </row>
    <row r="1592" spans="1:28" x14ac:dyDescent="0.25">
      <c r="A1592" s="16">
        <f>OrdersTable!A1592</f>
        <v>643</v>
      </c>
      <c r="B1592" s="15" t="str">
        <f t="shared" si="529"/>
        <v>Ms</v>
      </c>
      <c r="C1592" s="15" t="str">
        <f t="shared" si="550"/>
        <v>Crispin-Purcell</v>
      </c>
      <c r="D1592" s="15" t="str">
        <f t="shared" si="530"/>
        <v>Gabriellen Elizabeth</v>
      </c>
      <c r="E1592" s="15" t="str">
        <f t="shared" si="531"/>
        <v>12 Williams Road</v>
      </c>
      <c r="F1592" s="15" t="str">
        <f t="shared" si="532"/>
        <v>Appletree Flat</v>
      </c>
      <c r="G1592" s="15" t="str">
        <f t="shared" si="533"/>
        <v>NSW</v>
      </c>
      <c r="H1592" s="15">
        <f t="shared" si="534"/>
        <v>2330</v>
      </c>
      <c r="I1592" s="15">
        <f t="shared" si="545"/>
        <v>691</v>
      </c>
      <c r="J1592" s="15">
        <f>OrdersTable!B1592</f>
        <v>580</v>
      </c>
      <c r="K1592" s="15" t="str">
        <f t="shared" si="535"/>
        <v>Giftware</v>
      </c>
      <c r="L1592" s="15" t="str">
        <f t="shared" si="536"/>
        <v>Doctor Who: Wallpaper: Classic TARDIS Columns</v>
      </c>
      <c r="M1592" s="15" t="str">
        <f t="shared" si="537"/>
        <v>-</v>
      </c>
      <c r="N1592" s="15">
        <f t="shared" si="538"/>
        <v>0.65500000000000003</v>
      </c>
      <c r="O1592" s="15" t="str">
        <f t="shared" si="539"/>
        <v>A50</v>
      </c>
      <c r="P1592" s="15" t="str">
        <f t="shared" si="540"/>
        <v>Rassilon Ltd.</v>
      </c>
      <c r="Q1592" s="15" t="str">
        <f t="shared" si="541"/>
        <v>82 Richard Mathews Road</v>
      </c>
      <c r="R1592" s="3">
        <f>OrdersTable!C1592</f>
        <v>44674</v>
      </c>
      <c r="S1592" s="15">
        <f>OrdersTable!E1592</f>
        <v>7</v>
      </c>
      <c r="T1592" s="15">
        <f t="shared" si="542"/>
        <v>13.11</v>
      </c>
      <c r="U1592" s="15">
        <f t="shared" si="543"/>
        <v>18.18</v>
      </c>
      <c r="V1592" s="15">
        <f t="shared" si="544"/>
        <v>21.24</v>
      </c>
      <c r="W1592" s="15">
        <f>IF(MarkupType="Store Markup",ROUND(V1592+V1592*StoreMarkup,2),IF(MarkupType="Supplier Markup",V1592+V1592*SupplierMarkup,"Error at finding value"))</f>
        <v>33.450000000000003</v>
      </c>
      <c r="X1592" s="32" t="str">
        <f t="shared" si="546"/>
        <v>0.00</v>
      </c>
      <c r="Y1592" s="15">
        <f t="shared" si="547"/>
        <v>148.68</v>
      </c>
      <c r="Z1592" s="15">
        <f t="shared" si="548"/>
        <v>234.15</v>
      </c>
      <c r="AA1592" s="15">
        <f>IF(FreightType="Lethbridge-Stewart Freight ",ROUND(2.99+IF(N1592&gt;0.75,(N1592-0.75)*2.25,0)*S1592,2),IF(MarkupType="Supplier Markup",V1592+V1592*SupplierMarkup,"Error at finding value"))</f>
        <v>2.99</v>
      </c>
      <c r="AB1592" s="15">
        <f t="shared" si="549"/>
        <v>0</v>
      </c>
    </row>
    <row r="1593" spans="1:28" x14ac:dyDescent="0.25">
      <c r="A1593" s="16">
        <f>OrdersTable!A1593</f>
        <v>747</v>
      </c>
      <c r="B1593" s="15" t="str">
        <f t="shared" si="529"/>
        <v>Miss</v>
      </c>
      <c r="C1593" s="15" t="str">
        <f t="shared" si="550"/>
        <v>Coom</v>
      </c>
      <c r="D1593" s="15" t="str">
        <f t="shared" si="530"/>
        <v>Mackenzie Megan</v>
      </c>
      <c r="E1593" s="15" t="str">
        <f t="shared" si="531"/>
        <v>2 Tsalikis Road</v>
      </c>
      <c r="F1593" s="15" t="str">
        <f t="shared" si="532"/>
        <v>Aberfoyle</v>
      </c>
      <c r="G1593" s="15" t="str">
        <f t="shared" si="533"/>
        <v>NSW</v>
      </c>
      <c r="H1593" s="15">
        <f t="shared" si="534"/>
        <v>2350</v>
      </c>
      <c r="I1593" s="15">
        <f t="shared" si="545"/>
        <v>363</v>
      </c>
      <c r="J1593" s="15">
        <f>OrdersTable!B1593</f>
        <v>582</v>
      </c>
      <c r="K1593" s="15" t="str">
        <f t="shared" si="535"/>
        <v>Giftware</v>
      </c>
      <c r="L1593" s="15" t="str">
        <f t="shared" si="536"/>
        <v>Doctor Who: Wallpaper: Classic TARDIS Roundels</v>
      </c>
      <c r="M1593" s="15" t="str">
        <f t="shared" si="537"/>
        <v>-</v>
      </c>
      <c r="N1593" s="15">
        <f t="shared" si="538"/>
        <v>1.75</v>
      </c>
      <c r="O1593" s="15" t="str">
        <f t="shared" si="539"/>
        <v>A40</v>
      </c>
      <c r="P1593" s="15" t="str">
        <f t="shared" si="540"/>
        <v>Romana Imports</v>
      </c>
      <c r="Q1593" s="15" t="str">
        <f t="shared" si="541"/>
        <v>17 Lalla Ward Road</v>
      </c>
      <c r="R1593" s="3">
        <f>OrdersTable!C1593</f>
        <v>44674</v>
      </c>
      <c r="S1593" s="15">
        <f>OrdersTable!E1593</f>
        <v>3</v>
      </c>
      <c r="T1593" s="15">
        <f t="shared" si="542"/>
        <v>34.99</v>
      </c>
      <c r="U1593" s="15">
        <f t="shared" si="543"/>
        <v>47.77</v>
      </c>
      <c r="V1593" s="15">
        <f t="shared" si="544"/>
        <v>56.68</v>
      </c>
      <c r="W1593" s="15">
        <f>IF(MarkupType="Store Markup",ROUND(V1593+V1593*StoreMarkup,2),IF(MarkupType="Supplier Markup",V1593+V1593*SupplierMarkup,"Error at finding value"))</f>
        <v>89.27</v>
      </c>
      <c r="X1593" s="32" t="str">
        <f t="shared" si="546"/>
        <v>0.00</v>
      </c>
      <c r="Y1593" s="15">
        <f t="shared" si="547"/>
        <v>170.04</v>
      </c>
      <c r="Z1593" s="15">
        <f t="shared" si="548"/>
        <v>267.81</v>
      </c>
      <c r="AA1593" s="15">
        <f>IF(FreightType="Lethbridge-Stewart Freight ",ROUND(2.99+IF(N1593&gt;0.75,(N1593-0.75)*2.25,0)*S1593,2),IF(MarkupType="Supplier Markup",V1593+V1593*SupplierMarkup,"Error at finding value"))</f>
        <v>9.74</v>
      </c>
      <c r="AB1593" s="15">
        <f t="shared" si="549"/>
        <v>0</v>
      </c>
    </row>
    <row r="1594" spans="1:28" x14ac:dyDescent="0.25">
      <c r="A1594" s="16">
        <f>OrdersTable!A1594</f>
        <v>841</v>
      </c>
      <c r="B1594" s="15" t="str">
        <f t="shared" si="529"/>
        <v>Miss</v>
      </c>
      <c r="C1594" s="15" t="str">
        <f t="shared" si="550"/>
        <v>Donaghy</v>
      </c>
      <c r="D1594" s="15" t="str">
        <f t="shared" si="530"/>
        <v>Elizabeth Mathilde Jane</v>
      </c>
      <c r="E1594" s="15" t="str">
        <f t="shared" si="531"/>
        <v>31 Johnson Boulevard</v>
      </c>
      <c r="F1594" s="15" t="str">
        <f t="shared" si="532"/>
        <v>Belford</v>
      </c>
      <c r="G1594" s="15" t="str">
        <f t="shared" si="533"/>
        <v>NSW</v>
      </c>
      <c r="H1594" s="15">
        <f t="shared" si="534"/>
        <v>2335</v>
      </c>
      <c r="I1594" s="15">
        <f t="shared" si="545"/>
        <v>716</v>
      </c>
      <c r="J1594" s="15">
        <f>OrdersTable!B1594</f>
        <v>582</v>
      </c>
      <c r="K1594" s="15" t="str">
        <f t="shared" si="535"/>
        <v>Giftware</v>
      </c>
      <c r="L1594" s="15" t="str">
        <f t="shared" si="536"/>
        <v>Doctor Who: Wallpaper: Classic TARDIS Roundels</v>
      </c>
      <c r="M1594" s="15" t="str">
        <f t="shared" si="537"/>
        <v>-</v>
      </c>
      <c r="N1594" s="15">
        <f t="shared" si="538"/>
        <v>1.75</v>
      </c>
      <c r="O1594" s="15" t="str">
        <f t="shared" si="539"/>
        <v>A40</v>
      </c>
      <c r="P1594" s="15" t="str">
        <f t="shared" si="540"/>
        <v>Romana Imports</v>
      </c>
      <c r="Q1594" s="15" t="str">
        <f t="shared" si="541"/>
        <v>17 Lalla Ward Road</v>
      </c>
      <c r="R1594" s="3">
        <f>OrdersTable!C1594</f>
        <v>44674</v>
      </c>
      <c r="S1594" s="15">
        <f>OrdersTable!E1594</f>
        <v>5</v>
      </c>
      <c r="T1594" s="15">
        <f t="shared" si="542"/>
        <v>34.99</v>
      </c>
      <c r="U1594" s="15">
        <f t="shared" si="543"/>
        <v>47.77</v>
      </c>
      <c r="V1594" s="15">
        <f t="shared" si="544"/>
        <v>56.68</v>
      </c>
      <c r="W1594" s="15">
        <f>IF(MarkupType="Store Markup",ROUND(V1594+V1594*StoreMarkup,2),IF(MarkupType="Supplier Markup",V1594+V1594*SupplierMarkup,"Error at finding value"))</f>
        <v>89.27</v>
      </c>
      <c r="X1594" s="32" t="str">
        <f t="shared" si="546"/>
        <v>0.00</v>
      </c>
      <c r="Y1594" s="15">
        <f t="shared" si="547"/>
        <v>283.39999999999998</v>
      </c>
      <c r="Z1594" s="15">
        <f t="shared" si="548"/>
        <v>446.35</v>
      </c>
      <c r="AA1594" s="15">
        <f>IF(FreightType="Lethbridge-Stewart Freight ",ROUND(2.99+IF(N1594&gt;0.75,(N1594-0.75)*2.25,0)*S1594,2),IF(MarkupType="Supplier Markup",V1594+V1594*SupplierMarkup,"Error at finding value"))</f>
        <v>14.24</v>
      </c>
      <c r="AB1594" s="15">
        <f t="shared" si="549"/>
        <v>0</v>
      </c>
    </row>
    <row r="1595" spans="1:28" x14ac:dyDescent="0.25">
      <c r="A1595" s="16">
        <f>OrdersTable!A1595</f>
        <v>841</v>
      </c>
      <c r="B1595" s="15" t="str">
        <f t="shared" si="529"/>
        <v>Miss</v>
      </c>
      <c r="C1595" s="15" t="str">
        <f t="shared" si="550"/>
        <v>Donaghy</v>
      </c>
      <c r="D1595" s="15" t="str">
        <f t="shared" si="530"/>
        <v>Elizabeth Mathilde Jane</v>
      </c>
      <c r="E1595" s="15" t="str">
        <f t="shared" si="531"/>
        <v>31 Johnson Boulevard</v>
      </c>
      <c r="F1595" s="15" t="str">
        <f t="shared" si="532"/>
        <v>Belford</v>
      </c>
      <c r="G1595" s="15" t="str">
        <f t="shared" si="533"/>
        <v>NSW</v>
      </c>
      <c r="H1595" s="15">
        <f t="shared" si="534"/>
        <v>2335</v>
      </c>
      <c r="I1595" s="15">
        <f t="shared" si="545"/>
        <v>716</v>
      </c>
      <c r="J1595" s="15">
        <f>OrdersTable!B1595</f>
        <v>709</v>
      </c>
      <c r="K1595" s="15" t="str">
        <f t="shared" si="535"/>
        <v>Posters, Prints and Standees</v>
      </c>
      <c r="L1595" s="15" t="str">
        <f t="shared" si="536"/>
        <v>Doctor Who: Poster: Metallic TARDIS</v>
      </c>
      <c r="M1595" s="15" t="str">
        <f t="shared" si="537"/>
        <v>-</v>
      </c>
      <c r="N1595" s="15">
        <f t="shared" si="538"/>
        <v>0.2</v>
      </c>
      <c r="O1595" s="15" t="str">
        <f t="shared" si="539"/>
        <v>A10</v>
      </c>
      <c r="P1595" s="15" t="str">
        <f t="shared" si="540"/>
        <v>Gallifrey International</v>
      </c>
      <c r="Q1595" s="15" t="str">
        <f t="shared" si="541"/>
        <v>181 Arcadia Street</v>
      </c>
      <c r="R1595" s="3">
        <f>OrdersTable!C1595</f>
        <v>44674</v>
      </c>
      <c r="S1595" s="15">
        <f>OrdersTable!E1595</f>
        <v>7</v>
      </c>
      <c r="T1595" s="15">
        <f t="shared" si="542"/>
        <v>3.99</v>
      </c>
      <c r="U1595" s="15">
        <f t="shared" si="543"/>
        <v>5.71</v>
      </c>
      <c r="V1595" s="15">
        <f t="shared" si="544"/>
        <v>6.46</v>
      </c>
      <c r="W1595" s="15">
        <f>IF(MarkupType="Store Markup",ROUND(V1595+V1595*StoreMarkup,2),IF(MarkupType="Supplier Markup",V1595+V1595*SupplierMarkup,"Error at finding value"))</f>
        <v>10.17</v>
      </c>
      <c r="X1595" s="32" t="str">
        <f t="shared" si="546"/>
        <v>0.00</v>
      </c>
      <c r="Y1595" s="15">
        <f t="shared" si="547"/>
        <v>45.22</v>
      </c>
      <c r="Z1595" s="15">
        <f t="shared" si="548"/>
        <v>71.19</v>
      </c>
      <c r="AA1595" s="15">
        <f>IF(FreightType="Lethbridge-Stewart Freight ",ROUND(2.99+IF(N1595&gt;0.75,(N1595-0.75)*2.25,0)*S1595,2),IF(MarkupType="Supplier Markup",V1595+V1595*SupplierMarkup,"Error at finding value"))</f>
        <v>2.99</v>
      </c>
      <c r="AB1595" s="15">
        <f t="shared" si="549"/>
        <v>0</v>
      </c>
    </row>
    <row r="1596" spans="1:28" x14ac:dyDescent="0.25">
      <c r="A1596" s="16">
        <f>OrdersTable!A1596</f>
        <v>843</v>
      </c>
      <c r="B1596" s="15" t="str">
        <f t="shared" si="529"/>
        <v>Mr</v>
      </c>
      <c r="C1596" s="15" t="str">
        <f t="shared" si="550"/>
        <v>Goodwin</v>
      </c>
      <c r="D1596" s="15" t="str">
        <f t="shared" si="530"/>
        <v>Damon Joel</v>
      </c>
      <c r="E1596" s="15" t="str">
        <f t="shared" si="531"/>
        <v>40 Powell Boulevard</v>
      </c>
      <c r="F1596" s="15" t="str">
        <f t="shared" si="532"/>
        <v>Abington</v>
      </c>
      <c r="G1596" s="15" t="str">
        <f t="shared" si="533"/>
        <v>QLD</v>
      </c>
      <c r="H1596" s="15">
        <f t="shared" si="534"/>
        <v>4660</v>
      </c>
      <c r="I1596" s="15">
        <f t="shared" si="545"/>
        <v>336</v>
      </c>
      <c r="J1596" s="15">
        <f>OrdersTable!B1596</f>
        <v>464</v>
      </c>
      <c r="K1596" s="15" t="str">
        <f t="shared" si="535"/>
        <v>Giftware</v>
      </c>
      <c r="L1596" s="15" t="str">
        <f t="shared" si="536"/>
        <v>Doctor Who: Collectable License Plate: My Other Car Is A TARDIS</v>
      </c>
      <c r="M1596" s="15" t="str">
        <f t="shared" si="537"/>
        <v>-</v>
      </c>
      <c r="N1596" s="15">
        <f t="shared" si="538"/>
        <v>0.6</v>
      </c>
      <c r="O1596" s="15" t="str">
        <f t="shared" si="539"/>
        <v>A50</v>
      </c>
      <c r="P1596" s="15" t="str">
        <f t="shared" si="540"/>
        <v>Rassilon Ltd.</v>
      </c>
      <c r="Q1596" s="15" t="str">
        <f t="shared" si="541"/>
        <v>82 Richard Mathews Road</v>
      </c>
      <c r="R1596" s="3">
        <f>OrdersTable!C1596</f>
        <v>44674</v>
      </c>
      <c r="S1596" s="15">
        <f>OrdersTable!E1596</f>
        <v>2</v>
      </c>
      <c r="T1596" s="15">
        <f t="shared" si="542"/>
        <v>11.99</v>
      </c>
      <c r="U1596" s="15">
        <f t="shared" si="543"/>
        <v>16.579999999999998</v>
      </c>
      <c r="V1596" s="15">
        <f t="shared" si="544"/>
        <v>19.420000000000002</v>
      </c>
      <c r="W1596" s="15">
        <f>IF(MarkupType="Store Markup",ROUND(V1596+V1596*StoreMarkup,2),IF(MarkupType="Supplier Markup",V1596+V1596*SupplierMarkup,"Error at finding value"))</f>
        <v>30.59</v>
      </c>
      <c r="X1596" s="32" t="str">
        <f t="shared" si="546"/>
        <v>0.00</v>
      </c>
      <c r="Y1596" s="15">
        <f t="shared" si="547"/>
        <v>38.840000000000003</v>
      </c>
      <c r="Z1596" s="15">
        <f t="shared" si="548"/>
        <v>61.18</v>
      </c>
      <c r="AA1596" s="15">
        <f>IF(FreightType="Lethbridge-Stewart Freight ",ROUND(2.99+IF(N1596&gt;0.75,(N1596-0.75)*2.25,0)*S1596,2),IF(MarkupType="Supplier Markup",V1596+V1596*SupplierMarkup,"Error at finding value"))</f>
        <v>2.99</v>
      </c>
      <c r="AB1596" s="15">
        <f t="shared" si="549"/>
        <v>0</v>
      </c>
    </row>
    <row r="1597" spans="1:28" x14ac:dyDescent="0.25">
      <c r="A1597" s="16">
        <f>OrdersTable!A1597</f>
        <v>158</v>
      </c>
      <c r="B1597" s="15" t="str">
        <f t="shared" si="529"/>
        <v>Mr</v>
      </c>
      <c r="C1597" s="15" t="str">
        <f t="shared" si="550"/>
        <v>Fowler</v>
      </c>
      <c r="D1597" s="15" t="str">
        <f t="shared" si="530"/>
        <v>James</v>
      </c>
      <c r="E1597" s="15" t="str">
        <f t="shared" si="531"/>
        <v>30 Virk Court</v>
      </c>
      <c r="F1597" s="15" t="str">
        <f t="shared" si="532"/>
        <v>Black Hills</v>
      </c>
      <c r="G1597" s="15" t="str">
        <f t="shared" si="533"/>
        <v>TAS</v>
      </c>
      <c r="H1597" s="15">
        <f t="shared" si="534"/>
        <v>7140</v>
      </c>
      <c r="I1597" s="15">
        <f t="shared" si="545"/>
        <v>2191</v>
      </c>
      <c r="J1597" s="15">
        <f>OrdersTable!B1597</f>
        <v>607</v>
      </c>
      <c r="K1597" s="15" t="str">
        <f t="shared" si="535"/>
        <v>iPhone Skins</v>
      </c>
      <c r="L1597" s="15" t="str">
        <f t="shared" si="536"/>
        <v>Doctor Who: iPhone Skin: Keep Calm I'm The Doctor</v>
      </c>
      <c r="M1597" s="15" t="str">
        <f t="shared" si="537"/>
        <v>-</v>
      </c>
      <c r="N1597" s="15">
        <f t="shared" si="538"/>
        <v>0.5</v>
      </c>
      <c r="O1597" s="15" t="str">
        <f t="shared" si="539"/>
        <v>A40</v>
      </c>
      <c r="P1597" s="15" t="str">
        <f t="shared" si="540"/>
        <v>Romana Imports</v>
      </c>
      <c r="Q1597" s="15" t="str">
        <f t="shared" si="541"/>
        <v>17 Lalla Ward Road</v>
      </c>
      <c r="R1597" s="3">
        <f>OrdersTable!C1597</f>
        <v>44675</v>
      </c>
      <c r="S1597" s="15">
        <f>OrdersTable!E1597</f>
        <v>5</v>
      </c>
      <c r="T1597" s="15">
        <f t="shared" si="542"/>
        <v>9.99</v>
      </c>
      <c r="U1597" s="15">
        <f t="shared" si="543"/>
        <v>13.81</v>
      </c>
      <c r="V1597" s="15">
        <f t="shared" si="544"/>
        <v>16.18</v>
      </c>
      <c r="W1597" s="15">
        <f>IF(MarkupType="Store Markup",ROUND(V1597+V1597*StoreMarkup,2),IF(MarkupType="Supplier Markup",V1597+V1597*SupplierMarkup,"Error at finding value"))</f>
        <v>25.48</v>
      </c>
      <c r="X1597" s="32" t="str">
        <f t="shared" si="546"/>
        <v>0.00</v>
      </c>
      <c r="Y1597" s="15">
        <f t="shared" si="547"/>
        <v>80.900000000000006</v>
      </c>
      <c r="Z1597" s="15">
        <f t="shared" si="548"/>
        <v>127.4</v>
      </c>
      <c r="AA1597" s="15">
        <f>IF(FreightType="Lethbridge-Stewart Freight ",ROUND(2.99+IF(N1597&gt;0.75,(N1597-0.75)*2.25,0)*S1597,2),IF(MarkupType="Supplier Markup",V1597+V1597*SupplierMarkup,"Error at finding value"))</f>
        <v>2.99</v>
      </c>
      <c r="AB1597" s="15">
        <f t="shared" si="549"/>
        <v>0</v>
      </c>
    </row>
    <row r="1598" spans="1:28" x14ac:dyDescent="0.25">
      <c r="A1598" s="16">
        <f>OrdersTable!A1598</f>
        <v>254</v>
      </c>
      <c r="B1598" s="15" t="str">
        <f t="shared" si="529"/>
        <v>Miss</v>
      </c>
      <c r="C1598" s="15" t="str">
        <f t="shared" si="550"/>
        <v>Hoolihan</v>
      </c>
      <c r="D1598" s="15" t="str">
        <f t="shared" si="530"/>
        <v>Crystal Claire Grace</v>
      </c>
      <c r="E1598" s="15" t="str">
        <f t="shared" si="531"/>
        <v>7 Van Riet Avenue</v>
      </c>
      <c r="F1598" s="15" t="str">
        <f t="shared" si="532"/>
        <v>Aberfoyle</v>
      </c>
      <c r="G1598" s="15" t="str">
        <f t="shared" si="533"/>
        <v>NSW</v>
      </c>
      <c r="H1598" s="15">
        <f t="shared" si="534"/>
        <v>2350</v>
      </c>
      <c r="I1598" s="15">
        <f t="shared" si="545"/>
        <v>363</v>
      </c>
      <c r="J1598" s="15">
        <f>OrdersTable!B1598</f>
        <v>689</v>
      </c>
      <c r="K1598" s="15" t="str">
        <f t="shared" si="535"/>
        <v>Posters, Prints and Standees</v>
      </c>
      <c r="L1598" s="15" t="str">
        <f t="shared" si="536"/>
        <v>Doctor Who: 16'x12' Framed Print: Cold War</v>
      </c>
      <c r="M1598" s="15" t="str">
        <f t="shared" si="537"/>
        <v>-</v>
      </c>
      <c r="N1598" s="15">
        <f t="shared" si="538"/>
        <v>0.75</v>
      </c>
      <c r="O1598" s="15" t="str">
        <f t="shared" si="539"/>
        <v>A50</v>
      </c>
      <c r="P1598" s="15" t="str">
        <f t="shared" si="540"/>
        <v>Rassilon Ltd.</v>
      </c>
      <c r="Q1598" s="15" t="str">
        <f t="shared" si="541"/>
        <v>82 Richard Mathews Road</v>
      </c>
      <c r="R1598" s="3">
        <f>OrdersTable!C1598</f>
        <v>44675</v>
      </c>
      <c r="S1598" s="15">
        <f>OrdersTable!E1598</f>
        <v>2</v>
      </c>
      <c r="T1598" s="15">
        <f t="shared" si="542"/>
        <v>14.99</v>
      </c>
      <c r="U1598" s="15">
        <f t="shared" si="543"/>
        <v>20.77</v>
      </c>
      <c r="V1598" s="15">
        <f t="shared" si="544"/>
        <v>24.28</v>
      </c>
      <c r="W1598" s="15">
        <f>IF(MarkupType="Store Markup",ROUND(V1598+V1598*StoreMarkup,2),IF(MarkupType="Supplier Markup",V1598+V1598*SupplierMarkup,"Error at finding value"))</f>
        <v>38.24</v>
      </c>
      <c r="X1598" s="32" t="str">
        <f t="shared" si="546"/>
        <v>0.00</v>
      </c>
      <c r="Y1598" s="15">
        <f t="shared" si="547"/>
        <v>48.56</v>
      </c>
      <c r="Z1598" s="15">
        <f t="shared" si="548"/>
        <v>76.48</v>
      </c>
      <c r="AA1598" s="15">
        <f>IF(FreightType="Lethbridge-Stewart Freight ",ROUND(2.99+IF(N1598&gt;0.75,(N1598-0.75)*2.25,0)*S1598,2),IF(MarkupType="Supplier Markup",V1598+V1598*SupplierMarkup,"Error at finding value"))</f>
        <v>2.99</v>
      </c>
      <c r="AB1598" s="15">
        <f t="shared" si="549"/>
        <v>0</v>
      </c>
    </row>
    <row r="1599" spans="1:28" x14ac:dyDescent="0.25">
      <c r="A1599" s="16">
        <f>OrdersTable!A1599</f>
        <v>254</v>
      </c>
      <c r="B1599" s="15" t="str">
        <f t="shared" si="529"/>
        <v>Miss</v>
      </c>
      <c r="C1599" s="15" t="str">
        <f t="shared" si="550"/>
        <v>Hoolihan</v>
      </c>
      <c r="D1599" s="15" t="str">
        <f t="shared" si="530"/>
        <v>Crystal Claire Grace</v>
      </c>
      <c r="E1599" s="15" t="str">
        <f t="shared" si="531"/>
        <v>7 Van Riet Avenue</v>
      </c>
      <c r="F1599" s="15" t="str">
        <f t="shared" si="532"/>
        <v>Aberfoyle</v>
      </c>
      <c r="G1599" s="15" t="str">
        <f t="shared" si="533"/>
        <v>NSW</v>
      </c>
      <c r="H1599" s="15">
        <f t="shared" si="534"/>
        <v>2350</v>
      </c>
      <c r="I1599" s="15">
        <f t="shared" si="545"/>
        <v>363</v>
      </c>
      <c r="J1599" s="15">
        <f>OrdersTable!B1599</f>
        <v>813</v>
      </c>
      <c r="K1599" s="15" t="str">
        <f t="shared" si="535"/>
        <v>Statues and Busts</v>
      </c>
      <c r="L1599" s="15" t="str">
        <f t="shared" si="536"/>
        <v>Doctor Who: Masterpiece Collection Maxi Bust: Leela</v>
      </c>
      <c r="M1599" s="15" t="str">
        <f t="shared" si="537"/>
        <v>-</v>
      </c>
      <c r="N1599" s="15">
        <f t="shared" si="538"/>
        <v>2.5</v>
      </c>
      <c r="O1599" s="15" t="str">
        <f t="shared" si="539"/>
        <v>A30</v>
      </c>
      <c r="P1599" s="15" t="str">
        <f t="shared" si="540"/>
        <v>Chesterton Enterprises</v>
      </c>
      <c r="Q1599" s="15" t="str">
        <f t="shared" si="541"/>
        <v>41 William Russell Road</v>
      </c>
      <c r="R1599" s="3">
        <f>OrdersTable!C1599</f>
        <v>44675</v>
      </c>
      <c r="S1599" s="15">
        <f>OrdersTable!E1599</f>
        <v>9</v>
      </c>
      <c r="T1599" s="15">
        <f t="shared" si="542"/>
        <v>49.99</v>
      </c>
      <c r="U1599" s="15">
        <f t="shared" si="543"/>
        <v>68.319999999999993</v>
      </c>
      <c r="V1599" s="15">
        <f t="shared" si="544"/>
        <v>80.98</v>
      </c>
      <c r="W1599" s="15">
        <f>IF(MarkupType="Store Markup",ROUND(V1599+V1599*StoreMarkup,2),IF(MarkupType="Supplier Markup",V1599+V1599*SupplierMarkup,"Error at finding value"))</f>
        <v>127.54</v>
      </c>
      <c r="X1599" s="32">
        <f t="shared" si="546"/>
        <v>9.09</v>
      </c>
      <c r="Y1599" s="15">
        <f t="shared" si="547"/>
        <v>728.82</v>
      </c>
      <c r="Z1599" s="15">
        <f t="shared" si="548"/>
        <v>1066.05</v>
      </c>
      <c r="AA1599" s="15">
        <f>IF(FreightType="Lethbridge-Stewart Freight ",ROUND(2.99+IF(N1599&gt;0.75,(N1599-0.75)*2.25,0)*S1599,2),IF(MarkupType="Supplier Markup",V1599+V1599*SupplierMarkup,"Error at finding value"))</f>
        <v>38.43</v>
      </c>
      <c r="AB1599" s="15">
        <f t="shared" si="549"/>
        <v>81.81</v>
      </c>
    </row>
    <row r="1600" spans="1:28" x14ac:dyDescent="0.25">
      <c r="A1600" s="16">
        <f>OrdersTable!A1600</f>
        <v>308</v>
      </c>
      <c r="B1600" s="15" t="str">
        <f t="shared" si="529"/>
        <v>Dr</v>
      </c>
      <c r="C1600" s="15" t="str">
        <f t="shared" si="550"/>
        <v>Azar</v>
      </c>
      <c r="D1600" s="15" t="str">
        <f t="shared" si="530"/>
        <v>Mariam</v>
      </c>
      <c r="E1600" s="15" t="str">
        <f t="shared" si="531"/>
        <v>26 Osmond Road</v>
      </c>
      <c r="F1600" s="15" t="str">
        <f t="shared" si="532"/>
        <v>Boston</v>
      </c>
      <c r="G1600" s="15" t="str">
        <f t="shared" si="533"/>
        <v>SA</v>
      </c>
      <c r="H1600" s="15">
        <f t="shared" si="534"/>
        <v>5607</v>
      </c>
      <c r="I1600" s="15">
        <f t="shared" si="545"/>
        <v>2076</v>
      </c>
      <c r="J1600" s="15">
        <f>OrdersTable!B1600</f>
        <v>696</v>
      </c>
      <c r="K1600" s="15" t="str">
        <f t="shared" si="535"/>
        <v>Posters, Prints and Standees</v>
      </c>
      <c r="L1600" s="15" t="str">
        <f t="shared" si="536"/>
        <v xml:space="preserve">Doctor Who: 50th Anniversary: Poster: To Victory </v>
      </c>
      <c r="M1600" s="15" t="str">
        <f t="shared" si="537"/>
        <v>-</v>
      </c>
      <c r="N1600" s="15">
        <f t="shared" si="538"/>
        <v>0.2</v>
      </c>
      <c r="O1600" s="15" t="str">
        <f t="shared" si="539"/>
        <v>A40</v>
      </c>
      <c r="P1600" s="15" t="str">
        <f t="shared" si="540"/>
        <v>Romana Imports</v>
      </c>
      <c r="Q1600" s="15" t="str">
        <f t="shared" si="541"/>
        <v>17 Lalla Ward Road</v>
      </c>
      <c r="R1600" s="3">
        <f>OrdersTable!C1600</f>
        <v>44675</v>
      </c>
      <c r="S1600" s="15">
        <f>OrdersTable!E1600</f>
        <v>8</v>
      </c>
      <c r="T1600" s="15">
        <f t="shared" si="542"/>
        <v>3.99</v>
      </c>
      <c r="U1600" s="15">
        <f t="shared" si="543"/>
        <v>5.6</v>
      </c>
      <c r="V1600" s="15">
        <f t="shared" si="544"/>
        <v>6.46</v>
      </c>
      <c r="W1600" s="15">
        <f>IF(MarkupType="Store Markup",ROUND(V1600+V1600*StoreMarkup,2),IF(MarkupType="Supplier Markup",V1600+V1600*SupplierMarkup,"Error at finding value"))</f>
        <v>10.17</v>
      </c>
      <c r="X1600" s="32" t="str">
        <f t="shared" si="546"/>
        <v>0.00</v>
      </c>
      <c r="Y1600" s="15">
        <f t="shared" si="547"/>
        <v>51.68</v>
      </c>
      <c r="Z1600" s="15">
        <f t="shared" si="548"/>
        <v>81.36</v>
      </c>
      <c r="AA1600" s="15">
        <f>IF(FreightType="Lethbridge-Stewart Freight ",ROUND(2.99+IF(N1600&gt;0.75,(N1600-0.75)*2.25,0)*S1600,2),IF(MarkupType="Supplier Markup",V1600+V1600*SupplierMarkup,"Error at finding value"))</f>
        <v>2.99</v>
      </c>
      <c r="AB1600" s="15">
        <f t="shared" si="549"/>
        <v>0</v>
      </c>
    </row>
    <row r="1601" spans="1:28" x14ac:dyDescent="0.25">
      <c r="A1601" s="16">
        <f>OrdersTable!A1601</f>
        <v>331</v>
      </c>
      <c r="B1601" s="15" t="str">
        <f t="shared" si="529"/>
        <v>Mrs</v>
      </c>
      <c r="C1601" s="15" t="str">
        <f t="shared" si="550"/>
        <v>McKenzie</v>
      </c>
      <c r="D1601" s="15" t="str">
        <f t="shared" si="530"/>
        <v>Melinda Kate</v>
      </c>
      <c r="E1601" s="15" t="str">
        <f t="shared" si="531"/>
        <v>49 McKay Way</v>
      </c>
      <c r="F1601" s="15" t="str">
        <f t="shared" si="532"/>
        <v>Black Hills</v>
      </c>
      <c r="G1601" s="15" t="str">
        <f t="shared" si="533"/>
        <v>TAS</v>
      </c>
      <c r="H1601" s="15">
        <f t="shared" si="534"/>
        <v>7140</v>
      </c>
      <c r="I1601" s="15">
        <f t="shared" si="545"/>
        <v>2191</v>
      </c>
      <c r="J1601" s="15">
        <f>OrdersTable!B1601</f>
        <v>724</v>
      </c>
      <c r="K1601" s="15" t="str">
        <f t="shared" si="535"/>
        <v>Posters, Prints and Standees</v>
      </c>
      <c r="L1601" s="15" t="str">
        <f t="shared" si="536"/>
        <v>Doctor Who: Standee: The 10th Doctor</v>
      </c>
      <c r="M1601" s="15" t="str">
        <f t="shared" si="537"/>
        <v>-</v>
      </c>
      <c r="N1601" s="15">
        <f t="shared" si="538"/>
        <v>1.125</v>
      </c>
      <c r="O1601" s="15" t="str">
        <f t="shared" si="539"/>
        <v>A50</v>
      </c>
      <c r="P1601" s="15" t="str">
        <f t="shared" si="540"/>
        <v>Rassilon Ltd.</v>
      </c>
      <c r="Q1601" s="15" t="str">
        <f t="shared" si="541"/>
        <v>82 Richard Mathews Road</v>
      </c>
      <c r="R1601" s="3">
        <f>OrdersTable!C1601</f>
        <v>44675</v>
      </c>
      <c r="S1601" s="15">
        <f>OrdersTable!E1601</f>
        <v>8</v>
      </c>
      <c r="T1601" s="15">
        <f t="shared" si="542"/>
        <v>22.49</v>
      </c>
      <c r="U1601" s="15">
        <f t="shared" si="543"/>
        <v>30.77</v>
      </c>
      <c r="V1601" s="15">
        <f t="shared" si="544"/>
        <v>36.43</v>
      </c>
      <c r="W1601" s="15">
        <f>IF(MarkupType="Store Markup",ROUND(V1601+V1601*StoreMarkup,2),IF(MarkupType="Supplier Markup",V1601+V1601*SupplierMarkup,"Error at finding value"))</f>
        <v>57.38</v>
      </c>
      <c r="X1601" s="32" t="str">
        <f t="shared" si="546"/>
        <v>0.00</v>
      </c>
      <c r="Y1601" s="15">
        <f t="shared" si="547"/>
        <v>291.44</v>
      </c>
      <c r="Z1601" s="15">
        <f t="shared" si="548"/>
        <v>459.04</v>
      </c>
      <c r="AA1601" s="15">
        <f>IF(FreightType="Lethbridge-Stewart Freight ",ROUND(2.99+IF(N1601&gt;0.75,(N1601-0.75)*2.25,0)*S1601,2),IF(MarkupType="Supplier Markup",V1601+V1601*SupplierMarkup,"Error at finding value"))</f>
        <v>9.74</v>
      </c>
      <c r="AB1601" s="15">
        <f t="shared" si="549"/>
        <v>0</v>
      </c>
    </row>
    <row r="1602" spans="1:28" x14ac:dyDescent="0.25">
      <c r="A1602" s="16">
        <f>OrdersTable!A1602</f>
        <v>360</v>
      </c>
      <c r="B1602" s="15" t="str">
        <f t="shared" si="529"/>
        <v>Ms</v>
      </c>
      <c r="C1602" s="15" t="str">
        <f t="shared" si="550"/>
        <v>Bobonica</v>
      </c>
      <c r="D1602" s="15" t="str">
        <f t="shared" si="530"/>
        <v>Claudia</v>
      </c>
      <c r="E1602" s="15" t="str">
        <f t="shared" si="531"/>
        <v>47 Klein Way</v>
      </c>
      <c r="F1602" s="15" t="str">
        <f t="shared" si="532"/>
        <v>Avon Plains</v>
      </c>
      <c r="G1602" s="15" t="str">
        <f t="shared" si="533"/>
        <v>VIC</v>
      </c>
      <c r="H1602" s="15">
        <f t="shared" si="534"/>
        <v>3477</v>
      </c>
      <c r="I1602" s="15">
        <f t="shared" si="545"/>
        <v>1565</v>
      </c>
      <c r="J1602" s="15">
        <f>OrdersTable!B1602</f>
        <v>817</v>
      </c>
      <c r="K1602" s="15" t="str">
        <f t="shared" si="535"/>
        <v>Statues and Busts</v>
      </c>
      <c r="L1602" s="15" t="str">
        <f t="shared" si="536"/>
        <v>Doctor Who: Masterpiece Collection Maxi Bust: Torchwood Captain Jack Harkness</v>
      </c>
      <c r="M1602" s="15" t="str">
        <f t="shared" si="537"/>
        <v>-</v>
      </c>
      <c r="N1602" s="15">
        <f t="shared" si="538"/>
        <v>2.5</v>
      </c>
      <c r="O1602" s="15" t="str">
        <f t="shared" si="539"/>
        <v>A10</v>
      </c>
      <c r="P1602" s="15" t="str">
        <f t="shared" si="540"/>
        <v>Gallifrey International</v>
      </c>
      <c r="Q1602" s="15" t="str">
        <f t="shared" si="541"/>
        <v>181 Arcadia Street</v>
      </c>
      <c r="R1602" s="3">
        <f>OrdersTable!C1602</f>
        <v>44675</v>
      </c>
      <c r="S1602" s="15">
        <f>OrdersTable!E1602</f>
        <v>5</v>
      </c>
      <c r="T1602" s="15">
        <f t="shared" si="542"/>
        <v>49.99</v>
      </c>
      <c r="U1602" s="15">
        <f t="shared" si="543"/>
        <v>68.44</v>
      </c>
      <c r="V1602" s="15">
        <f t="shared" si="544"/>
        <v>80.98</v>
      </c>
      <c r="W1602" s="15">
        <f>IF(MarkupType="Store Markup",ROUND(V1602+V1602*StoreMarkup,2),IF(MarkupType="Supplier Markup",V1602+V1602*SupplierMarkup,"Error at finding value"))</f>
        <v>127.54</v>
      </c>
      <c r="X1602" s="32">
        <f t="shared" si="546"/>
        <v>9.09</v>
      </c>
      <c r="Y1602" s="15">
        <f t="shared" si="547"/>
        <v>404.9</v>
      </c>
      <c r="Z1602" s="15">
        <f t="shared" si="548"/>
        <v>592.25</v>
      </c>
      <c r="AA1602" s="15">
        <f>IF(FreightType="Lethbridge-Stewart Freight ",ROUND(2.99+IF(N1602&gt;0.75,(N1602-0.75)*2.25,0)*S1602,2),IF(MarkupType="Supplier Markup",V1602+V1602*SupplierMarkup,"Error at finding value"))</f>
        <v>22.68</v>
      </c>
      <c r="AB1602" s="15">
        <f t="shared" si="549"/>
        <v>45.45</v>
      </c>
    </row>
    <row r="1603" spans="1:28" x14ac:dyDescent="0.25">
      <c r="A1603" s="16">
        <f>OrdersTable!A1603</f>
        <v>362</v>
      </c>
      <c r="B1603" s="15" t="str">
        <f t="shared" si="529"/>
        <v>Mr</v>
      </c>
      <c r="C1603" s="15" t="str">
        <f t="shared" si="550"/>
        <v>Hurst</v>
      </c>
      <c r="D1603" s="15" t="str">
        <f t="shared" si="530"/>
        <v>Ralph Gregory</v>
      </c>
      <c r="E1603" s="15" t="str">
        <f t="shared" si="531"/>
        <v>45 Blakeney Road</v>
      </c>
      <c r="F1603" s="15" t="str">
        <f t="shared" si="532"/>
        <v>Iluka</v>
      </c>
      <c r="G1603" s="15" t="str">
        <f t="shared" si="533"/>
        <v>NSW</v>
      </c>
      <c r="H1603" s="15">
        <f t="shared" si="534"/>
        <v>2466</v>
      </c>
      <c r="I1603" s="15">
        <f t="shared" si="545"/>
        <v>347</v>
      </c>
      <c r="J1603" s="15">
        <f>OrdersTable!B1603</f>
        <v>668</v>
      </c>
      <c r="K1603" s="15" t="str">
        <f t="shared" si="535"/>
        <v>Mugs</v>
      </c>
      <c r="L1603" s="15" t="str">
        <f t="shared" si="536"/>
        <v>Doctor Who: Mug: Silver TARDIS</v>
      </c>
      <c r="M1603" s="15" t="str">
        <f t="shared" si="537"/>
        <v>-</v>
      </c>
      <c r="N1603" s="15">
        <f t="shared" si="538"/>
        <v>1.1499999999999999</v>
      </c>
      <c r="O1603" s="15" t="str">
        <f t="shared" si="539"/>
        <v>A50</v>
      </c>
      <c r="P1603" s="15" t="str">
        <f t="shared" si="540"/>
        <v>Rassilon Ltd.</v>
      </c>
      <c r="Q1603" s="15" t="str">
        <f t="shared" si="541"/>
        <v>82 Richard Mathews Road</v>
      </c>
      <c r="R1603" s="3">
        <f>OrdersTable!C1603</f>
        <v>44675</v>
      </c>
      <c r="S1603" s="15">
        <f>OrdersTable!E1603</f>
        <v>1</v>
      </c>
      <c r="T1603" s="15">
        <f t="shared" si="542"/>
        <v>22.99</v>
      </c>
      <c r="U1603" s="15">
        <f t="shared" si="543"/>
        <v>31.53</v>
      </c>
      <c r="V1603" s="15">
        <f t="shared" si="544"/>
        <v>37.24</v>
      </c>
      <c r="W1603" s="15">
        <f>IF(MarkupType="Store Markup",ROUND(V1603+V1603*StoreMarkup,2),IF(MarkupType="Supplier Markup",V1603+V1603*SupplierMarkup,"Error at finding value"))</f>
        <v>58.65</v>
      </c>
      <c r="X1603" s="32" t="str">
        <f t="shared" si="546"/>
        <v>0.00</v>
      </c>
      <c r="Y1603" s="15">
        <f t="shared" si="547"/>
        <v>37.24</v>
      </c>
      <c r="Z1603" s="15">
        <f t="shared" si="548"/>
        <v>58.65</v>
      </c>
      <c r="AA1603" s="15">
        <f>IF(FreightType="Lethbridge-Stewart Freight ",ROUND(2.99+IF(N1603&gt;0.75,(N1603-0.75)*2.25,0)*S1603,2),IF(MarkupType="Supplier Markup",V1603+V1603*SupplierMarkup,"Error at finding value"))</f>
        <v>3.89</v>
      </c>
      <c r="AB1603" s="15">
        <f t="shared" si="549"/>
        <v>0</v>
      </c>
    </row>
    <row r="1604" spans="1:28" x14ac:dyDescent="0.25">
      <c r="A1604" s="16">
        <f>OrdersTable!A1604</f>
        <v>362</v>
      </c>
      <c r="B1604" s="15" t="str">
        <f t="shared" ref="B1604:B1667" si="551">VLOOKUP($A1604,Cust,2,0)</f>
        <v>Mr</v>
      </c>
      <c r="C1604" s="15" t="str">
        <f t="shared" si="550"/>
        <v>Hurst</v>
      </c>
      <c r="D1604" s="15" t="str">
        <f t="shared" ref="D1604:D1667" si="552">VLOOKUP($A1604,Cust,4,0)</f>
        <v>Ralph Gregory</v>
      </c>
      <c r="E1604" s="15" t="str">
        <f t="shared" ref="E1604:E1667" si="553">VLOOKUP($A1604,Cust,6,0)</f>
        <v>45 Blakeney Road</v>
      </c>
      <c r="F1604" s="15" t="str">
        <f t="shared" ref="F1604:F1667" si="554">VLOOKUP($A1604,Cust,7,0)</f>
        <v>Iluka</v>
      </c>
      <c r="G1604" s="15" t="str">
        <f t="shared" ref="G1604:G1667" si="555">VLOOKUP($A1604,Cust,8,0)</f>
        <v>NSW</v>
      </c>
      <c r="H1604" s="15">
        <f t="shared" ref="H1604:H1667" si="556">VLOOKUP($A1604,Cust,9,0)</f>
        <v>2466</v>
      </c>
      <c r="I1604" s="15">
        <f t="shared" si="545"/>
        <v>347</v>
      </c>
      <c r="J1604" s="15">
        <f>OrdersTable!B1604</f>
        <v>703</v>
      </c>
      <c r="K1604" s="15" t="str">
        <f t="shared" ref="K1604:K1667" si="557">VLOOKUP($J1604,Itms,2,0)</f>
        <v>Posters, Prints and Standees</v>
      </c>
      <c r="L1604" s="15" t="str">
        <f t="shared" ref="L1604:L1667" si="558">VLOOKUP($J1604,Itms,3,0)</f>
        <v>Doctor Who: Poster: Doctor With Sonic Screwdriver</v>
      </c>
      <c r="M1604" s="15" t="str">
        <f t="shared" ref="M1604:M1667" si="559">VLOOKUP($J1604,Itms,4,0)</f>
        <v>-</v>
      </c>
      <c r="N1604" s="15">
        <f t="shared" ref="N1604:N1667" si="560">VLOOKUP($J1604,Itms,5,0)</f>
        <v>0.2</v>
      </c>
      <c r="O1604" s="15" t="str">
        <f t="shared" ref="O1604:O1667" si="561">VLOOKUP($J1604,Itms,6,0)</f>
        <v>A50</v>
      </c>
      <c r="P1604" s="15" t="str">
        <f t="shared" ref="P1604:P1667" si="562">VLOOKUP($O1604,Supp,2,0)</f>
        <v>Rassilon Ltd.</v>
      </c>
      <c r="Q1604" s="15" t="str">
        <f t="shared" ref="Q1604:Q1667" si="563">VLOOKUP($O1604,Supp,3,0)</f>
        <v>82 Richard Mathews Road</v>
      </c>
      <c r="R1604" s="3">
        <f>OrdersTable!C1604</f>
        <v>44675</v>
      </c>
      <c r="S1604" s="15">
        <f>OrdersTable!E1604</f>
        <v>6</v>
      </c>
      <c r="T1604" s="15">
        <f t="shared" ref="T1604:T1667" si="564">VLOOKUP($J1604,Itms,9,0)</f>
        <v>3.99</v>
      </c>
      <c r="U1604" s="15">
        <f t="shared" ref="U1604:U1667" si="565">VLOOKUP($J1604,Itms,10,0)</f>
        <v>5.51</v>
      </c>
      <c r="V1604" s="15">
        <f t="shared" ref="V1604:V1667" si="566">IF(ExchRateType="IR",ROUND(T1604*ExchRateIR,2),IF(ExchRateType="CA",ROUND(U1604*ExchRateCA,2),"Error at finding value"))</f>
        <v>6.46</v>
      </c>
      <c r="W1604" s="15">
        <f>IF(MarkupType="Store Markup",ROUND(V1604+V1604*StoreMarkup,2),IF(MarkupType="Supplier Markup",V1604+V1604*SupplierMarkup,"Error at finding value"))</f>
        <v>10.17</v>
      </c>
      <c r="X1604" s="32" t="str">
        <f t="shared" si="546"/>
        <v>0.00</v>
      </c>
      <c r="Y1604" s="15">
        <f t="shared" si="547"/>
        <v>38.76</v>
      </c>
      <c r="Z1604" s="15">
        <f t="shared" si="548"/>
        <v>61.02</v>
      </c>
      <c r="AA1604" s="15">
        <f>IF(FreightType="Lethbridge-Stewart Freight ",ROUND(2.99+IF(N1604&gt;0.75,(N1604-0.75)*2.25,0)*S1604,2),IF(MarkupType="Supplier Markup",V1604+V1604*SupplierMarkup,"Error at finding value"))</f>
        <v>2.99</v>
      </c>
      <c r="AB1604" s="15">
        <f t="shared" si="549"/>
        <v>0</v>
      </c>
    </row>
    <row r="1605" spans="1:28" x14ac:dyDescent="0.25">
      <c r="A1605" s="16">
        <f>OrdersTable!A1605</f>
        <v>416</v>
      </c>
      <c r="B1605" s="15" t="str">
        <f t="shared" si="551"/>
        <v>Mr</v>
      </c>
      <c r="C1605" s="15" t="str">
        <f t="shared" si="550"/>
        <v>Mohammed</v>
      </c>
      <c r="D1605" s="15" t="str">
        <f t="shared" si="552"/>
        <v>Ahmed</v>
      </c>
      <c r="E1605" s="15" t="str">
        <f t="shared" si="553"/>
        <v>35 Ridley Avenue</v>
      </c>
      <c r="F1605" s="15" t="str">
        <f t="shared" si="554"/>
        <v>Iluka</v>
      </c>
      <c r="G1605" s="15" t="str">
        <f t="shared" si="555"/>
        <v>NSW</v>
      </c>
      <c r="H1605" s="15">
        <f t="shared" si="556"/>
        <v>2466</v>
      </c>
      <c r="I1605" s="15">
        <f t="shared" ref="I1605:I1668" si="567">VLOOKUP($A1605,Cust,10,0)</f>
        <v>347</v>
      </c>
      <c r="J1605" s="15">
        <f>OrdersTable!B1605</f>
        <v>341</v>
      </c>
      <c r="K1605" s="15" t="str">
        <f t="shared" si="557"/>
        <v>Clothing and Apparel</v>
      </c>
      <c r="L1605" s="15" t="str">
        <f t="shared" si="558"/>
        <v xml:space="preserve">Doctor Who: T-Shirts: 4th Doctor Costume </v>
      </c>
      <c r="M1605" s="15" t="str">
        <f t="shared" si="559"/>
        <v>XL</v>
      </c>
      <c r="N1605" s="15">
        <f t="shared" si="560"/>
        <v>0.8</v>
      </c>
      <c r="O1605" s="15" t="str">
        <f t="shared" si="561"/>
        <v>A20</v>
      </c>
      <c r="P1605" s="15" t="str">
        <f t="shared" si="562"/>
        <v>Morbius Inc.</v>
      </c>
      <c r="Q1605" s="15" t="str">
        <f t="shared" si="563"/>
        <v>56 Michael Spice Hwy</v>
      </c>
      <c r="R1605" s="3">
        <f>OrdersTable!C1605</f>
        <v>44675</v>
      </c>
      <c r="S1605" s="15">
        <f>OrdersTable!E1605</f>
        <v>9</v>
      </c>
      <c r="T1605" s="15">
        <f t="shared" si="564"/>
        <v>15.99</v>
      </c>
      <c r="U1605" s="15">
        <f t="shared" si="565"/>
        <v>22.05</v>
      </c>
      <c r="V1605" s="15">
        <f t="shared" si="566"/>
        <v>25.9</v>
      </c>
      <c r="W1605" s="15">
        <f>IF(MarkupType="Store Markup",ROUND(V1605+V1605*StoreMarkup,2),IF(MarkupType="Supplier Markup",V1605+V1605*SupplierMarkup,"Error at finding value"))</f>
        <v>40.79</v>
      </c>
      <c r="X1605" s="32" t="str">
        <f t="shared" ref="X1605:X1668" si="568">IF(AND(W1605&gt;100,S1605&gt;=3),ROUND(0.07125*W1605,2),"0.00")</f>
        <v>0.00</v>
      </c>
      <c r="Y1605" s="15">
        <f t="shared" ref="Y1605:Y1668" si="569">ROUND(V1605*S1605,2)</f>
        <v>233.1</v>
      </c>
      <c r="Z1605" s="15">
        <f t="shared" ref="Z1605:Z1668" si="570">ROUND((W1605-X1605)*S1605,2)</f>
        <v>367.11</v>
      </c>
      <c r="AA1605" s="15">
        <f>IF(FreightType="Lethbridge-Stewart Freight ",ROUND(2.99+IF(N1605&gt;0.75,(N1605-0.75)*2.25,0)*S1605,2),IF(MarkupType="Supplier Markup",V1605+V1605*SupplierMarkup,"Error at finding value"))</f>
        <v>4</v>
      </c>
      <c r="AB1605" s="15">
        <f t="shared" ref="AB1605:AB1668" si="571">ROUND(X1605*S1605,2)</f>
        <v>0</v>
      </c>
    </row>
    <row r="1606" spans="1:28" x14ac:dyDescent="0.25">
      <c r="A1606" s="16">
        <f>OrdersTable!A1606</f>
        <v>416</v>
      </c>
      <c r="B1606" s="15" t="str">
        <f t="shared" si="551"/>
        <v>Mr</v>
      </c>
      <c r="C1606" s="15" t="str">
        <f t="shared" si="550"/>
        <v>Mohammed</v>
      </c>
      <c r="D1606" s="15" t="str">
        <f t="shared" si="552"/>
        <v>Ahmed</v>
      </c>
      <c r="E1606" s="15" t="str">
        <f t="shared" si="553"/>
        <v>35 Ridley Avenue</v>
      </c>
      <c r="F1606" s="15" t="str">
        <f t="shared" si="554"/>
        <v>Iluka</v>
      </c>
      <c r="G1606" s="15" t="str">
        <f t="shared" si="555"/>
        <v>NSW</v>
      </c>
      <c r="H1606" s="15">
        <f t="shared" si="556"/>
        <v>2466</v>
      </c>
      <c r="I1606" s="15">
        <f t="shared" si="567"/>
        <v>347</v>
      </c>
      <c r="J1606" s="15">
        <f>OrdersTable!B1606</f>
        <v>694</v>
      </c>
      <c r="K1606" s="15" t="str">
        <f t="shared" si="557"/>
        <v>Posters, Prints and Standees</v>
      </c>
      <c r="L1606" s="15" t="str">
        <f t="shared" si="558"/>
        <v>Doctor Who: 16'x12' Framed Print: Hide</v>
      </c>
      <c r="M1606" s="15" t="str">
        <f t="shared" si="559"/>
        <v>-</v>
      </c>
      <c r="N1606" s="15">
        <f t="shared" si="560"/>
        <v>0.75</v>
      </c>
      <c r="O1606" s="15" t="str">
        <f t="shared" si="561"/>
        <v>A40</v>
      </c>
      <c r="P1606" s="15" t="str">
        <f t="shared" si="562"/>
        <v>Romana Imports</v>
      </c>
      <c r="Q1606" s="15" t="str">
        <f t="shared" si="563"/>
        <v>17 Lalla Ward Road</v>
      </c>
      <c r="R1606" s="3">
        <f>OrdersTable!C1606</f>
        <v>44675</v>
      </c>
      <c r="S1606" s="15">
        <f>OrdersTable!E1606</f>
        <v>8</v>
      </c>
      <c r="T1606" s="15">
        <f t="shared" si="564"/>
        <v>14.99</v>
      </c>
      <c r="U1606" s="15">
        <f t="shared" si="565"/>
        <v>20.49</v>
      </c>
      <c r="V1606" s="15">
        <f t="shared" si="566"/>
        <v>24.28</v>
      </c>
      <c r="W1606" s="15">
        <f>IF(MarkupType="Store Markup",ROUND(V1606+V1606*StoreMarkup,2),IF(MarkupType="Supplier Markup",V1606+V1606*SupplierMarkup,"Error at finding value"))</f>
        <v>38.24</v>
      </c>
      <c r="X1606" s="32" t="str">
        <f t="shared" si="568"/>
        <v>0.00</v>
      </c>
      <c r="Y1606" s="15">
        <f t="shared" si="569"/>
        <v>194.24</v>
      </c>
      <c r="Z1606" s="15">
        <f t="shared" si="570"/>
        <v>305.92</v>
      </c>
      <c r="AA1606" s="15">
        <f>IF(FreightType="Lethbridge-Stewart Freight ",ROUND(2.99+IF(N1606&gt;0.75,(N1606-0.75)*2.25,0)*S1606,2),IF(MarkupType="Supplier Markup",V1606+V1606*SupplierMarkup,"Error at finding value"))</f>
        <v>2.99</v>
      </c>
      <c r="AB1606" s="15">
        <f t="shared" si="571"/>
        <v>0</v>
      </c>
    </row>
    <row r="1607" spans="1:28" x14ac:dyDescent="0.25">
      <c r="A1607" s="16">
        <f>OrdersTable!A1607</f>
        <v>489</v>
      </c>
      <c r="B1607" s="15" t="str">
        <f t="shared" si="551"/>
        <v>Mr</v>
      </c>
      <c r="C1607" s="15" t="str">
        <f t="shared" si="550"/>
        <v>Edwards</v>
      </c>
      <c r="D1607" s="15" t="str">
        <f t="shared" si="552"/>
        <v>Luke Russell</v>
      </c>
      <c r="E1607" s="15" t="str">
        <f t="shared" si="553"/>
        <v>43 Valusaga Court</v>
      </c>
      <c r="F1607" s="15" t="str">
        <f t="shared" si="554"/>
        <v>Alfredtown</v>
      </c>
      <c r="G1607" s="15" t="str">
        <f t="shared" si="555"/>
        <v>NSW</v>
      </c>
      <c r="H1607" s="15">
        <f t="shared" si="556"/>
        <v>2650</v>
      </c>
      <c r="I1607" s="15">
        <f t="shared" si="567"/>
        <v>1124</v>
      </c>
      <c r="J1607" s="15">
        <f>OrdersTable!B1607</f>
        <v>679</v>
      </c>
      <c r="K1607" s="15" t="str">
        <f t="shared" si="557"/>
        <v>Mugs</v>
      </c>
      <c r="L1607" s="15" t="str">
        <f t="shared" si="558"/>
        <v>Doctor Who: Mug: The Fifth Doctor</v>
      </c>
      <c r="M1607" s="15" t="str">
        <f t="shared" si="559"/>
        <v>-</v>
      </c>
      <c r="N1607" s="15">
        <f t="shared" si="560"/>
        <v>0.45</v>
      </c>
      <c r="O1607" s="15" t="str">
        <f t="shared" si="561"/>
        <v>A40</v>
      </c>
      <c r="P1607" s="15" t="str">
        <f t="shared" si="562"/>
        <v>Romana Imports</v>
      </c>
      <c r="Q1607" s="15" t="str">
        <f t="shared" si="563"/>
        <v>17 Lalla Ward Road</v>
      </c>
      <c r="R1607" s="3">
        <f>OrdersTable!C1607</f>
        <v>44675</v>
      </c>
      <c r="S1607" s="15">
        <f>OrdersTable!E1607</f>
        <v>2</v>
      </c>
      <c r="T1607" s="15">
        <f t="shared" si="564"/>
        <v>8.99</v>
      </c>
      <c r="U1607" s="15">
        <f t="shared" si="565"/>
        <v>12.28</v>
      </c>
      <c r="V1607" s="15">
        <f t="shared" si="566"/>
        <v>14.56</v>
      </c>
      <c r="W1607" s="15">
        <f>IF(MarkupType="Store Markup",ROUND(V1607+V1607*StoreMarkup,2),IF(MarkupType="Supplier Markup",V1607+V1607*SupplierMarkup,"Error at finding value"))</f>
        <v>22.93</v>
      </c>
      <c r="X1607" s="32" t="str">
        <f t="shared" si="568"/>
        <v>0.00</v>
      </c>
      <c r="Y1607" s="15">
        <f t="shared" si="569"/>
        <v>29.12</v>
      </c>
      <c r="Z1607" s="15">
        <f t="shared" si="570"/>
        <v>45.86</v>
      </c>
      <c r="AA1607" s="15">
        <f>IF(FreightType="Lethbridge-Stewart Freight ",ROUND(2.99+IF(N1607&gt;0.75,(N1607-0.75)*2.25,0)*S1607,2),IF(MarkupType="Supplier Markup",V1607+V1607*SupplierMarkup,"Error at finding value"))</f>
        <v>2.99</v>
      </c>
      <c r="AB1607" s="15">
        <f t="shared" si="571"/>
        <v>0</v>
      </c>
    </row>
    <row r="1608" spans="1:28" x14ac:dyDescent="0.25">
      <c r="A1608" s="16">
        <f>OrdersTable!A1608</f>
        <v>538</v>
      </c>
      <c r="B1608" s="15" t="str">
        <f t="shared" si="551"/>
        <v>Dr</v>
      </c>
      <c r="C1608" s="15" t="str">
        <f t="shared" si="550"/>
        <v>Radovic</v>
      </c>
      <c r="D1608" s="15" t="str">
        <f t="shared" si="552"/>
        <v>Harley Benjamin</v>
      </c>
      <c r="E1608" s="15" t="str">
        <f t="shared" si="553"/>
        <v>50 Hocking Way</v>
      </c>
      <c r="F1608" s="15" t="str">
        <f t="shared" si="554"/>
        <v>Bray Park</v>
      </c>
      <c r="G1608" s="15" t="str">
        <f t="shared" si="555"/>
        <v>QLD</v>
      </c>
      <c r="H1608" s="15">
        <f t="shared" si="556"/>
        <v>4500</v>
      </c>
      <c r="I1608" s="15">
        <f t="shared" si="567"/>
        <v>139</v>
      </c>
      <c r="J1608" s="15">
        <f>OrdersTable!B1608</f>
        <v>849</v>
      </c>
      <c r="K1608" s="15" t="str">
        <f t="shared" si="557"/>
        <v>Statues and Busts</v>
      </c>
      <c r="L1608" s="15" t="str">
        <f t="shared" si="558"/>
        <v>Doctor Who: Statue: Cyber Controller</v>
      </c>
      <c r="M1608" s="15" t="str">
        <f t="shared" si="559"/>
        <v>-</v>
      </c>
      <c r="N1608" s="15">
        <f t="shared" si="560"/>
        <v>5</v>
      </c>
      <c r="O1608" s="15" t="str">
        <f t="shared" si="561"/>
        <v>A10</v>
      </c>
      <c r="P1608" s="15" t="str">
        <f t="shared" si="562"/>
        <v>Gallifrey International</v>
      </c>
      <c r="Q1608" s="15" t="str">
        <f t="shared" si="563"/>
        <v>181 Arcadia Street</v>
      </c>
      <c r="R1608" s="3">
        <f>OrdersTable!C1608</f>
        <v>44675</v>
      </c>
      <c r="S1608" s="15">
        <f>OrdersTable!E1608</f>
        <v>2</v>
      </c>
      <c r="T1608" s="15">
        <f t="shared" si="564"/>
        <v>99.99</v>
      </c>
      <c r="U1608" s="15">
        <f t="shared" si="565"/>
        <v>136.41</v>
      </c>
      <c r="V1608" s="15">
        <f t="shared" si="566"/>
        <v>161.97999999999999</v>
      </c>
      <c r="W1608" s="15">
        <f>IF(MarkupType="Store Markup",ROUND(V1608+V1608*StoreMarkup,2),IF(MarkupType="Supplier Markup",V1608+V1608*SupplierMarkup,"Error at finding value"))</f>
        <v>255.12</v>
      </c>
      <c r="X1608" s="32" t="str">
        <f t="shared" si="568"/>
        <v>0.00</v>
      </c>
      <c r="Y1608" s="15">
        <f t="shared" si="569"/>
        <v>323.95999999999998</v>
      </c>
      <c r="Z1608" s="15">
        <f t="shared" si="570"/>
        <v>510.24</v>
      </c>
      <c r="AA1608" s="15">
        <f>IF(FreightType="Lethbridge-Stewart Freight ",ROUND(2.99+IF(N1608&gt;0.75,(N1608-0.75)*2.25,0)*S1608,2),IF(MarkupType="Supplier Markup",V1608+V1608*SupplierMarkup,"Error at finding value"))</f>
        <v>22.12</v>
      </c>
      <c r="AB1608" s="15">
        <f t="shared" si="571"/>
        <v>0</v>
      </c>
    </row>
    <row r="1609" spans="1:28" x14ac:dyDescent="0.25">
      <c r="A1609" s="16">
        <f>OrdersTable!A1609</f>
        <v>561</v>
      </c>
      <c r="B1609" s="15" t="str">
        <f t="shared" si="551"/>
        <v>Ms</v>
      </c>
      <c r="C1609" s="15" t="str">
        <f t="shared" si="550"/>
        <v>Mulcahy</v>
      </c>
      <c r="D1609" s="15" t="str">
        <f t="shared" si="552"/>
        <v>Jodie Leigh</v>
      </c>
      <c r="E1609" s="15" t="str">
        <f t="shared" si="553"/>
        <v>32 Scott Crescent</v>
      </c>
      <c r="F1609" s="15" t="str">
        <f t="shared" si="554"/>
        <v>Bray Park</v>
      </c>
      <c r="G1609" s="15" t="str">
        <f t="shared" si="555"/>
        <v>QLD</v>
      </c>
      <c r="H1609" s="15">
        <f t="shared" si="556"/>
        <v>4500</v>
      </c>
      <c r="I1609" s="15">
        <f t="shared" si="567"/>
        <v>139</v>
      </c>
      <c r="J1609" s="15">
        <f>OrdersTable!B1609</f>
        <v>201</v>
      </c>
      <c r="K1609" s="15" t="str">
        <f t="shared" si="557"/>
        <v>Clothing and Apparel</v>
      </c>
      <c r="L1609" s="15" t="str">
        <f t="shared" si="558"/>
        <v>Doctor Who: Dalek Beanie</v>
      </c>
      <c r="M1609" s="15" t="str">
        <f t="shared" si="559"/>
        <v>-</v>
      </c>
      <c r="N1609" s="15">
        <f t="shared" si="560"/>
        <v>1.1399999999999999</v>
      </c>
      <c r="O1609" s="15" t="str">
        <f t="shared" si="561"/>
        <v>A50</v>
      </c>
      <c r="P1609" s="15" t="str">
        <f t="shared" si="562"/>
        <v>Rassilon Ltd.</v>
      </c>
      <c r="Q1609" s="15" t="str">
        <f t="shared" si="563"/>
        <v>82 Richard Mathews Road</v>
      </c>
      <c r="R1609" s="3">
        <f>OrdersTable!C1609</f>
        <v>44675</v>
      </c>
      <c r="S1609" s="15">
        <f>OrdersTable!E1609</f>
        <v>8</v>
      </c>
      <c r="T1609" s="15">
        <f t="shared" si="564"/>
        <v>22.75</v>
      </c>
      <c r="U1609" s="15">
        <f t="shared" si="565"/>
        <v>31.26</v>
      </c>
      <c r="V1609" s="15">
        <f t="shared" si="566"/>
        <v>36.86</v>
      </c>
      <c r="W1609" s="15">
        <f>IF(MarkupType="Store Markup",ROUND(V1609+V1609*StoreMarkup,2),IF(MarkupType="Supplier Markup",V1609+V1609*SupplierMarkup,"Error at finding value"))</f>
        <v>58.05</v>
      </c>
      <c r="X1609" s="32" t="str">
        <f t="shared" si="568"/>
        <v>0.00</v>
      </c>
      <c r="Y1609" s="15">
        <f t="shared" si="569"/>
        <v>294.88</v>
      </c>
      <c r="Z1609" s="15">
        <f t="shared" si="570"/>
        <v>464.4</v>
      </c>
      <c r="AA1609" s="15">
        <f>IF(FreightType="Lethbridge-Stewart Freight ",ROUND(2.99+IF(N1609&gt;0.75,(N1609-0.75)*2.25,0)*S1609,2),IF(MarkupType="Supplier Markup",V1609+V1609*SupplierMarkup,"Error at finding value"))</f>
        <v>10.01</v>
      </c>
      <c r="AB1609" s="15">
        <f t="shared" si="571"/>
        <v>0</v>
      </c>
    </row>
    <row r="1610" spans="1:28" x14ac:dyDescent="0.25">
      <c r="A1610" s="16">
        <f>OrdersTable!A1610</f>
        <v>570</v>
      </c>
      <c r="B1610" s="15" t="str">
        <f t="shared" si="551"/>
        <v>Mr</v>
      </c>
      <c r="C1610" s="15" t="str">
        <f t="shared" si="550"/>
        <v>Adams</v>
      </c>
      <c r="D1610" s="15" t="str">
        <f t="shared" si="552"/>
        <v>Matthew</v>
      </c>
      <c r="E1610" s="15" t="str">
        <f t="shared" si="553"/>
        <v>36 Fenech Avenue</v>
      </c>
      <c r="F1610" s="15" t="str">
        <f t="shared" si="554"/>
        <v>Bray Park</v>
      </c>
      <c r="G1610" s="15" t="str">
        <f t="shared" si="555"/>
        <v>QLD</v>
      </c>
      <c r="H1610" s="15">
        <f t="shared" si="556"/>
        <v>4500</v>
      </c>
      <c r="I1610" s="15">
        <f t="shared" si="567"/>
        <v>139</v>
      </c>
      <c r="J1610" s="15">
        <f>OrdersTable!B1610</f>
        <v>239</v>
      </c>
      <c r="K1610" s="15" t="str">
        <f t="shared" si="557"/>
        <v>Clothing and Apparel</v>
      </c>
      <c r="L1610" s="15" t="str">
        <f t="shared" si="558"/>
        <v>Doctor Who: Men's Winter Pyjamas</v>
      </c>
      <c r="M1610" s="15" t="str">
        <f t="shared" si="559"/>
        <v>L</v>
      </c>
      <c r="N1610" s="15">
        <f t="shared" si="560"/>
        <v>1.5</v>
      </c>
      <c r="O1610" s="15" t="str">
        <f t="shared" si="561"/>
        <v>A10</v>
      </c>
      <c r="P1610" s="15" t="str">
        <f t="shared" si="562"/>
        <v>Gallifrey International</v>
      </c>
      <c r="Q1610" s="15" t="str">
        <f t="shared" si="563"/>
        <v>181 Arcadia Street</v>
      </c>
      <c r="R1610" s="3">
        <f>OrdersTable!C1610</f>
        <v>44675</v>
      </c>
      <c r="S1610" s="15">
        <f>OrdersTable!E1610</f>
        <v>5</v>
      </c>
      <c r="T1610" s="15">
        <f t="shared" si="564"/>
        <v>29.99</v>
      </c>
      <c r="U1610" s="15">
        <f t="shared" si="565"/>
        <v>41.23</v>
      </c>
      <c r="V1610" s="15">
        <f t="shared" si="566"/>
        <v>48.58</v>
      </c>
      <c r="W1610" s="15">
        <f>IF(MarkupType="Store Markup",ROUND(V1610+V1610*StoreMarkup,2),IF(MarkupType="Supplier Markup",V1610+V1610*SupplierMarkup,"Error at finding value"))</f>
        <v>76.510000000000005</v>
      </c>
      <c r="X1610" s="32" t="str">
        <f t="shared" si="568"/>
        <v>0.00</v>
      </c>
      <c r="Y1610" s="15">
        <f t="shared" si="569"/>
        <v>242.9</v>
      </c>
      <c r="Z1610" s="15">
        <f t="shared" si="570"/>
        <v>382.55</v>
      </c>
      <c r="AA1610" s="15">
        <f>IF(FreightType="Lethbridge-Stewart Freight ",ROUND(2.99+IF(N1610&gt;0.75,(N1610-0.75)*2.25,0)*S1610,2),IF(MarkupType="Supplier Markup",V1610+V1610*SupplierMarkup,"Error at finding value"))</f>
        <v>11.43</v>
      </c>
      <c r="AB1610" s="15">
        <f t="shared" si="571"/>
        <v>0</v>
      </c>
    </row>
    <row r="1611" spans="1:28" x14ac:dyDescent="0.25">
      <c r="A1611" s="16">
        <f>OrdersTable!A1611</f>
        <v>580</v>
      </c>
      <c r="B1611" s="15" t="str">
        <f t="shared" si="551"/>
        <v>Mr</v>
      </c>
      <c r="C1611" s="15" t="str">
        <f t="shared" ref="C1611:C1674" si="572">VLOOKUP($A1611,Cust,3,0)</f>
        <v>Faatoafe</v>
      </c>
      <c r="D1611" s="15" t="str">
        <f t="shared" si="552"/>
        <v>Jasson Iosefa</v>
      </c>
      <c r="E1611" s="15" t="str">
        <f t="shared" si="553"/>
        <v>29 Schaffer Boulevard</v>
      </c>
      <c r="F1611" s="15" t="str">
        <f t="shared" si="554"/>
        <v>Binduli</v>
      </c>
      <c r="G1611" s="15" t="str">
        <f t="shared" si="555"/>
        <v>WA</v>
      </c>
      <c r="H1611" s="15">
        <f t="shared" si="556"/>
        <v>6430</v>
      </c>
      <c r="I1611" s="15">
        <f t="shared" si="567"/>
        <v>3543</v>
      </c>
      <c r="J1611" s="15">
        <f>OrdersTable!B1611</f>
        <v>805</v>
      </c>
      <c r="K1611" s="15" t="str">
        <f t="shared" si="557"/>
        <v>Statues and Busts</v>
      </c>
      <c r="L1611" s="15" t="str">
        <f t="shared" si="558"/>
        <v>Doctor Who: Masterpiece Collection Maxi Bust: 5th Doctor</v>
      </c>
      <c r="M1611" s="15" t="str">
        <f t="shared" si="559"/>
        <v>-</v>
      </c>
      <c r="N1611" s="15">
        <f t="shared" si="560"/>
        <v>2.5</v>
      </c>
      <c r="O1611" s="15" t="str">
        <f t="shared" si="561"/>
        <v>A20</v>
      </c>
      <c r="P1611" s="15" t="str">
        <f t="shared" si="562"/>
        <v>Morbius Inc.</v>
      </c>
      <c r="Q1611" s="15" t="str">
        <f t="shared" si="563"/>
        <v>56 Michael Spice Hwy</v>
      </c>
      <c r="R1611" s="3">
        <f>OrdersTable!C1611</f>
        <v>44675</v>
      </c>
      <c r="S1611" s="15">
        <f>OrdersTable!E1611</f>
        <v>5</v>
      </c>
      <c r="T1611" s="15">
        <f t="shared" si="564"/>
        <v>49.99</v>
      </c>
      <c r="U1611" s="15">
        <f t="shared" si="565"/>
        <v>68.42</v>
      </c>
      <c r="V1611" s="15">
        <f t="shared" si="566"/>
        <v>80.98</v>
      </c>
      <c r="W1611" s="15">
        <f>IF(MarkupType="Store Markup",ROUND(V1611+V1611*StoreMarkup,2),IF(MarkupType="Supplier Markup",V1611+V1611*SupplierMarkup,"Error at finding value"))</f>
        <v>127.54</v>
      </c>
      <c r="X1611" s="32">
        <f t="shared" si="568"/>
        <v>9.09</v>
      </c>
      <c r="Y1611" s="15">
        <f t="shared" si="569"/>
        <v>404.9</v>
      </c>
      <c r="Z1611" s="15">
        <f t="shared" si="570"/>
        <v>592.25</v>
      </c>
      <c r="AA1611" s="15">
        <f>IF(FreightType="Lethbridge-Stewart Freight ",ROUND(2.99+IF(N1611&gt;0.75,(N1611-0.75)*2.25,0)*S1611,2),IF(MarkupType="Supplier Markup",V1611+V1611*SupplierMarkup,"Error at finding value"))</f>
        <v>22.68</v>
      </c>
      <c r="AB1611" s="15">
        <f t="shared" si="571"/>
        <v>45.45</v>
      </c>
    </row>
    <row r="1612" spans="1:28" x14ac:dyDescent="0.25">
      <c r="A1612" s="16">
        <f>OrdersTable!A1612</f>
        <v>585</v>
      </c>
      <c r="B1612" s="15" t="str">
        <f t="shared" si="551"/>
        <v>Miss</v>
      </c>
      <c r="C1612" s="15" t="str">
        <f t="shared" si="572"/>
        <v>Long</v>
      </c>
      <c r="D1612" s="15" t="str">
        <f t="shared" si="552"/>
        <v>Bellinda May</v>
      </c>
      <c r="E1612" s="15" t="str">
        <f t="shared" si="553"/>
        <v>5 Hutcheson Avenue</v>
      </c>
      <c r="F1612" s="15" t="str">
        <f t="shared" si="554"/>
        <v>Glenfern</v>
      </c>
      <c r="G1612" s="15" t="str">
        <f t="shared" si="555"/>
        <v>QLD</v>
      </c>
      <c r="H1612" s="15">
        <f t="shared" si="556"/>
        <v>4515</v>
      </c>
      <c r="I1612" s="15">
        <f t="shared" si="567"/>
        <v>128</v>
      </c>
      <c r="J1612" s="15">
        <f>OrdersTable!B1612</f>
        <v>652</v>
      </c>
      <c r="K1612" s="15" t="str">
        <f t="shared" si="557"/>
        <v>Mugs</v>
      </c>
      <c r="L1612" s="15" t="str">
        <f t="shared" si="558"/>
        <v>Doctor Who: Mug: Dalek 2D</v>
      </c>
      <c r="M1612" s="15" t="str">
        <f t="shared" si="559"/>
        <v>-</v>
      </c>
      <c r="N1612" s="15">
        <f t="shared" si="560"/>
        <v>0.35</v>
      </c>
      <c r="O1612" s="15" t="str">
        <f t="shared" si="561"/>
        <v>A10</v>
      </c>
      <c r="P1612" s="15" t="str">
        <f t="shared" si="562"/>
        <v>Gallifrey International</v>
      </c>
      <c r="Q1612" s="15" t="str">
        <f t="shared" si="563"/>
        <v>181 Arcadia Street</v>
      </c>
      <c r="R1612" s="3">
        <f>OrdersTable!C1612</f>
        <v>44675</v>
      </c>
      <c r="S1612" s="15">
        <f>OrdersTable!E1612</f>
        <v>1</v>
      </c>
      <c r="T1612" s="15">
        <f t="shared" si="564"/>
        <v>6.99</v>
      </c>
      <c r="U1612" s="15">
        <f t="shared" si="565"/>
        <v>9.8800000000000008</v>
      </c>
      <c r="V1612" s="15">
        <f t="shared" si="566"/>
        <v>11.32</v>
      </c>
      <c r="W1612" s="15">
        <f>IF(MarkupType="Store Markup",ROUND(V1612+V1612*StoreMarkup,2),IF(MarkupType="Supplier Markup",V1612+V1612*SupplierMarkup,"Error at finding value"))</f>
        <v>17.829999999999998</v>
      </c>
      <c r="X1612" s="32" t="str">
        <f t="shared" si="568"/>
        <v>0.00</v>
      </c>
      <c r="Y1612" s="15">
        <f t="shared" si="569"/>
        <v>11.32</v>
      </c>
      <c r="Z1612" s="15">
        <f t="shared" si="570"/>
        <v>17.829999999999998</v>
      </c>
      <c r="AA1612" s="15">
        <f>IF(FreightType="Lethbridge-Stewart Freight ",ROUND(2.99+IF(N1612&gt;0.75,(N1612-0.75)*2.25,0)*S1612,2),IF(MarkupType="Supplier Markup",V1612+V1612*SupplierMarkup,"Error at finding value"))</f>
        <v>2.99</v>
      </c>
      <c r="AB1612" s="15">
        <f t="shared" si="571"/>
        <v>0</v>
      </c>
    </row>
    <row r="1613" spans="1:28" x14ac:dyDescent="0.25">
      <c r="A1613" s="16">
        <f>OrdersTable!A1613</f>
        <v>830</v>
      </c>
      <c r="B1613" s="15" t="str">
        <f t="shared" si="551"/>
        <v>Miss</v>
      </c>
      <c r="C1613" s="15" t="str">
        <f t="shared" si="572"/>
        <v>Blakeney</v>
      </c>
      <c r="D1613" s="15" t="str">
        <f t="shared" si="552"/>
        <v>Hannah</v>
      </c>
      <c r="E1613" s="15" t="str">
        <f t="shared" si="553"/>
        <v>31 Sproule Street</v>
      </c>
      <c r="F1613" s="15" t="str">
        <f t="shared" si="554"/>
        <v>Belford</v>
      </c>
      <c r="G1613" s="15" t="str">
        <f t="shared" si="555"/>
        <v>NSW</v>
      </c>
      <c r="H1613" s="15">
        <f t="shared" si="556"/>
        <v>2335</v>
      </c>
      <c r="I1613" s="15">
        <f t="shared" si="567"/>
        <v>716</v>
      </c>
      <c r="J1613" s="15">
        <f>OrdersTable!B1613</f>
        <v>164</v>
      </c>
      <c r="K1613" s="15" t="str">
        <f t="shared" si="557"/>
        <v>Bobbleheads</v>
      </c>
      <c r="L1613" s="15" t="str">
        <f t="shared" si="558"/>
        <v>Doctor Who: Bobblehead: Fourth Doctor</v>
      </c>
      <c r="M1613" s="15" t="str">
        <f t="shared" si="559"/>
        <v>-</v>
      </c>
      <c r="N1613" s="15">
        <f t="shared" si="560"/>
        <v>0.75</v>
      </c>
      <c r="O1613" s="15" t="str">
        <f t="shared" si="561"/>
        <v>A40</v>
      </c>
      <c r="P1613" s="15" t="str">
        <f t="shared" si="562"/>
        <v>Romana Imports</v>
      </c>
      <c r="Q1613" s="15" t="str">
        <f t="shared" si="563"/>
        <v>17 Lalla Ward Road</v>
      </c>
      <c r="R1613" s="3">
        <f>OrdersTable!C1613</f>
        <v>44675</v>
      </c>
      <c r="S1613" s="15">
        <f>OrdersTable!E1613</f>
        <v>3</v>
      </c>
      <c r="T1613" s="15">
        <f t="shared" si="564"/>
        <v>14.99</v>
      </c>
      <c r="U1613" s="15">
        <f t="shared" si="565"/>
        <v>20.53</v>
      </c>
      <c r="V1613" s="15">
        <f t="shared" si="566"/>
        <v>24.28</v>
      </c>
      <c r="W1613" s="15">
        <f>IF(MarkupType="Store Markup",ROUND(V1613+V1613*StoreMarkup,2),IF(MarkupType="Supplier Markup",V1613+V1613*SupplierMarkup,"Error at finding value"))</f>
        <v>38.24</v>
      </c>
      <c r="X1613" s="32" t="str">
        <f t="shared" si="568"/>
        <v>0.00</v>
      </c>
      <c r="Y1613" s="15">
        <f t="shared" si="569"/>
        <v>72.84</v>
      </c>
      <c r="Z1613" s="15">
        <f t="shared" si="570"/>
        <v>114.72</v>
      </c>
      <c r="AA1613" s="15">
        <f>IF(FreightType="Lethbridge-Stewart Freight ",ROUND(2.99+IF(N1613&gt;0.75,(N1613-0.75)*2.25,0)*S1613,2),IF(MarkupType="Supplier Markup",V1613+V1613*SupplierMarkup,"Error at finding value"))</f>
        <v>2.99</v>
      </c>
      <c r="AB1613" s="15">
        <f t="shared" si="571"/>
        <v>0</v>
      </c>
    </row>
    <row r="1614" spans="1:28" x14ac:dyDescent="0.25">
      <c r="A1614" s="16">
        <f>OrdersTable!A1614</f>
        <v>841</v>
      </c>
      <c r="B1614" s="15" t="str">
        <f t="shared" si="551"/>
        <v>Miss</v>
      </c>
      <c r="C1614" s="15" t="str">
        <f t="shared" si="572"/>
        <v>Donaghy</v>
      </c>
      <c r="D1614" s="15" t="str">
        <f t="shared" si="552"/>
        <v>Elizabeth Mathilde Jane</v>
      </c>
      <c r="E1614" s="15" t="str">
        <f t="shared" si="553"/>
        <v>31 Johnson Boulevard</v>
      </c>
      <c r="F1614" s="15" t="str">
        <f t="shared" si="554"/>
        <v>Belford</v>
      </c>
      <c r="G1614" s="15" t="str">
        <f t="shared" si="555"/>
        <v>NSW</v>
      </c>
      <c r="H1614" s="15">
        <f t="shared" si="556"/>
        <v>2335</v>
      </c>
      <c r="I1614" s="15">
        <f t="shared" si="567"/>
        <v>716</v>
      </c>
      <c r="J1614" s="15">
        <f>OrdersTable!B1614</f>
        <v>780</v>
      </c>
      <c r="K1614" s="15" t="str">
        <f t="shared" si="557"/>
        <v>Statues and Busts</v>
      </c>
      <c r="L1614" s="15" t="str">
        <f t="shared" si="558"/>
        <v>Doctor Who: Masterpiece Collection Dalek: Genesis Of The Daleks</v>
      </c>
      <c r="M1614" s="15" t="str">
        <f t="shared" si="559"/>
        <v>-</v>
      </c>
      <c r="N1614" s="15">
        <f t="shared" si="560"/>
        <v>2.5</v>
      </c>
      <c r="O1614" s="15" t="str">
        <f t="shared" si="561"/>
        <v>A30</v>
      </c>
      <c r="P1614" s="15" t="str">
        <f t="shared" si="562"/>
        <v>Chesterton Enterprises</v>
      </c>
      <c r="Q1614" s="15" t="str">
        <f t="shared" si="563"/>
        <v>41 William Russell Road</v>
      </c>
      <c r="R1614" s="3">
        <f>OrdersTable!C1614</f>
        <v>44675</v>
      </c>
      <c r="S1614" s="15">
        <f>OrdersTable!E1614</f>
        <v>9</v>
      </c>
      <c r="T1614" s="15">
        <f t="shared" si="564"/>
        <v>49.99</v>
      </c>
      <c r="U1614" s="15">
        <f t="shared" si="565"/>
        <v>68.23</v>
      </c>
      <c r="V1614" s="15">
        <f t="shared" si="566"/>
        <v>80.98</v>
      </c>
      <c r="W1614" s="15">
        <f>IF(MarkupType="Store Markup",ROUND(V1614+V1614*StoreMarkup,2),IF(MarkupType="Supplier Markup",V1614+V1614*SupplierMarkup,"Error at finding value"))</f>
        <v>127.54</v>
      </c>
      <c r="X1614" s="32">
        <f t="shared" si="568"/>
        <v>9.09</v>
      </c>
      <c r="Y1614" s="15">
        <f t="shared" si="569"/>
        <v>728.82</v>
      </c>
      <c r="Z1614" s="15">
        <f t="shared" si="570"/>
        <v>1066.05</v>
      </c>
      <c r="AA1614" s="15">
        <f>IF(FreightType="Lethbridge-Stewart Freight ",ROUND(2.99+IF(N1614&gt;0.75,(N1614-0.75)*2.25,0)*S1614,2),IF(MarkupType="Supplier Markup",V1614+V1614*SupplierMarkup,"Error at finding value"))</f>
        <v>38.43</v>
      </c>
      <c r="AB1614" s="15">
        <f t="shared" si="571"/>
        <v>81.81</v>
      </c>
    </row>
    <row r="1615" spans="1:28" x14ac:dyDescent="0.25">
      <c r="A1615" s="16">
        <f>OrdersTable!A1615</f>
        <v>55</v>
      </c>
      <c r="B1615" s="15" t="str">
        <f t="shared" si="551"/>
        <v>Mr</v>
      </c>
      <c r="C1615" s="15" t="str">
        <f t="shared" si="572"/>
        <v>Myers</v>
      </c>
      <c r="D1615" s="15" t="str">
        <f t="shared" si="552"/>
        <v>Luke Charles</v>
      </c>
      <c r="E1615" s="15" t="str">
        <f t="shared" si="553"/>
        <v>25 Penrose Street</v>
      </c>
      <c r="F1615" s="15" t="str">
        <f t="shared" si="554"/>
        <v>Black Hills</v>
      </c>
      <c r="G1615" s="15" t="str">
        <f t="shared" si="555"/>
        <v>TAS</v>
      </c>
      <c r="H1615" s="15">
        <f t="shared" si="556"/>
        <v>7140</v>
      </c>
      <c r="I1615" s="15">
        <f t="shared" si="567"/>
        <v>2191</v>
      </c>
      <c r="J1615" s="15">
        <f>OrdersTable!B1615</f>
        <v>782</v>
      </c>
      <c r="K1615" s="15" t="str">
        <f t="shared" si="557"/>
        <v>Statues and Busts</v>
      </c>
      <c r="L1615" s="15" t="str">
        <f t="shared" si="558"/>
        <v>Doctor Who: Masterpiece Collection Maxi Bust: 10th Doctor</v>
      </c>
      <c r="M1615" s="15" t="str">
        <f t="shared" si="559"/>
        <v>-</v>
      </c>
      <c r="N1615" s="15">
        <f t="shared" si="560"/>
        <v>2.5</v>
      </c>
      <c r="O1615" s="15" t="str">
        <f t="shared" si="561"/>
        <v>A30</v>
      </c>
      <c r="P1615" s="15" t="str">
        <f t="shared" si="562"/>
        <v>Chesterton Enterprises</v>
      </c>
      <c r="Q1615" s="15" t="str">
        <f t="shared" si="563"/>
        <v>41 William Russell Road</v>
      </c>
      <c r="R1615" s="3">
        <f>OrdersTable!C1615</f>
        <v>44676</v>
      </c>
      <c r="S1615" s="15">
        <f>OrdersTable!E1615</f>
        <v>6</v>
      </c>
      <c r="T1615" s="15">
        <f t="shared" si="564"/>
        <v>49.99</v>
      </c>
      <c r="U1615" s="15">
        <f t="shared" si="565"/>
        <v>68.5</v>
      </c>
      <c r="V1615" s="15">
        <f t="shared" si="566"/>
        <v>80.98</v>
      </c>
      <c r="W1615" s="15">
        <f>IF(MarkupType="Store Markup",ROUND(V1615+V1615*StoreMarkup,2),IF(MarkupType="Supplier Markup",V1615+V1615*SupplierMarkup,"Error at finding value"))</f>
        <v>127.54</v>
      </c>
      <c r="X1615" s="32">
        <f t="shared" si="568"/>
        <v>9.09</v>
      </c>
      <c r="Y1615" s="15">
        <f t="shared" si="569"/>
        <v>485.88</v>
      </c>
      <c r="Z1615" s="15">
        <f t="shared" si="570"/>
        <v>710.7</v>
      </c>
      <c r="AA1615" s="15">
        <f>IF(FreightType="Lethbridge-Stewart Freight ",ROUND(2.99+IF(N1615&gt;0.75,(N1615-0.75)*2.25,0)*S1615,2),IF(MarkupType="Supplier Markup",V1615+V1615*SupplierMarkup,"Error at finding value"))</f>
        <v>26.62</v>
      </c>
      <c r="AB1615" s="15">
        <f t="shared" si="571"/>
        <v>54.54</v>
      </c>
    </row>
    <row r="1616" spans="1:28" x14ac:dyDescent="0.25">
      <c r="A1616" s="16">
        <f>OrdersTable!A1616</f>
        <v>112</v>
      </c>
      <c r="B1616" s="15" t="str">
        <f t="shared" si="551"/>
        <v>Mr</v>
      </c>
      <c r="C1616" s="15" t="str">
        <f t="shared" si="572"/>
        <v>Dahal</v>
      </c>
      <c r="D1616" s="15" t="str">
        <f t="shared" si="552"/>
        <v>Subash</v>
      </c>
      <c r="E1616" s="15" t="str">
        <f t="shared" si="553"/>
        <v>121-127 Railway Pde, Granville, NSW 2142</v>
      </c>
      <c r="F1616" s="15" t="str">
        <f t="shared" si="554"/>
        <v>Granville</v>
      </c>
      <c r="G1616" s="15" t="str">
        <f t="shared" si="555"/>
        <v>NSW</v>
      </c>
      <c r="H1616" s="15">
        <f t="shared" si="556"/>
        <v>2142</v>
      </c>
      <c r="I1616" s="15">
        <f t="shared" si="567"/>
        <v>907</v>
      </c>
      <c r="J1616" s="15">
        <f>OrdersTable!B1616</f>
        <v>177</v>
      </c>
      <c r="K1616" s="15" t="str">
        <f t="shared" si="557"/>
        <v>Bobbleheads</v>
      </c>
      <c r="L1616" s="15" t="str">
        <f t="shared" si="558"/>
        <v>Doctor Who: Bobblehead: TARDIS (With Sound)</v>
      </c>
      <c r="M1616" s="15" t="str">
        <f t="shared" si="559"/>
        <v>-</v>
      </c>
      <c r="N1616" s="15">
        <f t="shared" si="560"/>
        <v>1</v>
      </c>
      <c r="O1616" s="15" t="str">
        <f t="shared" si="561"/>
        <v>A30</v>
      </c>
      <c r="P1616" s="15" t="str">
        <f t="shared" si="562"/>
        <v>Chesterton Enterprises</v>
      </c>
      <c r="Q1616" s="15" t="str">
        <f t="shared" si="563"/>
        <v>41 William Russell Road</v>
      </c>
      <c r="R1616" s="3">
        <f>OrdersTable!C1616</f>
        <v>44676</v>
      </c>
      <c r="S1616" s="15">
        <f>OrdersTable!E1616</f>
        <v>6</v>
      </c>
      <c r="T1616" s="15">
        <f t="shared" si="564"/>
        <v>19.989999999999998</v>
      </c>
      <c r="U1616" s="15">
        <f t="shared" si="565"/>
        <v>27.6</v>
      </c>
      <c r="V1616" s="15">
        <f t="shared" si="566"/>
        <v>32.380000000000003</v>
      </c>
      <c r="W1616" s="15">
        <f>IF(MarkupType="Store Markup",ROUND(V1616+V1616*StoreMarkup,2),IF(MarkupType="Supplier Markup",V1616+V1616*SupplierMarkup,"Error at finding value"))</f>
        <v>51</v>
      </c>
      <c r="X1616" s="32" t="str">
        <f t="shared" si="568"/>
        <v>0.00</v>
      </c>
      <c r="Y1616" s="15">
        <f t="shared" si="569"/>
        <v>194.28</v>
      </c>
      <c r="Z1616" s="15">
        <f t="shared" si="570"/>
        <v>306</v>
      </c>
      <c r="AA1616" s="15">
        <f>IF(FreightType="Lethbridge-Stewart Freight ",ROUND(2.99+IF(N1616&gt;0.75,(N1616-0.75)*2.25,0)*S1616,2),IF(MarkupType="Supplier Markup",V1616+V1616*SupplierMarkup,"Error at finding value"))</f>
        <v>6.37</v>
      </c>
      <c r="AB1616" s="15">
        <f t="shared" si="571"/>
        <v>0</v>
      </c>
    </row>
    <row r="1617" spans="1:28" x14ac:dyDescent="0.25">
      <c r="A1617" s="16">
        <f>OrdersTable!A1617</f>
        <v>308</v>
      </c>
      <c r="B1617" s="15" t="str">
        <f t="shared" si="551"/>
        <v>Dr</v>
      </c>
      <c r="C1617" s="15" t="str">
        <f t="shared" si="572"/>
        <v>Azar</v>
      </c>
      <c r="D1617" s="15" t="str">
        <f t="shared" si="552"/>
        <v>Mariam</v>
      </c>
      <c r="E1617" s="15" t="str">
        <f t="shared" si="553"/>
        <v>26 Osmond Road</v>
      </c>
      <c r="F1617" s="15" t="str">
        <f t="shared" si="554"/>
        <v>Boston</v>
      </c>
      <c r="G1617" s="15" t="str">
        <f t="shared" si="555"/>
        <v>SA</v>
      </c>
      <c r="H1617" s="15">
        <f t="shared" si="556"/>
        <v>5607</v>
      </c>
      <c r="I1617" s="15">
        <f t="shared" si="567"/>
        <v>2076</v>
      </c>
      <c r="J1617" s="15">
        <f>OrdersTable!B1617</f>
        <v>530</v>
      </c>
      <c r="K1617" s="15" t="str">
        <f t="shared" si="557"/>
        <v>Giftware</v>
      </c>
      <c r="L1617" s="15" t="str">
        <f t="shared" si="558"/>
        <v>Doctor Who: Keyring TARDIS</v>
      </c>
      <c r="M1617" s="15" t="str">
        <f t="shared" si="559"/>
        <v>-</v>
      </c>
      <c r="N1617" s="15">
        <f t="shared" si="560"/>
        <v>0.25</v>
      </c>
      <c r="O1617" s="15" t="str">
        <f t="shared" si="561"/>
        <v>A20</v>
      </c>
      <c r="P1617" s="15" t="str">
        <f t="shared" si="562"/>
        <v>Morbius Inc.</v>
      </c>
      <c r="Q1617" s="15" t="str">
        <f t="shared" si="563"/>
        <v>56 Michael Spice Hwy</v>
      </c>
      <c r="R1617" s="3">
        <f>OrdersTable!C1617</f>
        <v>44676</v>
      </c>
      <c r="S1617" s="15">
        <f>OrdersTable!E1617</f>
        <v>7</v>
      </c>
      <c r="T1617" s="15">
        <f t="shared" si="564"/>
        <v>4.99</v>
      </c>
      <c r="U1617" s="15">
        <f t="shared" si="565"/>
        <v>7.1</v>
      </c>
      <c r="V1617" s="15">
        <f t="shared" si="566"/>
        <v>8.08</v>
      </c>
      <c r="W1617" s="15">
        <f>IF(MarkupType="Store Markup",ROUND(V1617+V1617*StoreMarkup,2),IF(MarkupType="Supplier Markup",V1617+V1617*SupplierMarkup,"Error at finding value"))</f>
        <v>12.73</v>
      </c>
      <c r="X1617" s="32" t="str">
        <f t="shared" si="568"/>
        <v>0.00</v>
      </c>
      <c r="Y1617" s="15">
        <f t="shared" si="569"/>
        <v>56.56</v>
      </c>
      <c r="Z1617" s="15">
        <f t="shared" si="570"/>
        <v>89.11</v>
      </c>
      <c r="AA1617" s="15">
        <f>IF(FreightType="Lethbridge-Stewart Freight ",ROUND(2.99+IF(N1617&gt;0.75,(N1617-0.75)*2.25,0)*S1617,2),IF(MarkupType="Supplier Markup",V1617+V1617*SupplierMarkup,"Error at finding value"))</f>
        <v>2.99</v>
      </c>
      <c r="AB1617" s="15">
        <f t="shared" si="571"/>
        <v>0</v>
      </c>
    </row>
    <row r="1618" spans="1:28" x14ac:dyDescent="0.25">
      <c r="A1618" s="16">
        <f>OrdersTable!A1618</f>
        <v>334</v>
      </c>
      <c r="B1618" s="15" t="str">
        <f t="shared" si="551"/>
        <v>Mrs</v>
      </c>
      <c r="C1618" s="15" t="str">
        <f t="shared" si="572"/>
        <v>Wilson</v>
      </c>
      <c r="D1618" s="15" t="str">
        <f t="shared" si="552"/>
        <v>Hayley Lauren</v>
      </c>
      <c r="E1618" s="15" t="str">
        <f t="shared" si="553"/>
        <v>3 Ashley Crescent</v>
      </c>
      <c r="F1618" s="15" t="str">
        <f t="shared" si="554"/>
        <v>Black Hills</v>
      </c>
      <c r="G1618" s="15" t="str">
        <f t="shared" si="555"/>
        <v>TAS</v>
      </c>
      <c r="H1618" s="15">
        <f t="shared" si="556"/>
        <v>7140</v>
      </c>
      <c r="I1618" s="15">
        <f t="shared" si="567"/>
        <v>2191</v>
      </c>
      <c r="J1618" s="15">
        <f>OrdersTable!B1618</f>
        <v>373</v>
      </c>
      <c r="K1618" s="15" t="str">
        <f t="shared" si="557"/>
        <v>Clothing and Apparel</v>
      </c>
      <c r="L1618" s="15" t="str">
        <f t="shared" si="558"/>
        <v xml:space="preserve">Doctor Who: T-Shirts: 5th Doctor Costume </v>
      </c>
      <c r="M1618" s="15" t="str">
        <f t="shared" si="559"/>
        <v>L</v>
      </c>
      <c r="N1618" s="15">
        <f t="shared" si="560"/>
        <v>0.8</v>
      </c>
      <c r="O1618" s="15" t="str">
        <f t="shared" si="561"/>
        <v>A20</v>
      </c>
      <c r="P1618" s="15" t="str">
        <f t="shared" si="562"/>
        <v>Morbius Inc.</v>
      </c>
      <c r="Q1618" s="15" t="str">
        <f t="shared" si="563"/>
        <v>56 Michael Spice Hwy</v>
      </c>
      <c r="R1618" s="3">
        <f>OrdersTable!C1618</f>
        <v>44676</v>
      </c>
      <c r="S1618" s="15">
        <f>OrdersTable!E1618</f>
        <v>7</v>
      </c>
      <c r="T1618" s="15">
        <f t="shared" si="564"/>
        <v>15.99</v>
      </c>
      <c r="U1618" s="15">
        <f t="shared" si="565"/>
        <v>22.09</v>
      </c>
      <c r="V1618" s="15">
        <f t="shared" si="566"/>
        <v>25.9</v>
      </c>
      <c r="W1618" s="15">
        <f>IF(MarkupType="Store Markup",ROUND(V1618+V1618*StoreMarkup,2),IF(MarkupType="Supplier Markup",V1618+V1618*SupplierMarkup,"Error at finding value"))</f>
        <v>40.79</v>
      </c>
      <c r="X1618" s="32" t="str">
        <f t="shared" si="568"/>
        <v>0.00</v>
      </c>
      <c r="Y1618" s="15">
        <f t="shared" si="569"/>
        <v>181.3</v>
      </c>
      <c r="Z1618" s="15">
        <f t="shared" si="570"/>
        <v>285.52999999999997</v>
      </c>
      <c r="AA1618" s="15">
        <f>IF(FreightType="Lethbridge-Stewart Freight ",ROUND(2.99+IF(N1618&gt;0.75,(N1618-0.75)*2.25,0)*S1618,2),IF(MarkupType="Supplier Markup",V1618+V1618*SupplierMarkup,"Error at finding value"))</f>
        <v>3.78</v>
      </c>
      <c r="AB1618" s="15">
        <f t="shared" si="571"/>
        <v>0</v>
      </c>
    </row>
    <row r="1619" spans="1:28" x14ac:dyDescent="0.25">
      <c r="A1619" s="16">
        <f>OrdersTable!A1619</f>
        <v>474</v>
      </c>
      <c r="B1619" s="15" t="str">
        <f t="shared" si="551"/>
        <v>Mr</v>
      </c>
      <c r="C1619" s="15" t="str">
        <f t="shared" si="572"/>
        <v>Jooste</v>
      </c>
      <c r="D1619" s="15" t="str">
        <f t="shared" si="552"/>
        <v>Nicholas</v>
      </c>
      <c r="E1619" s="15" t="str">
        <f t="shared" si="553"/>
        <v>32 Dover Road</v>
      </c>
      <c r="F1619" s="15" t="str">
        <f t="shared" si="554"/>
        <v>Belford</v>
      </c>
      <c r="G1619" s="15" t="str">
        <f t="shared" si="555"/>
        <v>NSW</v>
      </c>
      <c r="H1619" s="15">
        <f t="shared" si="556"/>
        <v>2335</v>
      </c>
      <c r="I1619" s="15">
        <f t="shared" si="567"/>
        <v>716</v>
      </c>
      <c r="J1619" s="15">
        <f>OrdersTable!B1619</f>
        <v>757</v>
      </c>
      <c r="K1619" s="15" t="str">
        <f t="shared" si="557"/>
        <v>Statues and Busts</v>
      </c>
      <c r="L1619" s="15" t="str">
        <f t="shared" si="558"/>
        <v>Doctor Who: Helmet: Ice Warrior</v>
      </c>
      <c r="M1619" s="15" t="str">
        <f t="shared" si="559"/>
        <v>-</v>
      </c>
      <c r="N1619" s="15">
        <f t="shared" si="560"/>
        <v>1.75</v>
      </c>
      <c r="O1619" s="15" t="str">
        <f t="shared" si="561"/>
        <v>A20</v>
      </c>
      <c r="P1619" s="15" t="str">
        <f t="shared" si="562"/>
        <v>Morbius Inc.</v>
      </c>
      <c r="Q1619" s="15" t="str">
        <f t="shared" si="563"/>
        <v>56 Michael Spice Hwy</v>
      </c>
      <c r="R1619" s="3">
        <f>OrdersTable!C1619</f>
        <v>44676</v>
      </c>
      <c r="S1619" s="15">
        <f>OrdersTable!E1619</f>
        <v>3</v>
      </c>
      <c r="T1619" s="15">
        <f t="shared" si="564"/>
        <v>34.99</v>
      </c>
      <c r="U1619" s="15">
        <f t="shared" si="565"/>
        <v>47.88</v>
      </c>
      <c r="V1619" s="15">
        <f t="shared" si="566"/>
        <v>56.68</v>
      </c>
      <c r="W1619" s="15">
        <f>IF(MarkupType="Store Markup",ROUND(V1619+V1619*StoreMarkup,2),IF(MarkupType="Supplier Markup",V1619+V1619*SupplierMarkup,"Error at finding value"))</f>
        <v>89.27</v>
      </c>
      <c r="X1619" s="32" t="str">
        <f t="shared" si="568"/>
        <v>0.00</v>
      </c>
      <c r="Y1619" s="15">
        <f t="shared" si="569"/>
        <v>170.04</v>
      </c>
      <c r="Z1619" s="15">
        <f t="shared" si="570"/>
        <v>267.81</v>
      </c>
      <c r="AA1619" s="15">
        <f>IF(FreightType="Lethbridge-Stewart Freight ",ROUND(2.99+IF(N1619&gt;0.75,(N1619-0.75)*2.25,0)*S1619,2),IF(MarkupType="Supplier Markup",V1619+V1619*SupplierMarkup,"Error at finding value"))</f>
        <v>9.74</v>
      </c>
      <c r="AB1619" s="15">
        <f t="shared" si="571"/>
        <v>0</v>
      </c>
    </row>
    <row r="1620" spans="1:28" x14ac:dyDescent="0.25">
      <c r="A1620" s="16">
        <f>OrdersTable!A1620</f>
        <v>501</v>
      </c>
      <c r="B1620" s="15" t="str">
        <f t="shared" si="551"/>
        <v>Miss</v>
      </c>
      <c r="C1620" s="15" t="str">
        <f t="shared" si="572"/>
        <v>Tharenou</v>
      </c>
      <c r="D1620" s="15" t="str">
        <f t="shared" si="552"/>
        <v>Kimberley Jacinta</v>
      </c>
      <c r="E1620" s="15" t="str">
        <f t="shared" si="553"/>
        <v>49 Moncada Circuit</v>
      </c>
      <c r="F1620" s="15" t="str">
        <f t="shared" si="554"/>
        <v>Belford</v>
      </c>
      <c r="G1620" s="15" t="str">
        <f t="shared" si="555"/>
        <v>NSW</v>
      </c>
      <c r="H1620" s="15">
        <f t="shared" si="556"/>
        <v>2335</v>
      </c>
      <c r="I1620" s="15">
        <f t="shared" si="567"/>
        <v>716</v>
      </c>
      <c r="J1620" s="15">
        <f>OrdersTable!B1620</f>
        <v>812</v>
      </c>
      <c r="K1620" s="15" t="str">
        <f t="shared" si="557"/>
        <v>Statues and Busts</v>
      </c>
      <c r="L1620" s="15" t="str">
        <f t="shared" si="558"/>
        <v>Doctor Who: Masterpiece Collection Maxi Bust: Dalek: Day Of The Daleks</v>
      </c>
      <c r="M1620" s="15" t="str">
        <f t="shared" si="559"/>
        <v>-</v>
      </c>
      <c r="N1620" s="15">
        <f t="shared" si="560"/>
        <v>2.5</v>
      </c>
      <c r="O1620" s="15" t="str">
        <f t="shared" si="561"/>
        <v>A20</v>
      </c>
      <c r="P1620" s="15" t="str">
        <f t="shared" si="562"/>
        <v>Morbius Inc.</v>
      </c>
      <c r="Q1620" s="15" t="str">
        <f t="shared" si="563"/>
        <v>56 Michael Spice Hwy</v>
      </c>
      <c r="R1620" s="3">
        <f>OrdersTable!C1620</f>
        <v>44676</v>
      </c>
      <c r="S1620" s="15">
        <f>OrdersTable!E1620</f>
        <v>3</v>
      </c>
      <c r="T1620" s="15">
        <f t="shared" si="564"/>
        <v>49.99</v>
      </c>
      <c r="U1620" s="15">
        <f t="shared" si="565"/>
        <v>68.47</v>
      </c>
      <c r="V1620" s="15">
        <f t="shared" si="566"/>
        <v>80.98</v>
      </c>
      <c r="W1620" s="15">
        <f>IF(MarkupType="Store Markup",ROUND(V1620+V1620*StoreMarkup,2),IF(MarkupType="Supplier Markup",V1620+V1620*SupplierMarkup,"Error at finding value"))</f>
        <v>127.54</v>
      </c>
      <c r="X1620" s="32">
        <f t="shared" si="568"/>
        <v>9.09</v>
      </c>
      <c r="Y1620" s="15">
        <f t="shared" si="569"/>
        <v>242.94</v>
      </c>
      <c r="Z1620" s="15">
        <f t="shared" si="570"/>
        <v>355.35</v>
      </c>
      <c r="AA1620" s="15">
        <f>IF(FreightType="Lethbridge-Stewart Freight ",ROUND(2.99+IF(N1620&gt;0.75,(N1620-0.75)*2.25,0)*S1620,2),IF(MarkupType="Supplier Markup",V1620+V1620*SupplierMarkup,"Error at finding value"))</f>
        <v>14.8</v>
      </c>
      <c r="AB1620" s="15">
        <f t="shared" si="571"/>
        <v>27.27</v>
      </c>
    </row>
    <row r="1621" spans="1:28" x14ac:dyDescent="0.25">
      <c r="A1621" s="16">
        <f>OrdersTable!A1621</f>
        <v>594</v>
      </c>
      <c r="B1621" s="15" t="str">
        <f t="shared" si="551"/>
        <v>Mrs</v>
      </c>
      <c r="C1621" s="15" t="str">
        <f t="shared" si="572"/>
        <v>Entriken</v>
      </c>
      <c r="D1621" s="15" t="str">
        <f t="shared" si="552"/>
        <v>Gwenda Dawn</v>
      </c>
      <c r="E1621" s="15" t="str">
        <f t="shared" si="553"/>
        <v>8 Miljkovic Drive</v>
      </c>
      <c r="F1621" s="15" t="str">
        <f t="shared" si="554"/>
        <v>Nayook</v>
      </c>
      <c r="G1621" s="15" t="str">
        <f t="shared" si="555"/>
        <v>VIC</v>
      </c>
      <c r="H1621" s="15">
        <f t="shared" si="556"/>
        <v>3832</v>
      </c>
      <c r="I1621" s="15">
        <f t="shared" si="567"/>
        <v>1552</v>
      </c>
      <c r="J1621" s="15">
        <f>OrdersTable!B1621</f>
        <v>801</v>
      </c>
      <c r="K1621" s="15" t="str">
        <f t="shared" si="557"/>
        <v>Statues and Busts</v>
      </c>
      <c r="L1621" s="15" t="str">
        <f t="shared" si="558"/>
        <v>Doctor Who: Masterpiece Collection Maxi Bust: 4th Doctor</v>
      </c>
      <c r="M1621" s="15" t="str">
        <f t="shared" si="559"/>
        <v>-</v>
      </c>
      <c r="N1621" s="15">
        <f t="shared" si="560"/>
        <v>2.5</v>
      </c>
      <c r="O1621" s="15" t="str">
        <f t="shared" si="561"/>
        <v>A30</v>
      </c>
      <c r="P1621" s="15" t="str">
        <f t="shared" si="562"/>
        <v>Chesterton Enterprises</v>
      </c>
      <c r="Q1621" s="15" t="str">
        <f t="shared" si="563"/>
        <v>41 William Russell Road</v>
      </c>
      <c r="R1621" s="3">
        <f>OrdersTable!C1621</f>
        <v>44676</v>
      </c>
      <c r="S1621" s="15">
        <f>OrdersTable!E1621</f>
        <v>3</v>
      </c>
      <c r="T1621" s="15">
        <f t="shared" si="564"/>
        <v>49.99</v>
      </c>
      <c r="U1621" s="15">
        <f t="shared" si="565"/>
        <v>68.180000000000007</v>
      </c>
      <c r="V1621" s="15">
        <f t="shared" si="566"/>
        <v>80.98</v>
      </c>
      <c r="W1621" s="15">
        <f>IF(MarkupType="Store Markup",ROUND(V1621+V1621*StoreMarkup,2),IF(MarkupType="Supplier Markup",V1621+V1621*SupplierMarkup,"Error at finding value"))</f>
        <v>127.54</v>
      </c>
      <c r="X1621" s="32">
        <f t="shared" si="568"/>
        <v>9.09</v>
      </c>
      <c r="Y1621" s="15">
        <f t="shared" si="569"/>
        <v>242.94</v>
      </c>
      <c r="Z1621" s="15">
        <f t="shared" si="570"/>
        <v>355.35</v>
      </c>
      <c r="AA1621" s="15">
        <f>IF(FreightType="Lethbridge-Stewart Freight ",ROUND(2.99+IF(N1621&gt;0.75,(N1621-0.75)*2.25,0)*S1621,2),IF(MarkupType="Supplier Markup",V1621+V1621*SupplierMarkup,"Error at finding value"))</f>
        <v>14.8</v>
      </c>
      <c r="AB1621" s="15">
        <f t="shared" si="571"/>
        <v>27.27</v>
      </c>
    </row>
    <row r="1622" spans="1:28" x14ac:dyDescent="0.25">
      <c r="A1622" s="16">
        <f>OrdersTable!A1622</f>
        <v>643</v>
      </c>
      <c r="B1622" s="15" t="str">
        <f t="shared" si="551"/>
        <v>Ms</v>
      </c>
      <c r="C1622" s="15" t="str">
        <f t="shared" si="572"/>
        <v>Crispin-Purcell</v>
      </c>
      <c r="D1622" s="15" t="str">
        <f t="shared" si="552"/>
        <v>Gabriellen Elizabeth</v>
      </c>
      <c r="E1622" s="15" t="str">
        <f t="shared" si="553"/>
        <v>12 Williams Road</v>
      </c>
      <c r="F1622" s="15" t="str">
        <f t="shared" si="554"/>
        <v>Appletree Flat</v>
      </c>
      <c r="G1622" s="15" t="str">
        <f t="shared" si="555"/>
        <v>NSW</v>
      </c>
      <c r="H1622" s="15">
        <f t="shared" si="556"/>
        <v>2330</v>
      </c>
      <c r="I1622" s="15">
        <f t="shared" si="567"/>
        <v>691</v>
      </c>
      <c r="J1622" s="15">
        <f>OrdersTable!B1622</f>
        <v>683</v>
      </c>
      <c r="K1622" s="15" t="str">
        <f t="shared" si="557"/>
        <v>Mugs</v>
      </c>
      <c r="L1622" s="15" t="str">
        <f t="shared" si="558"/>
        <v>Doctor Who: Mug: The Tenth Doctor</v>
      </c>
      <c r="M1622" s="15" t="str">
        <f t="shared" si="559"/>
        <v>-</v>
      </c>
      <c r="N1622" s="15">
        <f t="shared" si="560"/>
        <v>0.45</v>
      </c>
      <c r="O1622" s="15" t="str">
        <f t="shared" si="561"/>
        <v>A20</v>
      </c>
      <c r="P1622" s="15" t="str">
        <f t="shared" si="562"/>
        <v>Morbius Inc.</v>
      </c>
      <c r="Q1622" s="15" t="str">
        <f t="shared" si="563"/>
        <v>56 Michael Spice Hwy</v>
      </c>
      <c r="R1622" s="3">
        <f>OrdersTable!C1622</f>
        <v>44676</v>
      </c>
      <c r="S1622" s="15">
        <f>OrdersTable!E1622</f>
        <v>10</v>
      </c>
      <c r="T1622" s="15">
        <f t="shared" si="564"/>
        <v>8.99</v>
      </c>
      <c r="U1622" s="15">
        <f t="shared" si="565"/>
        <v>12.54</v>
      </c>
      <c r="V1622" s="15">
        <f t="shared" si="566"/>
        <v>14.56</v>
      </c>
      <c r="W1622" s="15">
        <f>IF(MarkupType="Store Markup",ROUND(V1622+V1622*StoreMarkup,2),IF(MarkupType="Supplier Markup",V1622+V1622*SupplierMarkup,"Error at finding value"))</f>
        <v>22.93</v>
      </c>
      <c r="X1622" s="32" t="str">
        <f t="shared" si="568"/>
        <v>0.00</v>
      </c>
      <c r="Y1622" s="15">
        <f t="shared" si="569"/>
        <v>145.6</v>
      </c>
      <c r="Z1622" s="15">
        <f t="shared" si="570"/>
        <v>229.3</v>
      </c>
      <c r="AA1622" s="15">
        <f>IF(FreightType="Lethbridge-Stewart Freight ",ROUND(2.99+IF(N1622&gt;0.75,(N1622-0.75)*2.25,0)*S1622,2),IF(MarkupType="Supplier Markup",V1622+V1622*SupplierMarkup,"Error at finding value"))</f>
        <v>2.99</v>
      </c>
      <c r="AB1622" s="15">
        <f t="shared" si="571"/>
        <v>0</v>
      </c>
    </row>
    <row r="1623" spans="1:28" x14ac:dyDescent="0.25">
      <c r="A1623" s="16">
        <f>OrdersTable!A1623</f>
        <v>758</v>
      </c>
      <c r="B1623" s="15" t="str">
        <f t="shared" si="551"/>
        <v>Mr</v>
      </c>
      <c r="C1623" s="15" t="str">
        <f t="shared" si="572"/>
        <v>Whitehorn</v>
      </c>
      <c r="D1623" s="15" t="str">
        <f t="shared" si="552"/>
        <v>James</v>
      </c>
      <c r="E1623" s="15" t="str">
        <f t="shared" si="553"/>
        <v>32 Raubenheimer Circuit</v>
      </c>
      <c r="F1623" s="15" t="str">
        <f t="shared" si="554"/>
        <v>Belconnen</v>
      </c>
      <c r="G1623" s="15" t="str">
        <f t="shared" si="555"/>
        <v>ACT</v>
      </c>
      <c r="H1623" s="15">
        <f t="shared" si="556"/>
        <v>2617</v>
      </c>
      <c r="I1623" s="15">
        <f t="shared" si="567"/>
        <v>1194</v>
      </c>
      <c r="J1623" s="15">
        <f>OrdersTable!B1623</f>
        <v>830</v>
      </c>
      <c r="K1623" s="15" t="str">
        <f t="shared" si="557"/>
        <v>Statues and Busts</v>
      </c>
      <c r="L1623" s="15" t="str">
        <f t="shared" si="558"/>
        <v>Doctor Who: Mini Bust: Weeping Angel</v>
      </c>
      <c r="M1623" s="15" t="str">
        <f t="shared" si="559"/>
        <v>-</v>
      </c>
      <c r="N1623" s="15">
        <f t="shared" si="560"/>
        <v>1.8</v>
      </c>
      <c r="O1623" s="15" t="str">
        <f t="shared" si="561"/>
        <v>A50</v>
      </c>
      <c r="P1623" s="15" t="str">
        <f t="shared" si="562"/>
        <v>Rassilon Ltd.</v>
      </c>
      <c r="Q1623" s="15" t="str">
        <f t="shared" si="563"/>
        <v>82 Richard Mathews Road</v>
      </c>
      <c r="R1623" s="3">
        <f>OrdersTable!C1623</f>
        <v>44676</v>
      </c>
      <c r="S1623" s="15">
        <f>OrdersTable!E1623</f>
        <v>8</v>
      </c>
      <c r="T1623" s="15">
        <f t="shared" si="564"/>
        <v>35.99</v>
      </c>
      <c r="U1623" s="15">
        <f t="shared" si="565"/>
        <v>49.35</v>
      </c>
      <c r="V1623" s="15">
        <f t="shared" si="566"/>
        <v>58.3</v>
      </c>
      <c r="W1623" s="15">
        <f>IF(MarkupType="Store Markup",ROUND(V1623+V1623*StoreMarkup,2),IF(MarkupType="Supplier Markup",V1623+V1623*SupplierMarkup,"Error at finding value"))</f>
        <v>91.82</v>
      </c>
      <c r="X1623" s="32" t="str">
        <f t="shared" si="568"/>
        <v>0.00</v>
      </c>
      <c r="Y1623" s="15">
        <f t="shared" si="569"/>
        <v>466.4</v>
      </c>
      <c r="Z1623" s="15">
        <f t="shared" si="570"/>
        <v>734.56</v>
      </c>
      <c r="AA1623" s="15">
        <f>IF(FreightType="Lethbridge-Stewart Freight ",ROUND(2.99+IF(N1623&gt;0.75,(N1623-0.75)*2.25,0)*S1623,2),IF(MarkupType="Supplier Markup",V1623+V1623*SupplierMarkup,"Error at finding value"))</f>
        <v>21.89</v>
      </c>
      <c r="AB1623" s="15">
        <f t="shared" si="571"/>
        <v>0</v>
      </c>
    </row>
    <row r="1624" spans="1:28" x14ac:dyDescent="0.25">
      <c r="A1624" s="16">
        <f>OrdersTable!A1624</f>
        <v>802</v>
      </c>
      <c r="B1624" s="15" t="str">
        <f t="shared" si="551"/>
        <v>Mr</v>
      </c>
      <c r="C1624" s="15" t="str">
        <f t="shared" si="572"/>
        <v>Carlton</v>
      </c>
      <c r="D1624" s="15" t="str">
        <f t="shared" si="552"/>
        <v>Lawrence</v>
      </c>
      <c r="E1624" s="15" t="str">
        <f t="shared" si="553"/>
        <v>39 Walsh Way</v>
      </c>
      <c r="F1624" s="15" t="str">
        <f t="shared" si="554"/>
        <v>Breakwater</v>
      </c>
      <c r="G1624" s="15" t="str">
        <f t="shared" si="555"/>
        <v>VIC</v>
      </c>
      <c r="H1624" s="15">
        <f t="shared" si="556"/>
        <v>3219</v>
      </c>
      <c r="I1624" s="15">
        <f t="shared" si="567"/>
        <v>1596</v>
      </c>
      <c r="J1624" s="15">
        <f>OrdersTable!B1624</f>
        <v>341</v>
      </c>
      <c r="K1624" s="15" t="str">
        <f t="shared" si="557"/>
        <v>Clothing and Apparel</v>
      </c>
      <c r="L1624" s="15" t="str">
        <f t="shared" si="558"/>
        <v xml:space="preserve">Doctor Who: T-Shirts: 4th Doctor Costume </v>
      </c>
      <c r="M1624" s="15" t="str">
        <f t="shared" si="559"/>
        <v>XL</v>
      </c>
      <c r="N1624" s="15">
        <f t="shared" si="560"/>
        <v>0.8</v>
      </c>
      <c r="O1624" s="15" t="str">
        <f t="shared" si="561"/>
        <v>A20</v>
      </c>
      <c r="P1624" s="15" t="str">
        <f t="shared" si="562"/>
        <v>Morbius Inc.</v>
      </c>
      <c r="Q1624" s="15" t="str">
        <f t="shared" si="563"/>
        <v>56 Michael Spice Hwy</v>
      </c>
      <c r="R1624" s="3">
        <f>OrdersTable!C1624</f>
        <v>44676</v>
      </c>
      <c r="S1624" s="15">
        <f>OrdersTable!E1624</f>
        <v>2</v>
      </c>
      <c r="T1624" s="15">
        <f t="shared" si="564"/>
        <v>15.99</v>
      </c>
      <c r="U1624" s="15">
        <f t="shared" si="565"/>
        <v>22.05</v>
      </c>
      <c r="V1624" s="15">
        <f t="shared" si="566"/>
        <v>25.9</v>
      </c>
      <c r="W1624" s="15">
        <f>IF(MarkupType="Store Markup",ROUND(V1624+V1624*StoreMarkup,2),IF(MarkupType="Supplier Markup",V1624+V1624*SupplierMarkup,"Error at finding value"))</f>
        <v>40.79</v>
      </c>
      <c r="X1624" s="32" t="str">
        <f t="shared" si="568"/>
        <v>0.00</v>
      </c>
      <c r="Y1624" s="15">
        <f t="shared" si="569"/>
        <v>51.8</v>
      </c>
      <c r="Z1624" s="15">
        <f t="shared" si="570"/>
        <v>81.58</v>
      </c>
      <c r="AA1624" s="15">
        <f>IF(FreightType="Lethbridge-Stewart Freight ",ROUND(2.99+IF(N1624&gt;0.75,(N1624-0.75)*2.25,0)*S1624,2),IF(MarkupType="Supplier Markup",V1624+V1624*SupplierMarkup,"Error at finding value"))</f>
        <v>3.22</v>
      </c>
      <c r="AB1624" s="15">
        <f t="shared" si="571"/>
        <v>0</v>
      </c>
    </row>
    <row r="1625" spans="1:28" x14ac:dyDescent="0.25">
      <c r="A1625" s="16">
        <f>OrdersTable!A1625</f>
        <v>972</v>
      </c>
      <c r="B1625" s="15" t="str">
        <f t="shared" si="551"/>
        <v>Miss</v>
      </c>
      <c r="C1625" s="15" t="str">
        <f t="shared" si="572"/>
        <v>Walsh</v>
      </c>
      <c r="D1625" s="15" t="str">
        <f t="shared" si="552"/>
        <v>Alana Jane</v>
      </c>
      <c r="E1625" s="15" t="str">
        <f t="shared" si="553"/>
        <v>40 Betts Crescent</v>
      </c>
      <c r="F1625" s="15" t="str">
        <f t="shared" si="554"/>
        <v>Alleena</v>
      </c>
      <c r="G1625" s="15" t="str">
        <f t="shared" si="555"/>
        <v>NSW</v>
      </c>
      <c r="H1625" s="15">
        <f t="shared" si="556"/>
        <v>2671</v>
      </c>
      <c r="I1625" s="15">
        <f t="shared" si="567"/>
        <v>988</v>
      </c>
      <c r="J1625" s="15">
        <f>OrdersTable!B1625</f>
        <v>453</v>
      </c>
      <c r="K1625" s="15" t="str">
        <f t="shared" si="557"/>
        <v>Giftware</v>
      </c>
      <c r="L1625" s="15" t="str">
        <f t="shared" si="558"/>
        <v>Doctor Who: Ceramic Cookie Jar: TARDIS</v>
      </c>
      <c r="M1625" s="15" t="str">
        <f t="shared" si="559"/>
        <v>-</v>
      </c>
      <c r="N1625" s="15">
        <f t="shared" si="560"/>
        <v>1.35</v>
      </c>
      <c r="O1625" s="15" t="str">
        <f t="shared" si="561"/>
        <v>A40</v>
      </c>
      <c r="P1625" s="15" t="str">
        <f t="shared" si="562"/>
        <v>Romana Imports</v>
      </c>
      <c r="Q1625" s="15" t="str">
        <f t="shared" si="563"/>
        <v>17 Lalla Ward Road</v>
      </c>
      <c r="R1625" s="3">
        <f>OrdersTable!C1625</f>
        <v>44676</v>
      </c>
      <c r="S1625" s="15">
        <f>OrdersTable!E1625</f>
        <v>10</v>
      </c>
      <c r="T1625" s="15">
        <f t="shared" si="564"/>
        <v>26.99</v>
      </c>
      <c r="U1625" s="15">
        <f t="shared" si="565"/>
        <v>37.119999999999997</v>
      </c>
      <c r="V1625" s="15">
        <f t="shared" si="566"/>
        <v>43.72</v>
      </c>
      <c r="W1625" s="15">
        <f>IF(MarkupType="Store Markup",ROUND(V1625+V1625*StoreMarkup,2),IF(MarkupType="Supplier Markup",V1625+V1625*SupplierMarkup,"Error at finding value"))</f>
        <v>68.86</v>
      </c>
      <c r="X1625" s="32" t="str">
        <f t="shared" si="568"/>
        <v>0.00</v>
      </c>
      <c r="Y1625" s="15">
        <f t="shared" si="569"/>
        <v>437.2</v>
      </c>
      <c r="Z1625" s="15">
        <f t="shared" si="570"/>
        <v>688.6</v>
      </c>
      <c r="AA1625" s="15">
        <f>IF(FreightType="Lethbridge-Stewart Freight ",ROUND(2.99+IF(N1625&gt;0.75,(N1625-0.75)*2.25,0)*S1625,2),IF(MarkupType="Supplier Markup",V1625+V1625*SupplierMarkup,"Error at finding value"))</f>
        <v>16.489999999999998</v>
      </c>
      <c r="AB1625" s="15">
        <f t="shared" si="571"/>
        <v>0</v>
      </c>
    </row>
    <row r="1626" spans="1:28" x14ac:dyDescent="0.25">
      <c r="A1626" s="16">
        <f>OrdersTable!A1626</f>
        <v>989</v>
      </c>
      <c r="B1626" s="15" t="str">
        <f t="shared" si="551"/>
        <v>Miss</v>
      </c>
      <c r="C1626" s="15" t="str">
        <f t="shared" si="572"/>
        <v>McInnes</v>
      </c>
      <c r="D1626" s="15" t="str">
        <f t="shared" si="552"/>
        <v>Nina Marie</v>
      </c>
      <c r="E1626" s="15" t="str">
        <f t="shared" si="553"/>
        <v>28 Caruss Road</v>
      </c>
      <c r="F1626" s="15" t="str">
        <f t="shared" si="554"/>
        <v>Belford</v>
      </c>
      <c r="G1626" s="15" t="str">
        <f t="shared" si="555"/>
        <v>NSW</v>
      </c>
      <c r="H1626" s="15">
        <f t="shared" si="556"/>
        <v>2335</v>
      </c>
      <c r="I1626" s="15">
        <f t="shared" si="567"/>
        <v>716</v>
      </c>
      <c r="J1626" s="15">
        <f>OrdersTable!B1626</f>
        <v>747</v>
      </c>
      <c r="K1626" s="15" t="str">
        <f t="shared" si="557"/>
        <v>Props and Replicas</v>
      </c>
      <c r="L1626" s="15" t="str">
        <f t="shared" si="558"/>
        <v>Doctor Who: The Master's Fob Watch</v>
      </c>
      <c r="M1626" s="15" t="str">
        <f t="shared" si="559"/>
        <v>-</v>
      </c>
      <c r="N1626" s="15">
        <f t="shared" si="560"/>
        <v>2.25</v>
      </c>
      <c r="O1626" s="15" t="str">
        <f t="shared" si="561"/>
        <v>A10</v>
      </c>
      <c r="P1626" s="15" t="str">
        <f t="shared" si="562"/>
        <v>Gallifrey International</v>
      </c>
      <c r="Q1626" s="15" t="str">
        <f t="shared" si="563"/>
        <v>181 Arcadia Street</v>
      </c>
      <c r="R1626" s="3">
        <f>OrdersTable!C1626</f>
        <v>44676</v>
      </c>
      <c r="S1626" s="15">
        <f>OrdersTable!E1626</f>
        <v>6</v>
      </c>
      <c r="T1626" s="15">
        <f t="shared" si="564"/>
        <v>44.99</v>
      </c>
      <c r="U1626" s="15">
        <f t="shared" si="565"/>
        <v>61.7</v>
      </c>
      <c r="V1626" s="15">
        <f t="shared" si="566"/>
        <v>72.88</v>
      </c>
      <c r="W1626" s="15">
        <f>IF(MarkupType="Store Markup",ROUND(V1626+V1626*StoreMarkup,2),IF(MarkupType="Supplier Markup",V1626+V1626*SupplierMarkup,"Error at finding value"))</f>
        <v>114.79</v>
      </c>
      <c r="X1626" s="32">
        <f t="shared" si="568"/>
        <v>8.18</v>
      </c>
      <c r="Y1626" s="15">
        <f t="shared" si="569"/>
        <v>437.28</v>
      </c>
      <c r="Z1626" s="15">
        <f t="shared" si="570"/>
        <v>639.66</v>
      </c>
      <c r="AA1626" s="15">
        <f>IF(FreightType="Lethbridge-Stewart Freight ",ROUND(2.99+IF(N1626&gt;0.75,(N1626-0.75)*2.25,0)*S1626,2),IF(MarkupType="Supplier Markup",V1626+V1626*SupplierMarkup,"Error at finding value"))</f>
        <v>23.24</v>
      </c>
      <c r="AB1626" s="15">
        <f t="shared" si="571"/>
        <v>49.08</v>
      </c>
    </row>
    <row r="1627" spans="1:28" x14ac:dyDescent="0.25">
      <c r="A1627" s="16">
        <f>OrdersTable!A1627</f>
        <v>141</v>
      </c>
      <c r="B1627" s="15" t="str">
        <f t="shared" si="551"/>
        <v>Mr</v>
      </c>
      <c r="C1627" s="15" t="str">
        <f t="shared" si="572"/>
        <v>Bergmann</v>
      </c>
      <c r="D1627" s="15" t="str">
        <f t="shared" si="552"/>
        <v>Beau Jay</v>
      </c>
      <c r="E1627" s="15" t="str">
        <f t="shared" si="553"/>
        <v>47 McCullough Circuit</v>
      </c>
      <c r="F1627" s="15" t="str">
        <f t="shared" si="554"/>
        <v>Breakwater</v>
      </c>
      <c r="G1627" s="15" t="str">
        <f t="shared" si="555"/>
        <v>VIC</v>
      </c>
      <c r="H1627" s="15">
        <f t="shared" si="556"/>
        <v>3219</v>
      </c>
      <c r="I1627" s="15">
        <f t="shared" si="567"/>
        <v>1596</v>
      </c>
      <c r="J1627" s="15">
        <f>OrdersTable!B1627</f>
        <v>696</v>
      </c>
      <c r="K1627" s="15" t="str">
        <f t="shared" si="557"/>
        <v>Posters, Prints and Standees</v>
      </c>
      <c r="L1627" s="15" t="str">
        <f t="shared" si="558"/>
        <v xml:space="preserve">Doctor Who: 50th Anniversary: Poster: To Victory </v>
      </c>
      <c r="M1627" s="15" t="str">
        <f t="shared" si="559"/>
        <v>-</v>
      </c>
      <c r="N1627" s="15">
        <f t="shared" si="560"/>
        <v>0.2</v>
      </c>
      <c r="O1627" s="15" t="str">
        <f t="shared" si="561"/>
        <v>A40</v>
      </c>
      <c r="P1627" s="15" t="str">
        <f t="shared" si="562"/>
        <v>Romana Imports</v>
      </c>
      <c r="Q1627" s="15" t="str">
        <f t="shared" si="563"/>
        <v>17 Lalla Ward Road</v>
      </c>
      <c r="R1627" s="3">
        <f>OrdersTable!C1627</f>
        <v>44677</v>
      </c>
      <c r="S1627" s="15">
        <f>OrdersTable!E1627</f>
        <v>3</v>
      </c>
      <c r="T1627" s="15">
        <f t="shared" si="564"/>
        <v>3.99</v>
      </c>
      <c r="U1627" s="15">
        <f t="shared" si="565"/>
        <v>5.6</v>
      </c>
      <c r="V1627" s="15">
        <f t="shared" si="566"/>
        <v>6.46</v>
      </c>
      <c r="W1627" s="15">
        <f>IF(MarkupType="Store Markup",ROUND(V1627+V1627*StoreMarkup,2),IF(MarkupType="Supplier Markup",V1627+V1627*SupplierMarkup,"Error at finding value"))</f>
        <v>10.17</v>
      </c>
      <c r="X1627" s="32" t="str">
        <f t="shared" si="568"/>
        <v>0.00</v>
      </c>
      <c r="Y1627" s="15">
        <f t="shared" si="569"/>
        <v>19.38</v>
      </c>
      <c r="Z1627" s="15">
        <f t="shared" si="570"/>
        <v>30.51</v>
      </c>
      <c r="AA1627" s="15">
        <f>IF(FreightType="Lethbridge-Stewart Freight ",ROUND(2.99+IF(N1627&gt;0.75,(N1627-0.75)*2.25,0)*S1627,2),IF(MarkupType="Supplier Markup",V1627+V1627*SupplierMarkup,"Error at finding value"))</f>
        <v>2.99</v>
      </c>
      <c r="AB1627" s="15">
        <f t="shared" si="571"/>
        <v>0</v>
      </c>
    </row>
    <row r="1628" spans="1:28" x14ac:dyDescent="0.25">
      <c r="A1628" s="16">
        <f>OrdersTable!A1628</f>
        <v>226</v>
      </c>
      <c r="B1628" s="15" t="str">
        <f t="shared" si="551"/>
        <v>Ms</v>
      </c>
      <c r="C1628" s="15" t="str">
        <f t="shared" si="572"/>
        <v>Stewart</v>
      </c>
      <c r="D1628" s="15" t="str">
        <f t="shared" si="552"/>
        <v>Jodi Louise</v>
      </c>
      <c r="E1628" s="15" t="str">
        <f t="shared" si="553"/>
        <v>33 Abington Court</v>
      </c>
      <c r="F1628" s="15" t="str">
        <f t="shared" si="554"/>
        <v>Iluka</v>
      </c>
      <c r="G1628" s="15" t="str">
        <f t="shared" si="555"/>
        <v>NSW</v>
      </c>
      <c r="H1628" s="15">
        <f t="shared" si="556"/>
        <v>2466</v>
      </c>
      <c r="I1628" s="15">
        <f t="shared" si="567"/>
        <v>347</v>
      </c>
      <c r="J1628" s="15">
        <f>OrdersTable!B1628</f>
        <v>696</v>
      </c>
      <c r="K1628" s="15" t="str">
        <f t="shared" si="557"/>
        <v>Posters, Prints and Standees</v>
      </c>
      <c r="L1628" s="15" t="str">
        <f t="shared" si="558"/>
        <v xml:space="preserve">Doctor Who: 50th Anniversary: Poster: To Victory </v>
      </c>
      <c r="M1628" s="15" t="str">
        <f t="shared" si="559"/>
        <v>-</v>
      </c>
      <c r="N1628" s="15">
        <f t="shared" si="560"/>
        <v>0.2</v>
      </c>
      <c r="O1628" s="15" t="str">
        <f t="shared" si="561"/>
        <v>A40</v>
      </c>
      <c r="P1628" s="15" t="str">
        <f t="shared" si="562"/>
        <v>Romana Imports</v>
      </c>
      <c r="Q1628" s="15" t="str">
        <f t="shared" si="563"/>
        <v>17 Lalla Ward Road</v>
      </c>
      <c r="R1628" s="3">
        <f>OrdersTable!C1628</f>
        <v>44677</v>
      </c>
      <c r="S1628" s="15">
        <f>OrdersTable!E1628</f>
        <v>6</v>
      </c>
      <c r="T1628" s="15">
        <f t="shared" si="564"/>
        <v>3.99</v>
      </c>
      <c r="U1628" s="15">
        <f t="shared" si="565"/>
        <v>5.6</v>
      </c>
      <c r="V1628" s="15">
        <f t="shared" si="566"/>
        <v>6.46</v>
      </c>
      <c r="W1628" s="15">
        <f>IF(MarkupType="Store Markup",ROUND(V1628+V1628*StoreMarkup,2),IF(MarkupType="Supplier Markup",V1628+V1628*SupplierMarkup,"Error at finding value"))</f>
        <v>10.17</v>
      </c>
      <c r="X1628" s="32" t="str">
        <f t="shared" si="568"/>
        <v>0.00</v>
      </c>
      <c r="Y1628" s="15">
        <f t="shared" si="569"/>
        <v>38.76</v>
      </c>
      <c r="Z1628" s="15">
        <f t="shared" si="570"/>
        <v>61.02</v>
      </c>
      <c r="AA1628" s="15">
        <f>IF(FreightType="Lethbridge-Stewart Freight ",ROUND(2.99+IF(N1628&gt;0.75,(N1628-0.75)*2.25,0)*S1628,2),IF(MarkupType="Supplier Markup",V1628+V1628*SupplierMarkup,"Error at finding value"))</f>
        <v>2.99</v>
      </c>
      <c r="AB1628" s="15">
        <f t="shared" si="571"/>
        <v>0</v>
      </c>
    </row>
    <row r="1629" spans="1:28" x14ac:dyDescent="0.25">
      <c r="A1629" s="16">
        <f>OrdersTable!A1629</f>
        <v>232</v>
      </c>
      <c r="B1629" s="15" t="str">
        <f t="shared" si="551"/>
        <v>Mrs</v>
      </c>
      <c r="C1629" s="15" t="str">
        <f t="shared" si="572"/>
        <v>Bishop</v>
      </c>
      <c r="D1629" s="15" t="str">
        <f t="shared" si="552"/>
        <v>Katherine Marie</v>
      </c>
      <c r="E1629" s="15" t="str">
        <f t="shared" si="553"/>
        <v>19 Whitehorn Circuit</v>
      </c>
      <c r="F1629" s="15" t="str">
        <f t="shared" si="554"/>
        <v>Black Hills</v>
      </c>
      <c r="G1629" s="15" t="str">
        <f t="shared" si="555"/>
        <v>TAS</v>
      </c>
      <c r="H1629" s="15">
        <f t="shared" si="556"/>
        <v>7140</v>
      </c>
      <c r="I1629" s="15">
        <f t="shared" si="567"/>
        <v>2191</v>
      </c>
      <c r="J1629" s="15">
        <f>OrdersTable!B1629</f>
        <v>752</v>
      </c>
      <c r="K1629" s="15" t="str">
        <f t="shared" si="557"/>
        <v>Statues and Busts</v>
      </c>
      <c r="L1629" s="15" t="str">
        <f t="shared" si="558"/>
        <v>Doctor Who: Helmet: Cyberman Leader</v>
      </c>
      <c r="M1629" s="15" t="str">
        <f t="shared" si="559"/>
        <v>-</v>
      </c>
      <c r="N1629" s="15">
        <f t="shared" si="560"/>
        <v>2</v>
      </c>
      <c r="O1629" s="15" t="str">
        <f t="shared" si="561"/>
        <v>A30</v>
      </c>
      <c r="P1629" s="15" t="str">
        <f t="shared" si="562"/>
        <v>Chesterton Enterprises</v>
      </c>
      <c r="Q1629" s="15" t="str">
        <f t="shared" si="563"/>
        <v>41 William Russell Road</v>
      </c>
      <c r="R1629" s="3">
        <f>OrdersTable!C1629</f>
        <v>44677</v>
      </c>
      <c r="S1629" s="15">
        <f>OrdersTable!E1629</f>
        <v>4</v>
      </c>
      <c r="T1629" s="15">
        <f t="shared" si="564"/>
        <v>39.99</v>
      </c>
      <c r="U1629" s="15">
        <f t="shared" si="565"/>
        <v>54.85</v>
      </c>
      <c r="V1629" s="15">
        <f t="shared" si="566"/>
        <v>64.78</v>
      </c>
      <c r="W1629" s="15">
        <f>IF(MarkupType="Store Markup",ROUND(V1629+V1629*StoreMarkup,2),IF(MarkupType="Supplier Markup",V1629+V1629*SupplierMarkup,"Error at finding value"))</f>
        <v>102.03</v>
      </c>
      <c r="X1629" s="32">
        <f t="shared" si="568"/>
        <v>7.27</v>
      </c>
      <c r="Y1629" s="15">
        <f t="shared" si="569"/>
        <v>259.12</v>
      </c>
      <c r="Z1629" s="15">
        <f t="shared" si="570"/>
        <v>379.04</v>
      </c>
      <c r="AA1629" s="15">
        <f>IF(FreightType="Lethbridge-Stewart Freight ",ROUND(2.99+IF(N1629&gt;0.75,(N1629-0.75)*2.25,0)*S1629,2),IF(MarkupType="Supplier Markup",V1629+V1629*SupplierMarkup,"Error at finding value"))</f>
        <v>14.24</v>
      </c>
      <c r="AB1629" s="15">
        <f t="shared" si="571"/>
        <v>29.08</v>
      </c>
    </row>
    <row r="1630" spans="1:28" x14ac:dyDescent="0.25">
      <c r="A1630" s="16">
        <f>OrdersTable!A1630</f>
        <v>364</v>
      </c>
      <c r="B1630" s="15" t="str">
        <f t="shared" si="551"/>
        <v>Dr</v>
      </c>
      <c r="C1630" s="15" t="str">
        <f t="shared" si="572"/>
        <v>Reibelt</v>
      </c>
      <c r="D1630" s="15" t="str">
        <f t="shared" si="552"/>
        <v>Corey James</v>
      </c>
      <c r="E1630" s="15" t="str">
        <f t="shared" si="553"/>
        <v>23 Burns Drive</v>
      </c>
      <c r="F1630" s="15" t="str">
        <f t="shared" si="554"/>
        <v>Caliph</v>
      </c>
      <c r="G1630" s="15" t="str">
        <f t="shared" si="555"/>
        <v>SA</v>
      </c>
      <c r="H1630" s="15">
        <f t="shared" si="556"/>
        <v>5310</v>
      </c>
      <c r="I1630" s="15">
        <f t="shared" si="567"/>
        <v>1720</v>
      </c>
      <c r="J1630" s="15">
        <f>OrdersTable!B1630</f>
        <v>778</v>
      </c>
      <c r="K1630" s="15" t="str">
        <f t="shared" si="557"/>
        <v>Statues and Busts</v>
      </c>
      <c r="L1630" s="15" t="str">
        <f t="shared" si="558"/>
        <v>Doctor Who: Legends Forever Bust: William Hartnell</v>
      </c>
      <c r="M1630" s="15" t="str">
        <f t="shared" si="559"/>
        <v>-</v>
      </c>
      <c r="N1630" s="15">
        <f t="shared" si="560"/>
        <v>1.375</v>
      </c>
      <c r="O1630" s="15" t="str">
        <f t="shared" si="561"/>
        <v>A40</v>
      </c>
      <c r="P1630" s="15" t="str">
        <f t="shared" si="562"/>
        <v>Romana Imports</v>
      </c>
      <c r="Q1630" s="15" t="str">
        <f t="shared" si="563"/>
        <v>17 Lalla Ward Road</v>
      </c>
      <c r="R1630" s="3">
        <f>OrdersTable!C1630</f>
        <v>44677</v>
      </c>
      <c r="S1630" s="15">
        <f>OrdersTable!E1630</f>
        <v>4</v>
      </c>
      <c r="T1630" s="15">
        <f t="shared" si="564"/>
        <v>27.5</v>
      </c>
      <c r="U1630" s="15">
        <f t="shared" si="565"/>
        <v>37.520000000000003</v>
      </c>
      <c r="V1630" s="15">
        <f t="shared" si="566"/>
        <v>44.55</v>
      </c>
      <c r="W1630" s="15">
        <f>IF(MarkupType="Store Markup",ROUND(V1630+V1630*StoreMarkup,2),IF(MarkupType="Supplier Markup",V1630+V1630*SupplierMarkup,"Error at finding value"))</f>
        <v>70.17</v>
      </c>
      <c r="X1630" s="32" t="str">
        <f t="shared" si="568"/>
        <v>0.00</v>
      </c>
      <c r="Y1630" s="15">
        <f t="shared" si="569"/>
        <v>178.2</v>
      </c>
      <c r="Z1630" s="15">
        <f t="shared" si="570"/>
        <v>280.68</v>
      </c>
      <c r="AA1630" s="15">
        <f>IF(FreightType="Lethbridge-Stewart Freight ",ROUND(2.99+IF(N1630&gt;0.75,(N1630-0.75)*2.25,0)*S1630,2),IF(MarkupType="Supplier Markup",V1630+V1630*SupplierMarkup,"Error at finding value"))</f>
        <v>8.6199999999999992</v>
      </c>
      <c r="AB1630" s="15">
        <f t="shared" si="571"/>
        <v>0</v>
      </c>
    </row>
    <row r="1631" spans="1:28" x14ac:dyDescent="0.25">
      <c r="A1631" s="16">
        <f>OrdersTable!A1631</f>
        <v>412</v>
      </c>
      <c r="B1631" s="15" t="str">
        <f t="shared" si="551"/>
        <v>Miss</v>
      </c>
      <c r="C1631" s="15" t="str">
        <f t="shared" si="572"/>
        <v>Moraitis</v>
      </c>
      <c r="D1631" s="15" t="str">
        <f t="shared" si="552"/>
        <v>Vikki Sue</v>
      </c>
      <c r="E1631" s="15" t="str">
        <f t="shared" si="553"/>
        <v>11 Stuckings Boulevard</v>
      </c>
      <c r="F1631" s="15" t="str">
        <f t="shared" si="554"/>
        <v>Airly</v>
      </c>
      <c r="G1631" s="15" t="str">
        <f t="shared" si="555"/>
        <v>VIC</v>
      </c>
      <c r="H1631" s="15">
        <f t="shared" si="556"/>
        <v>3851</v>
      </c>
      <c r="I1631" s="15">
        <f t="shared" si="567"/>
        <v>1583</v>
      </c>
      <c r="J1631" s="15">
        <f>OrdersTable!B1631</f>
        <v>590</v>
      </c>
      <c r="K1631" s="15" t="str">
        <f t="shared" si="557"/>
        <v>iPhone Skins</v>
      </c>
      <c r="L1631" s="15" t="str">
        <f t="shared" si="558"/>
        <v>Doctor Who: iPhone Skin: Exploding TARDIS</v>
      </c>
      <c r="M1631" s="15" t="str">
        <f t="shared" si="559"/>
        <v>-</v>
      </c>
      <c r="N1631" s="15">
        <f t="shared" si="560"/>
        <v>0.5</v>
      </c>
      <c r="O1631" s="15" t="str">
        <f t="shared" si="561"/>
        <v>A20</v>
      </c>
      <c r="P1631" s="15" t="str">
        <f t="shared" si="562"/>
        <v>Morbius Inc.</v>
      </c>
      <c r="Q1631" s="15" t="str">
        <f t="shared" si="563"/>
        <v>56 Michael Spice Hwy</v>
      </c>
      <c r="R1631" s="3">
        <f>OrdersTable!C1631</f>
        <v>44677</v>
      </c>
      <c r="S1631" s="15">
        <f>OrdersTable!E1631</f>
        <v>10</v>
      </c>
      <c r="T1631" s="15">
        <f t="shared" si="564"/>
        <v>9.99</v>
      </c>
      <c r="U1631" s="15">
        <f t="shared" si="565"/>
        <v>13.86</v>
      </c>
      <c r="V1631" s="15">
        <f t="shared" si="566"/>
        <v>16.18</v>
      </c>
      <c r="W1631" s="15">
        <f>IF(MarkupType="Store Markup",ROUND(V1631+V1631*StoreMarkup,2),IF(MarkupType="Supplier Markup",V1631+V1631*SupplierMarkup,"Error at finding value"))</f>
        <v>25.48</v>
      </c>
      <c r="X1631" s="32" t="str">
        <f t="shared" si="568"/>
        <v>0.00</v>
      </c>
      <c r="Y1631" s="15">
        <f t="shared" si="569"/>
        <v>161.80000000000001</v>
      </c>
      <c r="Z1631" s="15">
        <f t="shared" si="570"/>
        <v>254.8</v>
      </c>
      <c r="AA1631" s="15">
        <f>IF(FreightType="Lethbridge-Stewart Freight ",ROUND(2.99+IF(N1631&gt;0.75,(N1631-0.75)*2.25,0)*S1631,2),IF(MarkupType="Supplier Markup",V1631+V1631*SupplierMarkup,"Error at finding value"))</f>
        <v>2.99</v>
      </c>
      <c r="AB1631" s="15">
        <f t="shared" si="571"/>
        <v>0</v>
      </c>
    </row>
    <row r="1632" spans="1:28" x14ac:dyDescent="0.25">
      <c r="A1632" s="16">
        <f>OrdersTable!A1632</f>
        <v>467</v>
      </c>
      <c r="B1632" s="15" t="str">
        <f t="shared" si="551"/>
        <v>Mrs</v>
      </c>
      <c r="C1632" s="15" t="str">
        <f t="shared" si="572"/>
        <v>Daniell</v>
      </c>
      <c r="D1632" s="15" t="str">
        <f t="shared" si="552"/>
        <v>Bronte Eliza</v>
      </c>
      <c r="E1632" s="15" t="str">
        <f t="shared" si="553"/>
        <v>41 Wilson Boulevard</v>
      </c>
      <c r="F1632" s="15" t="str">
        <f t="shared" si="554"/>
        <v>Aberfoyle</v>
      </c>
      <c r="G1632" s="15" t="str">
        <f t="shared" si="555"/>
        <v>NSW</v>
      </c>
      <c r="H1632" s="15">
        <f t="shared" si="556"/>
        <v>2350</v>
      </c>
      <c r="I1632" s="15">
        <f t="shared" si="567"/>
        <v>363</v>
      </c>
      <c r="J1632" s="15">
        <f>OrdersTable!B1632</f>
        <v>745</v>
      </c>
      <c r="K1632" s="15" t="str">
        <f t="shared" si="557"/>
        <v>Props and Replicas</v>
      </c>
      <c r="L1632" s="15" t="str">
        <f t="shared" si="558"/>
        <v>Doctor Who: TARDIS Type 40 Plaque</v>
      </c>
      <c r="M1632" s="15" t="str">
        <f t="shared" si="559"/>
        <v>-</v>
      </c>
      <c r="N1632" s="15">
        <f t="shared" si="560"/>
        <v>1.75</v>
      </c>
      <c r="O1632" s="15" t="str">
        <f t="shared" si="561"/>
        <v>A30</v>
      </c>
      <c r="P1632" s="15" t="str">
        <f t="shared" si="562"/>
        <v>Chesterton Enterprises</v>
      </c>
      <c r="Q1632" s="15" t="str">
        <f t="shared" si="563"/>
        <v>41 William Russell Road</v>
      </c>
      <c r="R1632" s="3">
        <f>OrdersTable!C1632</f>
        <v>44677</v>
      </c>
      <c r="S1632" s="15">
        <f>OrdersTable!E1632</f>
        <v>10</v>
      </c>
      <c r="T1632" s="15">
        <f t="shared" si="564"/>
        <v>34.99</v>
      </c>
      <c r="U1632" s="15">
        <f t="shared" si="565"/>
        <v>47.86</v>
      </c>
      <c r="V1632" s="15">
        <f t="shared" si="566"/>
        <v>56.68</v>
      </c>
      <c r="W1632" s="15">
        <f>IF(MarkupType="Store Markup",ROUND(V1632+V1632*StoreMarkup,2),IF(MarkupType="Supplier Markup",V1632+V1632*SupplierMarkup,"Error at finding value"))</f>
        <v>89.27</v>
      </c>
      <c r="X1632" s="32" t="str">
        <f t="shared" si="568"/>
        <v>0.00</v>
      </c>
      <c r="Y1632" s="15">
        <f t="shared" si="569"/>
        <v>566.79999999999995</v>
      </c>
      <c r="Z1632" s="15">
        <f t="shared" si="570"/>
        <v>892.7</v>
      </c>
      <c r="AA1632" s="15">
        <f>IF(FreightType="Lethbridge-Stewart Freight ",ROUND(2.99+IF(N1632&gt;0.75,(N1632-0.75)*2.25,0)*S1632,2),IF(MarkupType="Supplier Markup",V1632+V1632*SupplierMarkup,"Error at finding value"))</f>
        <v>25.49</v>
      </c>
      <c r="AB1632" s="15">
        <f t="shared" si="571"/>
        <v>0</v>
      </c>
    </row>
    <row r="1633" spans="1:28" x14ac:dyDescent="0.25">
      <c r="A1633" s="16">
        <f>OrdersTable!A1633</f>
        <v>474</v>
      </c>
      <c r="B1633" s="15" t="str">
        <f t="shared" si="551"/>
        <v>Mr</v>
      </c>
      <c r="C1633" s="15" t="str">
        <f t="shared" si="572"/>
        <v>Jooste</v>
      </c>
      <c r="D1633" s="15" t="str">
        <f t="shared" si="552"/>
        <v>Nicholas</v>
      </c>
      <c r="E1633" s="15" t="str">
        <f t="shared" si="553"/>
        <v>32 Dover Road</v>
      </c>
      <c r="F1633" s="15" t="str">
        <f t="shared" si="554"/>
        <v>Belford</v>
      </c>
      <c r="G1633" s="15" t="str">
        <f t="shared" si="555"/>
        <v>NSW</v>
      </c>
      <c r="H1633" s="15">
        <f t="shared" si="556"/>
        <v>2335</v>
      </c>
      <c r="I1633" s="15">
        <f t="shared" si="567"/>
        <v>716</v>
      </c>
      <c r="J1633" s="15">
        <f>OrdersTable!B1633</f>
        <v>745</v>
      </c>
      <c r="K1633" s="15" t="str">
        <f t="shared" si="557"/>
        <v>Props and Replicas</v>
      </c>
      <c r="L1633" s="15" t="str">
        <f t="shared" si="558"/>
        <v>Doctor Who: TARDIS Type 40 Plaque</v>
      </c>
      <c r="M1633" s="15" t="str">
        <f t="shared" si="559"/>
        <v>-</v>
      </c>
      <c r="N1633" s="15">
        <f t="shared" si="560"/>
        <v>1.75</v>
      </c>
      <c r="O1633" s="15" t="str">
        <f t="shared" si="561"/>
        <v>A30</v>
      </c>
      <c r="P1633" s="15" t="str">
        <f t="shared" si="562"/>
        <v>Chesterton Enterprises</v>
      </c>
      <c r="Q1633" s="15" t="str">
        <f t="shared" si="563"/>
        <v>41 William Russell Road</v>
      </c>
      <c r="R1633" s="3">
        <f>OrdersTable!C1633</f>
        <v>44677</v>
      </c>
      <c r="S1633" s="15">
        <f>OrdersTable!E1633</f>
        <v>5</v>
      </c>
      <c r="T1633" s="15">
        <f t="shared" si="564"/>
        <v>34.99</v>
      </c>
      <c r="U1633" s="15">
        <f t="shared" si="565"/>
        <v>47.86</v>
      </c>
      <c r="V1633" s="15">
        <f t="shared" si="566"/>
        <v>56.68</v>
      </c>
      <c r="W1633" s="15">
        <f>IF(MarkupType="Store Markup",ROUND(V1633+V1633*StoreMarkup,2),IF(MarkupType="Supplier Markup",V1633+V1633*SupplierMarkup,"Error at finding value"))</f>
        <v>89.27</v>
      </c>
      <c r="X1633" s="32" t="str">
        <f t="shared" si="568"/>
        <v>0.00</v>
      </c>
      <c r="Y1633" s="15">
        <f t="shared" si="569"/>
        <v>283.39999999999998</v>
      </c>
      <c r="Z1633" s="15">
        <f t="shared" si="570"/>
        <v>446.35</v>
      </c>
      <c r="AA1633" s="15">
        <f>IF(FreightType="Lethbridge-Stewart Freight ",ROUND(2.99+IF(N1633&gt;0.75,(N1633-0.75)*2.25,0)*S1633,2),IF(MarkupType="Supplier Markup",V1633+V1633*SupplierMarkup,"Error at finding value"))</f>
        <v>14.24</v>
      </c>
      <c r="AB1633" s="15">
        <f t="shared" si="571"/>
        <v>0</v>
      </c>
    </row>
    <row r="1634" spans="1:28" x14ac:dyDescent="0.25">
      <c r="A1634" s="16">
        <f>OrdersTable!A1634</f>
        <v>527</v>
      </c>
      <c r="B1634" s="15" t="str">
        <f t="shared" si="551"/>
        <v>Mr</v>
      </c>
      <c r="C1634" s="15" t="str">
        <f t="shared" si="572"/>
        <v>McTaggart</v>
      </c>
      <c r="D1634" s="15" t="str">
        <f t="shared" si="552"/>
        <v>Daniel</v>
      </c>
      <c r="E1634" s="15" t="str">
        <f t="shared" si="553"/>
        <v>24 Mulholland Avenue</v>
      </c>
      <c r="F1634" s="15" t="str">
        <f t="shared" si="554"/>
        <v>Belconnen</v>
      </c>
      <c r="G1634" s="15" t="str">
        <f t="shared" si="555"/>
        <v>ACT</v>
      </c>
      <c r="H1634" s="15">
        <f t="shared" si="556"/>
        <v>2617</v>
      </c>
      <c r="I1634" s="15">
        <f t="shared" si="567"/>
        <v>1194</v>
      </c>
      <c r="J1634" s="15">
        <f>OrdersTable!B1634</f>
        <v>745</v>
      </c>
      <c r="K1634" s="15" t="str">
        <f t="shared" si="557"/>
        <v>Props and Replicas</v>
      </c>
      <c r="L1634" s="15" t="str">
        <f t="shared" si="558"/>
        <v>Doctor Who: TARDIS Type 40 Plaque</v>
      </c>
      <c r="M1634" s="15" t="str">
        <f t="shared" si="559"/>
        <v>-</v>
      </c>
      <c r="N1634" s="15">
        <f t="shared" si="560"/>
        <v>1.75</v>
      </c>
      <c r="O1634" s="15" t="str">
        <f t="shared" si="561"/>
        <v>A30</v>
      </c>
      <c r="P1634" s="15" t="str">
        <f t="shared" si="562"/>
        <v>Chesterton Enterprises</v>
      </c>
      <c r="Q1634" s="15" t="str">
        <f t="shared" si="563"/>
        <v>41 William Russell Road</v>
      </c>
      <c r="R1634" s="3">
        <f>OrdersTable!C1634</f>
        <v>44677</v>
      </c>
      <c r="S1634" s="15">
        <f>OrdersTable!E1634</f>
        <v>1</v>
      </c>
      <c r="T1634" s="15">
        <f t="shared" si="564"/>
        <v>34.99</v>
      </c>
      <c r="U1634" s="15">
        <f t="shared" si="565"/>
        <v>47.86</v>
      </c>
      <c r="V1634" s="15">
        <f t="shared" si="566"/>
        <v>56.68</v>
      </c>
      <c r="W1634" s="15">
        <f>IF(MarkupType="Store Markup",ROUND(V1634+V1634*StoreMarkup,2),IF(MarkupType="Supplier Markup",V1634+V1634*SupplierMarkup,"Error at finding value"))</f>
        <v>89.27</v>
      </c>
      <c r="X1634" s="32" t="str">
        <f t="shared" si="568"/>
        <v>0.00</v>
      </c>
      <c r="Y1634" s="15">
        <f t="shared" si="569"/>
        <v>56.68</v>
      </c>
      <c r="Z1634" s="15">
        <f t="shared" si="570"/>
        <v>89.27</v>
      </c>
      <c r="AA1634" s="15">
        <f>IF(FreightType="Lethbridge-Stewart Freight ",ROUND(2.99+IF(N1634&gt;0.75,(N1634-0.75)*2.25,0)*S1634,2),IF(MarkupType="Supplier Markup",V1634+V1634*SupplierMarkup,"Error at finding value"))</f>
        <v>5.24</v>
      </c>
      <c r="AB1634" s="15">
        <f t="shared" si="571"/>
        <v>0</v>
      </c>
    </row>
    <row r="1635" spans="1:28" x14ac:dyDescent="0.25">
      <c r="A1635" s="16">
        <f>OrdersTable!A1635</f>
        <v>543</v>
      </c>
      <c r="B1635" s="15" t="str">
        <f t="shared" si="551"/>
        <v>Ms</v>
      </c>
      <c r="C1635" s="15" t="str">
        <f t="shared" si="572"/>
        <v>Mendezona</v>
      </c>
      <c r="D1635" s="15" t="str">
        <f t="shared" si="552"/>
        <v>Tara Colleen-Mary</v>
      </c>
      <c r="E1635" s="15" t="str">
        <f t="shared" si="553"/>
        <v>27 Picone Drive</v>
      </c>
      <c r="F1635" s="15" t="str">
        <f t="shared" si="554"/>
        <v>Aberfoyle</v>
      </c>
      <c r="G1635" s="15" t="str">
        <f t="shared" si="555"/>
        <v>NSW</v>
      </c>
      <c r="H1635" s="15">
        <f t="shared" si="556"/>
        <v>2350</v>
      </c>
      <c r="I1635" s="15">
        <f t="shared" si="567"/>
        <v>363</v>
      </c>
      <c r="J1635" s="15">
        <f>OrdersTable!B1635</f>
        <v>826</v>
      </c>
      <c r="K1635" s="15" t="str">
        <f t="shared" si="557"/>
        <v>Statues and Busts</v>
      </c>
      <c r="L1635" s="15" t="str">
        <f t="shared" si="558"/>
        <v>Doctor Who: Mini Bust: Cyberman</v>
      </c>
      <c r="M1635" s="15" t="str">
        <f t="shared" si="559"/>
        <v>-</v>
      </c>
      <c r="N1635" s="15">
        <f t="shared" si="560"/>
        <v>1.8</v>
      </c>
      <c r="O1635" s="15" t="str">
        <f t="shared" si="561"/>
        <v>A40</v>
      </c>
      <c r="P1635" s="15" t="str">
        <f t="shared" si="562"/>
        <v>Romana Imports</v>
      </c>
      <c r="Q1635" s="15" t="str">
        <f t="shared" si="563"/>
        <v>17 Lalla Ward Road</v>
      </c>
      <c r="R1635" s="3">
        <f>OrdersTable!C1635</f>
        <v>44677</v>
      </c>
      <c r="S1635" s="15">
        <f>OrdersTable!E1635</f>
        <v>8</v>
      </c>
      <c r="T1635" s="15">
        <f t="shared" si="564"/>
        <v>35.99</v>
      </c>
      <c r="U1635" s="15">
        <f t="shared" si="565"/>
        <v>49.13</v>
      </c>
      <c r="V1635" s="15">
        <f t="shared" si="566"/>
        <v>58.3</v>
      </c>
      <c r="W1635" s="15">
        <f>IF(MarkupType="Store Markup",ROUND(V1635+V1635*StoreMarkup,2),IF(MarkupType="Supplier Markup",V1635+V1635*SupplierMarkup,"Error at finding value"))</f>
        <v>91.82</v>
      </c>
      <c r="X1635" s="32" t="str">
        <f t="shared" si="568"/>
        <v>0.00</v>
      </c>
      <c r="Y1635" s="15">
        <f t="shared" si="569"/>
        <v>466.4</v>
      </c>
      <c r="Z1635" s="15">
        <f t="shared" si="570"/>
        <v>734.56</v>
      </c>
      <c r="AA1635" s="15">
        <f>IF(FreightType="Lethbridge-Stewart Freight ",ROUND(2.99+IF(N1635&gt;0.75,(N1635-0.75)*2.25,0)*S1635,2),IF(MarkupType="Supplier Markup",V1635+V1635*SupplierMarkup,"Error at finding value"))</f>
        <v>21.89</v>
      </c>
      <c r="AB1635" s="15">
        <f t="shared" si="571"/>
        <v>0</v>
      </c>
    </row>
    <row r="1636" spans="1:28" x14ac:dyDescent="0.25">
      <c r="A1636" s="16">
        <f>OrdersTable!A1636</f>
        <v>557</v>
      </c>
      <c r="B1636" s="15" t="str">
        <f t="shared" si="551"/>
        <v>Mrs</v>
      </c>
      <c r="C1636" s="15" t="str">
        <f t="shared" si="572"/>
        <v>Allen</v>
      </c>
      <c r="D1636" s="15" t="str">
        <f t="shared" si="552"/>
        <v>Morgan</v>
      </c>
      <c r="E1636" s="15" t="str">
        <f t="shared" si="553"/>
        <v>15 Winsor Street</v>
      </c>
      <c r="F1636" s="15" t="str">
        <f t="shared" si="554"/>
        <v>Appletree Flat</v>
      </c>
      <c r="G1636" s="15" t="str">
        <f t="shared" si="555"/>
        <v>NSW</v>
      </c>
      <c r="H1636" s="15">
        <f t="shared" si="556"/>
        <v>2330</v>
      </c>
      <c r="I1636" s="15">
        <f t="shared" si="567"/>
        <v>691</v>
      </c>
      <c r="J1636" s="15">
        <f>OrdersTable!B1636</f>
        <v>374</v>
      </c>
      <c r="K1636" s="15" t="str">
        <f t="shared" si="557"/>
        <v>Clothing and Apparel</v>
      </c>
      <c r="L1636" s="15" t="str">
        <f t="shared" si="558"/>
        <v xml:space="preserve">Doctor Who: T-Shirts: 5th Doctor Costume </v>
      </c>
      <c r="M1636" s="15" t="str">
        <f t="shared" si="559"/>
        <v>XL</v>
      </c>
      <c r="N1636" s="15">
        <f t="shared" si="560"/>
        <v>0.8</v>
      </c>
      <c r="O1636" s="15" t="str">
        <f t="shared" si="561"/>
        <v>A50</v>
      </c>
      <c r="P1636" s="15" t="str">
        <f t="shared" si="562"/>
        <v>Rassilon Ltd.</v>
      </c>
      <c r="Q1636" s="15" t="str">
        <f t="shared" si="563"/>
        <v>82 Richard Mathews Road</v>
      </c>
      <c r="R1636" s="3">
        <f>OrdersTable!C1636</f>
        <v>44677</v>
      </c>
      <c r="S1636" s="15">
        <f>OrdersTable!E1636</f>
        <v>2</v>
      </c>
      <c r="T1636" s="15">
        <f t="shared" si="564"/>
        <v>15.99</v>
      </c>
      <c r="U1636" s="15">
        <f t="shared" si="565"/>
        <v>21.97</v>
      </c>
      <c r="V1636" s="15">
        <f t="shared" si="566"/>
        <v>25.9</v>
      </c>
      <c r="W1636" s="15">
        <f>IF(MarkupType="Store Markup",ROUND(V1636+V1636*StoreMarkup,2),IF(MarkupType="Supplier Markup",V1636+V1636*SupplierMarkup,"Error at finding value"))</f>
        <v>40.79</v>
      </c>
      <c r="X1636" s="32" t="str">
        <f t="shared" si="568"/>
        <v>0.00</v>
      </c>
      <c r="Y1636" s="15">
        <f t="shared" si="569"/>
        <v>51.8</v>
      </c>
      <c r="Z1636" s="15">
        <f t="shared" si="570"/>
        <v>81.58</v>
      </c>
      <c r="AA1636" s="15">
        <f>IF(FreightType="Lethbridge-Stewart Freight ",ROUND(2.99+IF(N1636&gt;0.75,(N1636-0.75)*2.25,0)*S1636,2),IF(MarkupType="Supplier Markup",V1636+V1636*SupplierMarkup,"Error at finding value"))</f>
        <v>3.22</v>
      </c>
      <c r="AB1636" s="15">
        <f t="shared" si="571"/>
        <v>0</v>
      </c>
    </row>
    <row r="1637" spans="1:28" x14ac:dyDescent="0.25">
      <c r="A1637" s="16">
        <f>OrdersTable!A1637</f>
        <v>594</v>
      </c>
      <c r="B1637" s="15" t="str">
        <f t="shared" si="551"/>
        <v>Mrs</v>
      </c>
      <c r="C1637" s="15" t="str">
        <f t="shared" si="572"/>
        <v>Entriken</v>
      </c>
      <c r="D1637" s="15" t="str">
        <f t="shared" si="552"/>
        <v>Gwenda Dawn</v>
      </c>
      <c r="E1637" s="15" t="str">
        <f t="shared" si="553"/>
        <v>8 Miljkovic Drive</v>
      </c>
      <c r="F1637" s="15" t="str">
        <f t="shared" si="554"/>
        <v>Nayook</v>
      </c>
      <c r="G1637" s="15" t="str">
        <f t="shared" si="555"/>
        <v>VIC</v>
      </c>
      <c r="H1637" s="15">
        <f t="shared" si="556"/>
        <v>3832</v>
      </c>
      <c r="I1637" s="15">
        <f t="shared" si="567"/>
        <v>1552</v>
      </c>
      <c r="J1637" s="15">
        <f>OrdersTable!B1637</f>
        <v>698</v>
      </c>
      <c r="K1637" s="15" t="str">
        <f t="shared" si="557"/>
        <v>Posters, Prints and Standees</v>
      </c>
      <c r="L1637" s="15" t="str">
        <f t="shared" si="558"/>
        <v>Doctor Who: Art Print: My Mysterious Doctor</v>
      </c>
      <c r="M1637" s="15" t="str">
        <f t="shared" si="559"/>
        <v>-</v>
      </c>
      <c r="N1637" s="15">
        <f t="shared" si="560"/>
        <v>0.75</v>
      </c>
      <c r="O1637" s="15" t="str">
        <f t="shared" si="561"/>
        <v>A30</v>
      </c>
      <c r="P1637" s="15" t="str">
        <f t="shared" si="562"/>
        <v>Chesterton Enterprises</v>
      </c>
      <c r="Q1637" s="15" t="str">
        <f t="shared" si="563"/>
        <v>41 William Russell Road</v>
      </c>
      <c r="R1637" s="3">
        <f>OrdersTable!C1637</f>
        <v>44677</v>
      </c>
      <c r="S1637" s="15">
        <f>OrdersTable!E1637</f>
        <v>1</v>
      </c>
      <c r="T1637" s="15">
        <f t="shared" si="564"/>
        <v>14.99</v>
      </c>
      <c r="U1637" s="15">
        <f t="shared" si="565"/>
        <v>20.56</v>
      </c>
      <c r="V1637" s="15">
        <f t="shared" si="566"/>
        <v>24.28</v>
      </c>
      <c r="W1637" s="15">
        <f>IF(MarkupType="Store Markup",ROUND(V1637+V1637*StoreMarkup,2),IF(MarkupType="Supplier Markup",V1637+V1637*SupplierMarkup,"Error at finding value"))</f>
        <v>38.24</v>
      </c>
      <c r="X1637" s="32" t="str">
        <f t="shared" si="568"/>
        <v>0.00</v>
      </c>
      <c r="Y1637" s="15">
        <f t="shared" si="569"/>
        <v>24.28</v>
      </c>
      <c r="Z1637" s="15">
        <f t="shared" si="570"/>
        <v>38.24</v>
      </c>
      <c r="AA1637" s="15">
        <f>IF(FreightType="Lethbridge-Stewart Freight ",ROUND(2.99+IF(N1637&gt;0.75,(N1637-0.75)*2.25,0)*S1637,2),IF(MarkupType="Supplier Markup",V1637+V1637*SupplierMarkup,"Error at finding value"))</f>
        <v>2.99</v>
      </c>
      <c r="AB1637" s="15">
        <f t="shared" si="571"/>
        <v>0</v>
      </c>
    </row>
    <row r="1638" spans="1:28" x14ac:dyDescent="0.25">
      <c r="A1638" s="16">
        <f>OrdersTable!A1638</f>
        <v>600</v>
      </c>
      <c r="B1638" s="15" t="str">
        <f t="shared" si="551"/>
        <v>Dr</v>
      </c>
      <c r="C1638" s="15" t="str">
        <f t="shared" si="572"/>
        <v>McConnell</v>
      </c>
      <c r="D1638" s="15" t="str">
        <f t="shared" si="552"/>
        <v>Hannah Clair</v>
      </c>
      <c r="E1638" s="15" t="str">
        <f t="shared" si="553"/>
        <v>27 Mccarthy Circuit</v>
      </c>
      <c r="F1638" s="15" t="str">
        <f t="shared" si="554"/>
        <v>Ashford</v>
      </c>
      <c r="G1638" s="15" t="str">
        <f t="shared" si="555"/>
        <v>SA</v>
      </c>
      <c r="H1638" s="15">
        <f t="shared" si="556"/>
        <v>5035</v>
      </c>
      <c r="I1638" s="15">
        <f t="shared" si="567"/>
        <v>1877</v>
      </c>
      <c r="J1638" s="15">
        <f>OrdersTable!B1638</f>
        <v>813</v>
      </c>
      <c r="K1638" s="15" t="str">
        <f t="shared" si="557"/>
        <v>Statues and Busts</v>
      </c>
      <c r="L1638" s="15" t="str">
        <f t="shared" si="558"/>
        <v>Doctor Who: Masterpiece Collection Maxi Bust: Leela</v>
      </c>
      <c r="M1638" s="15" t="str">
        <f t="shared" si="559"/>
        <v>-</v>
      </c>
      <c r="N1638" s="15">
        <f t="shared" si="560"/>
        <v>2.5</v>
      </c>
      <c r="O1638" s="15" t="str">
        <f t="shared" si="561"/>
        <v>A30</v>
      </c>
      <c r="P1638" s="15" t="str">
        <f t="shared" si="562"/>
        <v>Chesterton Enterprises</v>
      </c>
      <c r="Q1638" s="15" t="str">
        <f t="shared" si="563"/>
        <v>41 William Russell Road</v>
      </c>
      <c r="R1638" s="3">
        <f>OrdersTable!C1638</f>
        <v>44677</v>
      </c>
      <c r="S1638" s="15">
        <f>OrdersTable!E1638</f>
        <v>8</v>
      </c>
      <c r="T1638" s="15">
        <f t="shared" si="564"/>
        <v>49.99</v>
      </c>
      <c r="U1638" s="15">
        <f t="shared" si="565"/>
        <v>68.319999999999993</v>
      </c>
      <c r="V1638" s="15">
        <f t="shared" si="566"/>
        <v>80.98</v>
      </c>
      <c r="W1638" s="15">
        <f>IF(MarkupType="Store Markup",ROUND(V1638+V1638*StoreMarkup,2),IF(MarkupType="Supplier Markup",V1638+V1638*SupplierMarkup,"Error at finding value"))</f>
        <v>127.54</v>
      </c>
      <c r="X1638" s="32">
        <f t="shared" si="568"/>
        <v>9.09</v>
      </c>
      <c r="Y1638" s="15">
        <f t="shared" si="569"/>
        <v>647.84</v>
      </c>
      <c r="Z1638" s="15">
        <f t="shared" si="570"/>
        <v>947.6</v>
      </c>
      <c r="AA1638" s="15">
        <f>IF(FreightType="Lethbridge-Stewart Freight ",ROUND(2.99+IF(N1638&gt;0.75,(N1638-0.75)*2.25,0)*S1638,2),IF(MarkupType="Supplier Markup",V1638+V1638*SupplierMarkup,"Error at finding value"))</f>
        <v>34.49</v>
      </c>
      <c r="AB1638" s="15">
        <f t="shared" si="571"/>
        <v>72.72</v>
      </c>
    </row>
    <row r="1639" spans="1:28" x14ac:dyDescent="0.25">
      <c r="A1639" s="16">
        <f>OrdersTable!A1639</f>
        <v>830</v>
      </c>
      <c r="B1639" s="15" t="str">
        <f t="shared" si="551"/>
        <v>Miss</v>
      </c>
      <c r="C1639" s="15" t="str">
        <f t="shared" si="572"/>
        <v>Blakeney</v>
      </c>
      <c r="D1639" s="15" t="str">
        <f t="shared" si="552"/>
        <v>Hannah</v>
      </c>
      <c r="E1639" s="15" t="str">
        <f t="shared" si="553"/>
        <v>31 Sproule Street</v>
      </c>
      <c r="F1639" s="15" t="str">
        <f t="shared" si="554"/>
        <v>Belford</v>
      </c>
      <c r="G1639" s="15" t="str">
        <f t="shared" si="555"/>
        <v>NSW</v>
      </c>
      <c r="H1639" s="15">
        <f t="shared" si="556"/>
        <v>2335</v>
      </c>
      <c r="I1639" s="15">
        <f t="shared" si="567"/>
        <v>716</v>
      </c>
      <c r="J1639" s="15">
        <f>OrdersTable!B1639</f>
        <v>834</v>
      </c>
      <c r="K1639" s="15" t="str">
        <f t="shared" si="557"/>
        <v>Statues and Busts</v>
      </c>
      <c r="L1639" s="15" t="str">
        <f t="shared" si="558"/>
        <v>Doctor Who: Signature Edition Statue: Gallifrey Edition: Matt Smith</v>
      </c>
      <c r="M1639" s="15" t="str">
        <f t="shared" si="559"/>
        <v>-</v>
      </c>
      <c r="N1639" s="15">
        <f t="shared" si="560"/>
        <v>2.5</v>
      </c>
      <c r="O1639" s="15" t="str">
        <f t="shared" si="561"/>
        <v>A30</v>
      </c>
      <c r="P1639" s="15" t="str">
        <f t="shared" si="562"/>
        <v>Chesterton Enterprises</v>
      </c>
      <c r="Q1639" s="15" t="str">
        <f t="shared" si="563"/>
        <v>41 William Russell Road</v>
      </c>
      <c r="R1639" s="3">
        <f>OrdersTable!C1639</f>
        <v>44677</v>
      </c>
      <c r="S1639" s="15">
        <f>OrdersTable!E1639</f>
        <v>2</v>
      </c>
      <c r="T1639" s="15">
        <f t="shared" si="564"/>
        <v>49.99</v>
      </c>
      <c r="U1639" s="15">
        <f t="shared" si="565"/>
        <v>68.52</v>
      </c>
      <c r="V1639" s="15">
        <f t="shared" si="566"/>
        <v>80.98</v>
      </c>
      <c r="W1639" s="15">
        <f>IF(MarkupType="Store Markup",ROUND(V1639+V1639*StoreMarkup,2),IF(MarkupType="Supplier Markup",V1639+V1639*SupplierMarkup,"Error at finding value"))</f>
        <v>127.54</v>
      </c>
      <c r="X1639" s="32" t="str">
        <f t="shared" si="568"/>
        <v>0.00</v>
      </c>
      <c r="Y1639" s="15">
        <f t="shared" si="569"/>
        <v>161.96</v>
      </c>
      <c r="Z1639" s="15">
        <f t="shared" si="570"/>
        <v>255.08</v>
      </c>
      <c r="AA1639" s="15">
        <f>IF(FreightType="Lethbridge-Stewart Freight ",ROUND(2.99+IF(N1639&gt;0.75,(N1639-0.75)*2.25,0)*S1639,2),IF(MarkupType="Supplier Markup",V1639+V1639*SupplierMarkup,"Error at finding value"))</f>
        <v>10.87</v>
      </c>
      <c r="AB1639" s="15">
        <f t="shared" si="571"/>
        <v>0</v>
      </c>
    </row>
    <row r="1640" spans="1:28" x14ac:dyDescent="0.25">
      <c r="A1640" s="16">
        <f>OrdersTable!A1640</f>
        <v>961</v>
      </c>
      <c r="B1640" s="15" t="str">
        <f t="shared" si="551"/>
        <v>Ms</v>
      </c>
      <c r="C1640" s="15" t="str">
        <f t="shared" si="572"/>
        <v>Schuh</v>
      </c>
      <c r="D1640" s="15" t="str">
        <f t="shared" si="552"/>
        <v>Rebecca Anne</v>
      </c>
      <c r="E1640" s="15" t="str">
        <f t="shared" si="553"/>
        <v>48 Wilson Court</v>
      </c>
      <c r="F1640" s="15" t="str">
        <f t="shared" si="554"/>
        <v>Breakwater</v>
      </c>
      <c r="G1640" s="15" t="str">
        <f t="shared" si="555"/>
        <v>VIC</v>
      </c>
      <c r="H1640" s="15">
        <f t="shared" si="556"/>
        <v>3219</v>
      </c>
      <c r="I1640" s="15">
        <f t="shared" si="567"/>
        <v>1596</v>
      </c>
      <c r="J1640" s="15">
        <f>OrdersTable!B1640</f>
        <v>418</v>
      </c>
      <c r="K1640" s="15" t="str">
        <f t="shared" si="557"/>
        <v>Clothing and Apparel</v>
      </c>
      <c r="L1640" s="15" t="str">
        <f t="shared" si="558"/>
        <v>Doctor Who: Women's Winter Pyjamas</v>
      </c>
      <c r="M1640" s="15" t="str">
        <f t="shared" si="559"/>
        <v>M</v>
      </c>
      <c r="N1640" s="15">
        <f t="shared" si="560"/>
        <v>1.5</v>
      </c>
      <c r="O1640" s="15" t="str">
        <f t="shared" si="561"/>
        <v>A30</v>
      </c>
      <c r="P1640" s="15" t="str">
        <f t="shared" si="562"/>
        <v>Chesterton Enterprises</v>
      </c>
      <c r="Q1640" s="15" t="str">
        <f t="shared" si="563"/>
        <v>41 William Russell Road</v>
      </c>
      <c r="R1640" s="3">
        <f>OrdersTable!C1640</f>
        <v>44677</v>
      </c>
      <c r="S1640" s="15">
        <f>OrdersTable!E1640</f>
        <v>9</v>
      </c>
      <c r="T1640" s="15">
        <f t="shared" si="564"/>
        <v>29.99</v>
      </c>
      <c r="U1640" s="15">
        <f t="shared" si="565"/>
        <v>40.96</v>
      </c>
      <c r="V1640" s="15">
        <f t="shared" si="566"/>
        <v>48.58</v>
      </c>
      <c r="W1640" s="15">
        <f>IF(MarkupType="Store Markup",ROUND(V1640+V1640*StoreMarkup,2),IF(MarkupType="Supplier Markup",V1640+V1640*SupplierMarkup,"Error at finding value"))</f>
        <v>76.510000000000005</v>
      </c>
      <c r="X1640" s="32" t="str">
        <f t="shared" si="568"/>
        <v>0.00</v>
      </c>
      <c r="Y1640" s="15">
        <f t="shared" si="569"/>
        <v>437.22</v>
      </c>
      <c r="Z1640" s="15">
        <f t="shared" si="570"/>
        <v>688.59</v>
      </c>
      <c r="AA1640" s="15">
        <f>IF(FreightType="Lethbridge-Stewart Freight ",ROUND(2.99+IF(N1640&gt;0.75,(N1640-0.75)*2.25,0)*S1640,2),IF(MarkupType="Supplier Markup",V1640+V1640*SupplierMarkup,"Error at finding value"))</f>
        <v>18.18</v>
      </c>
      <c r="AB1640" s="15">
        <f t="shared" si="571"/>
        <v>0</v>
      </c>
    </row>
    <row r="1641" spans="1:28" x14ac:dyDescent="0.25">
      <c r="A1641" s="16">
        <f>OrdersTable!A1641</f>
        <v>961</v>
      </c>
      <c r="B1641" s="15" t="str">
        <f t="shared" si="551"/>
        <v>Ms</v>
      </c>
      <c r="C1641" s="15" t="str">
        <f t="shared" si="572"/>
        <v>Schuh</v>
      </c>
      <c r="D1641" s="15" t="str">
        <f t="shared" si="552"/>
        <v>Rebecca Anne</v>
      </c>
      <c r="E1641" s="15" t="str">
        <f t="shared" si="553"/>
        <v>48 Wilson Court</v>
      </c>
      <c r="F1641" s="15" t="str">
        <f t="shared" si="554"/>
        <v>Breakwater</v>
      </c>
      <c r="G1641" s="15" t="str">
        <f t="shared" si="555"/>
        <v>VIC</v>
      </c>
      <c r="H1641" s="15">
        <f t="shared" si="556"/>
        <v>3219</v>
      </c>
      <c r="I1641" s="15">
        <f t="shared" si="567"/>
        <v>1596</v>
      </c>
      <c r="J1641" s="15">
        <f>OrdersTable!B1641</f>
        <v>671</v>
      </c>
      <c r="K1641" s="15" t="str">
        <f t="shared" si="557"/>
        <v>Mugs</v>
      </c>
      <c r="L1641" s="15" t="str">
        <f t="shared" si="558"/>
        <v>Doctor Who: Mug: TARDIS Inside</v>
      </c>
      <c r="M1641" s="15" t="str">
        <f t="shared" si="559"/>
        <v>-</v>
      </c>
      <c r="N1641" s="15">
        <f t="shared" si="560"/>
        <v>0.6</v>
      </c>
      <c r="O1641" s="15" t="str">
        <f t="shared" si="561"/>
        <v>A30</v>
      </c>
      <c r="P1641" s="15" t="str">
        <f t="shared" si="562"/>
        <v>Chesterton Enterprises</v>
      </c>
      <c r="Q1641" s="15" t="str">
        <f t="shared" si="563"/>
        <v>41 William Russell Road</v>
      </c>
      <c r="R1641" s="3">
        <f>OrdersTable!C1641</f>
        <v>44677</v>
      </c>
      <c r="S1641" s="15">
        <f>OrdersTable!E1641</f>
        <v>9</v>
      </c>
      <c r="T1641" s="15">
        <f t="shared" si="564"/>
        <v>11.99</v>
      </c>
      <c r="U1641" s="15">
        <f t="shared" si="565"/>
        <v>16.690000000000001</v>
      </c>
      <c r="V1641" s="15">
        <f t="shared" si="566"/>
        <v>19.420000000000002</v>
      </c>
      <c r="W1641" s="15">
        <f>IF(MarkupType="Store Markup",ROUND(V1641+V1641*StoreMarkup,2),IF(MarkupType="Supplier Markup",V1641+V1641*SupplierMarkup,"Error at finding value"))</f>
        <v>30.59</v>
      </c>
      <c r="X1641" s="32" t="str">
        <f t="shared" si="568"/>
        <v>0.00</v>
      </c>
      <c r="Y1641" s="15">
        <f t="shared" si="569"/>
        <v>174.78</v>
      </c>
      <c r="Z1641" s="15">
        <f t="shared" si="570"/>
        <v>275.31</v>
      </c>
      <c r="AA1641" s="15">
        <f>IF(FreightType="Lethbridge-Stewart Freight ",ROUND(2.99+IF(N1641&gt;0.75,(N1641-0.75)*2.25,0)*S1641,2),IF(MarkupType="Supplier Markup",V1641+V1641*SupplierMarkup,"Error at finding value"))</f>
        <v>2.99</v>
      </c>
      <c r="AB1641" s="15">
        <f t="shared" si="571"/>
        <v>0</v>
      </c>
    </row>
    <row r="1642" spans="1:28" x14ac:dyDescent="0.25">
      <c r="A1642" s="16">
        <f>OrdersTable!A1642</f>
        <v>42</v>
      </c>
      <c r="B1642" s="15" t="str">
        <f t="shared" si="551"/>
        <v>Mr</v>
      </c>
      <c r="C1642" s="15" t="str">
        <f t="shared" si="572"/>
        <v>Ballantyne</v>
      </c>
      <c r="D1642" s="15" t="str">
        <f t="shared" si="552"/>
        <v>Barry John</v>
      </c>
      <c r="E1642" s="15" t="str">
        <f t="shared" si="553"/>
        <v>14 Bachmann Drive</v>
      </c>
      <c r="F1642" s="15" t="str">
        <f t="shared" si="554"/>
        <v>Alleena</v>
      </c>
      <c r="G1642" s="15" t="str">
        <f t="shared" si="555"/>
        <v>NSW</v>
      </c>
      <c r="H1642" s="15">
        <f t="shared" si="556"/>
        <v>2671</v>
      </c>
      <c r="I1642" s="15">
        <f t="shared" si="567"/>
        <v>988</v>
      </c>
      <c r="J1642" s="15">
        <f>OrdersTable!B1642</f>
        <v>817</v>
      </c>
      <c r="K1642" s="15" t="str">
        <f t="shared" si="557"/>
        <v>Statues and Busts</v>
      </c>
      <c r="L1642" s="15" t="str">
        <f t="shared" si="558"/>
        <v>Doctor Who: Masterpiece Collection Maxi Bust: Torchwood Captain Jack Harkness</v>
      </c>
      <c r="M1642" s="15" t="str">
        <f t="shared" si="559"/>
        <v>-</v>
      </c>
      <c r="N1642" s="15">
        <f t="shared" si="560"/>
        <v>2.5</v>
      </c>
      <c r="O1642" s="15" t="str">
        <f t="shared" si="561"/>
        <v>A10</v>
      </c>
      <c r="P1642" s="15" t="str">
        <f t="shared" si="562"/>
        <v>Gallifrey International</v>
      </c>
      <c r="Q1642" s="15" t="str">
        <f t="shared" si="563"/>
        <v>181 Arcadia Street</v>
      </c>
      <c r="R1642" s="3">
        <f>OrdersTable!C1642</f>
        <v>44678</v>
      </c>
      <c r="S1642" s="15">
        <f>OrdersTable!E1642</f>
        <v>9</v>
      </c>
      <c r="T1642" s="15">
        <f t="shared" si="564"/>
        <v>49.99</v>
      </c>
      <c r="U1642" s="15">
        <f t="shared" si="565"/>
        <v>68.44</v>
      </c>
      <c r="V1642" s="15">
        <f t="shared" si="566"/>
        <v>80.98</v>
      </c>
      <c r="W1642" s="15">
        <f>IF(MarkupType="Store Markup",ROUND(V1642+V1642*StoreMarkup,2),IF(MarkupType="Supplier Markup",V1642+V1642*SupplierMarkup,"Error at finding value"))</f>
        <v>127.54</v>
      </c>
      <c r="X1642" s="32">
        <f t="shared" si="568"/>
        <v>9.09</v>
      </c>
      <c r="Y1642" s="15">
        <f t="shared" si="569"/>
        <v>728.82</v>
      </c>
      <c r="Z1642" s="15">
        <f t="shared" si="570"/>
        <v>1066.05</v>
      </c>
      <c r="AA1642" s="15">
        <f>IF(FreightType="Lethbridge-Stewart Freight ",ROUND(2.99+IF(N1642&gt;0.75,(N1642-0.75)*2.25,0)*S1642,2),IF(MarkupType="Supplier Markup",V1642+V1642*SupplierMarkup,"Error at finding value"))</f>
        <v>38.43</v>
      </c>
      <c r="AB1642" s="15">
        <f t="shared" si="571"/>
        <v>81.81</v>
      </c>
    </row>
    <row r="1643" spans="1:28" x14ac:dyDescent="0.25">
      <c r="A1643" s="16">
        <f>OrdersTable!A1643</f>
        <v>226</v>
      </c>
      <c r="B1643" s="15" t="str">
        <f t="shared" si="551"/>
        <v>Ms</v>
      </c>
      <c r="C1643" s="15" t="str">
        <f t="shared" si="572"/>
        <v>Stewart</v>
      </c>
      <c r="D1643" s="15" t="str">
        <f t="shared" si="552"/>
        <v>Jodi Louise</v>
      </c>
      <c r="E1643" s="15" t="str">
        <f t="shared" si="553"/>
        <v>33 Abington Court</v>
      </c>
      <c r="F1643" s="15" t="str">
        <f t="shared" si="554"/>
        <v>Iluka</v>
      </c>
      <c r="G1643" s="15" t="str">
        <f t="shared" si="555"/>
        <v>NSW</v>
      </c>
      <c r="H1643" s="15">
        <f t="shared" si="556"/>
        <v>2466</v>
      </c>
      <c r="I1643" s="15">
        <f t="shared" si="567"/>
        <v>347</v>
      </c>
      <c r="J1643" s="15">
        <f>OrdersTable!B1643</f>
        <v>145</v>
      </c>
      <c r="K1643" s="15" t="str">
        <f t="shared" si="557"/>
        <v>Bobbleheads</v>
      </c>
      <c r="L1643" s="15" t="str">
        <f t="shared" si="558"/>
        <v>Doctor Who: Bobblehead: Eleventh Doctor</v>
      </c>
      <c r="M1643" s="15" t="str">
        <f t="shared" si="559"/>
        <v>-</v>
      </c>
      <c r="N1643" s="15">
        <f t="shared" si="560"/>
        <v>1</v>
      </c>
      <c r="O1643" s="15" t="str">
        <f t="shared" si="561"/>
        <v>A30</v>
      </c>
      <c r="P1643" s="15" t="str">
        <f t="shared" si="562"/>
        <v>Chesterton Enterprises</v>
      </c>
      <c r="Q1643" s="15" t="str">
        <f t="shared" si="563"/>
        <v>41 William Russell Road</v>
      </c>
      <c r="R1643" s="3">
        <f>OrdersTable!C1643</f>
        <v>44678</v>
      </c>
      <c r="S1643" s="15">
        <f>OrdersTable!E1643</f>
        <v>4</v>
      </c>
      <c r="T1643" s="15">
        <f t="shared" si="564"/>
        <v>19.989999999999998</v>
      </c>
      <c r="U1643" s="15">
        <f t="shared" si="565"/>
        <v>27.54</v>
      </c>
      <c r="V1643" s="15">
        <f t="shared" si="566"/>
        <v>32.380000000000003</v>
      </c>
      <c r="W1643" s="15">
        <f>IF(MarkupType="Store Markup",ROUND(V1643+V1643*StoreMarkup,2),IF(MarkupType="Supplier Markup",V1643+V1643*SupplierMarkup,"Error at finding value"))</f>
        <v>51</v>
      </c>
      <c r="X1643" s="32" t="str">
        <f t="shared" si="568"/>
        <v>0.00</v>
      </c>
      <c r="Y1643" s="15">
        <f t="shared" si="569"/>
        <v>129.52000000000001</v>
      </c>
      <c r="Z1643" s="15">
        <f t="shared" si="570"/>
        <v>204</v>
      </c>
      <c r="AA1643" s="15">
        <f>IF(FreightType="Lethbridge-Stewart Freight ",ROUND(2.99+IF(N1643&gt;0.75,(N1643-0.75)*2.25,0)*S1643,2),IF(MarkupType="Supplier Markup",V1643+V1643*SupplierMarkup,"Error at finding value"))</f>
        <v>5.24</v>
      </c>
      <c r="AB1643" s="15">
        <f t="shared" si="571"/>
        <v>0</v>
      </c>
    </row>
    <row r="1644" spans="1:28" x14ac:dyDescent="0.25">
      <c r="A1644" s="16">
        <f>OrdersTable!A1644</f>
        <v>329</v>
      </c>
      <c r="B1644" s="15" t="str">
        <f t="shared" si="551"/>
        <v>Ms</v>
      </c>
      <c r="C1644" s="15" t="str">
        <f t="shared" si="572"/>
        <v>Hubbard</v>
      </c>
      <c r="D1644" s="15" t="str">
        <f t="shared" si="552"/>
        <v>Sonya Marie</v>
      </c>
      <c r="E1644" s="15" t="str">
        <f t="shared" si="553"/>
        <v>42 Keable Crescent</v>
      </c>
      <c r="F1644" s="15" t="str">
        <f t="shared" si="554"/>
        <v>Boston</v>
      </c>
      <c r="G1644" s="15" t="str">
        <f t="shared" si="555"/>
        <v>SA</v>
      </c>
      <c r="H1644" s="15">
        <f t="shared" si="556"/>
        <v>5607</v>
      </c>
      <c r="I1644" s="15">
        <f t="shared" si="567"/>
        <v>2076</v>
      </c>
      <c r="J1644" s="15">
        <f>OrdersTable!B1644</f>
        <v>685</v>
      </c>
      <c r="K1644" s="15" t="str">
        <f t="shared" si="557"/>
        <v>Mugs</v>
      </c>
      <c r="L1644" s="15" t="str">
        <f t="shared" si="558"/>
        <v>Doctor Who: Teapot: Sliver TARDIS</v>
      </c>
      <c r="M1644" s="15" t="str">
        <f t="shared" si="559"/>
        <v>-</v>
      </c>
      <c r="N1644" s="15">
        <f t="shared" si="560"/>
        <v>1.35</v>
      </c>
      <c r="O1644" s="15" t="str">
        <f t="shared" si="561"/>
        <v>A30</v>
      </c>
      <c r="P1644" s="15" t="str">
        <f t="shared" si="562"/>
        <v>Chesterton Enterprises</v>
      </c>
      <c r="Q1644" s="15" t="str">
        <f t="shared" si="563"/>
        <v>41 William Russell Road</v>
      </c>
      <c r="R1644" s="3">
        <f>OrdersTable!C1644</f>
        <v>44678</v>
      </c>
      <c r="S1644" s="15">
        <f>OrdersTable!E1644</f>
        <v>2</v>
      </c>
      <c r="T1644" s="15">
        <f t="shared" si="564"/>
        <v>26.99</v>
      </c>
      <c r="U1644" s="15">
        <f t="shared" si="565"/>
        <v>36.869999999999997</v>
      </c>
      <c r="V1644" s="15">
        <f t="shared" si="566"/>
        <v>43.72</v>
      </c>
      <c r="W1644" s="15">
        <f>IF(MarkupType="Store Markup",ROUND(V1644+V1644*StoreMarkup,2),IF(MarkupType="Supplier Markup",V1644+V1644*SupplierMarkup,"Error at finding value"))</f>
        <v>68.86</v>
      </c>
      <c r="X1644" s="32" t="str">
        <f t="shared" si="568"/>
        <v>0.00</v>
      </c>
      <c r="Y1644" s="15">
        <f t="shared" si="569"/>
        <v>87.44</v>
      </c>
      <c r="Z1644" s="15">
        <f t="shared" si="570"/>
        <v>137.72</v>
      </c>
      <c r="AA1644" s="15">
        <f>IF(FreightType="Lethbridge-Stewart Freight ",ROUND(2.99+IF(N1644&gt;0.75,(N1644-0.75)*2.25,0)*S1644,2),IF(MarkupType="Supplier Markup",V1644+V1644*SupplierMarkup,"Error at finding value"))</f>
        <v>5.69</v>
      </c>
      <c r="AB1644" s="15">
        <f t="shared" si="571"/>
        <v>0</v>
      </c>
    </row>
    <row r="1645" spans="1:28" x14ac:dyDescent="0.25">
      <c r="A1645" s="16">
        <f>OrdersTable!A1645</f>
        <v>370</v>
      </c>
      <c r="B1645" s="15" t="str">
        <f t="shared" si="551"/>
        <v>Mr</v>
      </c>
      <c r="C1645" s="15" t="str">
        <f t="shared" si="572"/>
        <v>Kennedy</v>
      </c>
      <c r="D1645" s="15" t="str">
        <f t="shared" si="552"/>
        <v>Joseph Dominic</v>
      </c>
      <c r="E1645" s="15" t="str">
        <f t="shared" si="553"/>
        <v>43 Barton Road</v>
      </c>
      <c r="F1645" s="15" t="str">
        <f t="shared" si="554"/>
        <v>Boston</v>
      </c>
      <c r="G1645" s="15" t="str">
        <f t="shared" si="555"/>
        <v>SA</v>
      </c>
      <c r="H1645" s="15">
        <f t="shared" si="556"/>
        <v>5607</v>
      </c>
      <c r="I1645" s="15">
        <f t="shared" si="567"/>
        <v>2076</v>
      </c>
      <c r="J1645" s="15">
        <f>OrdersTable!B1645</f>
        <v>830</v>
      </c>
      <c r="K1645" s="15" t="str">
        <f t="shared" si="557"/>
        <v>Statues and Busts</v>
      </c>
      <c r="L1645" s="15" t="str">
        <f t="shared" si="558"/>
        <v>Doctor Who: Mini Bust: Weeping Angel</v>
      </c>
      <c r="M1645" s="15" t="str">
        <f t="shared" si="559"/>
        <v>-</v>
      </c>
      <c r="N1645" s="15">
        <f t="shared" si="560"/>
        <v>1.8</v>
      </c>
      <c r="O1645" s="15" t="str">
        <f t="shared" si="561"/>
        <v>A50</v>
      </c>
      <c r="P1645" s="15" t="str">
        <f t="shared" si="562"/>
        <v>Rassilon Ltd.</v>
      </c>
      <c r="Q1645" s="15" t="str">
        <f t="shared" si="563"/>
        <v>82 Richard Mathews Road</v>
      </c>
      <c r="R1645" s="3">
        <f>OrdersTable!C1645</f>
        <v>44678</v>
      </c>
      <c r="S1645" s="15">
        <f>OrdersTable!E1645</f>
        <v>1</v>
      </c>
      <c r="T1645" s="15">
        <f t="shared" si="564"/>
        <v>35.99</v>
      </c>
      <c r="U1645" s="15">
        <f t="shared" si="565"/>
        <v>49.35</v>
      </c>
      <c r="V1645" s="15">
        <f t="shared" si="566"/>
        <v>58.3</v>
      </c>
      <c r="W1645" s="15">
        <f>IF(MarkupType="Store Markup",ROUND(V1645+V1645*StoreMarkup,2),IF(MarkupType="Supplier Markup",V1645+V1645*SupplierMarkup,"Error at finding value"))</f>
        <v>91.82</v>
      </c>
      <c r="X1645" s="32" t="str">
        <f t="shared" si="568"/>
        <v>0.00</v>
      </c>
      <c r="Y1645" s="15">
        <f t="shared" si="569"/>
        <v>58.3</v>
      </c>
      <c r="Z1645" s="15">
        <f t="shared" si="570"/>
        <v>91.82</v>
      </c>
      <c r="AA1645" s="15">
        <f>IF(FreightType="Lethbridge-Stewart Freight ",ROUND(2.99+IF(N1645&gt;0.75,(N1645-0.75)*2.25,0)*S1645,2),IF(MarkupType="Supplier Markup",V1645+V1645*SupplierMarkup,"Error at finding value"))</f>
        <v>5.35</v>
      </c>
      <c r="AB1645" s="15">
        <f t="shared" si="571"/>
        <v>0</v>
      </c>
    </row>
    <row r="1646" spans="1:28" x14ac:dyDescent="0.25">
      <c r="A1646" s="16">
        <f>OrdersTable!A1646</f>
        <v>474</v>
      </c>
      <c r="B1646" s="15" t="str">
        <f t="shared" si="551"/>
        <v>Mr</v>
      </c>
      <c r="C1646" s="15" t="str">
        <f t="shared" si="572"/>
        <v>Jooste</v>
      </c>
      <c r="D1646" s="15" t="str">
        <f t="shared" si="552"/>
        <v>Nicholas</v>
      </c>
      <c r="E1646" s="15" t="str">
        <f t="shared" si="553"/>
        <v>32 Dover Road</v>
      </c>
      <c r="F1646" s="15" t="str">
        <f t="shared" si="554"/>
        <v>Belford</v>
      </c>
      <c r="G1646" s="15" t="str">
        <f t="shared" si="555"/>
        <v>NSW</v>
      </c>
      <c r="H1646" s="15">
        <f t="shared" si="556"/>
        <v>2335</v>
      </c>
      <c r="I1646" s="15">
        <f t="shared" si="567"/>
        <v>716</v>
      </c>
      <c r="J1646" s="15">
        <f>OrdersTable!B1646</f>
        <v>563</v>
      </c>
      <c r="K1646" s="15" t="str">
        <f t="shared" si="557"/>
        <v>Giftware</v>
      </c>
      <c r="L1646" s="15" t="str">
        <f t="shared" si="558"/>
        <v>Doctor Who: TARDIS Jewellery Box</v>
      </c>
      <c r="M1646" s="15" t="str">
        <f t="shared" si="559"/>
        <v>-</v>
      </c>
      <c r="N1646" s="15">
        <f t="shared" si="560"/>
        <v>1.1499999999999999</v>
      </c>
      <c r="O1646" s="15" t="str">
        <f t="shared" si="561"/>
        <v>A50</v>
      </c>
      <c r="P1646" s="15" t="str">
        <f t="shared" si="562"/>
        <v>Rassilon Ltd.</v>
      </c>
      <c r="Q1646" s="15" t="str">
        <f t="shared" si="563"/>
        <v>82 Richard Mathews Road</v>
      </c>
      <c r="R1646" s="3">
        <f>OrdersTable!C1646</f>
        <v>44678</v>
      </c>
      <c r="S1646" s="15">
        <f>OrdersTable!E1646</f>
        <v>5</v>
      </c>
      <c r="T1646" s="15">
        <f t="shared" si="564"/>
        <v>22.99</v>
      </c>
      <c r="U1646" s="15">
        <f t="shared" si="565"/>
        <v>31.63</v>
      </c>
      <c r="V1646" s="15">
        <f t="shared" si="566"/>
        <v>37.24</v>
      </c>
      <c r="W1646" s="15">
        <f>IF(MarkupType="Store Markup",ROUND(V1646+V1646*StoreMarkup,2),IF(MarkupType="Supplier Markup",V1646+V1646*SupplierMarkup,"Error at finding value"))</f>
        <v>58.65</v>
      </c>
      <c r="X1646" s="32" t="str">
        <f t="shared" si="568"/>
        <v>0.00</v>
      </c>
      <c r="Y1646" s="15">
        <f t="shared" si="569"/>
        <v>186.2</v>
      </c>
      <c r="Z1646" s="15">
        <f t="shared" si="570"/>
        <v>293.25</v>
      </c>
      <c r="AA1646" s="15">
        <f>IF(FreightType="Lethbridge-Stewart Freight ",ROUND(2.99+IF(N1646&gt;0.75,(N1646-0.75)*2.25,0)*S1646,2),IF(MarkupType="Supplier Markup",V1646+V1646*SupplierMarkup,"Error at finding value"))</f>
        <v>7.49</v>
      </c>
      <c r="AB1646" s="15">
        <f t="shared" si="571"/>
        <v>0</v>
      </c>
    </row>
    <row r="1647" spans="1:28" x14ac:dyDescent="0.25">
      <c r="A1647" s="16">
        <f>OrdersTable!A1647</f>
        <v>501</v>
      </c>
      <c r="B1647" s="15" t="str">
        <f t="shared" si="551"/>
        <v>Miss</v>
      </c>
      <c r="C1647" s="15" t="str">
        <f t="shared" si="572"/>
        <v>Tharenou</v>
      </c>
      <c r="D1647" s="15" t="str">
        <f t="shared" si="552"/>
        <v>Kimberley Jacinta</v>
      </c>
      <c r="E1647" s="15" t="str">
        <f t="shared" si="553"/>
        <v>49 Moncada Circuit</v>
      </c>
      <c r="F1647" s="15" t="str">
        <f t="shared" si="554"/>
        <v>Belford</v>
      </c>
      <c r="G1647" s="15" t="str">
        <f t="shared" si="555"/>
        <v>NSW</v>
      </c>
      <c r="H1647" s="15">
        <f t="shared" si="556"/>
        <v>2335</v>
      </c>
      <c r="I1647" s="15">
        <f t="shared" si="567"/>
        <v>716</v>
      </c>
      <c r="J1647" s="15">
        <f>OrdersTable!B1647</f>
        <v>541</v>
      </c>
      <c r="K1647" s="15" t="str">
        <f t="shared" si="557"/>
        <v>Giftware</v>
      </c>
      <c r="L1647" s="15" t="str">
        <f t="shared" si="558"/>
        <v>Doctor Who: Salt and Pepper Shakers: TARDIS</v>
      </c>
      <c r="M1647" s="15" t="str">
        <f t="shared" si="559"/>
        <v>-</v>
      </c>
      <c r="N1647" s="15">
        <f t="shared" si="560"/>
        <v>0.6</v>
      </c>
      <c r="O1647" s="15" t="str">
        <f t="shared" si="561"/>
        <v>A10</v>
      </c>
      <c r="P1647" s="15" t="str">
        <f t="shared" si="562"/>
        <v>Gallifrey International</v>
      </c>
      <c r="Q1647" s="15" t="str">
        <f t="shared" si="563"/>
        <v>181 Arcadia Street</v>
      </c>
      <c r="R1647" s="3">
        <f>OrdersTable!C1647</f>
        <v>44678</v>
      </c>
      <c r="S1647" s="15">
        <f>OrdersTable!E1647</f>
        <v>9</v>
      </c>
      <c r="T1647" s="15">
        <f t="shared" si="564"/>
        <v>11.99</v>
      </c>
      <c r="U1647" s="15">
        <f t="shared" si="565"/>
        <v>16.62</v>
      </c>
      <c r="V1647" s="15">
        <f t="shared" si="566"/>
        <v>19.420000000000002</v>
      </c>
      <c r="W1647" s="15">
        <f>IF(MarkupType="Store Markup",ROUND(V1647+V1647*StoreMarkup,2),IF(MarkupType="Supplier Markup",V1647+V1647*SupplierMarkup,"Error at finding value"))</f>
        <v>30.59</v>
      </c>
      <c r="X1647" s="32" t="str">
        <f t="shared" si="568"/>
        <v>0.00</v>
      </c>
      <c r="Y1647" s="15">
        <f t="shared" si="569"/>
        <v>174.78</v>
      </c>
      <c r="Z1647" s="15">
        <f t="shared" si="570"/>
        <v>275.31</v>
      </c>
      <c r="AA1647" s="15">
        <f>IF(FreightType="Lethbridge-Stewart Freight ",ROUND(2.99+IF(N1647&gt;0.75,(N1647-0.75)*2.25,0)*S1647,2),IF(MarkupType="Supplier Markup",V1647+V1647*SupplierMarkup,"Error at finding value"))</f>
        <v>2.99</v>
      </c>
      <c r="AB1647" s="15">
        <f t="shared" si="571"/>
        <v>0</v>
      </c>
    </row>
    <row r="1648" spans="1:28" x14ac:dyDescent="0.25">
      <c r="A1648" s="16">
        <f>OrdersTable!A1648</f>
        <v>501</v>
      </c>
      <c r="B1648" s="15" t="str">
        <f t="shared" si="551"/>
        <v>Miss</v>
      </c>
      <c r="C1648" s="15" t="str">
        <f t="shared" si="572"/>
        <v>Tharenou</v>
      </c>
      <c r="D1648" s="15" t="str">
        <f t="shared" si="552"/>
        <v>Kimberley Jacinta</v>
      </c>
      <c r="E1648" s="15" t="str">
        <f t="shared" si="553"/>
        <v>49 Moncada Circuit</v>
      </c>
      <c r="F1648" s="15" t="str">
        <f t="shared" si="554"/>
        <v>Belford</v>
      </c>
      <c r="G1648" s="15" t="str">
        <f t="shared" si="555"/>
        <v>NSW</v>
      </c>
      <c r="H1648" s="15">
        <f t="shared" si="556"/>
        <v>2335</v>
      </c>
      <c r="I1648" s="15">
        <f t="shared" si="567"/>
        <v>716</v>
      </c>
      <c r="J1648" s="15">
        <f>OrdersTable!B1648</f>
        <v>679</v>
      </c>
      <c r="K1648" s="15" t="str">
        <f t="shared" si="557"/>
        <v>Mugs</v>
      </c>
      <c r="L1648" s="15" t="str">
        <f t="shared" si="558"/>
        <v>Doctor Who: Mug: The Fifth Doctor</v>
      </c>
      <c r="M1648" s="15" t="str">
        <f t="shared" si="559"/>
        <v>-</v>
      </c>
      <c r="N1648" s="15">
        <f t="shared" si="560"/>
        <v>0.45</v>
      </c>
      <c r="O1648" s="15" t="str">
        <f t="shared" si="561"/>
        <v>A40</v>
      </c>
      <c r="P1648" s="15" t="str">
        <f t="shared" si="562"/>
        <v>Romana Imports</v>
      </c>
      <c r="Q1648" s="15" t="str">
        <f t="shared" si="563"/>
        <v>17 Lalla Ward Road</v>
      </c>
      <c r="R1648" s="3">
        <f>OrdersTable!C1648</f>
        <v>44678</v>
      </c>
      <c r="S1648" s="15">
        <f>OrdersTable!E1648</f>
        <v>2</v>
      </c>
      <c r="T1648" s="15">
        <f t="shared" si="564"/>
        <v>8.99</v>
      </c>
      <c r="U1648" s="15">
        <f t="shared" si="565"/>
        <v>12.28</v>
      </c>
      <c r="V1648" s="15">
        <f t="shared" si="566"/>
        <v>14.56</v>
      </c>
      <c r="W1648" s="15">
        <f>IF(MarkupType="Store Markup",ROUND(V1648+V1648*StoreMarkup,2),IF(MarkupType="Supplier Markup",V1648+V1648*SupplierMarkup,"Error at finding value"))</f>
        <v>22.93</v>
      </c>
      <c r="X1648" s="32" t="str">
        <f t="shared" si="568"/>
        <v>0.00</v>
      </c>
      <c r="Y1648" s="15">
        <f t="shared" si="569"/>
        <v>29.12</v>
      </c>
      <c r="Z1648" s="15">
        <f t="shared" si="570"/>
        <v>45.86</v>
      </c>
      <c r="AA1648" s="15">
        <f>IF(FreightType="Lethbridge-Stewart Freight ",ROUND(2.99+IF(N1648&gt;0.75,(N1648-0.75)*2.25,0)*S1648,2),IF(MarkupType="Supplier Markup",V1648+V1648*SupplierMarkup,"Error at finding value"))</f>
        <v>2.99</v>
      </c>
      <c r="AB1648" s="15">
        <f t="shared" si="571"/>
        <v>0</v>
      </c>
    </row>
    <row r="1649" spans="1:28" x14ac:dyDescent="0.25">
      <c r="A1649" s="16">
        <f>OrdersTable!A1649</f>
        <v>557</v>
      </c>
      <c r="B1649" s="15" t="str">
        <f t="shared" si="551"/>
        <v>Mrs</v>
      </c>
      <c r="C1649" s="15" t="str">
        <f t="shared" si="572"/>
        <v>Allen</v>
      </c>
      <c r="D1649" s="15" t="str">
        <f t="shared" si="552"/>
        <v>Morgan</v>
      </c>
      <c r="E1649" s="15" t="str">
        <f t="shared" si="553"/>
        <v>15 Winsor Street</v>
      </c>
      <c r="F1649" s="15" t="str">
        <f t="shared" si="554"/>
        <v>Appletree Flat</v>
      </c>
      <c r="G1649" s="15" t="str">
        <f t="shared" si="555"/>
        <v>NSW</v>
      </c>
      <c r="H1649" s="15">
        <f t="shared" si="556"/>
        <v>2330</v>
      </c>
      <c r="I1649" s="15">
        <f t="shared" si="567"/>
        <v>691</v>
      </c>
      <c r="J1649" s="15">
        <f>OrdersTable!B1649</f>
        <v>594</v>
      </c>
      <c r="K1649" s="15" t="str">
        <f t="shared" si="557"/>
        <v>iPhone Skins</v>
      </c>
      <c r="L1649" s="15" t="str">
        <f t="shared" si="558"/>
        <v>Doctor Who: iPhone Skin: Keep Calm And Don't Blink</v>
      </c>
      <c r="M1649" s="15" t="str">
        <f t="shared" si="559"/>
        <v>-</v>
      </c>
      <c r="N1649" s="15">
        <f t="shared" si="560"/>
        <v>0.5</v>
      </c>
      <c r="O1649" s="15" t="str">
        <f t="shared" si="561"/>
        <v>A20</v>
      </c>
      <c r="P1649" s="15" t="str">
        <f t="shared" si="562"/>
        <v>Morbius Inc.</v>
      </c>
      <c r="Q1649" s="15" t="str">
        <f t="shared" si="563"/>
        <v>56 Michael Spice Hwy</v>
      </c>
      <c r="R1649" s="3">
        <f>OrdersTable!C1649</f>
        <v>44678</v>
      </c>
      <c r="S1649" s="15">
        <f>OrdersTable!E1649</f>
        <v>7</v>
      </c>
      <c r="T1649" s="15">
        <f t="shared" si="564"/>
        <v>9.99</v>
      </c>
      <c r="U1649" s="15">
        <f t="shared" si="565"/>
        <v>13.88</v>
      </c>
      <c r="V1649" s="15">
        <f t="shared" si="566"/>
        <v>16.18</v>
      </c>
      <c r="W1649" s="15">
        <f>IF(MarkupType="Store Markup",ROUND(V1649+V1649*StoreMarkup,2),IF(MarkupType="Supplier Markup",V1649+V1649*SupplierMarkup,"Error at finding value"))</f>
        <v>25.48</v>
      </c>
      <c r="X1649" s="32" t="str">
        <f t="shared" si="568"/>
        <v>0.00</v>
      </c>
      <c r="Y1649" s="15">
        <f t="shared" si="569"/>
        <v>113.26</v>
      </c>
      <c r="Z1649" s="15">
        <f t="shared" si="570"/>
        <v>178.36</v>
      </c>
      <c r="AA1649" s="15">
        <f>IF(FreightType="Lethbridge-Stewart Freight ",ROUND(2.99+IF(N1649&gt;0.75,(N1649-0.75)*2.25,0)*S1649,2),IF(MarkupType="Supplier Markup",V1649+V1649*SupplierMarkup,"Error at finding value"))</f>
        <v>2.99</v>
      </c>
      <c r="AB1649" s="15">
        <f t="shared" si="571"/>
        <v>0</v>
      </c>
    </row>
    <row r="1650" spans="1:28" x14ac:dyDescent="0.25">
      <c r="A1650" s="16">
        <f>OrdersTable!A1650</f>
        <v>573</v>
      </c>
      <c r="B1650" s="15" t="str">
        <f t="shared" si="551"/>
        <v>Mrs</v>
      </c>
      <c r="C1650" s="15" t="str">
        <f t="shared" si="572"/>
        <v>Hollonds</v>
      </c>
      <c r="D1650" s="15" t="str">
        <f t="shared" si="552"/>
        <v>Suzan</v>
      </c>
      <c r="E1650" s="15" t="str">
        <f t="shared" si="553"/>
        <v>49 Patel Way</v>
      </c>
      <c r="F1650" s="15" t="str">
        <f t="shared" si="554"/>
        <v>Belconnen</v>
      </c>
      <c r="G1650" s="15" t="str">
        <f t="shared" si="555"/>
        <v>ACT</v>
      </c>
      <c r="H1650" s="15">
        <f t="shared" si="556"/>
        <v>2617</v>
      </c>
      <c r="I1650" s="15">
        <f t="shared" si="567"/>
        <v>1194</v>
      </c>
      <c r="J1650" s="15">
        <f>OrdersTable!B1650</f>
        <v>330</v>
      </c>
      <c r="K1650" s="15" t="str">
        <f t="shared" si="557"/>
        <v>Clothing and Apparel</v>
      </c>
      <c r="L1650" s="15" t="str">
        <f t="shared" si="558"/>
        <v xml:space="preserve">Doctor Who: T-Shirts: 4th Doctor Costume </v>
      </c>
      <c r="M1650" s="15" t="str">
        <f t="shared" si="559"/>
        <v>M</v>
      </c>
      <c r="N1650" s="15">
        <f t="shared" si="560"/>
        <v>0.8</v>
      </c>
      <c r="O1650" s="15" t="str">
        <f t="shared" si="561"/>
        <v>A20</v>
      </c>
      <c r="P1650" s="15" t="str">
        <f t="shared" si="562"/>
        <v>Morbius Inc.</v>
      </c>
      <c r="Q1650" s="15" t="str">
        <f t="shared" si="563"/>
        <v>56 Michael Spice Hwy</v>
      </c>
      <c r="R1650" s="3">
        <f>OrdersTable!C1650</f>
        <v>44678</v>
      </c>
      <c r="S1650" s="15">
        <f>OrdersTable!E1650</f>
        <v>3</v>
      </c>
      <c r="T1650" s="15">
        <f t="shared" si="564"/>
        <v>15.99</v>
      </c>
      <c r="U1650" s="15">
        <f t="shared" si="565"/>
        <v>22.03</v>
      </c>
      <c r="V1650" s="15">
        <f t="shared" si="566"/>
        <v>25.9</v>
      </c>
      <c r="W1650" s="15">
        <f>IF(MarkupType="Store Markup",ROUND(V1650+V1650*StoreMarkup,2),IF(MarkupType="Supplier Markup",V1650+V1650*SupplierMarkup,"Error at finding value"))</f>
        <v>40.79</v>
      </c>
      <c r="X1650" s="32" t="str">
        <f t="shared" si="568"/>
        <v>0.00</v>
      </c>
      <c r="Y1650" s="15">
        <f t="shared" si="569"/>
        <v>77.7</v>
      </c>
      <c r="Z1650" s="15">
        <f t="shared" si="570"/>
        <v>122.37</v>
      </c>
      <c r="AA1650" s="15">
        <f>IF(FreightType="Lethbridge-Stewart Freight ",ROUND(2.99+IF(N1650&gt;0.75,(N1650-0.75)*2.25,0)*S1650,2),IF(MarkupType="Supplier Markup",V1650+V1650*SupplierMarkup,"Error at finding value"))</f>
        <v>3.33</v>
      </c>
      <c r="AB1650" s="15">
        <f t="shared" si="571"/>
        <v>0</v>
      </c>
    </row>
    <row r="1651" spans="1:28" x14ac:dyDescent="0.25">
      <c r="A1651" s="16">
        <f>OrdersTable!A1651</f>
        <v>586</v>
      </c>
      <c r="B1651" s="15" t="str">
        <f t="shared" si="551"/>
        <v>Dr</v>
      </c>
      <c r="C1651" s="15" t="str">
        <f t="shared" si="572"/>
        <v>Coetzee</v>
      </c>
      <c r="D1651" s="15" t="str">
        <f t="shared" si="552"/>
        <v>Riekert</v>
      </c>
      <c r="E1651" s="15" t="str">
        <f t="shared" si="553"/>
        <v>5 Western Road</v>
      </c>
      <c r="F1651" s="15" t="str">
        <f t="shared" si="554"/>
        <v>Alfredtown</v>
      </c>
      <c r="G1651" s="15" t="str">
        <f t="shared" si="555"/>
        <v>NSW</v>
      </c>
      <c r="H1651" s="15">
        <f t="shared" si="556"/>
        <v>2650</v>
      </c>
      <c r="I1651" s="15">
        <f t="shared" si="567"/>
        <v>1124</v>
      </c>
      <c r="J1651" s="15">
        <f>OrdersTable!B1651</f>
        <v>213</v>
      </c>
      <c r="K1651" s="15" t="str">
        <f t="shared" si="557"/>
        <v>Clothing and Apparel</v>
      </c>
      <c r="L1651" s="15" t="str">
        <f t="shared" si="558"/>
        <v>Doctor Who: Fez and Bow Tie</v>
      </c>
      <c r="M1651" s="15" t="str">
        <f t="shared" si="559"/>
        <v>-</v>
      </c>
      <c r="N1651" s="15">
        <f t="shared" si="560"/>
        <v>0.97499999999999998</v>
      </c>
      <c r="O1651" s="15" t="str">
        <f t="shared" si="561"/>
        <v>A50</v>
      </c>
      <c r="P1651" s="15" t="str">
        <f t="shared" si="562"/>
        <v>Rassilon Ltd.</v>
      </c>
      <c r="Q1651" s="15" t="str">
        <f t="shared" si="563"/>
        <v>82 Richard Mathews Road</v>
      </c>
      <c r="R1651" s="3">
        <f>OrdersTable!C1651</f>
        <v>44678</v>
      </c>
      <c r="S1651" s="15">
        <f>OrdersTable!E1651</f>
        <v>1</v>
      </c>
      <c r="T1651" s="15">
        <f t="shared" si="564"/>
        <v>19.5</v>
      </c>
      <c r="U1651" s="15">
        <f t="shared" si="565"/>
        <v>26.88</v>
      </c>
      <c r="V1651" s="15">
        <f t="shared" si="566"/>
        <v>31.59</v>
      </c>
      <c r="W1651" s="15">
        <f>IF(MarkupType="Store Markup",ROUND(V1651+V1651*StoreMarkup,2),IF(MarkupType="Supplier Markup",V1651+V1651*SupplierMarkup,"Error at finding value"))</f>
        <v>49.75</v>
      </c>
      <c r="X1651" s="32" t="str">
        <f t="shared" si="568"/>
        <v>0.00</v>
      </c>
      <c r="Y1651" s="15">
        <f t="shared" si="569"/>
        <v>31.59</v>
      </c>
      <c r="Z1651" s="15">
        <f t="shared" si="570"/>
        <v>49.75</v>
      </c>
      <c r="AA1651" s="15">
        <f>IF(FreightType="Lethbridge-Stewart Freight ",ROUND(2.99+IF(N1651&gt;0.75,(N1651-0.75)*2.25,0)*S1651,2),IF(MarkupType="Supplier Markup",V1651+V1651*SupplierMarkup,"Error at finding value"))</f>
        <v>3.5</v>
      </c>
      <c r="AB1651" s="15">
        <f t="shared" si="571"/>
        <v>0</v>
      </c>
    </row>
    <row r="1652" spans="1:28" x14ac:dyDescent="0.25">
      <c r="A1652" s="16">
        <f>OrdersTable!A1652</f>
        <v>586</v>
      </c>
      <c r="B1652" s="15" t="str">
        <f t="shared" si="551"/>
        <v>Dr</v>
      </c>
      <c r="C1652" s="15" t="str">
        <f t="shared" si="572"/>
        <v>Coetzee</v>
      </c>
      <c r="D1652" s="15" t="str">
        <f t="shared" si="552"/>
        <v>Riekert</v>
      </c>
      <c r="E1652" s="15" t="str">
        <f t="shared" si="553"/>
        <v>5 Western Road</v>
      </c>
      <c r="F1652" s="15" t="str">
        <f t="shared" si="554"/>
        <v>Alfredtown</v>
      </c>
      <c r="G1652" s="15" t="str">
        <f t="shared" si="555"/>
        <v>NSW</v>
      </c>
      <c r="H1652" s="15">
        <f t="shared" si="556"/>
        <v>2650</v>
      </c>
      <c r="I1652" s="15">
        <f t="shared" si="567"/>
        <v>1124</v>
      </c>
      <c r="J1652" s="15">
        <f>OrdersTable!B1652</f>
        <v>692</v>
      </c>
      <c r="K1652" s="15" t="str">
        <f t="shared" si="557"/>
        <v>Posters, Prints and Standees</v>
      </c>
      <c r="L1652" s="15" t="str">
        <f t="shared" si="558"/>
        <v>Doctor Who: 16'x12' Framed Print: Exploding TARDIS</v>
      </c>
      <c r="M1652" s="15" t="str">
        <f t="shared" si="559"/>
        <v>-</v>
      </c>
      <c r="N1652" s="15">
        <f t="shared" si="560"/>
        <v>0.75</v>
      </c>
      <c r="O1652" s="15" t="str">
        <f t="shared" si="561"/>
        <v>A30</v>
      </c>
      <c r="P1652" s="15" t="str">
        <f t="shared" si="562"/>
        <v>Chesterton Enterprises</v>
      </c>
      <c r="Q1652" s="15" t="str">
        <f t="shared" si="563"/>
        <v>41 William Russell Road</v>
      </c>
      <c r="R1652" s="3">
        <f>OrdersTable!C1652</f>
        <v>44678</v>
      </c>
      <c r="S1652" s="15">
        <f>OrdersTable!E1652</f>
        <v>6</v>
      </c>
      <c r="T1652" s="15">
        <f t="shared" si="564"/>
        <v>14.99</v>
      </c>
      <c r="U1652" s="15">
        <f t="shared" si="565"/>
        <v>20.54</v>
      </c>
      <c r="V1652" s="15">
        <f t="shared" si="566"/>
        <v>24.28</v>
      </c>
      <c r="W1652" s="15">
        <f>IF(MarkupType="Store Markup",ROUND(V1652+V1652*StoreMarkup,2),IF(MarkupType="Supplier Markup",V1652+V1652*SupplierMarkup,"Error at finding value"))</f>
        <v>38.24</v>
      </c>
      <c r="X1652" s="32" t="str">
        <f t="shared" si="568"/>
        <v>0.00</v>
      </c>
      <c r="Y1652" s="15">
        <f t="shared" si="569"/>
        <v>145.68</v>
      </c>
      <c r="Z1652" s="15">
        <f t="shared" si="570"/>
        <v>229.44</v>
      </c>
      <c r="AA1652" s="15">
        <f>IF(FreightType="Lethbridge-Stewart Freight ",ROUND(2.99+IF(N1652&gt;0.75,(N1652-0.75)*2.25,0)*S1652,2),IF(MarkupType="Supplier Markup",V1652+V1652*SupplierMarkup,"Error at finding value"))</f>
        <v>2.99</v>
      </c>
      <c r="AB1652" s="15">
        <f t="shared" si="571"/>
        <v>0</v>
      </c>
    </row>
    <row r="1653" spans="1:28" x14ac:dyDescent="0.25">
      <c r="A1653" s="16">
        <f>OrdersTable!A1653</f>
        <v>610</v>
      </c>
      <c r="B1653" s="15" t="str">
        <f t="shared" si="551"/>
        <v>Ms</v>
      </c>
      <c r="C1653" s="15" t="str">
        <f t="shared" si="572"/>
        <v>Bichel</v>
      </c>
      <c r="D1653" s="15" t="str">
        <f t="shared" si="552"/>
        <v>Abbey Kate</v>
      </c>
      <c r="E1653" s="15" t="str">
        <f t="shared" si="553"/>
        <v>32 Rambau Avenue</v>
      </c>
      <c r="F1653" s="15" t="str">
        <f t="shared" si="554"/>
        <v>Bamboo</v>
      </c>
      <c r="G1653" s="15" t="str">
        <f t="shared" si="555"/>
        <v>QLD</v>
      </c>
      <c r="H1653" s="15">
        <f t="shared" si="556"/>
        <v>4873</v>
      </c>
      <c r="I1653" s="15">
        <f t="shared" si="567"/>
        <v>1741</v>
      </c>
      <c r="J1653" s="15">
        <f>OrdersTable!B1653</f>
        <v>817</v>
      </c>
      <c r="K1653" s="15" t="str">
        <f t="shared" si="557"/>
        <v>Statues and Busts</v>
      </c>
      <c r="L1653" s="15" t="str">
        <f t="shared" si="558"/>
        <v>Doctor Who: Masterpiece Collection Maxi Bust: Torchwood Captain Jack Harkness</v>
      </c>
      <c r="M1653" s="15" t="str">
        <f t="shared" si="559"/>
        <v>-</v>
      </c>
      <c r="N1653" s="15">
        <f t="shared" si="560"/>
        <v>2.5</v>
      </c>
      <c r="O1653" s="15" t="str">
        <f t="shared" si="561"/>
        <v>A10</v>
      </c>
      <c r="P1653" s="15" t="str">
        <f t="shared" si="562"/>
        <v>Gallifrey International</v>
      </c>
      <c r="Q1653" s="15" t="str">
        <f t="shared" si="563"/>
        <v>181 Arcadia Street</v>
      </c>
      <c r="R1653" s="3">
        <f>OrdersTable!C1653</f>
        <v>44678</v>
      </c>
      <c r="S1653" s="15">
        <f>OrdersTable!E1653</f>
        <v>5</v>
      </c>
      <c r="T1653" s="15">
        <f t="shared" si="564"/>
        <v>49.99</v>
      </c>
      <c r="U1653" s="15">
        <f t="shared" si="565"/>
        <v>68.44</v>
      </c>
      <c r="V1653" s="15">
        <f t="shared" si="566"/>
        <v>80.98</v>
      </c>
      <c r="W1653" s="15">
        <f>IF(MarkupType="Store Markup",ROUND(V1653+V1653*StoreMarkup,2),IF(MarkupType="Supplier Markup",V1653+V1653*SupplierMarkup,"Error at finding value"))</f>
        <v>127.54</v>
      </c>
      <c r="X1653" s="32">
        <f t="shared" si="568"/>
        <v>9.09</v>
      </c>
      <c r="Y1653" s="15">
        <f t="shared" si="569"/>
        <v>404.9</v>
      </c>
      <c r="Z1653" s="15">
        <f t="shared" si="570"/>
        <v>592.25</v>
      </c>
      <c r="AA1653" s="15">
        <f>IF(FreightType="Lethbridge-Stewart Freight ",ROUND(2.99+IF(N1653&gt;0.75,(N1653-0.75)*2.25,0)*S1653,2),IF(MarkupType="Supplier Markup",V1653+V1653*SupplierMarkup,"Error at finding value"))</f>
        <v>22.68</v>
      </c>
      <c r="AB1653" s="15">
        <f t="shared" si="571"/>
        <v>45.45</v>
      </c>
    </row>
    <row r="1654" spans="1:28" x14ac:dyDescent="0.25">
      <c r="A1654" s="16">
        <f>OrdersTable!A1654</f>
        <v>750</v>
      </c>
      <c r="B1654" s="15" t="str">
        <f t="shared" si="551"/>
        <v>Ms</v>
      </c>
      <c r="C1654" s="15" t="str">
        <f t="shared" si="572"/>
        <v>Talbot</v>
      </c>
      <c r="D1654" s="15" t="str">
        <f t="shared" si="552"/>
        <v>Carlie Wenderly</v>
      </c>
      <c r="E1654" s="15" t="str">
        <f t="shared" si="553"/>
        <v>31 Somerville Way</v>
      </c>
      <c r="F1654" s="15" t="str">
        <f t="shared" si="554"/>
        <v>Boston</v>
      </c>
      <c r="G1654" s="15" t="str">
        <f t="shared" si="555"/>
        <v>SA</v>
      </c>
      <c r="H1654" s="15">
        <f t="shared" si="556"/>
        <v>5607</v>
      </c>
      <c r="I1654" s="15">
        <f t="shared" si="567"/>
        <v>2076</v>
      </c>
      <c r="J1654" s="15">
        <f>OrdersTable!B1654</f>
        <v>259</v>
      </c>
      <c r="K1654" s="15" t="str">
        <f t="shared" si="557"/>
        <v>Clothing and Apparel</v>
      </c>
      <c r="L1654" s="15" t="str">
        <f t="shared" si="558"/>
        <v>Doctor Who: Men's Winter Pyjamas</v>
      </c>
      <c r="M1654" s="15" t="str">
        <f t="shared" si="559"/>
        <v>XL</v>
      </c>
      <c r="N1654" s="15">
        <f t="shared" si="560"/>
        <v>1.5</v>
      </c>
      <c r="O1654" s="15" t="str">
        <f t="shared" si="561"/>
        <v>A50</v>
      </c>
      <c r="P1654" s="15" t="str">
        <f t="shared" si="562"/>
        <v>Rassilon Ltd.</v>
      </c>
      <c r="Q1654" s="15" t="str">
        <f t="shared" si="563"/>
        <v>82 Richard Mathews Road</v>
      </c>
      <c r="R1654" s="3">
        <f>OrdersTable!C1654</f>
        <v>44678</v>
      </c>
      <c r="S1654" s="15">
        <f>OrdersTable!E1654</f>
        <v>4</v>
      </c>
      <c r="T1654" s="15">
        <f t="shared" si="564"/>
        <v>29.99</v>
      </c>
      <c r="U1654" s="15">
        <f t="shared" si="565"/>
        <v>41.15</v>
      </c>
      <c r="V1654" s="15">
        <f t="shared" si="566"/>
        <v>48.58</v>
      </c>
      <c r="W1654" s="15">
        <f>IF(MarkupType="Store Markup",ROUND(V1654+V1654*StoreMarkup,2),IF(MarkupType="Supplier Markup",V1654+V1654*SupplierMarkup,"Error at finding value"))</f>
        <v>76.510000000000005</v>
      </c>
      <c r="X1654" s="32" t="str">
        <f t="shared" si="568"/>
        <v>0.00</v>
      </c>
      <c r="Y1654" s="15">
        <f t="shared" si="569"/>
        <v>194.32</v>
      </c>
      <c r="Z1654" s="15">
        <f t="shared" si="570"/>
        <v>306.04000000000002</v>
      </c>
      <c r="AA1654" s="15">
        <f>IF(FreightType="Lethbridge-Stewart Freight ",ROUND(2.99+IF(N1654&gt;0.75,(N1654-0.75)*2.25,0)*S1654,2),IF(MarkupType="Supplier Markup",V1654+V1654*SupplierMarkup,"Error at finding value"))</f>
        <v>9.74</v>
      </c>
      <c r="AB1654" s="15">
        <f t="shared" si="571"/>
        <v>0</v>
      </c>
    </row>
    <row r="1655" spans="1:28" x14ac:dyDescent="0.25">
      <c r="A1655" s="16">
        <f>OrdersTable!A1655</f>
        <v>802</v>
      </c>
      <c r="B1655" s="15" t="str">
        <f t="shared" si="551"/>
        <v>Mr</v>
      </c>
      <c r="C1655" s="15" t="str">
        <f t="shared" si="572"/>
        <v>Carlton</v>
      </c>
      <c r="D1655" s="15" t="str">
        <f t="shared" si="552"/>
        <v>Lawrence</v>
      </c>
      <c r="E1655" s="15" t="str">
        <f t="shared" si="553"/>
        <v>39 Walsh Way</v>
      </c>
      <c r="F1655" s="15" t="str">
        <f t="shared" si="554"/>
        <v>Breakwater</v>
      </c>
      <c r="G1655" s="15" t="str">
        <f t="shared" si="555"/>
        <v>VIC</v>
      </c>
      <c r="H1655" s="15">
        <f t="shared" si="556"/>
        <v>3219</v>
      </c>
      <c r="I1655" s="15">
        <f t="shared" si="567"/>
        <v>1596</v>
      </c>
      <c r="J1655" s="15">
        <f>OrdersTable!B1655</f>
        <v>585</v>
      </c>
      <c r="K1655" s="15" t="str">
        <f t="shared" si="557"/>
        <v>iPhone Skins</v>
      </c>
      <c r="L1655" s="15" t="str">
        <f t="shared" si="558"/>
        <v>Doctor Who: iPhone Skin: Dalek To Victory</v>
      </c>
      <c r="M1655" s="15" t="str">
        <f t="shared" si="559"/>
        <v>-</v>
      </c>
      <c r="N1655" s="15">
        <f t="shared" si="560"/>
        <v>0.5</v>
      </c>
      <c r="O1655" s="15" t="str">
        <f t="shared" si="561"/>
        <v>A10</v>
      </c>
      <c r="P1655" s="15" t="str">
        <f t="shared" si="562"/>
        <v>Gallifrey International</v>
      </c>
      <c r="Q1655" s="15" t="str">
        <f t="shared" si="563"/>
        <v>181 Arcadia Street</v>
      </c>
      <c r="R1655" s="3">
        <f>OrdersTable!C1655</f>
        <v>44678</v>
      </c>
      <c r="S1655" s="15">
        <f>OrdersTable!E1655</f>
        <v>1</v>
      </c>
      <c r="T1655" s="15">
        <f t="shared" si="564"/>
        <v>9.99</v>
      </c>
      <c r="U1655" s="15">
        <f t="shared" si="565"/>
        <v>13.7</v>
      </c>
      <c r="V1655" s="15">
        <f t="shared" si="566"/>
        <v>16.18</v>
      </c>
      <c r="W1655" s="15">
        <f>IF(MarkupType="Store Markup",ROUND(V1655+V1655*StoreMarkup,2),IF(MarkupType="Supplier Markup",V1655+V1655*SupplierMarkup,"Error at finding value"))</f>
        <v>25.48</v>
      </c>
      <c r="X1655" s="32" t="str">
        <f t="shared" si="568"/>
        <v>0.00</v>
      </c>
      <c r="Y1655" s="15">
        <f t="shared" si="569"/>
        <v>16.18</v>
      </c>
      <c r="Z1655" s="15">
        <f t="shared" si="570"/>
        <v>25.48</v>
      </c>
      <c r="AA1655" s="15">
        <f>IF(FreightType="Lethbridge-Stewart Freight ",ROUND(2.99+IF(N1655&gt;0.75,(N1655-0.75)*2.25,0)*S1655,2),IF(MarkupType="Supplier Markup",V1655+V1655*SupplierMarkup,"Error at finding value"))</f>
        <v>2.99</v>
      </c>
      <c r="AB1655" s="15">
        <f t="shared" si="571"/>
        <v>0</v>
      </c>
    </row>
    <row r="1656" spans="1:28" x14ac:dyDescent="0.25">
      <c r="A1656" s="16">
        <f>OrdersTable!A1656</f>
        <v>841</v>
      </c>
      <c r="B1656" s="15" t="str">
        <f t="shared" si="551"/>
        <v>Miss</v>
      </c>
      <c r="C1656" s="15" t="str">
        <f t="shared" si="572"/>
        <v>Donaghy</v>
      </c>
      <c r="D1656" s="15" t="str">
        <f t="shared" si="552"/>
        <v>Elizabeth Mathilde Jane</v>
      </c>
      <c r="E1656" s="15" t="str">
        <f t="shared" si="553"/>
        <v>31 Johnson Boulevard</v>
      </c>
      <c r="F1656" s="15" t="str">
        <f t="shared" si="554"/>
        <v>Belford</v>
      </c>
      <c r="G1656" s="15" t="str">
        <f t="shared" si="555"/>
        <v>NSW</v>
      </c>
      <c r="H1656" s="15">
        <f t="shared" si="556"/>
        <v>2335</v>
      </c>
      <c r="I1656" s="15">
        <f t="shared" si="567"/>
        <v>716</v>
      </c>
      <c r="J1656" s="15">
        <f>OrdersTable!B1656</f>
        <v>849</v>
      </c>
      <c r="K1656" s="15" t="str">
        <f t="shared" si="557"/>
        <v>Statues and Busts</v>
      </c>
      <c r="L1656" s="15" t="str">
        <f t="shared" si="558"/>
        <v>Doctor Who: Statue: Cyber Controller</v>
      </c>
      <c r="M1656" s="15" t="str">
        <f t="shared" si="559"/>
        <v>-</v>
      </c>
      <c r="N1656" s="15">
        <f t="shared" si="560"/>
        <v>5</v>
      </c>
      <c r="O1656" s="15" t="str">
        <f t="shared" si="561"/>
        <v>A10</v>
      </c>
      <c r="P1656" s="15" t="str">
        <f t="shared" si="562"/>
        <v>Gallifrey International</v>
      </c>
      <c r="Q1656" s="15" t="str">
        <f t="shared" si="563"/>
        <v>181 Arcadia Street</v>
      </c>
      <c r="R1656" s="3">
        <f>OrdersTable!C1656</f>
        <v>44678</v>
      </c>
      <c r="S1656" s="15">
        <f>OrdersTable!E1656</f>
        <v>7</v>
      </c>
      <c r="T1656" s="15">
        <f t="shared" si="564"/>
        <v>99.99</v>
      </c>
      <c r="U1656" s="15">
        <f t="shared" si="565"/>
        <v>136.41</v>
      </c>
      <c r="V1656" s="15">
        <f t="shared" si="566"/>
        <v>161.97999999999999</v>
      </c>
      <c r="W1656" s="15">
        <f>IF(MarkupType="Store Markup",ROUND(V1656+V1656*StoreMarkup,2),IF(MarkupType="Supplier Markup",V1656+V1656*SupplierMarkup,"Error at finding value"))</f>
        <v>255.12</v>
      </c>
      <c r="X1656" s="32">
        <f t="shared" si="568"/>
        <v>18.18</v>
      </c>
      <c r="Y1656" s="15">
        <f t="shared" si="569"/>
        <v>1133.8599999999999</v>
      </c>
      <c r="Z1656" s="15">
        <f t="shared" si="570"/>
        <v>1658.58</v>
      </c>
      <c r="AA1656" s="15">
        <f>IF(FreightType="Lethbridge-Stewart Freight ",ROUND(2.99+IF(N1656&gt;0.75,(N1656-0.75)*2.25,0)*S1656,2),IF(MarkupType="Supplier Markup",V1656+V1656*SupplierMarkup,"Error at finding value"))</f>
        <v>69.930000000000007</v>
      </c>
      <c r="AB1656" s="15">
        <f t="shared" si="571"/>
        <v>127.26</v>
      </c>
    </row>
    <row r="1657" spans="1:28" x14ac:dyDescent="0.25">
      <c r="A1657" s="16">
        <f>OrdersTable!A1657</f>
        <v>42</v>
      </c>
      <c r="B1657" s="15" t="str">
        <f t="shared" si="551"/>
        <v>Mr</v>
      </c>
      <c r="C1657" s="15" t="str">
        <f t="shared" si="572"/>
        <v>Ballantyne</v>
      </c>
      <c r="D1657" s="15" t="str">
        <f t="shared" si="552"/>
        <v>Barry John</v>
      </c>
      <c r="E1657" s="15" t="str">
        <f t="shared" si="553"/>
        <v>14 Bachmann Drive</v>
      </c>
      <c r="F1657" s="15" t="str">
        <f t="shared" si="554"/>
        <v>Alleena</v>
      </c>
      <c r="G1657" s="15" t="str">
        <f t="shared" si="555"/>
        <v>NSW</v>
      </c>
      <c r="H1657" s="15">
        <f t="shared" si="556"/>
        <v>2671</v>
      </c>
      <c r="I1657" s="15">
        <f t="shared" si="567"/>
        <v>988</v>
      </c>
      <c r="J1657" s="15">
        <f>OrdersTable!B1657</f>
        <v>778</v>
      </c>
      <c r="K1657" s="15" t="str">
        <f t="shared" si="557"/>
        <v>Statues and Busts</v>
      </c>
      <c r="L1657" s="15" t="str">
        <f t="shared" si="558"/>
        <v>Doctor Who: Legends Forever Bust: William Hartnell</v>
      </c>
      <c r="M1657" s="15" t="str">
        <f t="shared" si="559"/>
        <v>-</v>
      </c>
      <c r="N1657" s="15">
        <f t="shared" si="560"/>
        <v>1.375</v>
      </c>
      <c r="O1657" s="15" t="str">
        <f t="shared" si="561"/>
        <v>A40</v>
      </c>
      <c r="P1657" s="15" t="str">
        <f t="shared" si="562"/>
        <v>Romana Imports</v>
      </c>
      <c r="Q1657" s="15" t="str">
        <f t="shared" si="563"/>
        <v>17 Lalla Ward Road</v>
      </c>
      <c r="R1657" s="3">
        <f>OrdersTable!C1657</f>
        <v>44679</v>
      </c>
      <c r="S1657" s="15">
        <f>OrdersTable!E1657</f>
        <v>2</v>
      </c>
      <c r="T1657" s="15">
        <f t="shared" si="564"/>
        <v>27.5</v>
      </c>
      <c r="U1657" s="15">
        <f t="shared" si="565"/>
        <v>37.520000000000003</v>
      </c>
      <c r="V1657" s="15">
        <f t="shared" si="566"/>
        <v>44.55</v>
      </c>
      <c r="W1657" s="15">
        <f>IF(MarkupType="Store Markup",ROUND(V1657+V1657*StoreMarkup,2),IF(MarkupType="Supplier Markup",V1657+V1657*SupplierMarkup,"Error at finding value"))</f>
        <v>70.17</v>
      </c>
      <c r="X1657" s="32" t="str">
        <f t="shared" si="568"/>
        <v>0.00</v>
      </c>
      <c r="Y1657" s="15">
        <f t="shared" si="569"/>
        <v>89.1</v>
      </c>
      <c r="Z1657" s="15">
        <f t="shared" si="570"/>
        <v>140.34</v>
      </c>
      <c r="AA1657" s="15">
        <f>IF(FreightType="Lethbridge-Stewart Freight ",ROUND(2.99+IF(N1657&gt;0.75,(N1657-0.75)*2.25,0)*S1657,2),IF(MarkupType="Supplier Markup",V1657+V1657*SupplierMarkup,"Error at finding value"))</f>
        <v>5.8</v>
      </c>
      <c r="AB1657" s="15">
        <f t="shared" si="571"/>
        <v>0</v>
      </c>
    </row>
    <row r="1658" spans="1:28" x14ac:dyDescent="0.25">
      <c r="A1658" s="16">
        <f>OrdersTable!A1658</f>
        <v>42</v>
      </c>
      <c r="B1658" s="15" t="str">
        <f t="shared" si="551"/>
        <v>Mr</v>
      </c>
      <c r="C1658" s="15" t="str">
        <f t="shared" si="572"/>
        <v>Ballantyne</v>
      </c>
      <c r="D1658" s="15" t="str">
        <f t="shared" si="552"/>
        <v>Barry John</v>
      </c>
      <c r="E1658" s="15" t="str">
        <f t="shared" si="553"/>
        <v>14 Bachmann Drive</v>
      </c>
      <c r="F1658" s="15" t="str">
        <f t="shared" si="554"/>
        <v>Alleena</v>
      </c>
      <c r="G1658" s="15" t="str">
        <f t="shared" si="555"/>
        <v>NSW</v>
      </c>
      <c r="H1658" s="15">
        <f t="shared" si="556"/>
        <v>2671</v>
      </c>
      <c r="I1658" s="15">
        <f t="shared" si="567"/>
        <v>988</v>
      </c>
      <c r="J1658" s="15">
        <f>OrdersTable!B1658</f>
        <v>834</v>
      </c>
      <c r="K1658" s="15" t="str">
        <f t="shared" si="557"/>
        <v>Statues and Busts</v>
      </c>
      <c r="L1658" s="15" t="str">
        <f t="shared" si="558"/>
        <v>Doctor Who: Signature Edition Statue: Gallifrey Edition: Matt Smith</v>
      </c>
      <c r="M1658" s="15" t="str">
        <f t="shared" si="559"/>
        <v>-</v>
      </c>
      <c r="N1658" s="15">
        <f t="shared" si="560"/>
        <v>2.5</v>
      </c>
      <c r="O1658" s="15" t="str">
        <f t="shared" si="561"/>
        <v>A30</v>
      </c>
      <c r="P1658" s="15" t="str">
        <f t="shared" si="562"/>
        <v>Chesterton Enterprises</v>
      </c>
      <c r="Q1658" s="15" t="str">
        <f t="shared" si="563"/>
        <v>41 William Russell Road</v>
      </c>
      <c r="R1658" s="3">
        <f>OrdersTable!C1658</f>
        <v>44679</v>
      </c>
      <c r="S1658" s="15">
        <f>OrdersTable!E1658</f>
        <v>10</v>
      </c>
      <c r="T1658" s="15">
        <f t="shared" si="564"/>
        <v>49.99</v>
      </c>
      <c r="U1658" s="15">
        <f t="shared" si="565"/>
        <v>68.52</v>
      </c>
      <c r="V1658" s="15">
        <f t="shared" si="566"/>
        <v>80.98</v>
      </c>
      <c r="W1658" s="15">
        <f>IF(MarkupType="Store Markup",ROUND(V1658+V1658*StoreMarkup,2),IF(MarkupType="Supplier Markup",V1658+V1658*SupplierMarkup,"Error at finding value"))</f>
        <v>127.54</v>
      </c>
      <c r="X1658" s="32">
        <f t="shared" si="568"/>
        <v>9.09</v>
      </c>
      <c r="Y1658" s="15">
        <f t="shared" si="569"/>
        <v>809.8</v>
      </c>
      <c r="Z1658" s="15">
        <f t="shared" si="570"/>
        <v>1184.5</v>
      </c>
      <c r="AA1658" s="15">
        <f>IF(FreightType="Lethbridge-Stewart Freight ",ROUND(2.99+IF(N1658&gt;0.75,(N1658-0.75)*2.25,0)*S1658,2),IF(MarkupType="Supplier Markup",V1658+V1658*SupplierMarkup,"Error at finding value"))</f>
        <v>42.37</v>
      </c>
      <c r="AB1658" s="15">
        <f t="shared" si="571"/>
        <v>90.9</v>
      </c>
    </row>
    <row r="1659" spans="1:28" x14ac:dyDescent="0.25">
      <c r="A1659" s="16">
        <f>OrdersTable!A1659</f>
        <v>55</v>
      </c>
      <c r="B1659" s="15" t="str">
        <f t="shared" si="551"/>
        <v>Mr</v>
      </c>
      <c r="C1659" s="15" t="str">
        <f t="shared" si="572"/>
        <v>Myers</v>
      </c>
      <c r="D1659" s="15" t="str">
        <f t="shared" si="552"/>
        <v>Luke Charles</v>
      </c>
      <c r="E1659" s="15" t="str">
        <f t="shared" si="553"/>
        <v>25 Penrose Street</v>
      </c>
      <c r="F1659" s="15" t="str">
        <f t="shared" si="554"/>
        <v>Black Hills</v>
      </c>
      <c r="G1659" s="15" t="str">
        <f t="shared" si="555"/>
        <v>TAS</v>
      </c>
      <c r="H1659" s="15">
        <f t="shared" si="556"/>
        <v>7140</v>
      </c>
      <c r="I1659" s="15">
        <f t="shared" si="567"/>
        <v>2191</v>
      </c>
      <c r="J1659" s="15">
        <f>OrdersTable!B1659</f>
        <v>196</v>
      </c>
      <c r="K1659" s="15" t="str">
        <f t="shared" si="557"/>
        <v>Clothing and Apparel</v>
      </c>
      <c r="L1659" s="15" t="str">
        <f t="shared" si="558"/>
        <v>Doctor Who: 12 Foot Tom Baker Scarf</v>
      </c>
      <c r="M1659" s="15" t="str">
        <f t="shared" si="559"/>
        <v>-</v>
      </c>
      <c r="N1659" s="15">
        <f t="shared" si="560"/>
        <v>2.5</v>
      </c>
      <c r="O1659" s="15" t="str">
        <f t="shared" si="561"/>
        <v>A40</v>
      </c>
      <c r="P1659" s="15" t="str">
        <f t="shared" si="562"/>
        <v>Romana Imports</v>
      </c>
      <c r="Q1659" s="15" t="str">
        <f t="shared" si="563"/>
        <v>17 Lalla Ward Road</v>
      </c>
      <c r="R1659" s="3">
        <f>OrdersTable!C1659</f>
        <v>44679</v>
      </c>
      <c r="S1659" s="15">
        <f>OrdersTable!E1659</f>
        <v>2</v>
      </c>
      <c r="T1659" s="15">
        <f t="shared" si="564"/>
        <v>49.99</v>
      </c>
      <c r="U1659" s="15">
        <f t="shared" si="565"/>
        <v>68.28</v>
      </c>
      <c r="V1659" s="15">
        <f t="shared" si="566"/>
        <v>80.98</v>
      </c>
      <c r="W1659" s="15">
        <f>IF(MarkupType="Store Markup",ROUND(V1659+V1659*StoreMarkup,2),IF(MarkupType="Supplier Markup",V1659+V1659*SupplierMarkup,"Error at finding value"))</f>
        <v>127.54</v>
      </c>
      <c r="X1659" s="32" t="str">
        <f t="shared" si="568"/>
        <v>0.00</v>
      </c>
      <c r="Y1659" s="15">
        <f t="shared" si="569"/>
        <v>161.96</v>
      </c>
      <c r="Z1659" s="15">
        <f t="shared" si="570"/>
        <v>255.08</v>
      </c>
      <c r="AA1659" s="15">
        <f>IF(FreightType="Lethbridge-Stewart Freight ",ROUND(2.99+IF(N1659&gt;0.75,(N1659-0.75)*2.25,0)*S1659,2),IF(MarkupType="Supplier Markup",V1659+V1659*SupplierMarkup,"Error at finding value"))</f>
        <v>10.87</v>
      </c>
      <c r="AB1659" s="15">
        <f t="shared" si="571"/>
        <v>0</v>
      </c>
    </row>
    <row r="1660" spans="1:28" x14ac:dyDescent="0.25">
      <c r="A1660" s="16">
        <f>OrdersTable!A1660</f>
        <v>112</v>
      </c>
      <c r="B1660" s="15" t="str">
        <f t="shared" si="551"/>
        <v>Mr</v>
      </c>
      <c r="C1660" s="15" t="str">
        <f t="shared" si="572"/>
        <v>Dahal</v>
      </c>
      <c r="D1660" s="15" t="str">
        <f t="shared" si="552"/>
        <v>Subash</v>
      </c>
      <c r="E1660" s="15" t="str">
        <f t="shared" si="553"/>
        <v>121-127 Railway Pde, Granville, NSW 2142</v>
      </c>
      <c r="F1660" s="15" t="str">
        <f t="shared" si="554"/>
        <v>Granville</v>
      </c>
      <c r="G1660" s="15" t="str">
        <f t="shared" si="555"/>
        <v>NSW</v>
      </c>
      <c r="H1660" s="15">
        <f t="shared" si="556"/>
        <v>2142</v>
      </c>
      <c r="I1660" s="15">
        <f t="shared" si="567"/>
        <v>907</v>
      </c>
      <c r="J1660" s="15">
        <f>OrdersTable!B1660</f>
        <v>782</v>
      </c>
      <c r="K1660" s="15" t="str">
        <f t="shared" si="557"/>
        <v>Statues and Busts</v>
      </c>
      <c r="L1660" s="15" t="str">
        <f t="shared" si="558"/>
        <v>Doctor Who: Masterpiece Collection Maxi Bust: 10th Doctor</v>
      </c>
      <c r="M1660" s="15" t="str">
        <f t="shared" si="559"/>
        <v>-</v>
      </c>
      <c r="N1660" s="15">
        <f t="shared" si="560"/>
        <v>2.5</v>
      </c>
      <c r="O1660" s="15" t="str">
        <f t="shared" si="561"/>
        <v>A30</v>
      </c>
      <c r="P1660" s="15" t="str">
        <f t="shared" si="562"/>
        <v>Chesterton Enterprises</v>
      </c>
      <c r="Q1660" s="15" t="str">
        <f t="shared" si="563"/>
        <v>41 William Russell Road</v>
      </c>
      <c r="R1660" s="3">
        <f>OrdersTable!C1660</f>
        <v>44679</v>
      </c>
      <c r="S1660" s="15">
        <f>OrdersTable!E1660</f>
        <v>1</v>
      </c>
      <c r="T1660" s="15">
        <f t="shared" si="564"/>
        <v>49.99</v>
      </c>
      <c r="U1660" s="15">
        <f t="shared" si="565"/>
        <v>68.5</v>
      </c>
      <c r="V1660" s="15">
        <f t="shared" si="566"/>
        <v>80.98</v>
      </c>
      <c r="W1660" s="15">
        <f>IF(MarkupType="Store Markup",ROUND(V1660+V1660*StoreMarkup,2),IF(MarkupType="Supplier Markup",V1660+V1660*SupplierMarkup,"Error at finding value"))</f>
        <v>127.54</v>
      </c>
      <c r="X1660" s="32" t="str">
        <f t="shared" si="568"/>
        <v>0.00</v>
      </c>
      <c r="Y1660" s="15">
        <f t="shared" si="569"/>
        <v>80.98</v>
      </c>
      <c r="Z1660" s="15">
        <f t="shared" si="570"/>
        <v>127.54</v>
      </c>
      <c r="AA1660" s="15">
        <f>IF(FreightType="Lethbridge-Stewart Freight ",ROUND(2.99+IF(N1660&gt;0.75,(N1660-0.75)*2.25,0)*S1660,2),IF(MarkupType="Supplier Markup",V1660+V1660*SupplierMarkup,"Error at finding value"))</f>
        <v>6.93</v>
      </c>
      <c r="AB1660" s="15">
        <f t="shared" si="571"/>
        <v>0</v>
      </c>
    </row>
    <row r="1661" spans="1:28" x14ac:dyDescent="0.25">
      <c r="A1661" s="16">
        <f>OrdersTable!A1661</f>
        <v>146</v>
      </c>
      <c r="B1661" s="15" t="str">
        <f t="shared" si="551"/>
        <v>Miss</v>
      </c>
      <c r="C1661" s="15" t="str">
        <f t="shared" si="572"/>
        <v>Brown</v>
      </c>
      <c r="D1661" s="15" t="str">
        <f t="shared" si="552"/>
        <v>Sarah Danielle</v>
      </c>
      <c r="E1661" s="15" t="str">
        <f t="shared" si="553"/>
        <v>50 Brieschke Court</v>
      </c>
      <c r="F1661" s="15" t="str">
        <f t="shared" si="554"/>
        <v>Bray Park</v>
      </c>
      <c r="G1661" s="15" t="str">
        <f t="shared" si="555"/>
        <v>QLD</v>
      </c>
      <c r="H1661" s="15">
        <f t="shared" si="556"/>
        <v>4500</v>
      </c>
      <c r="I1661" s="15">
        <f t="shared" si="567"/>
        <v>139</v>
      </c>
      <c r="J1661" s="15">
        <f>OrdersTable!B1661</f>
        <v>740</v>
      </c>
      <c r="K1661" s="15" t="str">
        <f t="shared" si="557"/>
        <v>Props and Replicas</v>
      </c>
      <c r="L1661" s="15" t="str">
        <f t="shared" si="558"/>
        <v>Doctor Who: River Song Squareness Blaster</v>
      </c>
      <c r="M1661" s="15" t="str">
        <f t="shared" si="559"/>
        <v>-</v>
      </c>
      <c r="N1661" s="15">
        <f t="shared" si="560"/>
        <v>14.8</v>
      </c>
      <c r="O1661" s="15" t="str">
        <f t="shared" si="561"/>
        <v>A40</v>
      </c>
      <c r="P1661" s="15" t="str">
        <f t="shared" si="562"/>
        <v>Romana Imports</v>
      </c>
      <c r="Q1661" s="15" t="str">
        <f t="shared" si="563"/>
        <v>17 Lalla Ward Road</v>
      </c>
      <c r="R1661" s="3">
        <f>OrdersTable!C1661</f>
        <v>44679</v>
      </c>
      <c r="S1661" s="15">
        <f>OrdersTable!E1661</f>
        <v>9</v>
      </c>
      <c r="T1661" s="15">
        <f t="shared" si="564"/>
        <v>295.99</v>
      </c>
      <c r="U1661" s="15">
        <f t="shared" si="565"/>
        <v>403.84</v>
      </c>
      <c r="V1661" s="15">
        <f t="shared" si="566"/>
        <v>479.5</v>
      </c>
      <c r="W1661" s="15">
        <f>IF(MarkupType="Store Markup",ROUND(V1661+V1661*StoreMarkup,2),IF(MarkupType="Supplier Markup",V1661+V1661*SupplierMarkup,"Error at finding value"))</f>
        <v>755.21</v>
      </c>
      <c r="X1661" s="32">
        <f t="shared" si="568"/>
        <v>53.81</v>
      </c>
      <c r="Y1661" s="15">
        <f t="shared" si="569"/>
        <v>4315.5</v>
      </c>
      <c r="Z1661" s="15">
        <f t="shared" si="570"/>
        <v>6312.6</v>
      </c>
      <c r="AA1661" s="15">
        <f>IF(FreightType="Lethbridge-Stewart Freight ",ROUND(2.99+IF(N1661&gt;0.75,(N1661-0.75)*2.25,0)*S1661,2),IF(MarkupType="Supplier Markup",V1661+V1661*SupplierMarkup,"Error at finding value"))</f>
        <v>287.5</v>
      </c>
      <c r="AB1661" s="15">
        <f t="shared" si="571"/>
        <v>484.29</v>
      </c>
    </row>
    <row r="1662" spans="1:28" x14ac:dyDescent="0.25">
      <c r="A1662" s="16">
        <f>OrdersTable!A1662</f>
        <v>323</v>
      </c>
      <c r="B1662" s="15" t="str">
        <f t="shared" si="551"/>
        <v>Dr</v>
      </c>
      <c r="C1662" s="15" t="str">
        <f t="shared" si="572"/>
        <v>King</v>
      </c>
      <c r="D1662" s="15" t="str">
        <f t="shared" si="552"/>
        <v>Leith</v>
      </c>
      <c r="E1662" s="15" t="str">
        <f t="shared" si="553"/>
        <v>25 Carbone Court</v>
      </c>
      <c r="F1662" s="15" t="str">
        <f t="shared" si="554"/>
        <v>Nayook</v>
      </c>
      <c r="G1662" s="15" t="str">
        <f t="shared" si="555"/>
        <v>VIC</v>
      </c>
      <c r="H1662" s="15">
        <f t="shared" si="556"/>
        <v>3832</v>
      </c>
      <c r="I1662" s="15">
        <f t="shared" si="567"/>
        <v>1552</v>
      </c>
      <c r="J1662" s="15">
        <f>OrdersTable!B1662</f>
        <v>782</v>
      </c>
      <c r="K1662" s="15" t="str">
        <f t="shared" si="557"/>
        <v>Statues and Busts</v>
      </c>
      <c r="L1662" s="15" t="str">
        <f t="shared" si="558"/>
        <v>Doctor Who: Masterpiece Collection Maxi Bust: 10th Doctor</v>
      </c>
      <c r="M1662" s="15" t="str">
        <f t="shared" si="559"/>
        <v>-</v>
      </c>
      <c r="N1662" s="15">
        <f t="shared" si="560"/>
        <v>2.5</v>
      </c>
      <c r="O1662" s="15" t="str">
        <f t="shared" si="561"/>
        <v>A30</v>
      </c>
      <c r="P1662" s="15" t="str">
        <f t="shared" si="562"/>
        <v>Chesterton Enterprises</v>
      </c>
      <c r="Q1662" s="15" t="str">
        <f t="shared" si="563"/>
        <v>41 William Russell Road</v>
      </c>
      <c r="R1662" s="3">
        <f>OrdersTable!C1662</f>
        <v>44679</v>
      </c>
      <c r="S1662" s="15">
        <f>OrdersTable!E1662</f>
        <v>5</v>
      </c>
      <c r="T1662" s="15">
        <f t="shared" si="564"/>
        <v>49.99</v>
      </c>
      <c r="U1662" s="15">
        <f t="shared" si="565"/>
        <v>68.5</v>
      </c>
      <c r="V1662" s="15">
        <f t="shared" si="566"/>
        <v>80.98</v>
      </c>
      <c r="W1662" s="15">
        <f>IF(MarkupType="Store Markup",ROUND(V1662+V1662*StoreMarkup,2),IF(MarkupType="Supplier Markup",V1662+V1662*SupplierMarkup,"Error at finding value"))</f>
        <v>127.54</v>
      </c>
      <c r="X1662" s="32">
        <f t="shared" si="568"/>
        <v>9.09</v>
      </c>
      <c r="Y1662" s="15">
        <f t="shared" si="569"/>
        <v>404.9</v>
      </c>
      <c r="Z1662" s="15">
        <f t="shared" si="570"/>
        <v>592.25</v>
      </c>
      <c r="AA1662" s="15">
        <f>IF(FreightType="Lethbridge-Stewart Freight ",ROUND(2.99+IF(N1662&gt;0.75,(N1662-0.75)*2.25,0)*S1662,2),IF(MarkupType="Supplier Markup",V1662+V1662*SupplierMarkup,"Error at finding value"))</f>
        <v>22.68</v>
      </c>
      <c r="AB1662" s="15">
        <f t="shared" si="571"/>
        <v>45.45</v>
      </c>
    </row>
    <row r="1663" spans="1:28" x14ac:dyDescent="0.25">
      <c r="A1663" s="16">
        <f>OrdersTable!A1663</f>
        <v>330</v>
      </c>
      <c r="B1663" s="15" t="str">
        <f t="shared" si="551"/>
        <v>Mr</v>
      </c>
      <c r="C1663" s="15" t="str">
        <f t="shared" si="572"/>
        <v>Liesegang</v>
      </c>
      <c r="D1663" s="15" t="str">
        <f t="shared" si="552"/>
        <v>Darcey Michelle</v>
      </c>
      <c r="E1663" s="15" t="str">
        <f t="shared" si="553"/>
        <v>50 McCann Drive</v>
      </c>
      <c r="F1663" s="15" t="str">
        <f t="shared" si="554"/>
        <v>Binduli</v>
      </c>
      <c r="G1663" s="15" t="str">
        <f t="shared" si="555"/>
        <v>WA</v>
      </c>
      <c r="H1663" s="15">
        <f t="shared" si="556"/>
        <v>6430</v>
      </c>
      <c r="I1663" s="15">
        <f t="shared" si="567"/>
        <v>3543</v>
      </c>
      <c r="J1663" s="15">
        <f>OrdersTable!B1663</f>
        <v>436</v>
      </c>
      <c r="K1663" s="15" t="str">
        <f t="shared" si="557"/>
        <v>Giftware</v>
      </c>
      <c r="L1663" s="15" t="str">
        <f t="shared" si="558"/>
        <v>Doctor Who: Adult Watch: TARDIS</v>
      </c>
      <c r="M1663" s="15" t="str">
        <f t="shared" si="559"/>
        <v>-</v>
      </c>
      <c r="N1663" s="15">
        <f t="shared" si="560"/>
        <v>1.5</v>
      </c>
      <c r="O1663" s="15" t="str">
        <f t="shared" si="561"/>
        <v>A20</v>
      </c>
      <c r="P1663" s="15" t="str">
        <f t="shared" si="562"/>
        <v>Morbius Inc.</v>
      </c>
      <c r="Q1663" s="15" t="str">
        <f t="shared" si="563"/>
        <v>56 Michael Spice Hwy</v>
      </c>
      <c r="R1663" s="3">
        <f>OrdersTable!C1663</f>
        <v>44679</v>
      </c>
      <c r="S1663" s="15">
        <f>OrdersTable!E1663</f>
        <v>4</v>
      </c>
      <c r="T1663" s="15">
        <f t="shared" si="564"/>
        <v>29.99</v>
      </c>
      <c r="U1663" s="15">
        <f t="shared" si="565"/>
        <v>40.96</v>
      </c>
      <c r="V1663" s="15">
        <f t="shared" si="566"/>
        <v>48.58</v>
      </c>
      <c r="W1663" s="15">
        <f>IF(MarkupType="Store Markup",ROUND(V1663+V1663*StoreMarkup,2),IF(MarkupType="Supplier Markup",V1663+V1663*SupplierMarkup,"Error at finding value"))</f>
        <v>76.510000000000005</v>
      </c>
      <c r="X1663" s="32" t="str">
        <f t="shared" si="568"/>
        <v>0.00</v>
      </c>
      <c r="Y1663" s="15">
        <f t="shared" si="569"/>
        <v>194.32</v>
      </c>
      <c r="Z1663" s="15">
        <f t="shared" si="570"/>
        <v>306.04000000000002</v>
      </c>
      <c r="AA1663" s="15">
        <f>IF(FreightType="Lethbridge-Stewart Freight ",ROUND(2.99+IF(N1663&gt;0.75,(N1663-0.75)*2.25,0)*S1663,2),IF(MarkupType="Supplier Markup",V1663+V1663*SupplierMarkup,"Error at finding value"))</f>
        <v>9.74</v>
      </c>
      <c r="AB1663" s="15">
        <f t="shared" si="571"/>
        <v>0</v>
      </c>
    </row>
    <row r="1664" spans="1:28" x14ac:dyDescent="0.25">
      <c r="A1664" s="16">
        <f>OrdersTable!A1664</f>
        <v>489</v>
      </c>
      <c r="B1664" s="15" t="str">
        <f t="shared" si="551"/>
        <v>Mr</v>
      </c>
      <c r="C1664" s="15" t="str">
        <f t="shared" si="572"/>
        <v>Edwards</v>
      </c>
      <c r="D1664" s="15" t="str">
        <f t="shared" si="552"/>
        <v>Luke Russell</v>
      </c>
      <c r="E1664" s="15" t="str">
        <f t="shared" si="553"/>
        <v>43 Valusaga Court</v>
      </c>
      <c r="F1664" s="15" t="str">
        <f t="shared" si="554"/>
        <v>Alfredtown</v>
      </c>
      <c r="G1664" s="15" t="str">
        <f t="shared" si="555"/>
        <v>NSW</v>
      </c>
      <c r="H1664" s="15">
        <f t="shared" si="556"/>
        <v>2650</v>
      </c>
      <c r="I1664" s="15">
        <f t="shared" si="567"/>
        <v>1124</v>
      </c>
      <c r="J1664" s="15">
        <f>OrdersTable!B1664</f>
        <v>358</v>
      </c>
      <c r="K1664" s="15" t="str">
        <f t="shared" si="557"/>
        <v>Clothing and Apparel</v>
      </c>
      <c r="L1664" s="15" t="str">
        <f t="shared" si="558"/>
        <v xml:space="preserve">Doctor Who: T-Shirts: 5th Doctor Costume </v>
      </c>
      <c r="M1664" s="15" t="str">
        <f t="shared" si="559"/>
        <v>M</v>
      </c>
      <c r="N1664" s="15">
        <f t="shared" si="560"/>
        <v>0.8</v>
      </c>
      <c r="O1664" s="15" t="str">
        <f t="shared" si="561"/>
        <v>A30</v>
      </c>
      <c r="P1664" s="15" t="str">
        <f t="shared" si="562"/>
        <v>Chesterton Enterprises</v>
      </c>
      <c r="Q1664" s="15" t="str">
        <f t="shared" si="563"/>
        <v>41 William Russell Road</v>
      </c>
      <c r="R1664" s="3">
        <f>OrdersTable!C1664</f>
        <v>44679</v>
      </c>
      <c r="S1664" s="15">
        <f>OrdersTable!E1664</f>
        <v>5</v>
      </c>
      <c r="T1664" s="15">
        <f t="shared" si="564"/>
        <v>15.99</v>
      </c>
      <c r="U1664" s="15">
        <f t="shared" si="565"/>
        <v>21.96</v>
      </c>
      <c r="V1664" s="15">
        <f t="shared" si="566"/>
        <v>25.9</v>
      </c>
      <c r="W1664" s="15">
        <f>IF(MarkupType="Store Markup",ROUND(V1664+V1664*StoreMarkup,2),IF(MarkupType="Supplier Markup",V1664+V1664*SupplierMarkup,"Error at finding value"))</f>
        <v>40.79</v>
      </c>
      <c r="X1664" s="32" t="str">
        <f t="shared" si="568"/>
        <v>0.00</v>
      </c>
      <c r="Y1664" s="15">
        <f t="shared" si="569"/>
        <v>129.5</v>
      </c>
      <c r="Z1664" s="15">
        <f t="shared" si="570"/>
        <v>203.95</v>
      </c>
      <c r="AA1664" s="15">
        <f>IF(FreightType="Lethbridge-Stewart Freight ",ROUND(2.99+IF(N1664&gt;0.75,(N1664-0.75)*2.25,0)*S1664,2),IF(MarkupType="Supplier Markup",V1664+V1664*SupplierMarkup,"Error at finding value"))</f>
        <v>3.55</v>
      </c>
      <c r="AB1664" s="15">
        <f t="shared" si="571"/>
        <v>0</v>
      </c>
    </row>
    <row r="1665" spans="1:28" x14ac:dyDescent="0.25">
      <c r="A1665" s="16">
        <f>OrdersTable!A1665</f>
        <v>610</v>
      </c>
      <c r="B1665" s="15" t="str">
        <f t="shared" si="551"/>
        <v>Ms</v>
      </c>
      <c r="C1665" s="15" t="str">
        <f t="shared" si="572"/>
        <v>Bichel</v>
      </c>
      <c r="D1665" s="15" t="str">
        <f t="shared" si="552"/>
        <v>Abbey Kate</v>
      </c>
      <c r="E1665" s="15" t="str">
        <f t="shared" si="553"/>
        <v>32 Rambau Avenue</v>
      </c>
      <c r="F1665" s="15" t="str">
        <f t="shared" si="554"/>
        <v>Bamboo</v>
      </c>
      <c r="G1665" s="15" t="str">
        <f t="shared" si="555"/>
        <v>QLD</v>
      </c>
      <c r="H1665" s="15">
        <f t="shared" si="556"/>
        <v>4873</v>
      </c>
      <c r="I1665" s="15">
        <f t="shared" si="567"/>
        <v>1741</v>
      </c>
      <c r="J1665" s="15">
        <f>OrdersTable!B1665</f>
        <v>813</v>
      </c>
      <c r="K1665" s="15" t="str">
        <f t="shared" si="557"/>
        <v>Statues and Busts</v>
      </c>
      <c r="L1665" s="15" t="str">
        <f t="shared" si="558"/>
        <v>Doctor Who: Masterpiece Collection Maxi Bust: Leela</v>
      </c>
      <c r="M1665" s="15" t="str">
        <f t="shared" si="559"/>
        <v>-</v>
      </c>
      <c r="N1665" s="15">
        <f t="shared" si="560"/>
        <v>2.5</v>
      </c>
      <c r="O1665" s="15" t="str">
        <f t="shared" si="561"/>
        <v>A30</v>
      </c>
      <c r="P1665" s="15" t="str">
        <f t="shared" si="562"/>
        <v>Chesterton Enterprises</v>
      </c>
      <c r="Q1665" s="15" t="str">
        <f t="shared" si="563"/>
        <v>41 William Russell Road</v>
      </c>
      <c r="R1665" s="3">
        <f>OrdersTable!C1665</f>
        <v>44679</v>
      </c>
      <c r="S1665" s="15">
        <f>OrdersTable!E1665</f>
        <v>4</v>
      </c>
      <c r="T1665" s="15">
        <f t="shared" si="564"/>
        <v>49.99</v>
      </c>
      <c r="U1665" s="15">
        <f t="shared" si="565"/>
        <v>68.319999999999993</v>
      </c>
      <c r="V1665" s="15">
        <f t="shared" si="566"/>
        <v>80.98</v>
      </c>
      <c r="W1665" s="15">
        <f>IF(MarkupType="Store Markup",ROUND(V1665+V1665*StoreMarkup,2),IF(MarkupType="Supplier Markup",V1665+V1665*SupplierMarkup,"Error at finding value"))</f>
        <v>127.54</v>
      </c>
      <c r="X1665" s="32">
        <f t="shared" si="568"/>
        <v>9.09</v>
      </c>
      <c r="Y1665" s="15">
        <f t="shared" si="569"/>
        <v>323.92</v>
      </c>
      <c r="Z1665" s="15">
        <f t="shared" si="570"/>
        <v>473.8</v>
      </c>
      <c r="AA1665" s="15">
        <f>IF(FreightType="Lethbridge-Stewart Freight ",ROUND(2.99+IF(N1665&gt;0.75,(N1665-0.75)*2.25,0)*S1665,2),IF(MarkupType="Supplier Markup",V1665+V1665*SupplierMarkup,"Error at finding value"))</f>
        <v>18.739999999999998</v>
      </c>
      <c r="AB1665" s="15">
        <f t="shared" si="571"/>
        <v>36.36</v>
      </c>
    </row>
    <row r="1666" spans="1:28" x14ac:dyDescent="0.25">
      <c r="A1666" s="16">
        <f>OrdersTable!A1666</f>
        <v>611</v>
      </c>
      <c r="B1666" s="15" t="str">
        <f t="shared" si="551"/>
        <v>Mr</v>
      </c>
      <c r="C1666" s="15" t="str">
        <f t="shared" si="572"/>
        <v>Wittman</v>
      </c>
      <c r="D1666" s="15" t="str">
        <f t="shared" si="552"/>
        <v>Nicholas Jackson</v>
      </c>
      <c r="E1666" s="15" t="str">
        <f t="shared" si="553"/>
        <v>48 Sheppard-Kadel Way</v>
      </c>
      <c r="F1666" s="15" t="str">
        <f t="shared" si="554"/>
        <v>Nayook</v>
      </c>
      <c r="G1666" s="15" t="str">
        <f t="shared" si="555"/>
        <v>VIC</v>
      </c>
      <c r="H1666" s="15">
        <f t="shared" si="556"/>
        <v>3832</v>
      </c>
      <c r="I1666" s="15">
        <f t="shared" si="567"/>
        <v>1552</v>
      </c>
      <c r="J1666" s="15">
        <f>OrdersTable!B1666</f>
        <v>817</v>
      </c>
      <c r="K1666" s="15" t="str">
        <f t="shared" si="557"/>
        <v>Statues and Busts</v>
      </c>
      <c r="L1666" s="15" t="str">
        <f t="shared" si="558"/>
        <v>Doctor Who: Masterpiece Collection Maxi Bust: Torchwood Captain Jack Harkness</v>
      </c>
      <c r="M1666" s="15" t="str">
        <f t="shared" si="559"/>
        <v>-</v>
      </c>
      <c r="N1666" s="15">
        <f t="shared" si="560"/>
        <v>2.5</v>
      </c>
      <c r="O1666" s="15" t="str">
        <f t="shared" si="561"/>
        <v>A10</v>
      </c>
      <c r="P1666" s="15" t="str">
        <f t="shared" si="562"/>
        <v>Gallifrey International</v>
      </c>
      <c r="Q1666" s="15" t="str">
        <f t="shared" si="563"/>
        <v>181 Arcadia Street</v>
      </c>
      <c r="R1666" s="3">
        <f>OrdersTable!C1666</f>
        <v>44679</v>
      </c>
      <c r="S1666" s="15">
        <f>OrdersTable!E1666</f>
        <v>4</v>
      </c>
      <c r="T1666" s="15">
        <f t="shared" si="564"/>
        <v>49.99</v>
      </c>
      <c r="U1666" s="15">
        <f t="shared" si="565"/>
        <v>68.44</v>
      </c>
      <c r="V1666" s="15">
        <f t="shared" si="566"/>
        <v>80.98</v>
      </c>
      <c r="W1666" s="15">
        <f>IF(MarkupType="Store Markup",ROUND(V1666+V1666*StoreMarkup,2),IF(MarkupType="Supplier Markup",V1666+V1666*SupplierMarkup,"Error at finding value"))</f>
        <v>127.54</v>
      </c>
      <c r="X1666" s="32">
        <f t="shared" si="568"/>
        <v>9.09</v>
      </c>
      <c r="Y1666" s="15">
        <f t="shared" si="569"/>
        <v>323.92</v>
      </c>
      <c r="Z1666" s="15">
        <f t="shared" si="570"/>
        <v>473.8</v>
      </c>
      <c r="AA1666" s="15">
        <f>IF(FreightType="Lethbridge-Stewart Freight ",ROUND(2.99+IF(N1666&gt;0.75,(N1666-0.75)*2.25,0)*S1666,2),IF(MarkupType="Supplier Markup",V1666+V1666*SupplierMarkup,"Error at finding value"))</f>
        <v>18.739999999999998</v>
      </c>
      <c r="AB1666" s="15">
        <f t="shared" si="571"/>
        <v>36.36</v>
      </c>
    </row>
    <row r="1667" spans="1:28" x14ac:dyDescent="0.25">
      <c r="A1667" s="16">
        <f>OrdersTable!A1667</f>
        <v>669</v>
      </c>
      <c r="B1667" s="15" t="str">
        <f t="shared" si="551"/>
        <v>Dr</v>
      </c>
      <c r="C1667" s="15" t="str">
        <f t="shared" si="572"/>
        <v>Ferjani</v>
      </c>
      <c r="D1667" s="15" t="str">
        <f t="shared" si="552"/>
        <v>Rabah</v>
      </c>
      <c r="E1667" s="15" t="str">
        <f t="shared" si="553"/>
        <v>2 Codrington Street</v>
      </c>
      <c r="F1667" s="15" t="str">
        <f t="shared" si="554"/>
        <v>Belford</v>
      </c>
      <c r="G1667" s="15" t="str">
        <f t="shared" si="555"/>
        <v>NSW</v>
      </c>
      <c r="H1667" s="15">
        <f t="shared" si="556"/>
        <v>2335</v>
      </c>
      <c r="I1667" s="15">
        <f t="shared" si="567"/>
        <v>716</v>
      </c>
      <c r="J1667" s="15">
        <f>OrdersTable!B1667</f>
        <v>792</v>
      </c>
      <c r="K1667" s="15" t="str">
        <f t="shared" si="557"/>
        <v>Statues and Busts</v>
      </c>
      <c r="L1667" s="15" t="str">
        <f t="shared" si="558"/>
        <v>Doctor Who: Masterpiece Collection Maxi Bust: 3rd Doctor</v>
      </c>
      <c r="M1667" s="15" t="str">
        <f t="shared" si="559"/>
        <v>-</v>
      </c>
      <c r="N1667" s="15">
        <f t="shared" si="560"/>
        <v>2.5</v>
      </c>
      <c r="O1667" s="15" t="str">
        <f t="shared" si="561"/>
        <v>A20</v>
      </c>
      <c r="P1667" s="15" t="str">
        <f t="shared" si="562"/>
        <v>Morbius Inc.</v>
      </c>
      <c r="Q1667" s="15" t="str">
        <f t="shared" si="563"/>
        <v>56 Michael Spice Hwy</v>
      </c>
      <c r="R1667" s="3">
        <f>OrdersTable!C1667</f>
        <v>44679</v>
      </c>
      <c r="S1667" s="15">
        <f>OrdersTable!E1667</f>
        <v>1</v>
      </c>
      <c r="T1667" s="15">
        <f t="shared" si="564"/>
        <v>49.99</v>
      </c>
      <c r="U1667" s="15">
        <f t="shared" si="565"/>
        <v>68.39</v>
      </c>
      <c r="V1667" s="15">
        <f t="shared" si="566"/>
        <v>80.98</v>
      </c>
      <c r="W1667" s="15">
        <f>IF(MarkupType="Store Markup",ROUND(V1667+V1667*StoreMarkup,2),IF(MarkupType="Supplier Markup",V1667+V1667*SupplierMarkup,"Error at finding value"))</f>
        <v>127.54</v>
      </c>
      <c r="X1667" s="32" t="str">
        <f t="shared" si="568"/>
        <v>0.00</v>
      </c>
      <c r="Y1667" s="15">
        <f t="shared" si="569"/>
        <v>80.98</v>
      </c>
      <c r="Z1667" s="15">
        <f t="shared" si="570"/>
        <v>127.54</v>
      </c>
      <c r="AA1667" s="15">
        <f>IF(FreightType="Lethbridge-Stewart Freight ",ROUND(2.99+IF(N1667&gt;0.75,(N1667-0.75)*2.25,0)*S1667,2),IF(MarkupType="Supplier Markup",V1667+V1667*SupplierMarkup,"Error at finding value"))</f>
        <v>6.93</v>
      </c>
      <c r="AB1667" s="15">
        <f t="shared" si="571"/>
        <v>0</v>
      </c>
    </row>
    <row r="1668" spans="1:28" x14ac:dyDescent="0.25">
      <c r="A1668" s="16">
        <f>OrdersTable!A1668</f>
        <v>758</v>
      </c>
      <c r="B1668" s="15" t="str">
        <f t="shared" ref="B1668:B1731" si="573">VLOOKUP($A1668,Cust,2,0)</f>
        <v>Mr</v>
      </c>
      <c r="C1668" s="15" t="str">
        <f t="shared" si="572"/>
        <v>Whitehorn</v>
      </c>
      <c r="D1668" s="15" t="str">
        <f t="shared" ref="D1668:D1731" si="574">VLOOKUP($A1668,Cust,4,0)</f>
        <v>James</v>
      </c>
      <c r="E1668" s="15" t="str">
        <f t="shared" ref="E1668:E1731" si="575">VLOOKUP($A1668,Cust,6,0)</f>
        <v>32 Raubenheimer Circuit</v>
      </c>
      <c r="F1668" s="15" t="str">
        <f t="shared" ref="F1668:F1731" si="576">VLOOKUP($A1668,Cust,7,0)</f>
        <v>Belconnen</v>
      </c>
      <c r="G1668" s="15" t="str">
        <f t="shared" ref="G1668:G1731" si="577">VLOOKUP($A1668,Cust,8,0)</f>
        <v>ACT</v>
      </c>
      <c r="H1668" s="15">
        <f t="shared" ref="H1668:H1731" si="578">VLOOKUP($A1668,Cust,9,0)</f>
        <v>2617</v>
      </c>
      <c r="I1668" s="15">
        <f t="shared" si="567"/>
        <v>1194</v>
      </c>
      <c r="J1668" s="15">
        <f>OrdersTable!B1668</f>
        <v>817</v>
      </c>
      <c r="K1668" s="15" t="str">
        <f t="shared" ref="K1668:K1731" si="579">VLOOKUP($J1668,Itms,2,0)</f>
        <v>Statues and Busts</v>
      </c>
      <c r="L1668" s="15" t="str">
        <f t="shared" ref="L1668:L1731" si="580">VLOOKUP($J1668,Itms,3,0)</f>
        <v>Doctor Who: Masterpiece Collection Maxi Bust: Torchwood Captain Jack Harkness</v>
      </c>
      <c r="M1668" s="15" t="str">
        <f t="shared" ref="M1668:M1731" si="581">VLOOKUP($J1668,Itms,4,0)</f>
        <v>-</v>
      </c>
      <c r="N1668" s="15">
        <f t="shared" ref="N1668:N1731" si="582">VLOOKUP($J1668,Itms,5,0)</f>
        <v>2.5</v>
      </c>
      <c r="O1668" s="15" t="str">
        <f t="shared" ref="O1668:O1731" si="583">VLOOKUP($J1668,Itms,6,0)</f>
        <v>A10</v>
      </c>
      <c r="P1668" s="15" t="str">
        <f t="shared" ref="P1668:P1731" si="584">VLOOKUP($O1668,Supp,2,0)</f>
        <v>Gallifrey International</v>
      </c>
      <c r="Q1668" s="15" t="str">
        <f t="shared" ref="Q1668:Q1731" si="585">VLOOKUP($O1668,Supp,3,0)</f>
        <v>181 Arcadia Street</v>
      </c>
      <c r="R1668" s="3">
        <f>OrdersTable!C1668</f>
        <v>44679</v>
      </c>
      <c r="S1668" s="15">
        <f>OrdersTable!E1668</f>
        <v>9</v>
      </c>
      <c r="T1668" s="15">
        <f t="shared" ref="T1668:T1731" si="586">VLOOKUP($J1668,Itms,9,0)</f>
        <v>49.99</v>
      </c>
      <c r="U1668" s="15">
        <f t="shared" ref="U1668:U1731" si="587">VLOOKUP($J1668,Itms,10,0)</f>
        <v>68.44</v>
      </c>
      <c r="V1668" s="15">
        <f t="shared" ref="V1668:V1731" si="588">IF(ExchRateType="IR",ROUND(T1668*ExchRateIR,2),IF(ExchRateType="CA",ROUND(U1668*ExchRateCA,2),"Error at finding value"))</f>
        <v>80.98</v>
      </c>
      <c r="W1668" s="15">
        <f>IF(MarkupType="Store Markup",ROUND(V1668+V1668*StoreMarkup,2),IF(MarkupType="Supplier Markup",V1668+V1668*SupplierMarkup,"Error at finding value"))</f>
        <v>127.54</v>
      </c>
      <c r="X1668" s="32">
        <f t="shared" si="568"/>
        <v>9.09</v>
      </c>
      <c r="Y1668" s="15">
        <f t="shared" si="569"/>
        <v>728.82</v>
      </c>
      <c r="Z1668" s="15">
        <f t="shared" si="570"/>
        <v>1066.05</v>
      </c>
      <c r="AA1668" s="15">
        <f>IF(FreightType="Lethbridge-Stewart Freight ",ROUND(2.99+IF(N1668&gt;0.75,(N1668-0.75)*2.25,0)*S1668,2),IF(MarkupType="Supplier Markup",V1668+V1668*SupplierMarkup,"Error at finding value"))</f>
        <v>38.43</v>
      </c>
      <c r="AB1668" s="15">
        <f t="shared" si="571"/>
        <v>81.81</v>
      </c>
    </row>
    <row r="1669" spans="1:28" x14ac:dyDescent="0.25">
      <c r="A1669" s="16">
        <f>OrdersTable!A1669</f>
        <v>823</v>
      </c>
      <c r="B1669" s="15" t="str">
        <f t="shared" si="573"/>
        <v>Mrs</v>
      </c>
      <c r="C1669" s="15" t="str">
        <f t="shared" si="572"/>
        <v>Riordan</v>
      </c>
      <c r="D1669" s="15" t="str">
        <f t="shared" si="574"/>
        <v>Brianna Leigh</v>
      </c>
      <c r="E1669" s="15" t="str">
        <f t="shared" si="575"/>
        <v>7 Boyd Crescent</v>
      </c>
      <c r="F1669" s="15" t="str">
        <f t="shared" si="576"/>
        <v>Bamboo</v>
      </c>
      <c r="G1669" s="15" t="str">
        <f t="shared" si="577"/>
        <v>QLD</v>
      </c>
      <c r="H1669" s="15">
        <f t="shared" si="578"/>
        <v>4873</v>
      </c>
      <c r="I1669" s="15">
        <f t="shared" ref="I1669:I1732" si="589">VLOOKUP($A1669,Cust,10,0)</f>
        <v>1741</v>
      </c>
      <c r="J1669" s="15">
        <f>OrdersTable!B1669</f>
        <v>582</v>
      </c>
      <c r="K1669" s="15" t="str">
        <f t="shared" si="579"/>
        <v>Giftware</v>
      </c>
      <c r="L1669" s="15" t="str">
        <f t="shared" si="580"/>
        <v>Doctor Who: Wallpaper: Classic TARDIS Roundels</v>
      </c>
      <c r="M1669" s="15" t="str">
        <f t="shared" si="581"/>
        <v>-</v>
      </c>
      <c r="N1669" s="15">
        <f t="shared" si="582"/>
        <v>1.75</v>
      </c>
      <c r="O1669" s="15" t="str">
        <f t="shared" si="583"/>
        <v>A40</v>
      </c>
      <c r="P1669" s="15" t="str">
        <f t="shared" si="584"/>
        <v>Romana Imports</v>
      </c>
      <c r="Q1669" s="15" t="str">
        <f t="shared" si="585"/>
        <v>17 Lalla Ward Road</v>
      </c>
      <c r="R1669" s="3">
        <f>OrdersTable!C1669</f>
        <v>44679</v>
      </c>
      <c r="S1669" s="15">
        <f>OrdersTable!E1669</f>
        <v>8</v>
      </c>
      <c r="T1669" s="15">
        <f t="shared" si="586"/>
        <v>34.99</v>
      </c>
      <c r="U1669" s="15">
        <f t="shared" si="587"/>
        <v>47.77</v>
      </c>
      <c r="V1669" s="15">
        <f t="shared" si="588"/>
        <v>56.68</v>
      </c>
      <c r="W1669" s="15">
        <f>IF(MarkupType="Store Markup",ROUND(V1669+V1669*StoreMarkup,2),IF(MarkupType="Supplier Markup",V1669+V1669*SupplierMarkup,"Error at finding value"))</f>
        <v>89.27</v>
      </c>
      <c r="X1669" s="32" t="str">
        <f t="shared" ref="X1669:X1732" si="590">IF(AND(W1669&gt;100,S1669&gt;=3),ROUND(0.07125*W1669,2),"0.00")</f>
        <v>0.00</v>
      </c>
      <c r="Y1669" s="15">
        <f t="shared" ref="Y1669:Y1732" si="591">ROUND(V1669*S1669,2)</f>
        <v>453.44</v>
      </c>
      <c r="Z1669" s="15">
        <f t="shared" ref="Z1669:Z1732" si="592">ROUND((W1669-X1669)*S1669,2)</f>
        <v>714.16</v>
      </c>
      <c r="AA1669" s="15">
        <f>IF(FreightType="Lethbridge-Stewart Freight ",ROUND(2.99+IF(N1669&gt;0.75,(N1669-0.75)*2.25,0)*S1669,2),IF(MarkupType="Supplier Markup",V1669+V1669*SupplierMarkup,"Error at finding value"))</f>
        <v>20.99</v>
      </c>
      <c r="AB1669" s="15">
        <f t="shared" ref="AB1669:AB1732" si="593">ROUND(X1669*S1669,2)</f>
        <v>0</v>
      </c>
    </row>
    <row r="1670" spans="1:28" x14ac:dyDescent="0.25">
      <c r="A1670" s="16">
        <f>OrdersTable!A1670</f>
        <v>972</v>
      </c>
      <c r="B1670" s="15" t="str">
        <f t="shared" si="573"/>
        <v>Miss</v>
      </c>
      <c r="C1670" s="15" t="str">
        <f t="shared" si="572"/>
        <v>Walsh</v>
      </c>
      <c r="D1670" s="15" t="str">
        <f t="shared" si="574"/>
        <v>Alana Jane</v>
      </c>
      <c r="E1670" s="15" t="str">
        <f t="shared" si="575"/>
        <v>40 Betts Crescent</v>
      </c>
      <c r="F1670" s="15" t="str">
        <f t="shared" si="576"/>
        <v>Alleena</v>
      </c>
      <c r="G1670" s="15" t="str">
        <f t="shared" si="577"/>
        <v>NSW</v>
      </c>
      <c r="H1670" s="15">
        <f t="shared" si="578"/>
        <v>2671</v>
      </c>
      <c r="I1670" s="15">
        <f t="shared" si="589"/>
        <v>988</v>
      </c>
      <c r="J1670" s="15">
        <f>OrdersTable!B1670</f>
        <v>373</v>
      </c>
      <c r="K1670" s="15" t="str">
        <f t="shared" si="579"/>
        <v>Clothing and Apparel</v>
      </c>
      <c r="L1670" s="15" t="str">
        <f t="shared" si="580"/>
        <v xml:space="preserve">Doctor Who: T-Shirts: 5th Doctor Costume </v>
      </c>
      <c r="M1670" s="15" t="str">
        <f t="shared" si="581"/>
        <v>L</v>
      </c>
      <c r="N1670" s="15">
        <f t="shared" si="582"/>
        <v>0.8</v>
      </c>
      <c r="O1670" s="15" t="str">
        <f t="shared" si="583"/>
        <v>A20</v>
      </c>
      <c r="P1670" s="15" t="str">
        <f t="shared" si="584"/>
        <v>Morbius Inc.</v>
      </c>
      <c r="Q1670" s="15" t="str">
        <f t="shared" si="585"/>
        <v>56 Michael Spice Hwy</v>
      </c>
      <c r="R1670" s="3">
        <f>OrdersTable!C1670</f>
        <v>44679</v>
      </c>
      <c r="S1670" s="15">
        <f>OrdersTable!E1670</f>
        <v>6</v>
      </c>
      <c r="T1670" s="15">
        <f t="shared" si="586"/>
        <v>15.99</v>
      </c>
      <c r="U1670" s="15">
        <f t="shared" si="587"/>
        <v>22.09</v>
      </c>
      <c r="V1670" s="15">
        <f t="shared" si="588"/>
        <v>25.9</v>
      </c>
      <c r="W1670" s="15">
        <f>IF(MarkupType="Store Markup",ROUND(V1670+V1670*StoreMarkup,2),IF(MarkupType="Supplier Markup",V1670+V1670*SupplierMarkup,"Error at finding value"))</f>
        <v>40.79</v>
      </c>
      <c r="X1670" s="32" t="str">
        <f t="shared" si="590"/>
        <v>0.00</v>
      </c>
      <c r="Y1670" s="15">
        <f t="shared" si="591"/>
        <v>155.4</v>
      </c>
      <c r="Z1670" s="15">
        <f t="shared" si="592"/>
        <v>244.74</v>
      </c>
      <c r="AA1670" s="15">
        <f>IF(FreightType="Lethbridge-Stewart Freight ",ROUND(2.99+IF(N1670&gt;0.75,(N1670-0.75)*2.25,0)*S1670,2),IF(MarkupType="Supplier Markup",V1670+V1670*SupplierMarkup,"Error at finding value"))</f>
        <v>3.67</v>
      </c>
      <c r="AB1670" s="15">
        <f t="shared" si="593"/>
        <v>0</v>
      </c>
    </row>
    <row r="1671" spans="1:28" x14ac:dyDescent="0.25">
      <c r="A1671" s="16">
        <f>OrdersTable!A1671</f>
        <v>226</v>
      </c>
      <c r="B1671" s="15" t="str">
        <f t="shared" si="573"/>
        <v>Ms</v>
      </c>
      <c r="C1671" s="15" t="str">
        <f t="shared" si="572"/>
        <v>Stewart</v>
      </c>
      <c r="D1671" s="15" t="str">
        <f t="shared" si="574"/>
        <v>Jodi Louise</v>
      </c>
      <c r="E1671" s="15" t="str">
        <f t="shared" si="575"/>
        <v>33 Abington Court</v>
      </c>
      <c r="F1671" s="15" t="str">
        <f t="shared" si="576"/>
        <v>Iluka</v>
      </c>
      <c r="G1671" s="15" t="str">
        <f t="shared" si="577"/>
        <v>NSW</v>
      </c>
      <c r="H1671" s="15">
        <f t="shared" si="578"/>
        <v>2466</v>
      </c>
      <c r="I1671" s="15">
        <f t="shared" si="589"/>
        <v>347</v>
      </c>
      <c r="J1671" s="15">
        <f>OrdersTable!B1671</f>
        <v>358</v>
      </c>
      <c r="K1671" s="15" t="str">
        <f t="shared" si="579"/>
        <v>Clothing and Apparel</v>
      </c>
      <c r="L1671" s="15" t="str">
        <f t="shared" si="580"/>
        <v xml:space="preserve">Doctor Who: T-Shirts: 5th Doctor Costume </v>
      </c>
      <c r="M1671" s="15" t="str">
        <f t="shared" si="581"/>
        <v>M</v>
      </c>
      <c r="N1671" s="15">
        <f t="shared" si="582"/>
        <v>0.8</v>
      </c>
      <c r="O1671" s="15" t="str">
        <f t="shared" si="583"/>
        <v>A30</v>
      </c>
      <c r="P1671" s="15" t="str">
        <f t="shared" si="584"/>
        <v>Chesterton Enterprises</v>
      </c>
      <c r="Q1671" s="15" t="str">
        <f t="shared" si="585"/>
        <v>41 William Russell Road</v>
      </c>
      <c r="R1671" s="3">
        <f>OrdersTable!C1671</f>
        <v>44680</v>
      </c>
      <c r="S1671" s="15">
        <f>OrdersTable!E1671</f>
        <v>6</v>
      </c>
      <c r="T1671" s="15">
        <f t="shared" si="586"/>
        <v>15.99</v>
      </c>
      <c r="U1671" s="15">
        <f t="shared" si="587"/>
        <v>21.96</v>
      </c>
      <c r="V1671" s="15">
        <f t="shared" si="588"/>
        <v>25.9</v>
      </c>
      <c r="W1671" s="15">
        <f>IF(MarkupType="Store Markup",ROUND(V1671+V1671*StoreMarkup,2),IF(MarkupType="Supplier Markup",V1671+V1671*SupplierMarkup,"Error at finding value"))</f>
        <v>40.79</v>
      </c>
      <c r="X1671" s="32" t="str">
        <f t="shared" si="590"/>
        <v>0.00</v>
      </c>
      <c r="Y1671" s="15">
        <f t="shared" si="591"/>
        <v>155.4</v>
      </c>
      <c r="Z1671" s="15">
        <f t="shared" si="592"/>
        <v>244.74</v>
      </c>
      <c r="AA1671" s="15">
        <f>IF(FreightType="Lethbridge-Stewart Freight ",ROUND(2.99+IF(N1671&gt;0.75,(N1671-0.75)*2.25,0)*S1671,2),IF(MarkupType="Supplier Markup",V1671+V1671*SupplierMarkup,"Error at finding value"))</f>
        <v>3.67</v>
      </c>
      <c r="AB1671" s="15">
        <f t="shared" si="593"/>
        <v>0</v>
      </c>
    </row>
    <row r="1672" spans="1:28" x14ac:dyDescent="0.25">
      <c r="A1672" s="16">
        <f>OrdersTable!A1672</f>
        <v>284</v>
      </c>
      <c r="B1672" s="15" t="str">
        <f t="shared" si="573"/>
        <v>Mr</v>
      </c>
      <c r="C1672" s="15" t="str">
        <f t="shared" si="572"/>
        <v>Aitcheson</v>
      </c>
      <c r="D1672" s="15" t="str">
        <f t="shared" si="574"/>
        <v>Ben James</v>
      </c>
      <c r="E1672" s="15" t="str">
        <f t="shared" si="575"/>
        <v>32 Evans Avenue</v>
      </c>
      <c r="F1672" s="15" t="str">
        <f t="shared" si="576"/>
        <v>Batlow</v>
      </c>
      <c r="G1672" s="15" t="str">
        <f t="shared" si="577"/>
        <v>NSW</v>
      </c>
      <c r="H1672" s="15">
        <f t="shared" si="578"/>
        <v>2730</v>
      </c>
      <c r="I1672" s="15">
        <f t="shared" si="589"/>
        <v>1138</v>
      </c>
      <c r="J1672" s="15">
        <f>OrdersTable!B1672</f>
        <v>724</v>
      </c>
      <c r="K1672" s="15" t="str">
        <f t="shared" si="579"/>
        <v>Posters, Prints and Standees</v>
      </c>
      <c r="L1672" s="15" t="str">
        <f t="shared" si="580"/>
        <v>Doctor Who: Standee: The 10th Doctor</v>
      </c>
      <c r="M1672" s="15" t="str">
        <f t="shared" si="581"/>
        <v>-</v>
      </c>
      <c r="N1672" s="15">
        <f t="shared" si="582"/>
        <v>1.125</v>
      </c>
      <c r="O1672" s="15" t="str">
        <f t="shared" si="583"/>
        <v>A50</v>
      </c>
      <c r="P1672" s="15" t="str">
        <f t="shared" si="584"/>
        <v>Rassilon Ltd.</v>
      </c>
      <c r="Q1672" s="15" t="str">
        <f t="shared" si="585"/>
        <v>82 Richard Mathews Road</v>
      </c>
      <c r="R1672" s="3">
        <f>OrdersTable!C1672</f>
        <v>44680</v>
      </c>
      <c r="S1672" s="15">
        <f>OrdersTable!E1672</f>
        <v>9</v>
      </c>
      <c r="T1672" s="15">
        <f t="shared" si="586"/>
        <v>22.49</v>
      </c>
      <c r="U1672" s="15">
        <f t="shared" si="587"/>
        <v>30.77</v>
      </c>
      <c r="V1672" s="15">
        <f t="shared" si="588"/>
        <v>36.43</v>
      </c>
      <c r="W1672" s="15">
        <f>IF(MarkupType="Store Markup",ROUND(V1672+V1672*StoreMarkup,2),IF(MarkupType="Supplier Markup",V1672+V1672*SupplierMarkup,"Error at finding value"))</f>
        <v>57.38</v>
      </c>
      <c r="X1672" s="32" t="str">
        <f t="shared" si="590"/>
        <v>0.00</v>
      </c>
      <c r="Y1672" s="15">
        <f t="shared" si="591"/>
        <v>327.87</v>
      </c>
      <c r="Z1672" s="15">
        <f t="shared" si="592"/>
        <v>516.41999999999996</v>
      </c>
      <c r="AA1672" s="15">
        <f>IF(FreightType="Lethbridge-Stewart Freight ",ROUND(2.99+IF(N1672&gt;0.75,(N1672-0.75)*2.25,0)*S1672,2),IF(MarkupType="Supplier Markup",V1672+V1672*SupplierMarkup,"Error at finding value"))</f>
        <v>10.58</v>
      </c>
      <c r="AB1672" s="15">
        <f t="shared" si="593"/>
        <v>0</v>
      </c>
    </row>
    <row r="1673" spans="1:28" x14ac:dyDescent="0.25">
      <c r="A1673" s="16">
        <f>OrdersTable!A1673</f>
        <v>285</v>
      </c>
      <c r="B1673" s="15" t="str">
        <f t="shared" si="573"/>
        <v>Mr</v>
      </c>
      <c r="C1673" s="15" t="str">
        <f t="shared" si="572"/>
        <v>Temple Morgan</v>
      </c>
      <c r="D1673" s="15" t="str">
        <f t="shared" si="574"/>
        <v>Mathew Peter</v>
      </c>
      <c r="E1673" s="15" t="str">
        <f t="shared" si="575"/>
        <v>19 Tansky Court</v>
      </c>
      <c r="F1673" s="15" t="str">
        <f t="shared" si="576"/>
        <v>Belford</v>
      </c>
      <c r="G1673" s="15" t="str">
        <f t="shared" si="577"/>
        <v>NSW</v>
      </c>
      <c r="H1673" s="15">
        <f t="shared" si="578"/>
        <v>2335</v>
      </c>
      <c r="I1673" s="15">
        <f t="shared" si="589"/>
        <v>716</v>
      </c>
      <c r="J1673" s="15">
        <f>OrdersTable!B1673</f>
        <v>725</v>
      </c>
      <c r="K1673" s="15" t="str">
        <f t="shared" si="579"/>
        <v>Props and Replicas</v>
      </c>
      <c r="L1673" s="15" t="str">
        <f t="shared" si="580"/>
        <v>Doctor Who: Captain Jack Sonic Blaster</v>
      </c>
      <c r="M1673" s="15" t="str">
        <f t="shared" si="581"/>
        <v>-</v>
      </c>
      <c r="N1673" s="15">
        <f t="shared" si="582"/>
        <v>14.8</v>
      </c>
      <c r="O1673" s="15" t="str">
        <f t="shared" si="583"/>
        <v>A30</v>
      </c>
      <c r="P1673" s="15" t="str">
        <f t="shared" si="584"/>
        <v>Chesterton Enterprises</v>
      </c>
      <c r="Q1673" s="15" t="str">
        <f t="shared" si="585"/>
        <v>41 William Russell Road</v>
      </c>
      <c r="R1673" s="3">
        <f>OrdersTable!C1673</f>
        <v>44680</v>
      </c>
      <c r="S1673" s="15">
        <f>OrdersTable!E1673</f>
        <v>4</v>
      </c>
      <c r="T1673" s="15">
        <f t="shared" si="586"/>
        <v>295.99</v>
      </c>
      <c r="U1673" s="15">
        <f t="shared" si="587"/>
        <v>403.88</v>
      </c>
      <c r="V1673" s="15">
        <f t="shared" si="588"/>
        <v>479.5</v>
      </c>
      <c r="W1673" s="15">
        <f>IF(MarkupType="Store Markup",ROUND(V1673+V1673*StoreMarkup,2),IF(MarkupType="Supplier Markup",V1673+V1673*SupplierMarkup,"Error at finding value"))</f>
        <v>755.21</v>
      </c>
      <c r="X1673" s="32">
        <f t="shared" si="590"/>
        <v>53.81</v>
      </c>
      <c r="Y1673" s="15">
        <f t="shared" si="591"/>
        <v>1918</v>
      </c>
      <c r="Z1673" s="15">
        <f t="shared" si="592"/>
        <v>2805.6</v>
      </c>
      <c r="AA1673" s="15">
        <f>IF(FreightType="Lethbridge-Stewart Freight ",ROUND(2.99+IF(N1673&gt;0.75,(N1673-0.75)*2.25,0)*S1673,2),IF(MarkupType="Supplier Markup",V1673+V1673*SupplierMarkup,"Error at finding value"))</f>
        <v>129.44</v>
      </c>
      <c r="AB1673" s="15">
        <f t="shared" si="593"/>
        <v>215.24</v>
      </c>
    </row>
    <row r="1674" spans="1:28" x14ac:dyDescent="0.25">
      <c r="A1674" s="16">
        <f>OrdersTable!A1674</f>
        <v>330</v>
      </c>
      <c r="B1674" s="15" t="str">
        <f t="shared" si="573"/>
        <v>Mr</v>
      </c>
      <c r="C1674" s="15" t="str">
        <f t="shared" si="572"/>
        <v>Liesegang</v>
      </c>
      <c r="D1674" s="15" t="str">
        <f t="shared" si="574"/>
        <v>Darcey Michelle</v>
      </c>
      <c r="E1674" s="15" t="str">
        <f t="shared" si="575"/>
        <v>50 McCann Drive</v>
      </c>
      <c r="F1674" s="15" t="str">
        <f t="shared" si="576"/>
        <v>Binduli</v>
      </c>
      <c r="G1674" s="15" t="str">
        <f t="shared" si="577"/>
        <v>WA</v>
      </c>
      <c r="H1674" s="15">
        <f t="shared" si="578"/>
        <v>6430</v>
      </c>
      <c r="I1674" s="15">
        <f t="shared" si="589"/>
        <v>3543</v>
      </c>
      <c r="J1674" s="15">
        <f>OrdersTable!B1674</f>
        <v>757</v>
      </c>
      <c r="K1674" s="15" t="str">
        <f t="shared" si="579"/>
        <v>Statues and Busts</v>
      </c>
      <c r="L1674" s="15" t="str">
        <f t="shared" si="580"/>
        <v>Doctor Who: Helmet: Ice Warrior</v>
      </c>
      <c r="M1674" s="15" t="str">
        <f t="shared" si="581"/>
        <v>-</v>
      </c>
      <c r="N1674" s="15">
        <f t="shared" si="582"/>
        <v>1.75</v>
      </c>
      <c r="O1674" s="15" t="str">
        <f t="shared" si="583"/>
        <v>A20</v>
      </c>
      <c r="P1674" s="15" t="str">
        <f t="shared" si="584"/>
        <v>Morbius Inc.</v>
      </c>
      <c r="Q1674" s="15" t="str">
        <f t="shared" si="585"/>
        <v>56 Michael Spice Hwy</v>
      </c>
      <c r="R1674" s="3">
        <f>OrdersTable!C1674</f>
        <v>44680</v>
      </c>
      <c r="S1674" s="15">
        <f>OrdersTable!E1674</f>
        <v>7</v>
      </c>
      <c r="T1674" s="15">
        <f t="shared" si="586"/>
        <v>34.99</v>
      </c>
      <c r="U1674" s="15">
        <f t="shared" si="587"/>
        <v>47.88</v>
      </c>
      <c r="V1674" s="15">
        <f t="shared" si="588"/>
        <v>56.68</v>
      </c>
      <c r="W1674" s="15">
        <f>IF(MarkupType="Store Markup",ROUND(V1674+V1674*StoreMarkup,2),IF(MarkupType="Supplier Markup",V1674+V1674*SupplierMarkup,"Error at finding value"))</f>
        <v>89.27</v>
      </c>
      <c r="X1674" s="32" t="str">
        <f t="shared" si="590"/>
        <v>0.00</v>
      </c>
      <c r="Y1674" s="15">
        <f t="shared" si="591"/>
        <v>396.76</v>
      </c>
      <c r="Z1674" s="15">
        <f t="shared" si="592"/>
        <v>624.89</v>
      </c>
      <c r="AA1674" s="15">
        <f>IF(FreightType="Lethbridge-Stewart Freight ",ROUND(2.99+IF(N1674&gt;0.75,(N1674-0.75)*2.25,0)*S1674,2),IF(MarkupType="Supplier Markup",V1674+V1674*SupplierMarkup,"Error at finding value"))</f>
        <v>18.739999999999998</v>
      </c>
      <c r="AB1674" s="15">
        <f t="shared" si="593"/>
        <v>0</v>
      </c>
    </row>
    <row r="1675" spans="1:28" x14ac:dyDescent="0.25">
      <c r="A1675" s="16">
        <f>OrdersTable!A1675</f>
        <v>467</v>
      </c>
      <c r="B1675" s="15" t="str">
        <f t="shared" si="573"/>
        <v>Mrs</v>
      </c>
      <c r="C1675" s="15" t="str">
        <f t="shared" ref="C1675:C1738" si="594">VLOOKUP($A1675,Cust,3,0)</f>
        <v>Daniell</v>
      </c>
      <c r="D1675" s="15" t="str">
        <f t="shared" si="574"/>
        <v>Bronte Eliza</v>
      </c>
      <c r="E1675" s="15" t="str">
        <f t="shared" si="575"/>
        <v>41 Wilson Boulevard</v>
      </c>
      <c r="F1675" s="15" t="str">
        <f t="shared" si="576"/>
        <v>Aberfoyle</v>
      </c>
      <c r="G1675" s="15" t="str">
        <f t="shared" si="577"/>
        <v>NSW</v>
      </c>
      <c r="H1675" s="15">
        <f t="shared" si="578"/>
        <v>2350</v>
      </c>
      <c r="I1675" s="15">
        <f t="shared" si="589"/>
        <v>363</v>
      </c>
      <c r="J1675" s="15">
        <f>OrdersTable!B1675</f>
        <v>813</v>
      </c>
      <c r="K1675" s="15" t="str">
        <f t="shared" si="579"/>
        <v>Statues and Busts</v>
      </c>
      <c r="L1675" s="15" t="str">
        <f t="shared" si="580"/>
        <v>Doctor Who: Masterpiece Collection Maxi Bust: Leela</v>
      </c>
      <c r="M1675" s="15" t="str">
        <f t="shared" si="581"/>
        <v>-</v>
      </c>
      <c r="N1675" s="15">
        <f t="shared" si="582"/>
        <v>2.5</v>
      </c>
      <c r="O1675" s="15" t="str">
        <f t="shared" si="583"/>
        <v>A30</v>
      </c>
      <c r="P1675" s="15" t="str">
        <f t="shared" si="584"/>
        <v>Chesterton Enterprises</v>
      </c>
      <c r="Q1675" s="15" t="str">
        <f t="shared" si="585"/>
        <v>41 William Russell Road</v>
      </c>
      <c r="R1675" s="3">
        <f>OrdersTable!C1675</f>
        <v>44680</v>
      </c>
      <c r="S1675" s="15">
        <f>OrdersTable!E1675</f>
        <v>7</v>
      </c>
      <c r="T1675" s="15">
        <f t="shared" si="586"/>
        <v>49.99</v>
      </c>
      <c r="U1675" s="15">
        <f t="shared" si="587"/>
        <v>68.319999999999993</v>
      </c>
      <c r="V1675" s="15">
        <f t="shared" si="588"/>
        <v>80.98</v>
      </c>
      <c r="W1675" s="15">
        <f>IF(MarkupType="Store Markup",ROUND(V1675+V1675*StoreMarkup,2),IF(MarkupType="Supplier Markup",V1675+V1675*SupplierMarkup,"Error at finding value"))</f>
        <v>127.54</v>
      </c>
      <c r="X1675" s="32">
        <f t="shared" si="590"/>
        <v>9.09</v>
      </c>
      <c r="Y1675" s="15">
        <f t="shared" si="591"/>
        <v>566.86</v>
      </c>
      <c r="Z1675" s="15">
        <f t="shared" si="592"/>
        <v>829.15</v>
      </c>
      <c r="AA1675" s="15">
        <f>IF(FreightType="Lethbridge-Stewart Freight ",ROUND(2.99+IF(N1675&gt;0.75,(N1675-0.75)*2.25,0)*S1675,2),IF(MarkupType="Supplier Markup",V1675+V1675*SupplierMarkup,"Error at finding value"))</f>
        <v>30.55</v>
      </c>
      <c r="AB1675" s="15">
        <f t="shared" si="593"/>
        <v>63.63</v>
      </c>
    </row>
    <row r="1676" spans="1:28" x14ac:dyDescent="0.25">
      <c r="A1676" s="16">
        <f>OrdersTable!A1676</f>
        <v>491</v>
      </c>
      <c r="B1676" s="15" t="str">
        <f t="shared" si="573"/>
        <v>Miss</v>
      </c>
      <c r="C1676" s="15" t="str">
        <f t="shared" si="594"/>
        <v>Winks</v>
      </c>
      <c r="D1676" s="15" t="str">
        <f t="shared" si="574"/>
        <v>Lori-Ann</v>
      </c>
      <c r="E1676" s="15" t="str">
        <f t="shared" si="575"/>
        <v>40 Lyne Street</v>
      </c>
      <c r="F1676" s="15" t="str">
        <f t="shared" si="576"/>
        <v>Bray Park</v>
      </c>
      <c r="G1676" s="15" t="str">
        <f t="shared" si="577"/>
        <v>QLD</v>
      </c>
      <c r="H1676" s="15">
        <f t="shared" si="578"/>
        <v>4500</v>
      </c>
      <c r="I1676" s="15">
        <f t="shared" si="589"/>
        <v>139</v>
      </c>
      <c r="J1676" s="15">
        <f>OrdersTable!B1676</f>
        <v>685</v>
      </c>
      <c r="K1676" s="15" t="str">
        <f t="shared" si="579"/>
        <v>Mugs</v>
      </c>
      <c r="L1676" s="15" t="str">
        <f t="shared" si="580"/>
        <v>Doctor Who: Teapot: Sliver TARDIS</v>
      </c>
      <c r="M1676" s="15" t="str">
        <f t="shared" si="581"/>
        <v>-</v>
      </c>
      <c r="N1676" s="15">
        <f t="shared" si="582"/>
        <v>1.35</v>
      </c>
      <c r="O1676" s="15" t="str">
        <f t="shared" si="583"/>
        <v>A30</v>
      </c>
      <c r="P1676" s="15" t="str">
        <f t="shared" si="584"/>
        <v>Chesterton Enterprises</v>
      </c>
      <c r="Q1676" s="15" t="str">
        <f t="shared" si="585"/>
        <v>41 William Russell Road</v>
      </c>
      <c r="R1676" s="3">
        <f>OrdersTable!C1676</f>
        <v>44680</v>
      </c>
      <c r="S1676" s="15">
        <f>OrdersTable!E1676</f>
        <v>2</v>
      </c>
      <c r="T1676" s="15">
        <f t="shared" si="586"/>
        <v>26.99</v>
      </c>
      <c r="U1676" s="15">
        <f t="shared" si="587"/>
        <v>36.869999999999997</v>
      </c>
      <c r="V1676" s="15">
        <f t="shared" si="588"/>
        <v>43.72</v>
      </c>
      <c r="W1676" s="15">
        <f>IF(MarkupType="Store Markup",ROUND(V1676+V1676*StoreMarkup,2),IF(MarkupType="Supplier Markup",V1676+V1676*SupplierMarkup,"Error at finding value"))</f>
        <v>68.86</v>
      </c>
      <c r="X1676" s="32" t="str">
        <f t="shared" si="590"/>
        <v>0.00</v>
      </c>
      <c r="Y1676" s="15">
        <f t="shared" si="591"/>
        <v>87.44</v>
      </c>
      <c r="Z1676" s="15">
        <f t="shared" si="592"/>
        <v>137.72</v>
      </c>
      <c r="AA1676" s="15">
        <f>IF(FreightType="Lethbridge-Stewart Freight ",ROUND(2.99+IF(N1676&gt;0.75,(N1676-0.75)*2.25,0)*S1676,2),IF(MarkupType="Supplier Markup",V1676+V1676*SupplierMarkup,"Error at finding value"))</f>
        <v>5.69</v>
      </c>
      <c r="AB1676" s="15">
        <f t="shared" si="593"/>
        <v>0</v>
      </c>
    </row>
    <row r="1677" spans="1:28" x14ac:dyDescent="0.25">
      <c r="A1677" s="16">
        <f>OrdersTable!A1677</f>
        <v>531</v>
      </c>
      <c r="B1677" s="15" t="str">
        <f t="shared" si="573"/>
        <v>Ms</v>
      </c>
      <c r="C1677" s="15" t="str">
        <f t="shared" si="594"/>
        <v>Stanton</v>
      </c>
      <c r="D1677" s="15" t="str">
        <f t="shared" si="574"/>
        <v>Sharaze</v>
      </c>
      <c r="E1677" s="15" t="str">
        <f t="shared" si="575"/>
        <v>1 Siddons Crescent</v>
      </c>
      <c r="F1677" s="15" t="str">
        <f t="shared" si="576"/>
        <v>Alfredtown</v>
      </c>
      <c r="G1677" s="15" t="str">
        <f t="shared" si="577"/>
        <v>NSW</v>
      </c>
      <c r="H1677" s="15">
        <f t="shared" si="578"/>
        <v>2650</v>
      </c>
      <c r="I1677" s="15">
        <f t="shared" si="589"/>
        <v>1124</v>
      </c>
      <c r="J1677" s="15">
        <f>OrdersTable!B1677</f>
        <v>543</v>
      </c>
      <c r="K1677" s="15" t="str">
        <f t="shared" si="579"/>
        <v>Giftware</v>
      </c>
      <c r="L1677" s="15" t="str">
        <f t="shared" si="580"/>
        <v>Doctor Who: Sonic Screwdriver Pen</v>
      </c>
      <c r="M1677" s="15" t="str">
        <f t="shared" si="581"/>
        <v>-</v>
      </c>
      <c r="N1677" s="15">
        <f t="shared" si="582"/>
        <v>0.65</v>
      </c>
      <c r="O1677" s="15" t="str">
        <f t="shared" si="583"/>
        <v>A20</v>
      </c>
      <c r="P1677" s="15" t="str">
        <f t="shared" si="584"/>
        <v>Morbius Inc.</v>
      </c>
      <c r="Q1677" s="15" t="str">
        <f t="shared" si="585"/>
        <v>56 Michael Spice Hwy</v>
      </c>
      <c r="R1677" s="3">
        <f>OrdersTable!C1677</f>
        <v>44680</v>
      </c>
      <c r="S1677" s="15">
        <f>OrdersTable!E1677</f>
        <v>5</v>
      </c>
      <c r="T1677" s="15">
        <f t="shared" si="586"/>
        <v>12.99</v>
      </c>
      <c r="U1677" s="15">
        <f t="shared" si="587"/>
        <v>18.02</v>
      </c>
      <c r="V1677" s="15">
        <f t="shared" si="588"/>
        <v>21.04</v>
      </c>
      <c r="W1677" s="15">
        <f>IF(MarkupType="Store Markup",ROUND(V1677+V1677*StoreMarkup,2),IF(MarkupType="Supplier Markup",V1677+V1677*SupplierMarkup,"Error at finding value"))</f>
        <v>33.14</v>
      </c>
      <c r="X1677" s="32" t="str">
        <f t="shared" si="590"/>
        <v>0.00</v>
      </c>
      <c r="Y1677" s="15">
        <f t="shared" si="591"/>
        <v>105.2</v>
      </c>
      <c r="Z1677" s="15">
        <f t="shared" si="592"/>
        <v>165.7</v>
      </c>
      <c r="AA1677" s="15">
        <f>IF(FreightType="Lethbridge-Stewart Freight ",ROUND(2.99+IF(N1677&gt;0.75,(N1677-0.75)*2.25,0)*S1677,2),IF(MarkupType="Supplier Markup",V1677+V1677*SupplierMarkup,"Error at finding value"))</f>
        <v>2.99</v>
      </c>
      <c r="AB1677" s="15">
        <f t="shared" si="593"/>
        <v>0</v>
      </c>
    </row>
    <row r="1678" spans="1:28" x14ac:dyDescent="0.25">
      <c r="A1678" s="16">
        <f>OrdersTable!A1678</f>
        <v>543</v>
      </c>
      <c r="B1678" s="15" t="str">
        <f t="shared" si="573"/>
        <v>Ms</v>
      </c>
      <c r="C1678" s="15" t="str">
        <f t="shared" si="594"/>
        <v>Mendezona</v>
      </c>
      <c r="D1678" s="15" t="str">
        <f t="shared" si="574"/>
        <v>Tara Colleen-Mary</v>
      </c>
      <c r="E1678" s="15" t="str">
        <f t="shared" si="575"/>
        <v>27 Picone Drive</v>
      </c>
      <c r="F1678" s="15" t="str">
        <f t="shared" si="576"/>
        <v>Aberfoyle</v>
      </c>
      <c r="G1678" s="15" t="str">
        <f t="shared" si="577"/>
        <v>NSW</v>
      </c>
      <c r="H1678" s="15">
        <f t="shared" si="578"/>
        <v>2350</v>
      </c>
      <c r="I1678" s="15">
        <f t="shared" si="589"/>
        <v>363</v>
      </c>
      <c r="J1678" s="15">
        <f>OrdersTable!B1678</f>
        <v>719</v>
      </c>
      <c r="K1678" s="15" t="str">
        <f t="shared" si="579"/>
        <v>Posters, Prints and Standees</v>
      </c>
      <c r="L1678" s="15" t="str">
        <f t="shared" si="580"/>
        <v>Doctor Who: Standee: Supreme Dalek</v>
      </c>
      <c r="M1678" s="15" t="str">
        <f t="shared" si="581"/>
        <v>-</v>
      </c>
      <c r="N1678" s="15">
        <f t="shared" si="582"/>
        <v>1.125</v>
      </c>
      <c r="O1678" s="15" t="str">
        <f t="shared" si="583"/>
        <v>A50</v>
      </c>
      <c r="P1678" s="15" t="str">
        <f t="shared" si="584"/>
        <v>Rassilon Ltd.</v>
      </c>
      <c r="Q1678" s="15" t="str">
        <f t="shared" si="585"/>
        <v>82 Richard Mathews Road</v>
      </c>
      <c r="R1678" s="3">
        <f>OrdersTable!C1678</f>
        <v>44680</v>
      </c>
      <c r="S1678" s="15">
        <f>OrdersTable!E1678</f>
        <v>1</v>
      </c>
      <c r="T1678" s="15">
        <f t="shared" si="586"/>
        <v>22.49</v>
      </c>
      <c r="U1678" s="15">
        <f t="shared" si="587"/>
        <v>30.76</v>
      </c>
      <c r="V1678" s="15">
        <f t="shared" si="588"/>
        <v>36.43</v>
      </c>
      <c r="W1678" s="15">
        <f>IF(MarkupType="Store Markup",ROUND(V1678+V1678*StoreMarkup,2),IF(MarkupType="Supplier Markup",V1678+V1678*SupplierMarkup,"Error at finding value"))</f>
        <v>57.38</v>
      </c>
      <c r="X1678" s="32" t="str">
        <f t="shared" si="590"/>
        <v>0.00</v>
      </c>
      <c r="Y1678" s="15">
        <f t="shared" si="591"/>
        <v>36.43</v>
      </c>
      <c r="Z1678" s="15">
        <f t="shared" si="592"/>
        <v>57.38</v>
      </c>
      <c r="AA1678" s="15">
        <f>IF(FreightType="Lethbridge-Stewart Freight ",ROUND(2.99+IF(N1678&gt;0.75,(N1678-0.75)*2.25,0)*S1678,2),IF(MarkupType="Supplier Markup",V1678+V1678*SupplierMarkup,"Error at finding value"))</f>
        <v>3.83</v>
      </c>
      <c r="AB1678" s="15">
        <f t="shared" si="593"/>
        <v>0</v>
      </c>
    </row>
    <row r="1679" spans="1:28" x14ac:dyDescent="0.25">
      <c r="A1679" s="16">
        <f>OrdersTable!A1679</f>
        <v>557</v>
      </c>
      <c r="B1679" s="15" t="str">
        <f t="shared" si="573"/>
        <v>Mrs</v>
      </c>
      <c r="C1679" s="15" t="str">
        <f t="shared" si="594"/>
        <v>Allen</v>
      </c>
      <c r="D1679" s="15" t="str">
        <f t="shared" si="574"/>
        <v>Morgan</v>
      </c>
      <c r="E1679" s="15" t="str">
        <f t="shared" si="575"/>
        <v>15 Winsor Street</v>
      </c>
      <c r="F1679" s="15" t="str">
        <f t="shared" si="576"/>
        <v>Appletree Flat</v>
      </c>
      <c r="G1679" s="15" t="str">
        <f t="shared" si="577"/>
        <v>NSW</v>
      </c>
      <c r="H1679" s="15">
        <f t="shared" si="578"/>
        <v>2330</v>
      </c>
      <c r="I1679" s="15">
        <f t="shared" si="589"/>
        <v>691</v>
      </c>
      <c r="J1679" s="15">
        <f>OrdersTable!B1679</f>
        <v>373</v>
      </c>
      <c r="K1679" s="15" t="str">
        <f t="shared" si="579"/>
        <v>Clothing and Apparel</v>
      </c>
      <c r="L1679" s="15" t="str">
        <f t="shared" si="580"/>
        <v xml:space="preserve">Doctor Who: T-Shirts: 5th Doctor Costume </v>
      </c>
      <c r="M1679" s="15" t="str">
        <f t="shared" si="581"/>
        <v>L</v>
      </c>
      <c r="N1679" s="15">
        <f t="shared" si="582"/>
        <v>0.8</v>
      </c>
      <c r="O1679" s="15" t="str">
        <f t="shared" si="583"/>
        <v>A20</v>
      </c>
      <c r="P1679" s="15" t="str">
        <f t="shared" si="584"/>
        <v>Morbius Inc.</v>
      </c>
      <c r="Q1679" s="15" t="str">
        <f t="shared" si="585"/>
        <v>56 Michael Spice Hwy</v>
      </c>
      <c r="R1679" s="3">
        <f>OrdersTable!C1679</f>
        <v>44680</v>
      </c>
      <c r="S1679" s="15">
        <f>OrdersTable!E1679</f>
        <v>8</v>
      </c>
      <c r="T1679" s="15">
        <f t="shared" si="586"/>
        <v>15.99</v>
      </c>
      <c r="U1679" s="15">
        <f t="shared" si="587"/>
        <v>22.09</v>
      </c>
      <c r="V1679" s="15">
        <f t="shared" si="588"/>
        <v>25.9</v>
      </c>
      <c r="W1679" s="15">
        <f>IF(MarkupType="Store Markup",ROUND(V1679+V1679*StoreMarkup,2),IF(MarkupType="Supplier Markup",V1679+V1679*SupplierMarkup,"Error at finding value"))</f>
        <v>40.79</v>
      </c>
      <c r="X1679" s="32" t="str">
        <f t="shared" si="590"/>
        <v>0.00</v>
      </c>
      <c r="Y1679" s="15">
        <f t="shared" si="591"/>
        <v>207.2</v>
      </c>
      <c r="Z1679" s="15">
        <f t="shared" si="592"/>
        <v>326.32</v>
      </c>
      <c r="AA1679" s="15">
        <f>IF(FreightType="Lethbridge-Stewart Freight ",ROUND(2.99+IF(N1679&gt;0.75,(N1679-0.75)*2.25,0)*S1679,2),IF(MarkupType="Supplier Markup",V1679+V1679*SupplierMarkup,"Error at finding value"))</f>
        <v>3.89</v>
      </c>
      <c r="AB1679" s="15">
        <f t="shared" si="593"/>
        <v>0</v>
      </c>
    </row>
    <row r="1680" spans="1:28" x14ac:dyDescent="0.25">
      <c r="A1680" s="16">
        <f>OrdersTable!A1680</f>
        <v>634</v>
      </c>
      <c r="B1680" s="15" t="str">
        <f t="shared" si="573"/>
        <v>Miss</v>
      </c>
      <c r="C1680" s="15" t="str">
        <f t="shared" si="594"/>
        <v>Betts</v>
      </c>
      <c r="D1680" s="15" t="str">
        <f t="shared" si="574"/>
        <v>Melissa Leigh</v>
      </c>
      <c r="E1680" s="15" t="str">
        <f t="shared" si="575"/>
        <v>4 Aitcheson Drive</v>
      </c>
      <c r="F1680" s="15" t="str">
        <f t="shared" si="576"/>
        <v>Bray Park</v>
      </c>
      <c r="G1680" s="15" t="str">
        <f t="shared" si="577"/>
        <v>QLD</v>
      </c>
      <c r="H1680" s="15">
        <f t="shared" si="578"/>
        <v>4500</v>
      </c>
      <c r="I1680" s="15">
        <f t="shared" si="589"/>
        <v>139</v>
      </c>
      <c r="J1680" s="15">
        <f>OrdersTable!B1680</f>
        <v>787</v>
      </c>
      <c r="K1680" s="15" t="str">
        <f t="shared" si="579"/>
        <v>Statues and Busts</v>
      </c>
      <c r="L1680" s="15" t="str">
        <f t="shared" si="580"/>
        <v>Doctor Who: Masterpiece Collection Maxi Bust: 1st Doctor</v>
      </c>
      <c r="M1680" s="15" t="str">
        <f t="shared" si="581"/>
        <v>-</v>
      </c>
      <c r="N1680" s="15">
        <f t="shared" si="582"/>
        <v>2.5</v>
      </c>
      <c r="O1680" s="15" t="str">
        <f t="shared" si="583"/>
        <v>A10</v>
      </c>
      <c r="P1680" s="15" t="str">
        <f t="shared" si="584"/>
        <v>Gallifrey International</v>
      </c>
      <c r="Q1680" s="15" t="str">
        <f t="shared" si="585"/>
        <v>181 Arcadia Street</v>
      </c>
      <c r="R1680" s="3">
        <f>OrdersTable!C1680</f>
        <v>44680</v>
      </c>
      <c r="S1680" s="15">
        <f>OrdersTable!E1680</f>
        <v>7</v>
      </c>
      <c r="T1680" s="15">
        <f t="shared" si="586"/>
        <v>49.99</v>
      </c>
      <c r="U1680" s="15">
        <f t="shared" si="587"/>
        <v>68.290000000000006</v>
      </c>
      <c r="V1680" s="15">
        <f t="shared" si="588"/>
        <v>80.98</v>
      </c>
      <c r="W1680" s="15">
        <f>IF(MarkupType="Store Markup",ROUND(V1680+V1680*StoreMarkup,2),IF(MarkupType="Supplier Markup",V1680+V1680*SupplierMarkup,"Error at finding value"))</f>
        <v>127.54</v>
      </c>
      <c r="X1680" s="32">
        <f t="shared" si="590"/>
        <v>9.09</v>
      </c>
      <c r="Y1680" s="15">
        <f t="shared" si="591"/>
        <v>566.86</v>
      </c>
      <c r="Z1680" s="15">
        <f t="shared" si="592"/>
        <v>829.15</v>
      </c>
      <c r="AA1680" s="15">
        <f>IF(FreightType="Lethbridge-Stewart Freight ",ROUND(2.99+IF(N1680&gt;0.75,(N1680-0.75)*2.25,0)*S1680,2),IF(MarkupType="Supplier Markup",V1680+V1680*SupplierMarkup,"Error at finding value"))</f>
        <v>30.55</v>
      </c>
      <c r="AB1680" s="15">
        <f t="shared" si="593"/>
        <v>63.63</v>
      </c>
    </row>
    <row r="1681" spans="1:28" x14ac:dyDescent="0.25">
      <c r="A1681" s="16">
        <f>OrdersTable!A1681</f>
        <v>657</v>
      </c>
      <c r="B1681" s="15" t="str">
        <f t="shared" si="573"/>
        <v>Mr</v>
      </c>
      <c r="C1681" s="15" t="str">
        <f t="shared" si="594"/>
        <v>Poljak</v>
      </c>
      <c r="D1681" s="15" t="str">
        <f t="shared" si="574"/>
        <v>Anthony</v>
      </c>
      <c r="E1681" s="15" t="str">
        <f t="shared" si="575"/>
        <v>45 Robertson Boulevard</v>
      </c>
      <c r="F1681" s="15" t="str">
        <f t="shared" si="576"/>
        <v>Iluka</v>
      </c>
      <c r="G1681" s="15" t="str">
        <f t="shared" si="577"/>
        <v>NSW</v>
      </c>
      <c r="H1681" s="15">
        <f t="shared" si="578"/>
        <v>2466</v>
      </c>
      <c r="I1681" s="15">
        <f t="shared" si="589"/>
        <v>347</v>
      </c>
      <c r="J1681" s="15">
        <f>OrdersTable!B1681</f>
        <v>826</v>
      </c>
      <c r="K1681" s="15" t="str">
        <f t="shared" si="579"/>
        <v>Statues and Busts</v>
      </c>
      <c r="L1681" s="15" t="str">
        <f t="shared" si="580"/>
        <v>Doctor Who: Mini Bust: Cyberman</v>
      </c>
      <c r="M1681" s="15" t="str">
        <f t="shared" si="581"/>
        <v>-</v>
      </c>
      <c r="N1681" s="15">
        <f t="shared" si="582"/>
        <v>1.8</v>
      </c>
      <c r="O1681" s="15" t="str">
        <f t="shared" si="583"/>
        <v>A40</v>
      </c>
      <c r="P1681" s="15" t="str">
        <f t="shared" si="584"/>
        <v>Romana Imports</v>
      </c>
      <c r="Q1681" s="15" t="str">
        <f t="shared" si="585"/>
        <v>17 Lalla Ward Road</v>
      </c>
      <c r="R1681" s="3">
        <f>OrdersTable!C1681</f>
        <v>44680</v>
      </c>
      <c r="S1681" s="15">
        <f>OrdersTable!E1681</f>
        <v>9</v>
      </c>
      <c r="T1681" s="15">
        <f t="shared" si="586"/>
        <v>35.99</v>
      </c>
      <c r="U1681" s="15">
        <f t="shared" si="587"/>
        <v>49.13</v>
      </c>
      <c r="V1681" s="15">
        <f t="shared" si="588"/>
        <v>58.3</v>
      </c>
      <c r="W1681" s="15">
        <f>IF(MarkupType="Store Markup",ROUND(V1681+V1681*StoreMarkup,2),IF(MarkupType="Supplier Markup",V1681+V1681*SupplierMarkup,"Error at finding value"))</f>
        <v>91.82</v>
      </c>
      <c r="X1681" s="32" t="str">
        <f t="shared" si="590"/>
        <v>0.00</v>
      </c>
      <c r="Y1681" s="15">
        <f t="shared" si="591"/>
        <v>524.70000000000005</v>
      </c>
      <c r="Z1681" s="15">
        <f t="shared" si="592"/>
        <v>826.38</v>
      </c>
      <c r="AA1681" s="15">
        <f>IF(FreightType="Lethbridge-Stewart Freight ",ROUND(2.99+IF(N1681&gt;0.75,(N1681-0.75)*2.25,0)*S1681,2),IF(MarkupType="Supplier Markup",V1681+V1681*SupplierMarkup,"Error at finding value"))</f>
        <v>24.25</v>
      </c>
      <c r="AB1681" s="15">
        <f t="shared" si="593"/>
        <v>0</v>
      </c>
    </row>
    <row r="1682" spans="1:28" x14ac:dyDescent="0.25">
      <c r="A1682" s="16">
        <f>OrdersTable!A1682</f>
        <v>761</v>
      </c>
      <c r="B1682" s="15" t="str">
        <f t="shared" si="573"/>
        <v>Miss</v>
      </c>
      <c r="C1682" s="15" t="str">
        <f t="shared" si="594"/>
        <v>Randall</v>
      </c>
      <c r="D1682" s="15" t="str">
        <f t="shared" si="574"/>
        <v>Kylee</v>
      </c>
      <c r="E1682" s="15" t="str">
        <f t="shared" si="575"/>
        <v>45 Cremasco Avenue</v>
      </c>
      <c r="F1682" s="15" t="str">
        <f t="shared" si="576"/>
        <v>Breakwater</v>
      </c>
      <c r="G1682" s="15" t="str">
        <f t="shared" si="577"/>
        <v>VIC</v>
      </c>
      <c r="H1682" s="15">
        <f t="shared" si="578"/>
        <v>3219</v>
      </c>
      <c r="I1682" s="15">
        <f t="shared" si="589"/>
        <v>1596</v>
      </c>
      <c r="J1682" s="15">
        <f>OrdersTable!B1682</f>
        <v>801</v>
      </c>
      <c r="K1682" s="15" t="str">
        <f t="shared" si="579"/>
        <v>Statues and Busts</v>
      </c>
      <c r="L1682" s="15" t="str">
        <f t="shared" si="580"/>
        <v>Doctor Who: Masterpiece Collection Maxi Bust: 4th Doctor</v>
      </c>
      <c r="M1682" s="15" t="str">
        <f t="shared" si="581"/>
        <v>-</v>
      </c>
      <c r="N1682" s="15">
        <f t="shared" si="582"/>
        <v>2.5</v>
      </c>
      <c r="O1682" s="15" t="str">
        <f t="shared" si="583"/>
        <v>A30</v>
      </c>
      <c r="P1682" s="15" t="str">
        <f t="shared" si="584"/>
        <v>Chesterton Enterprises</v>
      </c>
      <c r="Q1682" s="15" t="str">
        <f t="shared" si="585"/>
        <v>41 William Russell Road</v>
      </c>
      <c r="R1682" s="3">
        <f>OrdersTable!C1682</f>
        <v>44680</v>
      </c>
      <c r="S1682" s="15">
        <f>OrdersTable!E1682</f>
        <v>6</v>
      </c>
      <c r="T1682" s="15">
        <f t="shared" si="586"/>
        <v>49.99</v>
      </c>
      <c r="U1682" s="15">
        <f t="shared" si="587"/>
        <v>68.180000000000007</v>
      </c>
      <c r="V1682" s="15">
        <f t="shared" si="588"/>
        <v>80.98</v>
      </c>
      <c r="W1682" s="15">
        <f>IF(MarkupType="Store Markup",ROUND(V1682+V1682*StoreMarkup,2),IF(MarkupType="Supplier Markup",V1682+V1682*SupplierMarkup,"Error at finding value"))</f>
        <v>127.54</v>
      </c>
      <c r="X1682" s="32">
        <f t="shared" si="590"/>
        <v>9.09</v>
      </c>
      <c r="Y1682" s="15">
        <f t="shared" si="591"/>
        <v>485.88</v>
      </c>
      <c r="Z1682" s="15">
        <f t="shared" si="592"/>
        <v>710.7</v>
      </c>
      <c r="AA1682" s="15">
        <f>IF(FreightType="Lethbridge-Stewart Freight ",ROUND(2.99+IF(N1682&gt;0.75,(N1682-0.75)*2.25,0)*S1682,2),IF(MarkupType="Supplier Markup",V1682+V1682*SupplierMarkup,"Error at finding value"))</f>
        <v>26.62</v>
      </c>
      <c r="AB1682" s="15">
        <f t="shared" si="593"/>
        <v>54.54</v>
      </c>
    </row>
    <row r="1683" spans="1:28" x14ac:dyDescent="0.25">
      <c r="A1683" s="16">
        <f>OrdersTable!A1683</f>
        <v>802</v>
      </c>
      <c r="B1683" s="15" t="str">
        <f t="shared" si="573"/>
        <v>Mr</v>
      </c>
      <c r="C1683" s="15" t="str">
        <f t="shared" si="594"/>
        <v>Carlton</v>
      </c>
      <c r="D1683" s="15" t="str">
        <f t="shared" si="574"/>
        <v>Lawrence</v>
      </c>
      <c r="E1683" s="15" t="str">
        <f t="shared" si="575"/>
        <v>39 Walsh Way</v>
      </c>
      <c r="F1683" s="15" t="str">
        <f t="shared" si="576"/>
        <v>Breakwater</v>
      </c>
      <c r="G1683" s="15" t="str">
        <f t="shared" si="577"/>
        <v>VIC</v>
      </c>
      <c r="H1683" s="15">
        <f t="shared" si="578"/>
        <v>3219</v>
      </c>
      <c r="I1683" s="15">
        <f t="shared" si="589"/>
        <v>1596</v>
      </c>
      <c r="J1683" s="15">
        <f>OrdersTable!B1683</f>
        <v>683</v>
      </c>
      <c r="K1683" s="15" t="str">
        <f t="shared" si="579"/>
        <v>Mugs</v>
      </c>
      <c r="L1683" s="15" t="str">
        <f t="shared" si="580"/>
        <v>Doctor Who: Mug: The Tenth Doctor</v>
      </c>
      <c r="M1683" s="15" t="str">
        <f t="shared" si="581"/>
        <v>-</v>
      </c>
      <c r="N1683" s="15">
        <f t="shared" si="582"/>
        <v>0.45</v>
      </c>
      <c r="O1683" s="15" t="str">
        <f t="shared" si="583"/>
        <v>A20</v>
      </c>
      <c r="P1683" s="15" t="str">
        <f t="shared" si="584"/>
        <v>Morbius Inc.</v>
      </c>
      <c r="Q1683" s="15" t="str">
        <f t="shared" si="585"/>
        <v>56 Michael Spice Hwy</v>
      </c>
      <c r="R1683" s="3">
        <f>OrdersTable!C1683</f>
        <v>44680</v>
      </c>
      <c r="S1683" s="15">
        <f>OrdersTable!E1683</f>
        <v>5</v>
      </c>
      <c r="T1683" s="15">
        <f t="shared" si="586"/>
        <v>8.99</v>
      </c>
      <c r="U1683" s="15">
        <f t="shared" si="587"/>
        <v>12.54</v>
      </c>
      <c r="V1683" s="15">
        <f t="shared" si="588"/>
        <v>14.56</v>
      </c>
      <c r="W1683" s="15">
        <f>IF(MarkupType="Store Markup",ROUND(V1683+V1683*StoreMarkup,2),IF(MarkupType="Supplier Markup",V1683+V1683*SupplierMarkup,"Error at finding value"))</f>
        <v>22.93</v>
      </c>
      <c r="X1683" s="32" t="str">
        <f t="shared" si="590"/>
        <v>0.00</v>
      </c>
      <c r="Y1683" s="15">
        <f t="shared" si="591"/>
        <v>72.8</v>
      </c>
      <c r="Z1683" s="15">
        <f t="shared" si="592"/>
        <v>114.65</v>
      </c>
      <c r="AA1683" s="15">
        <f>IF(FreightType="Lethbridge-Stewart Freight ",ROUND(2.99+IF(N1683&gt;0.75,(N1683-0.75)*2.25,0)*S1683,2),IF(MarkupType="Supplier Markup",V1683+V1683*SupplierMarkup,"Error at finding value"))</f>
        <v>2.99</v>
      </c>
      <c r="AB1683" s="15">
        <f t="shared" si="593"/>
        <v>0</v>
      </c>
    </row>
    <row r="1684" spans="1:28" x14ac:dyDescent="0.25">
      <c r="A1684" s="16">
        <f>OrdersTable!A1684</f>
        <v>827</v>
      </c>
      <c r="B1684" s="15" t="str">
        <f t="shared" si="573"/>
        <v>Ms</v>
      </c>
      <c r="C1684" s="15" t="str">
        <f t="shared" si="594"/>
        <v>Ottaway</v>
      </c>
      <c r="D1684" s="15" t="str">
        <f t="shared" si="574"/>
        <v>Katherine</v>
      </c>
      <c r="E1684" s="15" t="str">
        <f t="shared" si="575"/>
        <v>7 Morrison Street</v>
      </c>
      <c r="F1684" s="15" t="str">
        <f t="shared" si="576"/>
        <v>Glenfern</v>
      </c>
      <c r="G1684" s="15" t="str">
        <f t="shared" si="577"/>
        <v>QLD</v>
      </c>
      <c r="H1684" s="15">
        <f t="shared" si="578"/>
        <v>4515</v>
      </c>
      <c r="I1684" s="15">
        <f t="shared" si="589"/>
        <v>128</v>
      </c>
      <c r="J1684" s="15">
        <f>OrdersTable!B1684</f>
        <v>698</v>
      </c>
      <c r="K1684" s="15" t="str">
        <f t="shared" si="579"/>
        <v>Posters, Prints and Standees</v>
      </c>
      <c r="L1684" s="15" t="str">
        <f t="shared" si="580"/>
        <v>Doctor Who: Art Print: My Mysterious Doctor</v>
      </c>
      <c r="M1684" s="15" t="str">
        <f t="shared" si="581"/>
        <v>-</v>
      </c>
      <c r="N1684" s="15">
        <f t="shared" si="582"/>
        <v>0.75</v>
      </c>
      <c r="O1684" s="15" t="str">
        <f t="shared" si="583"/>
        <v>A30</v>
      </c>
      <c r="P1684" s="15" t="str">
        <f t="shared" si="584"/>
        <v>Chesterton Enterprises</v>
      </c>
      <c r="Q1684" s="15" t="str">
        <f t="shared" si="585"/>
        <v>41 William Russell Road</v>
      </c>
      <c r="R1684" s="3">
        <f>OrdersTable!C1684</f>
        <v>44680</v>
      </c>
      <c r="S1684" s="15">
        <f>OrdersTable!E1684</f>
        <v>2</v>
      </c>
      <c r="T1684" s="15">
        <f t="shared" si="586"/>
        <v>14.99</v>
      </c>
      <c r="U1684" s="15">
        <f t="shared" si="587"/>
        <v>20.56</v>
      </c>
      <c r="V1684" s="15">
        <f t="shared" si="588"/>
        <v>24.28</v>
      </c>
      <c r="W1684" s="15">
        <f>IF(MarkupType="Store Markup",ROUND(V1684+V1684*StoreMarkup,2),IF(MarkupType="Supplier Markup",V1684+V1684*SupplierMarkup,"Error at finding value"))</f>
        <v>38.24</v>
      </c>
      <c r="X1684" s="32" t="str">
        <f t="shared" si="590"/>
        <v>0.00</v>
      </c>
      <c r="Y1684" s="15">
        <f t="shared" si="591"/>
        <v>48.56</v>
      </c>
      <c r="Z1684" s="15">
        <f t="shared" si="592"/>
        <v>76.48</v>
      </c>
      <c r="AA1684" s="15">
        <f>IF(FreightType="Lethbridge-Stewart Freight ",ROUND(2.99+IF(N1684&gt;0.75,(N1684-0.75)*2.25,0)*S1684,2),IF(MarkupType="Supplier Markup",V1684+V1684*SupplierMarkup,"Error at finding value"))</f>
        <v>2.99</v>
      </c>
      <c r="AB1684" s="15">
        <f t="shared" si="593"/>
        <v>0</v>
      </c>
    </row>
    <row r="1685" spans="1:28" x14ac:dyDescent="0.25">
      <c r="A1685" s="16">
        <f>OrdersTable!A1685</f>
        <v>141</v>
      </c>
      <c r="B1685" s="15" t="str">
        <f t="shared" si="573"/>
        <v>Mr</v>
      </c>
      <c r="C1685" s="15" t="str">
        <f t="shared" si="594"/>
        <v>Bergmann</v>
      </c>
      <c r="D1685" s="15" t="str">
        <f t="shared" si="574"/>
        <v>Beau Jay</v>
      </c>
      <c r="E1685" s="15" t="str">
        <f t="shared" si="575"/>
        <v>47 McCullough Circuit</v>
      </c>
      <c r="F1685" s="15" t="str">
        <f t="shared" si="576"/>
        <v>Breakwater</v>
      </c>
      <c r="G1685" s="15" t="str">
        <f t="shared" si="577"/>
        <v>VIC</v>
      </c>
      <c r="H1685" s="15">
        <f t="shared" si="578"/>
        <v>3219</v>
      </c>
      <c r="I1685" s="15">
        <f t="shared" si="589"/>
        <v>1596</v>
      </c>
      <c r="J1685" s="15">
        <f>OrdersTable!B1685</f>
        <v>745</v>
      </c>
      <c r="K1685" s="15" t="str">
        <f t="shared" si="579"/>
        <v>Props and Replicas</v>
      </c>
      <c r="L1685" s="15" t="str">
        <f t="shared" si="580"/>
        <v>Doctor Who: TARDIS Type 40 Plaque</v>
      </c>
      <c r="M1685" s="15" t="str">
        <f t="shared" si="581"/>
        <v>-</v>
      </c>
      <c r="N1685" s="15">
        <f t="shared" si="582"/>
        <v>1.75</v>
      </c>
      <c r="O1685" s="15" t="str">
        <f t="shared" si="583"/>
        <v>A30</v>
      </c>
      <c r="P1685" s="15" t="str">
        <f t="shared" si="584"/>
        <v>Chesterton Enterprises</v>
      </c>
      <c r="Q1685" s="15" t="str">
        <f t="shared" si="585"/>
        <v>41 William Russell Road</v>
      </c>
      <c r="R1685" s="3">
        <f>OrdersTable!C1685</f>
        <v>44681</v>
      </c>
      <c r="S1685" s="15">
        <f>OrdersTable!E1685</f>
        <v>6</v>
      </c>
      <c r="T1685" s="15">
        <f t="shared" si="586"/>
        <v>34.99</v>
      </c>
      <c r="U1685" s="15">
        <f t="shared" si="587"/>
        <v>47.86</v>
      </c>
      <c r="V1685" s="15">
        <f t="shared" si="588"/>
        <v>56.68</v>
      </c>
      <c r="W1685" s="15">
        <f>IF(MarkupType="Store Markup",ROUND(V1685+V1685*StoreMarkup,2),IF(MarkupType="Supplier Markup",V1685+V1685*SupplierMarkup,"Error at finding value"))</f>
        <v>89.27</v>
      </c>
      <c r="X1685" s="32" t="str">
        <f t="shared" si="590"/>
        <v>0.00</v>
      </c>
      <c r="Y1685" s="15">
        <f t="shared" si="591"/>
        <v>340.08</v>
      </c>
      <c r="Z1685" s="15">
        <f t="shared" si="592"/>
        <v>535.62</v>
      </c>
      <c r="AA1685" s="15">
        <f>IF(FreightType="Lethbridge-Stewart Freight ",ROUND(2.99+IF(N1685&gt;0.75,(N1685-0.75)*2.25,0)*S1685,2),IF(MarkupType="Supplier Markup",V1685+V1685*SupplierMarkup,"Error at finding value"))</f>
        <v>16.489999999999998</v>
      </c>
      <c r="AB1685" s="15">
        <f t="shared" si="593"/>
        <v>0</v>
      </c>
    </row>
    <row r="1686" spans="1:28" x14ac:dyDescent="0.25">
      <c r="A1686" s="16">
        <f>OrdersTable!A1686</f>
        <v>180</v>
      </c>
      <c r="B1686" s="15" t="str">
        <f t="shared" si="573"/>
        <v>Mrs</v>
      </c>
      <c r="C1686" s="15" t="str">
        <f t="shared" si="594"/>
        <v>Feeney</v>
      </c>
      <c r="D1686" s="15" t="str">
        <f t="shared" si="574"/>
        <v>Jennifer Ruth</v>
      </c>
      <c r="E1686" s="15" t="str">
        <f t="shared" si="575"/>
        <v>18 Cook Avenue</v>
      </c>
      <c r="F1686" s="15" t="str">
        <f t="shared" si="576"/>
        <v>Nayook</v>
      </c>
      <c r="G1686" s="15" t="str">
        <f t="shared" si="577"/>
        <v>VIC</v>
      </c>
      <c r="H1686" s="15">
        <f t="shared" si="578"/>
        <v>3832</v>
      </c>
      <c r="I1686" s="15">
        <f t="shared" si="589"/>
        <v>1552</v>
      </c>
      <c r="J1686" s="15">
        <f>OrdersTable!B1686</f>
        <v>852</v>
      </c>
      <c r="K1686" s="15" t="str">
        <f t="shared" si="579"/>
        <v>Statues and Busts</v>
      </c>
      <c r="L1686" s="15" t="str">
        <f t="shared" si="580"/>
        <v>Doctor Who: Statue: Revenge Of The Cybermen Cyberleader</v>
      </c>
      <c r="M1686" s="15" t="str">
        <f t="shared" si="581"/>
        <v>-</v>
      </c>
      <c r="N1686" s="15">
        <f t="shared" si="582"/>
        <v>5.4</v>
      </c>
      <c r="O1686" s="15" t="str">
        <f t="shared" si="583"/>
        <v>A50</v>
      </c>
      <c r="P1686" s="15" t="str">
        <f t="shared" si="584"/>
        <v>Rassilon Ltd.</v>
      </c>
      <c r="Q1686" s="15" t="str">
        <f t="shared" si="585"/>
        <v>82 Richard Mathews Road</v>
      </c>
      <c r="R1686" s="3">
        <f>OrdersTable!C1686</f>
        <v>44681</v>
      </c>
      <c r="S1686" s="15">
        <f>OrdersTable!E1686</f>
        <v>8</v>
      </c>
      <c r="T1686" s="15">
        <f t="shared" si="586"/>
        <v>108</v>
      </c>
      <c r="U1686" s="15">
        <f t="shared" si="587"/>
        <v>147.29</v>
      </c>
      <c r="V1686" s="15">
        <f t="shared" si="588"/>
        <v>174.96</v>
      </c>
      <c r="W1686" s="15">
        <f>IF(MarkupType="Store Markup",ROUND(V1686+V1686*StoreMarkup,2),IF(MarkupType="Supplier Markup",V1686+V1686*SupplierMarkup,"Error at finding value"))</f>
        <v>275.56</v>
      </c>
      <c r="X1686" s="32">
        <f t="shared" si="590"/>
        <v>19.63</v>
      </c>
      <c r="Y1686" s="15">
        <f t="shared" si="591"/>
        <v>1399.68</v>
      </c>
      <c r="Z1686" s="15">
        <f t="shared" si="592"/>
        <v>2047.44</v>
      </c>
      <c r="AA1686" s="15">
        <f>IF(FreightType="Lethbridge-Stewart Freight ",ROUND(2.99+IF(N1686&gt;0.75,(N1686-0.75)*2.25,0)*S1686,2),IF(MarkupType="Supplier Markup",V1686+V1686*SupplierMarkup,"Error at finding value"))</f>
        <v>86.69</v>
      </c>
      <c r="AB1686" s="15">
        <f t="shared" si="593"/>
        <v>157.04</v>
      </c>
    </row>
    <row r="1687" spans="1:28" x14ac:dyDescent="0.25">
      <c r="A1687" s="16">
        <f>OrdersTable!A1687</f>
        <v>232</v>
      </c>
      <c r="B1687" s="15" t="str">
        <f t="shared" si="573"/>
        <v>Mrs</v>
      </c>
      <c r="C1687" s="15" t="str">
        <f t="shared" si="594"/>
        <v>Bishop</v>
      </c>
      <c r="D1687" s="15" t="str">
        <f t="shared" si="574"/>
        <v>Katherine Marie</v>
      </c>
      <c r="E1687" s="15" t="str">
        <f t="shared" si="575"/>
        <v>19 Whitehorn Circuit</v>
      </c>
      <c r="F1687" s="15" t="str">
        <f t="shared" si="576"/>
        <v>Black Hills</v>
      </c>
      <c r="G1687" s="15" t="str">
        <f t="shared" si="577"/>
        <v>TAS</v>
      </c>
      <c r="H1687" s="15">
        <f t="shared" si="578"/>
        <v>7140</v>
      </c>
      <c r="I1687" s="15">
        <f t="shared" si="589"/>
        <v>2191</v>
      </c>
      <c r="J1687" s="15">
        <f>OrdersTable!B1687</f>
        <v>330</v>
      </c>
      <c r="K1687" s="15" t="str">
        <f t="shared" si="579"/>
        <v>Clothing and Apparel</v>
      </c>
      <c r="L1687" s="15" t="str">
        <f t="shared" si="580"/>
        <v xml:space="preserve">Doctor Who: T-Shirts: 4th Doctor Costume </v>
      </c>
      <c r="M1687" s="15" t="str">
        <f t="shared" si="581"/>
        <v>M</v>
      </c>
      <c r="N1687" s="15">
        <f t="shared" si="582"/>
        <v>0.8</v>
      </c>
      <c r="O1687" s="15" t="str">
        <f t="shared" si="583"/>
        <v>A20</v>
      </c>
      <c r="P1687" s="15" t="str">
        <f t="shared" si="584"/>
        <v>Morbius Inc.</v>
      </c>
      <c r="Q1687" s="15" t="str">
        <f t="shared" si="585"/>
        <v>56 Michael Spice Hwy</v>
      </c>
      <c r="R1687" s="3">
        <f>OrdersTable!C1687</f>
        <v>44681</v>
      </c>
      <c r="S1687" s="15">
        <f>OrdersTable!E1687</f>
        <v>4</v>
      </c>
      <c r="T1687" s="15">
        <f t="shared" si="586"/>
        <v>15.99</v>
      </c>
      <c r="U1687" s="15">
        <f t="shared" si="587"/>
        <v>22.03</v>
      </c>
      <c r="V1687" s="15">
        <f t="shared" si="588"/>
        <v>25.9</v>
      </c>
      <c r="W1687" s="15">
        <f>IF(MarkupType="Store Markup",ROUND(V1687+V1687*StoreMarkup,2),IF(MarkupType="Supplier Markup",V1687+V1687*SupplierMarkup,"Error at finding value"))</f>
        <v>40.79</v>
      </c>
      <c r="X1687" s="32" t="str">
        <f t="shared" si="590"/>
        <v>0.00</v>
      </c>
      <c r="Y1687" s="15">
        <f t="shared" si="591"/>
        <v>103.6</v>
      </c>
      <c r="Z1687" s="15">
        <f t="shared" si="592"/>
        <v>163.16</v>
      </c>
      <c r="AA1687" s="15">
        <f>IF(FreightType="Lethbridge-Stewart Freight ",ROUND(2.99+IF(N1687&gt;0.75,(N1687-0.75)*2.25,0)*S1687,2),IF(MarkupType="Supplier Markup",V1687+V1687*SupplierMarkup,"Error at finding value"))</f>
        <v>3.44</v>
      </c>
      <c r="AB1687" s="15">
        <f t="shared" si="593"/>
        <v>0</v>
      </c>
    </row>
    <row r="1688" spans="1:28" x14ac:dyDescent="0.25">
      <c r="A1688" s="16">
        <f>OrdersTable!A1688</f>
        <v>249</v>
      </c>
      <c r="B1688" s="15" t="str">
        <f t="shared" si="573"/>
        <v>Mr</v>
      </c>
      <c r="C1688" s="15" t="str">
        <f t="shared" si="594"/>
        <v>Sinclair</v>
      </c>
      <c r="D1688" s="15" t="str">
        <f t="shared" si="574"/>
        <v>Travis James Foord</v>
      </c>
      <c r="E1688" s="15" t="str">
        <f t="shared" si="575"/>
        <v>25 Leunen Avenue</v>
      </c>
      <c r="F1688" s="15" t="str">
        <f t="shared" si="576"/>
        <v>Batlow</v>
      </c>
      <c r="G1688" s="15" t="str">
        <f t="shared" si="577"/>
        <v>NSW</v>
      </c>
      <c r="H1688" s="15">
        <f t="shared" si="578"/>
        <v>2730</v>
      </c>
      <c r="I1688" s="15">
        <f t="shared" si="589"/>
        <v>1138</v>
      </c>
      <c r="J1688" s="15">
        <f>OrdersTable!B1688</f>
        <v>810</v>
      </c>
      <c r="K1688" s="15" t="str">
        <f t="shared" si="579"/>
        <v>Statues and Busts</v>
      </c>
      <c r="L1688" s="15" t="str">
        <f t="shared" si="580"/>
        <v>Doctor Who: Masterpiece Collection Maxi Bust: Amy Pond</v>
      </c>
      <c r="M1688" s="15" t="str">
        <f t="shared" si="581"/>
        <v>-</v>
      </c>
      <c r="N1688" s="15">
        <f t="shared" si="582"/>
        <v>2.5</v>
      </c>
      <c r="O1688" s="15" t="str">
        <f t="shared" si="583"/>
        <v>A50</v>
      </c>
      <c r="P1688" s="15" t="str">
        <f t="shared" si="584"/>
        <v>Rassilon Ltd.</v>
      </c>
      <c r="Q1688" s="15" t="str">
        <f t="shared" si="585"/>
        <v>82 Richard Mathews Road</v>
      </c>
      <c r="R1688" s="3">
        <f>OrdersTable!C1688</f>
        <v>44681</v>
      </c>
      <c r="S1688" s="15">
        <f>OrdersTable!E1688</f>
        <v>10</v>
      </c>
      <c r="T1688" s="15">
        <f t="shared" si="586"/>
        <v>49.99</v>
      </c>
      <c r="U1688" s="15">
        <f t="shared" si="587"/>
        <v>68.260000000000005</v>
      </c>
      <c r="V1688" s="15">
        <f t="shared" si="588"/>
        <v>80.98</v>
      </c>
      <c r="W1688" s="15">
        <f>IF(MarkupType="Store Markup",ROUND(V1688+V1688*StoreMarkup,2),IF(MarkupType="Supplier Markup",V1688+V1688*SupplierMarkup,"Error at finding value"))</f>
        <v>127.54</v>
      </c>
      <c r="X1688" s="32">
        <f t="shared" si="590"/>
        <v>9.09</v>
      </c>
      <c r="Y1688" s="15">
        <f t="shared" si="591"/>
        <v>809.8</v>
      </c>
      <c r="Z1688" s="15">
        <f t="shared" si="592"/>
        <v>1184.5</v>
      </c>
      <c r="AA1688" s="15">
        <f>IF(FreightType="Lethbridge-Stewart Freight ",ROUND(2.99+IF(N1688&gt;0.75,(N1688-0.75)*2.25,0)*S1688,2),IF(MarkupType="Supplier Markup",V1688+V1688*SupplierMarkup,"Error at finding value"))</f>
        <v>42.37</v>
      </c>
      <c r="AB1688" s="15">
        <f t="shared" si="593"/>
        <v>90.9</v>
      </c>
    </row>
    <row r="1689" spans="1:28" x14ac:dyDescent="0.25">
      <c r="A1689" s="16">
        <f>OrdersTable!A1689</f>
        <v>323</v>
      </c>
      <c r="B1689" s="15" t="str">
        <f t="shared" si="573"/>
        <v>Dr</v>
      </c>
      <c r="C1689" s="15" t="str">
        <f t="shared" si="594"/>
        <v>King</v>
      </c>
      <c r="D1689" s="15" t="str">
        <f t="shared" si="574"/>
        <v>Leith</v>
      </c>
      <c r="E1689" s="15" t="str">
        <f t="shared" si="575"/>
        <v>25 Carbone Court</v>
      </c>
      <c r="F1689" s="15" t="str">
        <f t="shared" si="576"/>
        <v>Nayook</v>
      </c>
      <c r="G1689" s="15" t="str">
        <f t="shared" si="577"/>
        <v>VIC</v>
      </c>
      <c r="H1689" s="15">
        <f t="shared" si="578"/>
        <v>3832</v>
      </c>
      <c r="I1689" s="15">
        <f t="shared" si="589"/>
        <v>1552</v>
      </c>
      <c r="J1689" s="15">
        <f>OrdersTable!B1689</f>
        <v>530</v>
      </c>
      <c r="K1689" s="15" t="str">
        <f t="shared" si="579"/>
        <v>Giftware</v>
      </c>
      <c r="L1689" s="15" t="str">
        <f t="shared" si="580"/>
        <v>Doctor Who: Keyring TARDIS</v>
      </c>
      <c r="M1689" s="15" t="str">
        <f t="shared" si="581"/>
        <v>-</v>
      </c>
      <c r="N1689" s="15">
        <f t="shared" si="582"/>
        <v>0.25</v>
      </c>
      <c r="O1689" s="15" t="str">
        <f t="shared" si="583"/>
        <v>A20</v>
      </c>
      <c r="P1689" s="15" t="str">
        <f t="shared" si="584"/>
        <v>Morbius Inc.</v>
      </c>
      <c r="Q1689" s="15" t="str">
        <f t="shared" si="585"/>
        <v>56 Michael Spice Hwy</v>
      </c>
      <c r="R1689" s="3">
        <f>OrdersTable!C1689</f>
        <v>44681</v>
      </c>
      <c r="S1689" s="15">
        <f>OrdersTable!E1689</f>
        <v>8</v>
      </c>
      <c r="T1689" s="15">
        <f t="shared" si="586"/>
        <v>4.99</v>
      </c>
      <c r="U1689" s="15">
        <f t="shared" si="587"/>
        <v>7.1</v>
      </c>
      <c r="V1689" s="15">
        <f t="shared" si="588"/>
        <v>8.08</v>
      </c>
      <c r="W1689" s="15">
        <f>IF(MarkupType="Store Markup",ROUND(V1689+V1689*StoreMarkup,2),IF(MarkupType="Supplier Markup",V1689+V1689*SupplierMarkup,"Error at finding value"))</f>
        <v>12.73</v>
      </c>
      <c r="X1689" s="32" t="str">
        <f t="shared" si="590"/>
        <v>0.00</v>
      </c>
      <c r="Y1689" s="15">
        <f t="shared" si="591"/>
        <v>64.64</v>
      </c>
      <c r="Z1689" s="15">
        <f t="shared" si="592"/>
        <v>101.84</v>
      </c>
      <c r="AA1689" s="15">
        <f>IF(FreightType="Lethbridge-Stewart Freight ",ROUND(2.99+IF(N1689&gt;0.75,(N1689-0.75)*2.25,0)*S1689,2),IF(MarkupType="Supplier Markup",V1689+V1689*SupplierMarkup,"Error at finding value"))</f>
        <v>2.99</v>
      </c>
      <c r="AB1689" s="15">
        <f t="shared" si="593"/>
        <v>0</v>
      </c>
    </row>
    <row r="1690" spans="1:28" x14ac:dyDescent="0.25">
      <c r="A1690" s="16">
        <f>OrdersTable!A1690</f>
        <v>329</v>
      </c>
      <c r="B1690" s="15" t="str">
        <f t="shared" si="573"/>
        <v>Ms</v>
      </c>
      <c r="C1690" s="15" t="str">
        <f t="shared" si="594"/>
        <v>Hubbard</v>
      </c>
      <c r="D1690" s="15" t="str">
        <f t="shared" si="574"/>
        <v>Sonya Marie</v>
      </c>
      <c r="E1690" s="15" t="str">
        <f t="shared" si="575"/>
        <v>42 Keable Crescent</v>
      </c>
      <c r="F1690" s="15" t="str">
        <f t="shared" si="576"/>
        <v>Boston</v>
      </c>
      <c r="G1690" s="15" t="str">
        <f t="shared" si="577"/>
        <v>SA</v>
      </c>
      <c r="H1690" s="15">
        <f t="shared" si="578"/>
        <v>5607</v>
      </c>
      <c r="I1690" s="15">
        <f t="shared" si="589"/>
        <v>2076</v>
      </c>
      <c r="J1690" s="15">
        <f>OrdersTable!B1690</f>
        <v>580</v>
      </c>
      <c r="K1690" s="15" t="str">
        <f t="shared" si="579"/>
        <v>Giftware</v>
      </c>
      <c r="L1690" s="15" t="str">
        <f t="shared" si="580"/>
        <v>Doctor Who: Wallpaper: Classic TARDIS Columns</v>
      </c>
      <c r="M1690" s="15" t="str">
        <f t="shared" si="581"/>
        <v>-</v>
      </c>
      <c r="N1690" s="15">
        <f t="shared" si="582"/>
        <v>0.65500000000000003</v>
      </c>
      <c r="O1690" s="15" t="str">
        <f t="shared" si="583"/>
        <v>A50</v>
      </c>
      <c r="P1690" s="15" t="str">
        <f t="shared" si="584"/>
        <v>Rassilon Ltd.</v>
      </c>
      <c r="Q1690" s="15" t="str">
        <f t="shared" si="585"/>
        <v>82 Richard Mathews Road</v>
      </c>
      <c r="R1690" s="3">
        <f>OrdersTable!C1690</f>
        <v>44681</v>
      </c>
      <c r="S1690" s="15">
        <f>OrdersTable!E1690</f>
        <v>3</v>
      </c>
      <c r="T1690" s="15">
        <f t="shared" si="586"/>
        <v>13.11</v>
      </c>
      <c r="U1690" s="15">
        <f t="shared" si="587"/>
        <v>18.18</v>
      </c>
      <c r="V1690" s="15">
        <f t="shared" si="588"/>
        <v>21.24</v>
      </c>
      <c r="W1690" s="15">
        <f>IF(MarkupType="Store Markup",ROUND(V1690+V1690*StoreMarkup,2),IF(MarkupType="Supplier Markup",V1690+V1690*SupplierMarkup,"Error at finding value"))</f>
        <v>33.450000000000003</v>
      </c>
      <c r="X1690" s="32" t="str">
        <f t="shared" si="590"/>
        <v>0.00</v>
      </c>
      <c r="Y1690" s="15">
        <f t="shared" si="591"/>
        <v>63.72</v>
      </c>
      <c r="Z1690" s="15">
        <f t="shared" si="592"/>
        <v>100.35</v>
      </c>
      <c r="AA1690" s="15">
        <f>IF(FreightType="Lethbridge-Stewart Freight ",ROUND(2.99+IF(N1690&gt;0.75,(N1690-0.75)*2.25,0)*S1690,2),IF(MarkupType="Supplier Markup",V1690+V1690*SupplierMarkup,"Error at finding value"))</f>
        <v>2.99</v>
      </c>
      <c r="AB1690" s="15">
        <f t="shared" si="593"/>
        <v>0</v>
      </c>
    </row>
    <row r="1691" spans="1:28" x14ac:dyDescent="0.25">
      <c r="A1691" s="16">
        <f>OrdersTable!A1691</f>
        <v>330</v>
      </c>
      <c r="B1691" s="15" t="str">
        <f t="shared" si="573"/>
        <v>Mr</v>
      </c>
      <c r="C1691" s="15" t="str">
        <f t="shared" si="594"/>
        <v>Liesegang</v>
      </c>
      <c r="D1691" s="15" t="str">
        <f t="shared" si="574"/>
        <v>Darcey Michelle</v>
      </c>
      <c r="E1691" s="15" t="str">
        <f t="shared" si="575"/>
        <v>50 McCann Drive</v>
      </c>
      <c r="F1691" s="15" t="str">
        <f t="shared" si="576"/>
        <v>Binduli</v>
      </c>
      <c r="G1691" s="15" t="str">
        <f t="shared" si="577"/>
        <v>WA</v>
      </c>
      <c r="H1691" s="15">
        <f t="shared" si="578"/>
        <v>6430</v>
      </c>
      <c r="I1691" s="15">
        <f t="shared" si="589"/>
        <v>3543</v>
      </c>
      <c r="J1691" s="15">
        <f>OrdersTable!B1691</f>
        <v>331</v>
      </c>
      <c r="K1691" s="15" t="str">
        <f t="shared" si="579"/>
        <v>Clothing and Apparel</v>
      </c>
      <c r="L1691" s="15" t="str">
        <f t="shared" si="580"/>
        <v xml:space="preserve">Doctor Who: T-Shirts: 4th Doctor Costume </v>
      </c>
      <c r="M1691" s="15" t="str">
        <f t="shared" si="581"/>
        <v>L</v>
      </c>
      <c r="N1691" s="15">
        <f t="shared" si="582"/>
        <v>0.8</v>
      </c>
      <c r="O1691" s="15" t="str">
        <f t="shared" si="583"/>
        <v>A20</v>
      </c>
      <c r="P1691" s="15" t="str">
        <f t="shared" si="584"/>
        <v>Morbius Inc.</v>
      </c>
      <c r="Q1691" s="15" t="str">
        <f t="shared" si="585"/>
        <v>56 Michael Spice Hwy</v>
      </c>
      <c r="R1691" s="3">
        <f>OrdersTable!C1691</f>
        <v>44681</v>
      </c>
      <c r="S1691" s="15">
        <f>OrdersTable!E1691</f>
        <v>2</v>
      </c>
      <c r="T1691" s="15">
        <f t="shared" si="586"/>
        <v>15.99</v>
      </c>
      <c r="U1691" s="15">
        <f t="shared" si="587"/>
        <v>22.08</v>
      </c>
      <c r="V1691" s="15">
        <f t="shared" si="588"/>
        <v>25.9</v>
      </c>
      <c r="W1691" s="15">
        <f>IF(MarkupType="Store Markup",ROUND(V1691+V1691*StoreMarkup,2),IF(MarkupType="Supplier Markup",V1691+V1691*SupplierMarkup,"Error at finding value"))</f>
        <v>40.79</v>
      </c>
      <c r="X1691" s="32" t="str">
        <f t="shared" si="590"/>
        <v>0.00</v>
      </c>
      <c r="Y1691" s="15">
        <f t="shared" si="591"/>
        <v>51.8</v>
      </c>
      <c r="Z1691" s="15">
        <f t="shared" si="592"/>
        <v>81.58</v>
      </c>
      <c r="AA1691" s="15">
        <f>IF(FreightType="Lethbridge-Stewart Freight ",ROUND(2.99+IF(N1691&gt;0.75,(N1691-0.75)*2.25,0)*S1691,2),IF(MarkupType="Supplier Markup",V1691+V1691*SupplierMarkup,"Error at finding value"))</f>
        <v>3.22</v>
      </c>
      <c r="AB1691" s="15">
        <f t="shared" si="593"/>
        <v>0</v>
      </c>
    </row>
    <row r="1692" spans="1:28" x14ac:dyDescent="0.25">
      <c r="A1692" s="16">
        <f>OrdersTable!A1692</f>
        <v>332</v>
      </c>
      <c r="B1692" s="15" t="str">
        <f t="shared" si="573"/>
        <v>Mr</v>
      </c>
      <c r="C1692" s="15" t="str">
        <f t="shared" si="594"/>
        <v>Selman</v>
      </c>
      <c r="D1692" s="15" t="str">
        <f t="shared" si="574"/>
        <v>Jack Ryan</v>
      </c>
      <c r="E1692" s="15" t="str">
        <f t="shared" si="575"/>
        <v>17 Van Essen Street</v>
      </c>
      <c r="F1692" s="15" t="str">
        <f t="shared" si="576"/>
        <v>Airly</v>
      </c>
      <c r="G1692" s="15" t="str">
        <f t="shared" si="577"/>
        <v>VIC</v>
      </c>
      <c r="H1692" s="15">
        <f t="shared" si="578"/>
        <v>3851</v>
      </c>
      <c r="I1692" s="15">
        <f t="shared" si="589"/>
        <v>1583</v>
      </c>
      <c r="J1692" s="15">
        <f>OrdersTable!B1692</f>
        <v>186</v>
      </c>
      <c r="K1692" s="15" t="str">
        <f t="shared" si="579"/>
        <v>Bobbleheads</v>
      </c>
      <c r="L1692" s="15" t="str">
        <f t="shared" si="580"/>
        <v>Doctor Who: Monitor Mate: 50th Anniversary Original TARDIS</v>
      </c>
      <c r="M1692" s="15" t="str">
        <f t="shared" si="581"/>
        <v>-</v>
      </c>
      <c r="N1692" s="15">
        <f t="shared" si="582"/>
        <v>0.45</v>
      </c>
      <c r="O1692" s="15" t="str">
        <f t="shared" si="583"/>
        <v>A20</v>
      </c>
      <c r="P1692" s="15" t="str">
        <f t="shared" si="584"/>
        <v>Morbius Inc.</v>
      </c>
      <c r="Q1692" s="15" t="str">
        <f t="shared" si="585"/>
        <v>56 Michael Spice Hwy</v>
      </c>
      <c r="R1692" s="3">
        <f>OrdersTable!C1692</f>
        <v>44681</v>
      </c>
      <c r="S1692" s="15">
        <f>OrdersTable!E1692</f>
        <v>9</v>
      </c>
      <c r="T1692" s="15">
        <f t="shared" si="586"/>
        <v>8.99</v>
      </c>
      <c r="U1692" s="15">
        <f t="shared" si="587"/>
        <v>12.46</v>
      </c>
      <c r="V1692" s="15">
        <f t="shared" si="588"/>
        <v>14.56</v>
      </c>
      <c r="W1692" s="15">
        <f>IF(MarkupType="Store Markup",ROUND(V1692+V1692*StoreMarkup,2),IF(MarkupType="Supplier Markup",V1692+V1692*SupplierMarkup,"Error at finding value"))</f>
        <v>22.93</v>
      </c>
      <c r="X1692" s="32" t="str">
        <f t="shared" si="590"/>
        <v>0.00</v>
      </c>
      <c r="Y1692" s="15">
        <f t="shared" si="591"/>
        <v>131.04</v>
      </c>
      <c r="Z1692" s="15">
        <f t="shared" si="592"/>
        <v>206.37</v>
      </c>
      <c r="AA1692" s="15">
        <f>IF(FreightType="Lethbridge-Stewart Freight ",ROUND(2.99+IF(N1692&gt;0.75,(N1692-0.75)*2.25,0)*S1692,2),IF(MarkupType="Supplier Markup",V1692+V1692*SupplierMarkup,"Error at finding value"))</f>
        <v>2.99</v>
      </c>
      <c r="AB1692" s="15">
        <f t="shared" si="593"/>
        <v>0</v>
      </c>
    </row>
    <row r="1693" spans="1:28" x14ac:dyDescent="0.25">
      <c r="A1693" s="16">
        <f>OrdersTable!A1693</f>
        <v>540</v>
      </c>
      <c r="B1693" s="15" t="str">
        <f t="shared" si="573"/>
        <v>Dr</v>
      </c>
      <c r="C1693" s="15" t="str">
        <f t="shared" si="594"/>
        <v>Hackett</v>
      </c>
      <c r="D1693" s="15" t="str">
        <f t="shared" si="574"/>
        <v>Patrick</v>
      </c>
      <c r="E1693" s="15" t="str">
        <f t="shared" si="575"/>
        <v>25 Sweet Drive</v>
      </c>
      <c r="F1693" s="15" t="str">
        <f t="shared" si="576"/>
        <v>Bridgewater</v>
      </c>
      <c r="G1693" s="15" t="str">
        <f t="shared" si="577"/>
        <v>VIC</v>
      </c>
      <c r="H1693" s="15">
        <f t="shared" si="578"/>
        <v>3516</v>
      </c>
      <c r="I1693" s="15">
        <f t="shared" si="589"/>
        <v>1486</v>
      </c>
      <c r="J1693" s="15">
        <f>OrdersTable!B1693</f>
        <v>780</v>
      </c>
      <c r="K1693" s="15" t="str">
        <f t="shared" si="579"/>
        <v>Statues and Busts</v>
      </c>
      <c r="L1693" s="15" t="str">
        <f t="shared" si="580"/>
        <v>Doctor Who: Masterpiece Collection Dalek: Genesis Of The Daleks</v>
      </c>
      <c r="M1693" s="15" t="str">
        <f t="shared" si="581"/>
        <v>-</v>
      </c>
      <c r="N1693" s="15">
        <f t="shared" si="582"/>
        <v>2.5</v>
      </c>
      <c r="O1693" s="15" t="str">
        <f t="shared" si="583"/>
        <v>A30</v>
      </c>
      <c r="P1693" s="15" t="str">
        <f t="shared" si="584"/>
        <v>Chesterton Enterprises</v>
      </c>
      <c r="Q1693" s="15" t="str">
        <f t="shared" si="585"/>
        <v>41 William Russell Road</v>
      </c>
      <c r="R1693" s="3">
        <f>OrdersTable!C1693</f>
        <v>44681</v>
      </c>
      <c r="S1693" s="15">
        <f>OrdersTable!E1693</f>
        <v>6</v>
      </c>
      <c r="T1693" s="15">
        <f t="shared" si="586"/>
        <v>49.99</v>
      </c>
      <c r="U1693" s="15">
        <f t="shared" si="587"/>
        <v>68.23</v>
      </c>
      <c r="V1693" s="15">
        <f t="shared" si="588"/>
        <v>80.98</v>
      </c>
      <c r="W1693" s="15">
        <f>IF(MarkupType="Store Markup",ROUND(V1693+V1693*StoreMarkup,2),IF(MarkupType="Supplier Markup",V1693+V1693*SupplierMarkup,"Error at finding value"))</f>
        <v>127.54</v>
      </c>
      <c r="X1693" s="32">
        <f t="shared" si="590"/>
        <v>9.09</v>
      </c>
      <c r="Y1693" s="15">
        <f t="shared" si="591"/>
        <v>485.88</v>
      </c>
      <c r="Z1693" s="15">
        <f t="shared" si="592"/>
        <v>710.7</v>
      </c>
      <c r="AA1693" s="15">
        <f>IF(FreightType="Lethbridge-Stewart Freight ",ROUND(2.99+IF(N1693&gt;0.75,(N1693-0.75)*2.25,0)*S1693,2),IF(MarkupType="Supplier Markup",V1693+V1693*SupplierMarkup,"Error at finding value"))</f>
        <v>26.62</v>
      </c>
      <c r="AB1693" s="15">
        <f t="shared" si="593"/>
        <v>54.54</v>
      </c>
    </row>
    <row r="1694" spans="1:28" x14ac:dyDescent="0.25">
      <c r="A1694" s="16">
        <f>OrdersTable!A1694</f>
        <v>570</v>
      </c>
      <c r="B1694" s="15" t="str">
        <f t="shared" si="573"/>
        <v>Mr</v>
      </c>
      <c r="C1694" s="15" t="str">
        <f t="shared" si="594"/>
        <v>Adams</v>
      </c>
      <c r="D1694" s="15" t="str">
        <f t="shared" si="574"/>
        <v>Matthew</v>
      </c>
      <c r="E1694" s="15" t="str">
        <f t="shared" si="575"/>
        <v>36 Fenech Avenue</v>
      </c>
      <c r="F1694" s="15" t="str">
        <f t="shared" si="576"/>
        <v>Bray Park</v>
      </c>
      <c r="G1694" s="15" t="str">
        <f t="shared" si="577"/>
        <v>QLD</v>
      </c>
      <c r="H1694" s="15">
        <f t="shared" si="578"/>
        <v>4500</v>
      </c>
      <c r="I1694" s="15">
        <f t="shared" si="589"/>
        <v>139</v>
      </c>
      <c r="J1694" s="15">
        <f>OrdersTable!B1694</f>
        <v>643</v>
      </c>
      <c r="K1694" s="15" t="str">
        <f t="shared" si="579"/>
        <v>Mugs</v>
      </c>
      <c r="L1694" s="15" t="str">
        <f t="shared" si="580"/>
        <v>Doctor Who: Giant Mug: Logo</v>
      </c>
      <c r="M1694" s="15" t="str">
        <f t="shared" si="581"/>
        <v>-</v>
      </c>
      <c r="N1694" s="15">
        <f t="shared" si="582"/>
        <v>0.44500000000000001</v>
      </c>
      <c r="O1694" s="15" t="str">
        <f t="shared" si="583"/>
        <v>A10</v>
      </c>
      <c r="P1694" s="15" t="str">
        <f t="shared" si="584"/>
        <v>Gallifrey International</v>
      </c>
      <c r="Q1694" s="15" t="str">
        <f t="shared" si="585"/>
        <v>181 Arcadia Street</v>
      </c>
      <c r="R1694" s="3">
        <f>OrdersTable!C1694</f>
        <v>44681</v>
      </c>
      <c r="S1694" s="15">
        <f>OrdersTable!E1694</f>
        <v>5</v>
      </c>
      <c r="T1694" s="15">
        <f t="shared" si="586"/>
        <v>8.89</v>
      </c>
      <c r="U1694" s="15">
        <f t="shared" si="587"/>
        <v>12.19</v>
      </c>
      <c r="V1694" s="15">
        <f t="shared" si="588"/>
        <v>14.4</v>
      </c>
      <c r="W1694" s="15">
        <f>IF(MarkupType="Store Markup",ROUND(V1694+V1694*StoreMarkup,2),IF(MarkupType="Supplier Markup",V1694+V1694*SupplierMarkup,"Error at finding value"))</f>
        <v>22.68</v>
      </c>
      <c r="X1694" s="32" t="str">
        <f t="shared" si="590"/>
        <v>0.00</v>
      </c>
      <c r="Y1694" s="15">
        <f t="shared" si="591"/>
        <v>72</v>
      </c>
      <c r="Z1694" s="15">
        <f t="shared" si="592"/>
        <v>113.4</v>
      </c>
      <c r="AA1694" s="15">
        <f>IF(FreightType="Lethbridge-Stewart Freight ",ROUND(2.99+IF(N1694&gt;0.75,(N1694-0.75)*2.25,0)*S1694,2),IF(MarkupType="Supplier Markup",V1694+V1694*SupplierMarkup,"Error at finding value"))</f>
        <v>2.99</v>
      </c>
      <c r="AB1694" s="15">
        <f t="shared" si="593"/>
        <v>0</v>
      </c>
    </row>
    <row r="1695" spans="1:28" x14ac:dyDescent="0.25">
      <c r="A1695" s="16">
        <f>OrdersTable!A1695</f>
        <v>573</v>
      </c>
      <c r="B1695" s="15" t="str">
        <f t="shared" si="573"/>
        <v>Mrs</v>
      </c>
      <c r="C1695" s="15" t="str">
        <f t="shared" si="594"/>
        <v>Hollonds</v>
      </c>
      <c r="D1695" s="15" t="str">
        <f t="shared" si="574"/>
        <v>Suzan</v>
      </c>
      <c r="E1695" s="15" t="str">
        <f t="shared" si="575"/>
        <v>49 Patel Way</v>
      </c>
      <c r="F1695" s="15" t="str">
        <f t="shared" si="576"/>
        <v>Belconnen</v>
      </c>
      <c r="G1695" s="15" t="str">
        <f t="shared" si="577"/>
        <v>ACT</v>
      </c>
      <c r="H1695" s="15">
        <f t="shared" si="578"/>
        <v>2617</v>
      </c>
      <c r="I1695" s="15">
        <f t="shared" si="589"/>
        <v>1194</v>
      </c>
      <c r="J1695" s="15">
        <f>OrdersTable!B1695</f>
        <v>732</v>
      </c>
      <c r="K1695" s="15" t="str">
        <f t="shared" si="579"/>
        <v>Props and Replicas</v>
      </c>
      <c r="L1695" s="15" t="str">
        <f t="shared" si="580"/>
        <v>Doctor Who: Eleventh Doctor's Sonic Screwdriver</v>
      </c>
      <c r="M1695" s="15" t="str">
        <f t="shared" si="581"/>
        <v>-</v>
      </c>
      <c r="N1695" s="15">
        <f t="shared" si="582"/>
        <v>3</v>
      </c>
      <c r="O1695" s="15" t="str">
        <f t="shared" si="583"/>
        <v>A40</v>
      </c>
      <c r="P1695" s="15" t="str">
        <f t="shared" si="584"/>
        <v>Romana Imports</v>
      </c>
      <c r="Q1695" s="15" t="str">
        <f t="shared" si="585"/>
        <v>17 Lalla Ward Road</v>
      </c>
      <c r="R1695" s="3">
        <f>OrdersTable!C1695</f>
        <v>44681</v>
      </c>
      <c r="S1695" s="15">
        <f>OrdersTable!E1695</f>
        <v>9</v>
      </c>
      <c r="T1695" s="15">
        <f t="shared" si="586"/>
        <v>59.99</v>
      </c>
      <c r="U1695" s="15">
        <f t="shared" si="587"/>
        <v>81.83</v>
      </c>
      <c r="V1695" s="15">
        <f t="shared" si="588"/>
        <v>97.18</v>
      </c>
      <c r="W1695" s="15">
        <f>IF(MarkupType="Store Markup",ROUND(V1695+V1695*StoreMarkup,2),IF(MarkupType="Supplier Markup",V1695+V1695*SupplierMarkup,"Error at finding value"))</f>
        <v>153.06</v>
      </c>
      <c r="X1695" s="32">
        <f t="shared" si="590"/>
        <v>10.91</v>
      </c>
      <c r="Y1695" s="15">
        <f t="shared" si="591"/>
        <v>874.62</v>
      </c>
      <c r="Z1695" s="15">
        <f t="shared" si="592"/>
        <v>1279.3499999999999</v>
      </c>
      <c r="AA1695" s="15">
        <f>IF(FreightType="Lethbridge-Stewart Freight ",ROUND(2.99+IF(N1695&gt;0.75,(N1695-0.75)*2.25,0)*S1695,2),IF(MarkupType="Supplier Markup",V1695+V1695*SupplierMarkup,"Error at finding value"))</f>
        <v>48.55</v>
      </c>
      <c r="AB1695" s="15">
        <f t="shared" si="593"/>
        <v>98.19</v>
      </c>
    </row>
    <row r="1696" spans="1:28" x14ac:dyDescent="0.25">
      <c r="A1696" s="16">
        <f>OrdersTable!A1696</f>
        <v>600</v>
      </c>
      <c r="B1696" s="15" t="str">
        <f t="shared" si="573"/>
        <v>Dr</v>
      </c>
      <c r="C1696" s="15" t="str">
        <f t="shared" si="594"/>
        <v>McConnell</v>
      </c>
      <c r="D1696" s="15" t="str">
        <f t="shared" si="574"/>
        <v>Hannah Clair</v>
      </c>
      <c r="E1696" s="15" t="str">
        <f t="shared" si="575"/>
        <v>27 Mccarthy Circuit</v>
      </c>
      <c r="F1696" s="15" t="str">
        <f t="shared" si="576"/>
        <v>Ashford</v>
      </c>
      <c r="G1696" s="15" t="str">
        <f t="shared" si="577"/>
        <v>SA</v>
      </c>
      <c r="H1696" s="15">
        <f t="shared" si="578"/>
        <v>5035</v>
      </c>
      <c r="I1696" s="15">
        <f t="shared" si="589"/>
        <v>1877</v>
      </c>
      <c r="J1696" s="15">
        <f>OrdersTable!B1696</f>
        <v>398</v>
      </c>
      <c r="K1696" s="15" t="str">
        <f t="shared" si="579"/>
        <v>Clothing and Apparel</v>
      </c>
      <c r="L1696" s="15" t="str">
        <f t="shared" si="580"/>
        <v>Doctor Who: Women's Winter Pyjamas</v>
      </c>
      <c r="M1696" s="15" t="str">
        <f t="shared" si="581"/>
        <v>S</v>
      </c>
      <c r="N1696" s="15">
        <f t="shared" si="582"/>
        <v>1.5</v>
      </c>
      <c r="O1696" s="15" t="str">
        <f t="shared" si="583"/>
        <v>A40</v>
      </c>
      <c r="P1696" s="15" t="str">
        <f t="shared" si="584"/>
        <v>Romana Imports</v>
      </c>
      <c r="Q1696" s="15" t="str">
        <f t="shared" si="585"/>
        <v>17 Lalla Ward Road</v>
      </c>
      <c r="R1696" s="3">
        <f>OrdersTable!C1696</f>
        <v>44681</v>
      </c>
      <c r="S1696" s="15">
        <f>OrdersTable!E1696</f>
        <v>6</v>
      </c>
      <c r="T1696" s="15">
        <f t="shared" si="586"/>
        <v>29.99</v>
      </c>
      <c r="U1696" s="15">
        <f t="shared" si="587"/>
        <v>41.07</v>
      </c>
      <c r="V1696" s="15">
        <f t="shared" si="588"/>
        <v>48.58</v>
      </c>
      <c r="W1696" s="15">
        <f>IF(MarkupType="Store Markup",ROUND(V1696+V1696*StoreMarkup,2),IF(MarkupType="Supplier Markup",V1696+V1696*SupplierMarkup,"Error at finding value"))</f>
        <v>76.510000000000005</v>
      </c>
      <c r="X1696" s="32" t="str">
        <f t="shared" si="590"/>
        <v>0.00</v>
      </c>
      <c r="Y1696" s="15">
        <f t="shared" si="591"/>
        <v>291.48</v>
      </c>
      <c r="Z1696" s="15">
        <f t="shared" si="592"/>
        <v>459.06</v>
      </c>
      <c r="AA1696" s="15">
        <f>IF(FreightType="Lethbridge-Stewart Freight ",ROUND(2.99+IF(N1696&gt;0.75,(N1696-0.75)*2.25,0)*S1696,2),IF(MarkupType="Supplier Markup",V1696+V1696*SupplierMarkup,"Error at finding value"))</f>
        <v>13.12</v>
      </c>
      <c r="AB1696" s="15">
        <f t="shared" si="593"/>
        <v>0</v>
      </c>
    </row>
    <row r="1697" spans="1:28" x14ac:dyDescent="0.25">
      <c r="A1697" s="16">
        <f>OrdersTable!A1697</f>
        <v>657</v>
      </c>
      <c r="B1697" s="15" t="str">
        <f t="shared" si="573"/>
        <v>Mr</v>
      </c>
      <c r="C1697" s="15" t="str">
        <f t="shared" si="594"/>
        <v>Poljak</v>
      </c>
      <c r="D1697" s="15" t="str">
        <f t="shared" si="574"/>
        <v>Anthony</v>
      </c>
      <c r="E1697" s="15" t="str">
        <f t="shared" si="575"/>
        <v>45 Robertson Boulevard</v>
      </c>
      <c r="F1697" s="15" t="str">
        <f t="shared" si="576"/>
        <v>Iluka</v>
      </c>
      <c r="G1697" s="15" t="str">
        <f t="shared" si="577"/>
        <v>NSW</v>
      </c>
      <c r="H1697" s="15">
        <f t="shared" si="578"/>
        <v>2466</v>
      </c>
      <c r="I1697" s="15">
        <f t="shared" si="589"/>
        <v>347</v>
      </c>
      <c r="J1697" s="15">
        <f>OrdersTable!B1697</f>
        <v>826</v>
      </c>
      <c r="K1697" s="15" t="str">
        <f t="shared" si="579"/>
        <v>Statues and Busts</v>
      </c>
      <c r="L1697" s="15" t="str">
        <f t="shared" si="580"/>
        <v>Doctor Who: Mini Bust: Cyberman</v>
      </c>
      <c r="M1697" s="15" t="str">
        <f t="shared" si="581"/>
        <v>-</v>
      </c>
      <c r="N1697" s="15">
        <f t="shared" si="582"/>
        <v>1.8</v>
      </c>
      <c r="O1697" s="15" t="str">
        <f t="shared" si="583"/>
        <v>A40</v>
      </c>
      <c r="P1697" s="15" t="str">
        <f t="shared" si="584"/>
        <v>Romana Imports</v>
      </c>
      <c r="Q1697" s="15" t="str">
        <f t="shared" si="585"/>
        <v>17 Lalla Ward Road</v>
      </c>
      <c r="R1697" s="3">
        <f>OrdersTable!C1697</f>
        <v>44681</v>
      </c>
      <c r="S1697" s="15">
        <f>OrdersTable!E1697</f>
        <v>1</v>
      </c>
      <c r="T1697" s="15">
        <f t="shared" si="586"/>
        <v>35.99</v>
      </c>
      <c r="U1697" s="15">
        <f t="shared" si="587"/>
        <v>49.13</v>
      </c>
      <c r="V1697" s="15">
        <f t="shared" si="588"/>
        <v>58.3</v>
      </c>
      <c r="W1697" s="15">
        <f>IF(MarkupType="Store Markup",ROUND(V1697+V1697*StoreMarkup,2),IF(MarkupType="Supplier Markup",V1697+V1697*SupplierMarkup,"Error at finding value"))</f>
        <v>91.82</v>
      </c>
      <c r="X1697" s="32" t="str">
        <f t="shared" si="590"/>
        <v>0.00</v>
      </c>
      <c r="Y1697" s="15">
        <f t="shared" si="591"/>
        <v>58.3</v>
      </c>
      <c r="Z1697" s="15">
        <f t="shared" si="592"/>
        <v>91.82</v>
      </c>
      <c r="AA1697" s="15">
        <f>IF(FreightType="Lethbridge-Stewart Freight ",ROUND(2.99+IF(N1697&gt;0.75,(N1697-0.75)*2.25,0)*S1697,2),IF(MarkupType="Supplier Markup",V1697+V1697*SupplierMarkup,"Error at finding value"))</f>
        <v>5.35</v>
      </c>
      <c r="AB1697" s="15">
        <f t="shared" si="593"/>
        <v>0</v>
      </c>
    </row>
    <row r="1698" spans="1:28" x14ac:dyDescent="0.25">
      <c r="A1698" s="16">
        <f>OrdersTable!A1698</f>
        <v>659</v>
      </c>
      <c r="B1698" s="15" t="str">
        <f t="shared" si="573"/>
        <v>Mr</v>
      </c>
      <c r="C1698" s="15" t="str">
        <f t="shared" si="594"/>
        <v>Douglas</v>
      </c>
      <c r="D1698" s="15" t="str">
        <f t="shared" si="574"/>
        <v>Jason Richard</v>
      </c>
      <c r="E1698" s="15" t="str">
        <f t="shared" si="575"/>
        <v>14 Young Crescent</v>
      </c>
      <c r="F1698" s="15" t="str">
        <f t="shared" si="576"/>
        <v>Caliph</v>
      </c>
      <c r="G1698" s="15" t="str">
        <f t="shared" si="577"/>
        <v>SA</v>
      </c>
      <c r="H1698" s="15">
        <f t="shared" si="578"/>
        <v>5310</v>
      </c>
      <c r="I1698" s="15">
        <f t="shared" si="589"/>
        <v>1720</v>
      </c>
      <c r="J1698" s="15">
        <f>OrdersTable!B1698</f>
        <v>710</v>
      </c>
      <c r="K1698" s="15" t="str">
        <f t="shared" si="579"/>
        <v>Posters, Prints and Standees</v>
      </c>
      <c r="L1698" s="15" t="str">
        <f t="shared" si="580"/>
        <v>Doctor Who: Poster: Regenerate</v>
      </c>
      <c r="M1698" s="15" t="str">
        <f t="shared" si="581"/>
        <v>-</v>
      </c>
      <c r="N1698" s="15">
        <f t="shared" si="582"/>
        <v>0.2</v>
      </c>
      <c r="O1698" s="15" t="str">
        <f t="shared" si="583"/>
        <v>A40</v>
      </c>
      <c r="P1698" s="15" t="str">
        <f t="shared" si="584"/>
        <v>Romana Imports</v>
      </c>
      <c r="Q1698" s="15" t="str">
        <f t="shared" si="585"/>
        <v>17 Lalla Ward Road</v>
      </c>
      <c r="R1698" s="3">
        <f>OrdersTable!C1698</f>
        <v>44681</v>
      </c>
      <c r="S1698" s="15">
        <f>OrdersTable!E1698</f>
        <v>2</v>
      </c>
      <c r="T1698" s="15">
        <f t="shared" si="586"/>
        <v>3.99</v>
      </c>
      <c r="U1698" s="15">
        <f t="shared" si="587"/>
        <v>5.5</v>
      </c>
      <c r="V1698" s="15">
        <f t="shared" si="588"/>
        <v>6.46</v>
      </c>
      <c r="W1698" s="15">
        <f>IF(MarkupType="Store Markup",ROUND(V1698+V1698*StoreMarkup,2),IF(MarkupType="Supplier Markup",V1698+V1698*SupplierMarkup,"Error at finding value"))</f>
        <v>10.17</v>
      </c>
      <c r="X1698" s="32" t="str">
        <f t="shared" si="590"/>
        <v>0.00</v>
      </c>
      <c r="Y1698" s="15">
        <f t="shared" si="591"/>
        <v>12.92</v>
      </c>
      <c r="Z1698" s="15">
        <f t="shared" si="592"/>
        <v>20.34</v>
      </c>
      <c r="AA1698" s="15">
        <f>IF(FreightType="Lethbridge-Stewart Freight ",ROUND(2.99+IF(N1698&gt;0.75,(N1698-0.75)*2.25,0)*S1698,2),IF(MarkupType="Supplier Markup",V1698+V1698*SupplierMarkup,"Error at finding value"))</f>
        <v>2.99</v>
      </c>
      <c r="AB1698" s="15">
        <f t="shared" si="593"/>
        <v>0</v>
      </c>
    </row>
    <row r="1699" spans="1:28" x14ac:dyDescent="0.25">
      <c r="A1699" s="16">
        <f>OrdersTable!A1699</f>
        <v>823</v>
      </c>
      <c r="B1699" s="15" t="str">
        <f t="shared" si="573"/>
        <v>Mrs</v>
      </c>
      <c r="C1699" s="15" t="str">
        <f t="shared" si="594"/>
        <v>Riordan</v>
      </c>
      <c r="D1699" s="15" t="str">
        <f t="shared" si="574"/>
        <v>Brianna Leigh</v>
      </c>
      <c r="E1699" s="15" t="str">
        <f t="shared" si="575"/>
        <v>7 Boyd Crescent</v>
      </c>
      <c r="F1699" s="15" t="str">
        <f t="shared" si="576"/>
        <v>Bamboo</v>
      </c>
      <c r="G1699" s="15" t="str">
        <f t="shared" si="577"/>
        <v>QLD</v>
      </c>
      <c r="H1699" s="15">
        <f t="shared" si="578"/>
        <v>4873</v>
      </c>
      <c r="I1699" s="15">
        <f t="shared" si="589"/>
        <v>1741</v>
      </c>
      <c r="J1699" s="15">
        <f>OrdersTable!B1699</f>
        <v>849</v>
      </c>
      <c r="K1699" s="15" t="str">
        <f t="shared" si="579"/>
        <v>Statues and Busts</v>
      </c>
      <c r="L1699" s="15" t="str">
        <f t="shared" si="580"/>
        <v>Doctor Who: Statue: Cyber Controller</v>
      </c>
      <c r="M1699" s="15" t="str">
        <f t="shared" si="581"/>
        <v>-</v>
      </c>
      <c r="N1699" s="15">
        <f t="shared" si="582"/>
        <v>5</v>
      </c>
      <c r="O1699" s="15" t="str">
        <f t="shared" si="583"/>
        <v>A10</v>
      </c>
      <c r="P1699" s="15" t="str">
        <f t="shared" si="584"/>
        <v>Gallifrey International</v>
      </c>
      <c r="Q1699" s="15" t="str">
        <f t="shared" si="585"/>
        <v>181 Arcadia Street</v>
      </c>
      <c r="R1699" s="3">
        <f>OrdersTable!C1699</f>
        <v>44681</v>
      </c>
      <c r="S1699" s="15">
        <f>OrdersTable!E1699</f>
        <v>2</v>
      </c>
      <c r="T1699" s="15">
        <f t="shared" si="586"/>
        <v>99.99</v>
      </c>
      <c r="U1699" s="15">
        <f t="shared" si="587"/>
        <v>136.41</v>
      </c>
      <c r="V1699" s="15">
        <f t="shared" si="588"/>
        <v>161.97999999999999</v>
      </c>
      <c r="W1699" s="15">
        <f>IF(MarkupType="Store Markup",ROUND(V1699+V1699*StoreMarkup,2),IF(MarkupType="Supplier Markup",V1699+V1699*SupplierMarkup,"Error at finding value"))</f>
        <v>255.12</v>
      </c>
      <c r="X1699" s="32" t="str">
        <f t="shared" si="590"/>
        <v>0.00</v>
      </c>
      <c r="Y1699" s="15">
        <f t="shared" si="591"/>
        <v>323.95999999999998</v>
      </c>
      <c r="Z1699" s="15">
        <f t="shared" si="592"/>
        <v>510.24</v>
      </c>
      <c r="AA1699" s="15">
        <f>IF(FreightType="Lethbridge-Stewart Freight ",ROUND(2.99+IF(N1699&gt;0.75,(N1699-0.75)*2.25,0)*S1699,2),IF(MarkupType="Supplier Markup",V1699+V1699*SupplierMarkup,"Error at finding value"))</f>
        <v>22.12</v>
      </c>
      <c r="AB1699" s="15">
        <f t="shared" si="593"/>
        <v>0</v>
      </c>
    </row>
    <row r="1700" spans="1:28" x14ac:dyDescent="0.25">
      <c r="A1700" s="16">
        <f>OrdersTable!A1700</f>
        <v>55</v>
      </c>
      <c r="B1700" s="15" t="str">
        <f t="shared" si="573"/>
        <v>Mr</v>
      </c>
      <c r="C1700" s="15" t="str">
        <f t="shared" si="594"/>
        <v>Myers</v>
      </c>
      <c r="D1700" s="15" t="str">
        <f t="shared" si="574"/>
        <v>Luke Charles</v>
      </c>
      <c r="E1700" s="15" t="str">
        <f t="shared" si="575"/>
        <v>25 Penrose Street</v>
      </c>
      <c r="F1700" s="15" t="str">
        <f t="shared" si="576"/>
        <v>Black Hills</v>
      </c>
      <c r="G1700" s="15" t="str">
        <f t="shared" si="577"/>
        <v>TAS</v>
      </c>
      <c r="H1700" s="15">
        <f t="shared" si="578"/>
        <v>7140</v>
      </c>
      <c r="I1700" s="15">
        <f t="shared" si="589"/>
        <v>2191</v>
      </c>
      <c r="J1700" s="15">
        <f>OrdersTable!B1700</f>
        <v>580</v>
      </c>
      <c r="K1700" s="15" t="str">
        <f t="shared" si="579"/>
        <v>Giftware</v>
      </c>
      <c r="L1700" s="15" t="str">
        <f t="shared" si="580"/>
        <v>Doctor Who: Wallpaper: Classic TARDIS Columns</v>
      </c>
      <c r="M1700" s="15" t="str">
        <f t="shared" si="581"/>
        <v>-</v>
      </c>
      <c r="N1700" s="15">
        <f t="shared" si="582"/>
        <v>0.65500000000000003</v>
      </c>
      <c r="O1700" s="15" t="str">
        <f t="shared" si="583"/>
        <v>A50</v>
      </c>
      <c r="P1700" s="15" t="str">
        <f t="shared" si="584"/>
        <v>Rassilon Ltd.</v>
      </c>
      <c r="Q1700" s="15" t="str">
        <f t="shared" si="585"/>
        <v>82 Richard Mathews Road</v>
      </c>
      <c r="R1700" s="3">
        <f>OrdersTable!C1700</f>
        <v>44682</v>
      </c>
      <c r="S1700" s="15">
        <f>OrdersTable!E1700</f>
        <v>9</v>
      </c>
      <c r="T1700" s="15">
        <f t="shared" si="586"/>
        <v>13.11</v>
      </c>
      <c r="U1700" s="15">
        <f t="shared" si="587"/>
        <v>18.18</v>
      </c>
      <c r="V1700" s="15">
        <f t="shared" si="588"/>
        <v>21.24</v>
      </c>
      <c r="W1700" s="15">
        <f>IF(MarkupType="Store Markup",ROUND(V1700+V1700*StoreMarkup,2),IF(MarkupType="Supplier Markup",V1700+V1700*SupplierMarkup,"Error at finding value"))</f>
        <v>33.450000000000003</v>
      </c>
      <c r="X1700" s="32" t="str">
        <f t="shared" si="590"/>
        <v>0.00</v>
      </c>
      <c r="Y1700" s="15">
        <f t="shared" si="591"/>
        <v>191.16</v>
      </c>
      <c r="Z1700" s="15">
        <f t="shared" si="592"/>
        <v>301.05</v>
      </c>
      <c r="AA1700" s="15">
        <f>IF(FreightType="Lethbridge-Stewart Freight ",ROUND(2.99+IF(N1700&gt;0.75,(N1700-0.75)*2.25,0)*S1700,2),IF(MarkupType="Supplier Markup",V1700+V1700*SupplierMarkup,"Error at finding value"))</f>
        <v>2.99</v>
      </c>
      <c r="AB1700" s="15">
        <f t="shared" si="593"/>
        <v>0</v>
      </c>
    </row>
    <row r="1701" spans="1:28" x14ac:dyDescent="0.25">
      <c r="A1701" s="16">
        <f>OrdersTable!A1701</f>
        <v>284</v>
      </c>
      <c r="B1701" s="15" t="str">
        <f t="shared" si="573"/>
        <v>Mr</v>
      </c>
      <c r="C1701" s="15" t="str">
        <f t="shared" si="594"/>
        <v>Aitcheson</v>
      </c>
      <c r="D1701" s="15" t="str">
        <f t="shared" si="574"/>
        <v>Ben James</v>
      </c>
      <c r="E1701" s="15" t="str">
        <f t="shared" si="575"/>
        <v>32 Evans Avenue</v>
      </c>
      <c r="F1701" s="15" t="str">
        <f t="shared" si="576"/>
        <v>Batlow</v>
      </c>
      <c r="G1701" s="15" t="str">
        <f t="shared" si="577"/>
        <v>NSW</v>
      </c>
      <c r="H1701" s="15">
        <f t="shared" si="578"/>
        <v>2730</v>
      </c>
      <c r="I1701" s="15">
        <f t="shared" si="589"/>
        <v>1138</v>
      </c>
      <c r="J1701" s="15">
        <f>OrdersTable!B1701</f>
        <v>358</v>
      </c>
      <c r="K1701" s="15" t="str">
        <f t="shared" si="579"/>
        <v>Clothing and Apparel</v>
      </c>
      <c r="L1701" s="15" t="str">
        <f t="shared" si="580"/>
        <v xml:space="preserve">Doctor Who: T-Shirts: 5th Doctor Costume </v>
      </c>
      <c r="M1701" s="15" t="str">
        <f t="shared" si="581"/>
        <v>M</v>
      </c>
      <c r="N1701" s="15">
        <f t="shared" si="582"/>
        <v>0.8</v>
      </c>
      <c r="O1701" s="15" t="str">
        <f t="shared" si="583"/>
        <v>A30</v>
      </c>
      <c r="P1701" s="15" t="str">
        <f t="shared" si="584"/>
        <v>Chesterton Enterprises</v>
      </c>
      <c r="Q1701" s="15" t="str">
        <f t="shared" si="585"/>
        <v>41 William Russell Road</v>
      </c>
      <c r="R1701" s="3">
        <f>OrdersTable!C1701</f>
        <v>44682</v>
      </c>
      <c r="S1701" s="15">
        <f>OrdersTable!E1701</f>
        <v>9</v>
      </c>
      <c r="T1701" s="15">
        <f t="shared" si="586"/>
        <v>15.99</v>
      </c>
      <c r="U1701" s="15">
        <f t="shared" si="587"/>
        <v>21.96</v>
      </c>
      <c r="V1701" s="15">
        <f t="shared" si="588"/>
        <v>25.9</v>
      </c>
      <c r="W1701" s="15">
        <f>IF(MarkupType="Store Markup",ROUND(V1701+V1701*StoreMarkup,2),IF(MarkupType="Supplier Markup",V1701+V1701*SupplierMarkup,"Error at finding value"))</f>
        <v>40.79</v>
      </c>
      <c r="X1701" s="32" t="str">
        <f t="shared" si="590"/>
        <v>0.00</v>
      </c>
      <c r="Y1701" s="15">
        <f t="shared" si="591"/>
        <v>233.1</v>
      </c>
      <c r="Z1701" s="15">
        <f t="shared" si="592"/>
        <v>367.11</v>
      </c>
      <c r="AA1701" s="15">
        <f>IF(FreightType="Lethbridge-Stewart Freight ",ROUND(2.99+IF(N1701&gt;0.75,(N1701-0.75)*2.25,0)*S1701,2),IF(MarkupType="Supplier Markup",V1701+V1701*SupplierMarkup,"Error at finding value"))</f>
        <v>4</v>
      </c>
      <c r="AB1701" s="15">
        <f t="shared" si="593"/>
        <v>0</v>
      </c>
    </row>
    <row r="1702" spans="1:28" x14ac:dyDescent="0.25">
      <c r="A1702" s="16">
        <f>OrdersTable!A1702</f>
        <v>296</v>
      </c>
      <c r="B1702" s="15" t="str">
        <f t="shared" si="573"/>
        <v>Miss</v>
      </c>
      <c r="C1702" s="15" t="str">
        <f t="shared" si="594"/>
        <v>Kussrow</v>
      </c>
      <c r="D1702" s="15" t="str">
        <f t="shared" si="574"/>
        <v>Katherine Anne</v>
      </c>
      <c r="E1702" s="15" t="str">
        <f t="shared" si="575"/>
        <v>10 Downes Street</v>
      </c>
      <c r="F1702" s="15" t="str">
        <f t="shared" si="576"/>
        <v>Breakwater</v>
      </c>
      <c r="G1702" s="15" t="str">
        <f t="shared" si="577"/>
        <v>VIC</v>
      </c>
      <c r="H1702" s="15">
        <f t="shared" si="578"/>
        <v>3219</v>
      </c>
      <c r="I1702" s="15">
        <f t="shared" si="589"/>
        <v>1596</v>
      </c>
      <c r="J1702" s="15">
        <f>OrdersTable!B1702</f>
        <v>282</v>
      </c>
      <c r="K1702" s="15" t="str">
        <f t="shared" si="579"/>
        <v>Clothing and Apparel</v>
      </c>
      <c r="L1702" s="15" t="str">
        <f t="shared" si="580"/>
        <v>Doctor Who: Tardis Laplander Hat</v>
      </c>
      <c r="M1702" s="15" t="str">
        <f t="shared" si="581"/>
        <v>-</v>
      </c>
      <c r="N1702" s="15">
        <f t="shared" si="582"/>
        <v>0.97499999999999998</v>
      </c>
      <c r="O1702" s="15" t="str">
        <f t="shared" si="583"/>
        <v>A10</v>
      </c>
      <c r="P1702" s="15" t="str">
        <f t="shared" si="584"/>
        <v>Gallifrey International</v>
      </c>
      <c r="Q1702" s="15" t="str">
        <f t="shared" si="585"/>
        <v>181 Arcadia Street</v>
      </c>
      <c r="R1702" s="3">
        <f>OrdersTable!C1702</f>
        <v>44682</v>
      </c>
      <c r="S1702" s="15">
        <f>OrdersTable!E1702</f>
        <v>6</v>
      </c>
      <c r="T1702" s="15">
        <f t="shared" si="586"/>
        <v>19.5</v>
      </c>
      <c r="U1702" s="15">
        <f t="shared" si="587"/>
        <v>26.93</v>
      </c>
      <c r="V1702" s="15">
        <f t="shared" si="588"/>
        <v>31.59</v>
      </c>
      <c r="W1702" s="15">
        <f>IF(MarkupType="Store Markup",ROUND(V1702+V1702*StoreMarkup,2),IF(MarkupType="Supplier Markup",V1702+V1702*SupplierMarkup,"Error at finding value"))</f>
        <v>49.75</v>
      </c>
      <c r="X1702" s="32" t="str">
        <f t="shared" si="590"/>
        <v>0.00</v>
      </c>
      <c r="Y1702" s="15">
        <f t="shared" si="591"/>
        <v>189.54</v>
      </c>
      <c r="Z1702" s="15">
        <f t="shared" si="592"/>
        <v>298.5</v>
      </c>
      <c r="AA1702" s="15">
        <f>IF(FreightType="Lethbridge-Stewart Freight ",ROUND(2.99+IF(N1702&gt;0.75,(N1702-0.75)*2.25,0)*S1702,2),IF(MarkupType="Supplier Markup",V1702+V1702*SupplierMarkup,"Error at finding value"))</f>
        <v>6.03</v>
      </c>
      <c r="AB1702" s="15">
        <f t="shared" si="593"/>
        <v>0</v>
      </c>
    </row>
    <row r="1703" spans="1:28" x14ac:dyDescent="0.25">
      <c r="A1703" s="16">
        <f>OrdersTable!A1703</f>
        <v>308</v>
      </c>
      <c r="B1703" s="15" t="str">
        <f t="shared" si="573"/>
        <v>Dr</v>
      </c>
      <c r="C1703" s="15" t="str">
        <f t="shared" si="594"/>
        <v>Azar</v>
      </c>
      <c r="D1703" s="15" t="str">
        <f t="shared" si="574"/>
        <v>Mariam</v>
      </c>
      <c r="E1703" s="15" t="str">
        <f t="shared" si="575"/>
        <v>26 Osmond Road</v>
      </c>
      <c r="F1703" s="15" t="str">
        <f t="shared" si="576"/>
        <v>Boston</v>
      </c>
      <c r="G1703" s="15" t="str">
        <f t="shared" si="577"/>
        <v>SA</v>
      </c>
      <c r="H1703" s="15">
        <f t="shared" si="578"/>
        <v>5607</v>
      </c>
      <c r="I1703" s="15">
        <f t="shared" si="589"/>
        <v>2076</v>
      </c>
      <c r="J1703" s="15">
        <f>OrdersTable!B1703</f>
        <v>867</v>
      </c>
      <c r="K1703" s="15" t="str">
        <f t="shared" si="579"/>
        <v>Statues and Busts</v>
      </c>
      <c r="L1703" s="15" t="str">
        <f t="shared" si="580"/>
        <v>Doctor Who: TITANS: The 11th Doctor</v>
      </c>
      <c r="M1703" s="15" t="str">
        <f t="shared" si="581"/>
        <v>-</v>
      </c>
      <c r="N1703" s="15">
        <f t="shared" si="582"/>
        <v>0.4</v>
      </c>
      <c r="O1703" s="15" t="str">
        <f t="shared" si="583"/>
        <v>A20</v>
      </c>
      <c r="P1703" s="15" t="str">
        <f t="shared" si="584"/>
        <v>Morbius Inc.</v>
      </c>
      <c r="Q1703" s="15" t="str">
        <f t="shared" si="585"/>
        <v>56 Michael Spice Hwy</v>
      </c>
      <c r="R1703" s="3">
        <f>OrdersTable!C1703</f>
        <v>44682</v>
      </c>
      <c r="S1703" s="15">
        <f>OrdersTable!E1703</f>
        <v>2</v>
      </c>
      <c r="T1703" s="15">
        <f t="shared" si="586"/>
        <v>7.99</v>
      </c>
      <c r="U1703" s="15">
        <f t="shared" si="587"/>
        <v>11.1</v>
      </c>
      <c r="V1703" s="15">
        <f t="shared" si="588"/>
        <v>12.94</v>
      </c>
      <c r="W1703" s="15">
        <f>IF(MarkupType="Store Markup",ROUND(V1703+V1703*StoreMarkup,2),IF(MarkupType="Supplier Markup",V1703+V1703*SupplierMarkup,"Error at finding value"))</f>
        <v>20.38</v>
      </c>
      <c r="X1703" s="32" t="str">
        <f t="shared" si="590"/>
        <v>0.00</v>
      </c>
      <c r="Y1703" s="15">
        <f t="shared" si="591"/>
        <v>25.88</v>
      </c>
      <c r="Z1703" s="15">
        <f t="shared" si="592"/>
        <v>40.76</v>
      </c>
      <c r="AA1703" s="15">
        <f>IF(FreightType="Lethbridge-Stewart Freight ",ROUND(2.99+IF(N1703&gt;0.75,(N1703-0.75)*2.25,0)*S1703,2),IF(MarkupType="Supplier Markup",V1703+V1703*SupplierMarkup,"Error at finding value"))</f>
        <v>2.99</v>
      </c>
      <c r="AB1703" s="15">
        <f t="shared" si="593"/>
        <v>0</v>
      </c>
    </row>
    <row r="1704" spans="1:28" x14ac:dyDescent="0.25">
      <c r="A1704" s="16">
        <f>OrdersTable!A1704</f>
        <v>360</v>
      </c>
      <c r="B1704" s="15" t="str">
        <f t="shared" si="573"/>
        <v>Ms</v>
      </c>
      <c r="C1704" s="15" t="str">
        <f t="shared" si="594"/>
        <v>Bobonica</v>
      </c>
      <c r="D1704" s="15" t="str">
        <f t="shared" si="574"/>
        <v>Claudia</v>
      </c>
      <c r="E1704" s="15" t="str">
        <f t="shared" si="575"/>
        <v>47 Klein Way</v>
      </c>
      <c r="F1704" s="15" t="str">
        <f t="shared" si="576"/>
        <v>Avon Plains</v>
      </c>
      <c r="G1704" s="15" t="str">
        <f t="shared" si="577"/>
        <v>VIC</v>
      </c>
      <c r="H1704" s="15">
        <f t="shared" si="578"/>
        <v>3477</v>
      </c>
      <c r="I1704" s="15">
        <f t="shared" si="589"/>
        <v>1565</v>
      </c>
      <c r="J1704" s="15">
        <f>OrdersTable!B1704</f>
        <v>747</v>
      </c>
      <c r="K1704" s="15" t="str">
        <f t="shared" si="579"/>
        <v>Props and Replicas</v>
      </c>
      <c r="L1704" s="15" t="str">
        <f t="shared" si="580"/>
        <v>Doctor Who: The Master's Fob Watch</v>
      </c>
      <c r="M1704" s="15" t="str">
        <f t="shared" si="581"/>
        <v>-</v>
      </c>
      <c r="N1704" s="15">
        <f t="shared" si="582"/>
        <v>2.25</v>
      </c>
      <c r="O1704" s="15" t="str">
        <f t="shared" si="583"/>
        <v>A10</v>
      </c>
      <c r="P1704" s="15" t="str">
        <f t="shared" si="584"/>
        <v>Gallifrey International</v>
      </c>
      <c r="Q1704" s="15" t="str">
        <f t="shared" si="585"/>
        <v>181 Arcadia Street</v>
      </c>
      <c r="R1704" s="3">
        <f>OrdersTable!C1704</f>
        <v>44682</v>
      </c>
      <c r="S1704" s="15">
        <f>OrdersTable!E1704</f>
        <v>10</v>
      </c>
      <c r="T1704" s="15">
        <f t="shared" si="586"/>
        <v>44.99</v>
      </c>
      <c r="U1704" s="15">
        <f t="shared" si="587"/>
        <v>61.7</v>
      </c>
      <c r="V1704" s="15">
        <f t="shared" si="588"/>
        <v>72.88</v>
      </c>
      <c r="W1704" s="15">
        <f>IF(MarkupType="Store Markup",ROUND(V1704+V1704*StoreMarkup,2),IF(MarkupType="Supplier Markup",V1704+V1704*SupplierMarkup,"Error at finding value"))</f>
        <v>114.79</v>
      </c>
      <c r="X1704" s="32">
        <f t="shared" si="590"/>
        <v>8.18</v>
      </c>
      <c r="Y1704" s="15">
        <f t="shared" si="591"/>
        <v>728.8</v>
      </c>
      <c r="Z1704" s="15">
        <f t="shared" si="592"/>
        <v>1066.0999999999999</v>
      </c>
      <c r="AA1704" s="15">
        <f>IF(FreightType="Lethbridge-Stewart Freight ",ROUND(2.99+IF(N1704&gt;0.75,(N1704-0.75)*2.25,0)*S1704,2),IF(MarkupType="Supplier Markup",V1704+V1704*SupplierMarkup,"Error at finding value"))</f>
        <v>36.74</v>
      </c>
      <c r="AB1704" s="15">
        <f t="shared" si="593"/>
        <v>81.8</v>
      </c>
    </row>
    <row r="1705" spans="1:28" x14ac:dyDescent="0.25">
      <c r="A1705" s="16">
        <f>OrdersTable!A1705</f>
        <v>416</v>
      </c>
      <c r="B1705" s="15" t="str">
        <f t="shared" si="573"/>
        <v>Mr</v>
      </c>
      <c r="C1705" s="15" t="str">
        <f t="shared" si="594"/>
        <v>Mohammed</v>
      </c>
      <c r="D1705" s="15" t="str">
        <f t="shared" si="574"/>
        <v>Ahmed</v>
      </c>
      <c r="E1705" s="15" t="str">
        <f t="shared" si="575"/>
        <v>35 Ridley Avenue</v>
      </c>
      <c r="F1705" s="15" t="str">
        <f t="shared" si="576"/>
        <v>Iluka</v>
      </c>
      <c r="G1705" s="15" t="str">
        <f t="shared" si="577"/>
        <v>NSW</v>
      </c>
      <c r="H1705" s="15">
        <f t="shared" si="578"/>
        <v>2466</v>
      </c>
      <c r="I1705" s="15">
        <f t="shared" si="589"/>
        <v>347</v>
      </c>
      <c r="J1705" s="15">
        <f>OrdersTable!B1705</f>
        <v>213</v>
      </c>
      <c r="K1705" s="15" t="str">
        <f t="shared" si="579"/>
        <v>Clothing and Apparel</v>
      </c>
      <c r="L1705" s="15" t="str">
        <f t="shared" si="580"/>
        <v>Doctor Who: Fez and Bow Tie</v>
      </c>
      <c r="M1705" s="15" t="str">
        <f t="shared" si="581"/>
        <v>-</v>
      </c>
      <c r="N1705" s="15">
        <f t="shared" si="582"/>
        <v>0.97499999999999998</v>
      </c>
      <c r="O1705" s="15" t="str">
        <f t="shared" si="583"/>
        <v>A50</v>
      </c>
      <c r="P1705" s="15" t="str">
        <f t="shared" si="584"/>
        <v>Rassilon Ltd.</v>
      </c>
      <c r="Q1705" s="15" t="str">
        <f t="shared" si="585"/>
        <v>82 Richard Mathews Road</v>
      </c>
      <c r="R1705" s="3">
        <f>OrdersTable!C1705</f>
        <v>44682</v>
      </c>
      <c r="S1705" s="15">
        <f>OrdersTable!E1705</f>
        <v>5</v>
      </c>
      <c r="T1705" s="15">
        <f t="shared" si="586"/>
        <v>19.5</v>
      </c>
      <c r="U1705" s="15">
        <f t="shared" si="587"/>
        <v>26.88</v>
      </c>
      <c r="V1705" s="15">
        <f t="shared" si="588"/>
        <v>31.59</v>
      </c>
      <c r="W1705" s="15">
        <f>IF(MarkupType="Store Markup",ROUND(V1705+V1705*StoreMarkup,2),IF(MarkupType="Supplier Markup",V1705+V1705*SupplierMarkup,"Error at finding value"))</f>
        <v>49.75</v>
      </c>
      <c r="X1705" s="32" t="str">
        <f t="shared" si="590"/>
        <v>0.00</v>
      </c>
      <c r="Y1705" s="15">
        <f t="shared" si="591"/>
        <v>157.94999999999999</v>
      </c>
      <c r="Z1705" s="15">
        <f t="shared" si="592"/>
        <v>248.75</v>
      </c>
      <c r="AA1705" s="15">
        <f>IF(FreightType="Lethbridge-Stewart Freight ",ROUND(2.99+IF(N1705&gt;0.75,(N1705-0.75)*2.25,0)*S1705,2),IF(MarkupType="Supplier Markup",V1705+V1705*SupplierMarkup,"Error at finding value"))</f>
        <v>5.52</v>
      </c>
      <c r="AB1705" s="15">
        <f t="shared" si="593"/>
        <v>0</v>
      </c>
    </row>
    <row r="1706" spans="1:28" x14ac:dyDescent="0.25">
      <c r="A1706" s="16">
        <f>OrdersTable!A1706</f>
        <v>496</v>
      </c>
      <c r="B1706" s="15" t="str">
        <f t="shared" si="573"/>
        <v>Dr</v>
      </c>
      <c r="C1706" s="15" t="str">
        <f t="shared" si="594"/>
        <v>Johnston</v>
      </c>
      <c r="D1706" s="15" t="str">
        <f t="shared" si="574"/>
        <v>Karrina</v>
      </c>
      <c r="E1706" s="15" t="str">
        <f t="shared" si="575"/>
        <v>11 Bishop Drive</v>
      </c>
      <c r="F1706" s="15" t="str">
        <f t="shared" si="576"/>
        <v>Belford</v>
      </c>
      <c r="G1706" s="15" t="str">
        <f t="shared" si="577"/>
        <v>NSW</v>
      </c>
      <c r="H1706" s="15">
        <f t="shared" si="578"/>
        <v>2335</v>
      </c>
      <c r="I1706" s="15">
        <f t="shared" si="589"/>
        <v>716</v>
      </c>
      <c r="J1706" s="15">
        <f>OrdersTable!B1706</f>
        <v>563</v>
      </c>
      <c r="K1706" s="15" t="str">
        <f t="shared" si="579"/>
        <v>Giftware</v>
      </c>
      <c r="L1706" s="15" t="str">
        <f t="shared" si="580"/>
        <v>Doctor Who: TARDIS Jewellery Box</v>
      </c>
      <c r="M1706" s="15" t="str">
        <f t="shared" si="581"/>
        <v>-</v>
      </c>
      <c r="N1706" s="15">
        <f t="shared" si="582"/>
        <v>1.1499999999999999</v>
      </c>
      <c r="O1706" s="15" t="str">
        <f t="shared" si="583"/>
        <v>A50</v>
      </c>
      <c r="P1706" s="15" t="str">
        <f t="shared" si="584"/>
        <v>Rassilon Ltd.</v>
      </c>
      <c r="Q1706" s="15" t="str">
        <f t="shared" si="585"/>
        <v>82 Richard Mathews Road</v>
      </c>
      <c r="R1706" s="3">
        <f>OrdersTable!C1706</f>
        <v>44682</v>
      </c>
      <c r="S1706" s="15">
        <f>OrdersTable!E1706</f>
        <v>9</v>
      </c>
      <c r="T1706" s="15">
        <f t="shared" si="586"/>
        <v>22.99</v>
      </c>
      <c r="U1706" s="15">
        <f t="shared" si="587"/>
        <v>31.63</v>
      </c>
      <c r="V1706" s="15">
        <f t="shared" si="588"/>
        <v>37.24</v>
      </c>
      <c r="W1706" s="15">
        <f>IF(MarkupType="Store Markup",ROUND(V1706+V1706*StoreMarkup,2),IF(MarkupType="Supplier Markup",V1706+V1706*SupplierMarkup,"Error at finding value"))</f>
        <v>58.65</v>
      </c>
      <c r="X1706" s="32" t="str">
        <f t="shared" si="590"/>
        <v>0.00</v>
      </c>
      <c r="Y1706" s="15">
        <f t="shared" si="591"/>
        <v>335.16</v>
      </c>
      <c r="Z1706" s="15">
        <f t="shared" si="592"/>
        <v>527.85</v>
      </c>
      <c r="AA1706" s="15">
        <f>IF(FreightType="Lethbridge-Stewart Freight ",ROUND(2.99+IF(N1706&gt;0.75,(N1706-0.75)*2.25,0)*S1706,2),IF(MarkupType="Supplier Markup",V1706+V1706*SupplierMarkup,"Error at finding value"))</f>
        <v>11.09</v>
      </c>
      <c r="AB1706" s="15">
        <f t="shared" si="593"/>
        <v>0</v>
      </c>
    </row>
    <row r="1707" spans="1:28" x14ac:dyDescent="0.25">
      <c r="A1707" s="16">
        <f>OrdersTable!A1707</f>
        <v>526</v>
      </c>
      <c r="B1707" s="15" t="str">
        <f t="shared" si="573"/>
        <v>Mrs</v>
      </c>
      <c r="C1707" s="15" t="str">
        <f t="shared" si="594"/>
        <v>Bradford</v>
      </c>
      <c r="D1707" s="15" t="str">
        <f t="shared" si="574"/>
        <v>Haleigh Renae Ann</v>
      </c>
      <c r="E1707" s="15" t="str">
        <f t="shared" si="575"/>
        <v>31 Johnston Road</v>
      </c>
      <c r="F1707" s="15" t="str">
        <f t="shared" si="576"/>
        <v>Ashford</v>
      </c>
      <c r="G1707" s="15" t="str">
        <f t="shared" si="577"/>
        <v>SA</v>
      </c>
      <c r="H1707" s="15">
        <f t="shared" si="578"/>
        <v>5035</v>
      </c>
      <c r="I1707" s="15">
        <f t="shared" si="589"/>
        <v>1877</v>
      </c>
      <c r="J1707" s="15">
        <f>OrdersTable!B1707</f>
        <v>719</v>
      </c>
      <c r="K1707" s="15" t="str">
        <f t="shared" si="579"/>
        <v>Posters, Prints and Standees</v>
      </c>
      <c r="L1707" s="15" t="str">
        <f t="shared" si="580"/>
        <v>Doctor Who: Standee: Supreme Dalek</v>
      </c>
      <c r="M1707" s="15" t="str">
        <f t="shared" si="581"/>
        <v>-</v>
      </c>
      <c r="N1707" s="15">
        <f t="shared" si="582"/>
        <v>1.125</v>
      </c>
      <c r="O1707" s="15" t="str">
        <f t="shared" si="583"/>
        <v>A50</v>
      </c>
      <c r="P1707" s="15" t="str">
        <f t="shared" si="584"/>
        <v>Rassilon Ltd.</v>
      </c>
      <c r="Q1707" s="15" t="str">
        <f t="shared" si="585"/>
        <v>82 Richard Mathews Road</v>
      </c>
      <c r="R1707" s="3">
        <f>OrdersTable!C1707</f>
        <v>44682</v>
      </c>
      <c r="S1707" s="15">
        <f>OrdersTable!E1707</f>
        <v>8</v>
      </c>
      <c r="T1707" s="15">
        <f t="shared" si="586"/>
        <v>22.49</v>
      </c>
      <c r="U1707" s="15">
        <f t="shared" si="587"/>
        <v>30.76</v>
      </c>
      <c r="V1707" s="15">
        <f t="shared" si="588"/>
        <v>36.43</v>
      </c>
      <c r="W1707" s="15">
        <f>IF(MarkupType="Store Markup",ROUND(V1707+V1707*StoreMarkup,2),IF(MarkupType="Supplier Markup",V1707+V1707*SupplierMarkup,"Error at finding value"))</f>
        <v>57.38</v>
      </c>
      <c r="X1707" s="32" t="str">
        <f t="shared" si="590"/>
        <v>0.00</v>
      </c>
      <c r="Y1707" s="15">
        <f t="shared" si="591"/>
        <v>291.44</v>
      </c>
      <c r="Z1707" s="15">
        <f t="shared" si="592"/>
        <v>459.04</v>
      </c>
      <c r="AA1707" s="15">
        <f>IF(FreightType="Lethbridge-Stewart Freight ",ROUND(2.99+IF(N1707&gt;0.75,(N1707-0.75)*2.25,0)*S1707,2),IF(MarkupType="Supplier Markup",V1707+V1707*SupplierMarkup,"Error at finding value"))</f>
        <v>9.74</v>
      </c>
      <c r="AB1707" s="15">
        <f t="shared" si="593"/>
        <v>0</v>
      </c>
    </row>
    <row r="1708" spans="1:28" x14ac:dyDescent="0.25">
      <c r="A1708" s="16">
        <f>OrdersTable!A1708</f>
        <v>538</v>
      </c>
      <c r="B1708" s="15" t="str">
        <f t="shared" si="573"/>
        <v>Dr</v>
      </c>
      <c r="C1708" s="15" t="str">
        <f t="shared" si="594"/>
        <v>Radovic</v>
      </c>
      <c r="D1708" s="15" t="str">
        <f t="shared" si="574"/>
        <v>Harley Benjamin</v>
      </c>
      <c r="E1708" s="15" t="str">
        <f t="shared" si="575"/>
        <v>50 Hocking Way</v>
      </c>
      <c r="F1708" s="15" t="str">
        <f t="shared" si="576"/>
        <v>Bray Park</v>
      </c>
      <c r="G1708" s="15" t="str">
        <f t="shared" si="577"/>
        <v>QLD</v>
      </c>
      <c r="H1708" s="15">
        <f t="shared" si="578"/>
        <v>4500</v>
      </c>
      <c r="I1708" s="15">
        <f t="shared" si="589"/>
        <v>139</v>
      </c>
      <c r="J1708" s="15">
        <f>OrdersTable!B1708</f>
        <v>817</v>
      </c>
      <c r="K1708" s="15" t="str">
        <f t="shared" si="579"/>
        <v>Statues and Busts</v>
      </c>
      <c r="L1708" s="15" t="str">
        <f t="shared" si="580"/>
        <v>Doctor Who: Masterpiece Collection Maxi Bust: Torchwood Captain Jack Harkness</v>
      </c>
      <c r="M1708" s="15" t="str">
        <f t="shared" si="581"/>
        <v>-</v>
      </c>
      <c r="N1708" s="15">
        <f t="shared" si="582"/>
        <v>2.5</v>
      </c>
      <c r="O1708" s="15" t="str">
        <f t="shared" si="583"/>
        <v>A10</v>
      </c>
      <c r="P1708" s="15" t="str">
        <f t="shared" si="584"/>
        <v>Gallifrey International</v>
      </c>
      <c r="Q1708" s="15" t="str">
        <f t="shared" si="585"/>
        <v>181 Arcadia Street</v>
      </c>
      <c r="R1708" s="3">
        <f>OrdersTable!C1708</f>
        <v>44682</v>
      </c>
      <c r="S1708" s="15">
        <f>OrdersTable!E1708</f>
        <v>6</v>
      </c>
      <c r="T1708" s="15">
        <f t="shared" si="586"/>
        <v>49.99</v>
      </c>
      <c r="U1708" s="15">
        <f t="shared" si="587"/>
        <v>68.44</v>
      </c>
      <c r="V1708" s="15">
        <f t="shared" si="588"/>
        <v>80.98</v>
      </c>
      <c r="W1708" s="15">
        <f>IF(MarkupType="Store Markup",ROUND(V1708+V1708*StoreMarkup,2),IF(MarkupType="Supplier Markup",V1708+V1708*SupplierMarkup,"Error at finding value"))</f>
        <v>127.54</v>
      </c>
      <c r="X1708" s="32">
        <f t="shared" si="590"/>
        <v>9.09</v>
      </c>
      <c r="Y1708" s="15">
        <f t="shared" si="591"/>
        <v>485.88</v>
      </c>
      <c r="Z1708" s="15">
        <f t="shared" si="592"/>
        <v>710.7</v>
      </c>
      <c r="AA1708" s="15">
        <f>IF(FreightType="Lethbridge-Stewart Freight ",ROUND(2.99+IF(N1708&gt;0.75,(N1708-0.75)*2.25,0)*S1708,2),IF(MarkupType="Supplier Markup",V1708+V1708*SupplierMarkup,"Error at finding value"))</f>
        <v>26.62</v>
      </c>
      <c r="AB1708" s="15">
        <f t="shared" si="593"/>
        <v>54.54</v>
      </c>
    </row>
    <row r="1709" spans="1:28" x14ac:dyDescent="0.25">
      <c r="A1709" s="16">
        <f>OrdersTable!A1709</f>
        <v>546</v>
      </c>
      <c r="B1709" s="15" t="str">
        <f t="shared" si="573"/>
        <v>Ms</v>
      </c>
      <c r="C1709" s="15" t="str">
        <f t="shared" si="594"/>
        <v>Shortt</v>
      </c>
      <c r="D1709" s="15" t="str">
        <f t="shared" si="574"/>
        <v>Rickylee Sidonia</v>
      </c>
      <c r="E1709" s="15" t="str">
        <f t="shared" si="575"/>
        <v>4 Hughes Road</v>
      </c>
      <c r="F1709" s="15" t="str">
        <f t="shared" si="576"/>
        <v>Glenfern</v>
      </c>
      <c r="G1709" s="15" t="str">
        <f t="shared" si="577"/>
        <v>QLD</v>
      </c>
      <c r="H1709" s="15">
        <f t="shared" si="578"/>
        <v>4515</v>
      </c>
      <c r="I1709" s="15">
        <f t="shared" si="589"/>
        <v>128</v>
      </c>
      <c r="J1709" s="15">
        <f>OrdersTable!B1709</f>
        <v>840</v>
      </c>
      <c r="K1709" s="15" t="str">
        <f t="shared" si="579"/>
        <v>Statues and Busts</v>
      </c>
      <c r="L1709" s="15" t="str">
        <f t="shared" si="580"/>
        <v>Doctor Who: Signature Edition Statue: Gallifrey Edition: Patrick Troughton</v>
      </c>
      <c r="M1709" s="15" t="str">
        <f t="shared" si="581"/>
        <v>-</v>
      </c>
      <c r="N1709" s="15">
        <f t="shared" si="582"/>
        <v>2.5</v>
      </c>
      <c r="O1709" s="15" t="str">
        <f t="shared" si="583"/>
        <v>A40</v>
      </c>
      <c r="P1709" s="15" t="str">
        <f t="shared" si="584"/>
        <v>Romana Imports</v>
      </c>
      <c r="Q1709" s="15" t="str">
        <f t="shared" si="585"/>
        <v>17 Lalla Ward Road</v>
      </c>
      <c r="R1709" s="3">
        <f>OrdersTable!C1709</f>
        <v>44682</v>
      </c>
      <c r="S1709" s="15">
        <f>OrdersTable!E1709</f>
        <v>2</v>
      </c>
      <c r="T1709" s="15">
        <f t="shared" si="586"/>
        <v>49.99</v>
      </c>
      <c r="U1709" s="15">
        <f t="shared" si="587"/>
        <v>68.510000000000005</v>
      </c>
      <c r="V1709" s="15">
        <f t="shared" si="588"/>
        <v>80.98</v>
      </c>
      <c r="W1709" s="15">
        <f>IF(MarkupType="Store Markup",ROUND(V1709+V1709*StoreMarkup,2),IF(MarkupType="Supplier Markup",V1709+V1709*SupplierMarkup,"Error at finding value"))</f>
        <v>127.54</v>
      </c>
      <c r="X1709" s="32" t="str">
        <f t="shared" si="590"/>
        <v>0.00</v>
      </c>
      <c r="Y1709" s="15">
        <f t="shared" si="591"/>
        <v>161.96</v>
      </c>
      <c r="Z1709" s="15">
        <f t="shared" si="592"/>
        <v>255.08</v>
      </c>
      <c r="AA1709" s="15">
        <f>IF(FreightType="Lethbridge-Stewart Freight ",ROUND(2.99+IF(N1709&gt;0.75,(N1709-0.75)*2.25,0)*S1709,2),IF(MarkupType="Supplier Markup",V1709+V1709*SupplierMarkup,"Error at finding value"))</f>
        <v>10.87</v>
      </c>
      <c r="AB1709" s="15">
        <f t="shared" si="593"/>
        <v>0</v>
      </c>
    </row>
    <row r="1710" spans="1:28" x14ac:dyDescent="0.25">
      <c r="A1710" s="16">
        <f>OrdersTable!A1710</f>
        <v>567</v>
      </c>
      <c r="B1710" s="15" t="str">
        <f t="shared" si="573"/>
        <v>Ms</v>
      </c>
      <c r="C1710" s="15" t="str">
        <f t="shared" si="594"/>
        <v>Perkins</v>
      </c>
      <c r="D1710" s="15" t="str">
        <f t="shared" si="574"/>
        <v>Sarah</v>
      </c>
      <c r="E1710" s="15" t="str">
        <f t="shared" si="575"/>
        <v>7 Tengdahl Road</v>
      </c>
      <c r="F1710" s="15" t="str">
        <f t="shared" si="576"/>
        <v>Areegra</v>
      </c>
      <c r="G1710" s="15" t="str">
        <f t="shared" si="577"/>
        <v>VIC</v>
      </c>
      <c r="H1710" s="15">
        <f t="shared" si="578"/>
        <v>3480</v>
      </c>
      <c r="I1710" s="15">
        <f t="shared" si="589"/>
        <v>1559</v>
      </c>
      <c r="J1710" s="15">
        <f>OrdersTable!B1710</f>
        <v>704</v>
      </c>
      <c r="K1710" s="15" t="str">
        <f t="shared" si="579"/>
        <v>Posters, Prints and Standees</v>
      </c>
      <c r="L1710" s="15" t="str">
        <f t="shared" si="580"/>
        <v>Doctor Who: Poster: Doctor's Enemies</v>
      </c>
      <c r="M1710" s="15" t="str">
        <f t="shared" si="581"/>
        <v>-</v>
      </c>
      <c r="N1710" s="15">
        <f t="shared" si="582"/>
        <v>0.2</v>
      </c>
      <c r="O1710" s="15" t="str">
        <f t="shared" si="583"/>
        <v>A30</v>
      </c>
      <c r="P1710" s="15" t="str">
        <f t="shared" si="584"/>
        <v>Chesterton Enterprises</v>
      </c>
      <c r="Q1710" s="15" t="str">
        <f t="shared" si="585"/>
        <v>41 William Russell Road</v>
      </c>
      <c r="R1710" s="3">
        <f>OrdersTable!C1710</f>
        <v>44682</v>
      </c>
      <c r="S1710" s="15">
        <f>OrdersTable!E1710</f>
        <v>6</v>
      </c>
      <c r="T1710" s="15">
        <f t="shared" si="586"/>
        <v>3.99</v>
      </c>
      <c r="U1710" s="15">
        <f t="shared" si="587"/>
        <v>5.52</v>
      </c>
      <c r="V1710" s="15">
        <f t="shared" si="588"/>
        <v>6.46</v>
      </c>
      <c r="W1710" s="15">
        <f>IF(MarkupType="Store Markup",ROUND(V1710+V1710*StoreMarkup,2),IF(MarkupType="Supplier Markup",V1710+V1710*SupplierMarkup,"Error at finding value"))</f>
        <v>10.17</v>
      </c>
      <c r="X1710" s="32" t="str">
        <f t="shared" si="590"/>
        <v>0.00</v>
      </c>
      <c r="Y1710" s="15">
        <f t="shared" si="591"/>
        <v>38.76</v>
      </c>
      <c r="Z1710" s="15">
        <f t="shared" si="592"/>
        <v>61.02</v>
      </c>
      <c r="AA1710" s="15">
        <f>IF(FreightType="Lethbridge-Stewart Freight ",ROUND(2.99+IF(N1710&gt;0.75,(N1710-0.75)*2.25,0)*S1710,2),IF(MarkupType="Supplier Markup",V1710+V1710*SupplierMarkup,"Error at finding value"))</f>
        <v>2.99</v>
      </c>
      <c r="AB1710" s="15">
        <f t="shared" si="593"/>
        <v>0</v>
      </c>
    </row>
    <row r="1711" spans="1:28" x14ac:dyDescent="0.25">
      <c r="A1711" s="16">
        <f>OrdersTable!A1711</f>
        <v>657</v>
      </c>
      <c r="B1711" s="15" t="str">
        <f t="shared" si="573"/>
        <v>Mr</v>
      </c>
      <c r="C1711" s="15" t="str">
        <f t="shared" si="594"/>
        <v>Poljak</v>
      </c>
      <c r="D1711" s="15" t="str">
        <f t="shared" si="574"/>
        <v>Anthony</v>
      </c>
      <c r="E1711" s="15" t="str">
        <f t="shared" si="575"/>
        <v>45 Robertson Boulevard</v>
      </c>
      <c r="F1711" s="15" t="str">
        <f t="shared" si="576"/>
        <v>Iluka</v>
      </c>
      <c r="G1711" s="15" t="str">
        <f t="shared" si="577"/>
        <v>NSW</v>
      </c>
      <c r="H1711" s="15">
        <f t="shared" si="578"/>
        <v>2466</v>
      </c>
      <c r="I1711" s="15">
        <f t="shared" si="589"/>
        <v>347</v>
      </c>
      <c r="J1711" s="15">
        <f>OrdersTable!B1711</f>
        <v>316</v>
      </c>
      <c r="K1711" s="15" t="str">
        <f t="shared" si="579"/>
        <v>Clothing and Apparel</v>
      </c>
      <c r="L1711" s="15" t="str">
        <f t="shared" si="580"/>
        <v xml:space="preserve">Doctor Who: T-Shirts: 4th Doctor Costume </v>
      </c>
      <c r="M1711" s="15" t="str">
        <f t="shared" si="581"/>
        <v>S</v>
      </c>
      <c r="N1711" s="15">
        <f t="shared" si="582"/>
        <v>0.8</v>
      </c>
      <c r="O1711" s="15" t="str">
        <f t="shared" si="583"/>
        <v>A30</v>
      </c>
      <c r="P1711" s="15" t="str">
        <f t="shared" si="584"/>
        <v>Chesterton Enterprises</v>
      </c>
      <c r="Q1711" s="15" t="str">
        <f t="shared" si="585"/>
        <v>41 William Russell Road</v>
      </c>
      <c r="R1711" s="3">
        <f>OrdersTable!C1711</f>
        <v>44682</v>
      </c>
      <c r="S1711" s="15">
        <f>OrdersTable!E1711</f>
        <v>1</v>
      </c>
      <c r="T1711" s="15">
        <f t="shared" si="586"/>
        <v>15.99</v>
      </c>
      <c r="U1711" s="15">
        <f t="shared" si="587"/>
        <v>21.94</v>
      </c>
      <c r="V1711" s="15">
        <f t="shared" si="588"/>
        <v>25.9</v>
      </c>
      <c r="W1711" s="15">
        <f>IF(MarkupType="Store Markup",ROUND(V1711+V1711*StoreMarkup,2),IF(MarkupType="Supplier Markup",V1711+V1711*SupplierMarkup,"Error at finding value"))</f>
        <v>40.79</v>
      </c>
      <c r="X1711" s="32" t="str">
        <f t="shared" si="590"/>
        <v>0.00</v>
      </c>
      <c r="Y1711" s="15">
        <f t="shared" si="591"/>
        <v>25.9</v>
      </c>
      <c r="Z1711" s="15">
        <f t="shared" si="592"/>
        <v>40.79</v>
      </c>
      <c r="AA1711" s="15">
        <f>IF(FreightType="Lethbridge-Stewart Freight ",ROUND(2.99+IF(N1711&gt;0.75,(N1711-0.75)*2.25,0)*S1711,2),IF(MarkupType="Supplier Markup",V1711+V1711*SupplierMarkup,"Error at finding value"))</f>
        <v>3.1</v>
      </c>
      <c r="AB1711" s="15">
        <f t="shared" si="593"/>
        <v>0</v>
      </c>
    </row>
    <row r="1712" spans="1:28" x14ac:dyDescent="0.25">
      <c r="A1712" s="16">
        <f>OrdersTable!A1712</f>
        <v>827</v>
      </c>
      <c r="B1712" s="15" t="str">
        <f t="shared" si="573"/>
        <v>Ms</v>
      </c>
      <c r="C1712" s="15" t="str">
        <f t="shared" si="594"/>
        <v>Ottaway</v>
      </c>
      <c r="D1712" s="15" t="str">
        <f t="shared" si="574"/>
        <v>Katherine</v>
      </c>
      <c r="E1712" s="15" t="str">
        <f t="shared" si="575"/>
        <v>7 Morrison Street</v>
      </c>
      <c r="F1712" s="15" t="str">
        <f t="shared" si="576"/>
        <v>Glenfern</v>
      </c>
      <c r="G1712" s="15" t="str">
        <f t="shared" si="577"/>
        <v>QLD</v>
      </c>
      <c r="H1712" s="15">
        <f t="shared" si="578"/>
        <v>4515</v>
      </c>
      <c r="I1712" s="15">
        <f t="shared" si="589"/>
        <v>128</v>
      </c>
      <c r="J1712" s="15">
        <f>OrdersTable!B1712</f>
        <v>453</v>
      </c>
      <c r="K1712" s="15" t="str">
        <f t="shared" si="579"/>
        <v>Giftware</v>
      </c>
      <c r="L1712" s="15" t="str">
        <f t="shared" si="580"/>
        <v>Doctor Who: Ceramic Cookie Jar: TARDIS</v>
      </c>
      <c r="M1712" s="15" t="str">
        <f t="shared" si="581"/>
        <v>-</v>
      </c>
      <c r="N1712" s="15">
        <f t="shared" si="582"/>
        <v>1.35</v>
      </c>
      <c r="O1712" s="15" t="str">
        <f t="shared" si="583"/>
        <v>A40</v>
      </c>
      <c r="P1712" s="15" t="str">
        <f t="shared" si="584"/>
        <v>Romana Imports</v>
      </c>
      <c r="Q1712" s="15" t="str">
        <f t="shared" si="585"/>
        <v>17 Lalla Ward Road</v>
      </c>
      <c r="R1712" s="3">
        <f>OrdersTable!C1712</f>
        <v>44682</v>
      </c>
      <c r="S1712" s="15">
        <f>OrdersTable!E1712</f>
        <v>7</v>
      </c>
      <c r="T1712" s="15">
        <f t="shared" si="586"/>
        <v>26.99</v>
      </c>
      <c r="U1712" s="15">
        <f t="shared" si="587"/>
        <v>37.119999999999997</v>
      </c>
      <c r="V1712" s="15">
        <f t="shared" si="588"/>
        <v>43.72</v>
      </c>
      <c r="W1712" s="15">
        <f>IF(MarkupType="Store Markup",ROUND(V1712+V1712*StoreMarkup,2),IF(MarkupType="Supplier Markup",V1712+V1712*SupplierMarkup,"Error at finding value"))</f>
        <v>68.86</v>
      </c>
      <c r="X1712" s="32" t="str">
        <f t="shared" si="590"/>
        <v>0.00</v>
      </c>
      <c r="Y1712" s="15">
        <f t="shared" si="591"/>
        <v>306.04000000000002</v>
      </c>
      <c r="Z1712" s="15">
        <f t="shared" si="592"/>
        <v>482.02</v>
      </c>
      <c r="AA1712" s="15">
        <f>IF(FreightType="Lethbridge-Stewart Freight ",ROUND(2.99+IF(N1712&gt;0.75,(N1712-0.75)*2.25,0)*S1712,2),IF(MarkupType="Supplier Markup",V1712+V1712*SupplierMarkup,"Error at finding value"))</f>
        <v>12.44</v>
      </c>
      <c r="AB1712" s="15">
        <f t="shared" si="593"/>
        <v>0</v>
      </c>
    </row>
    <row r="1713" spans="1:28" x14ac:dyDescent="0.25">
      <c r="A1713" s="16">
        <f>OrdersTable!A1713</f>
        <v>843</v>
      </c>
      <c r="B1713" s="15" t="str">
        <f t="shared" si="573"/>
        <v>Mr</v>
      </c>
      <c r="C1713" s="15" t="str">
        <f t="shared" si="594"/>
        <v>Goodwin</v>
      </c>
      <c r="D1713" s="15" t="str">
        <f t="shared" si="574"/>
        <v>Damon Joel</v>
      </c>
      <c r="E1713" s="15" t="str">
        <f t="shared" si="575"/>
        <v>40 Powell Boulevard</v>
      </c>
      <c r="F1713" s="15" t="str">
        <f t="shared" si="576"/>
        <v>Abington</v>
      </c>
      <c r="G1713" s="15" t="str">
        <f t="shared" si="577"/>
        <v>QLD</v>
      </c>
      <c r="H1713" s="15">
        <f t="shared" si="578"/>
        <v>4660</v>
      </c>
      <c r="I1713" s="15">
        <f t="shared" si="589"/>
        <v>336</v>
      </c>
      <c r="J1713" s="15">
        <f>OrdersTable!B1713</f>
        <v>652</v>
      </c>
      <c r="K1713" s="15" t="str">
        <f t="shared" si="579"/>
        <v>Mugs</v>
      </c>
      <c r="L1713" s="15" t="str">
        <f t="shared" si="580"/>
        <v>Doctor Who: Mug: Dalek 2D</v>
      </c>
      <c r="M1713" s="15" t="str">
        <f t="shared" si="581"/>
        <v>-</v>
      </c>
      <c r="N1713" s="15">
        <f t="shared" si="582"/>
        <v>0.35</v>
      </c>
      <c r="O1713" s="15" t="str">
        <f t="shared" si="583"/>
        <v>A10</v>
      </c>
      <c r="P1713" s="15" t="str">
        <f t="shared" si="584"/>
        <v>Gallifrey International</v>
      </c>
      <c r="Q1713" s="15" t="str">
        <f t="shared" si="585"/>
        <v>181 Arcadia Street</v>
      </c>
      <c r="R1713" s="3">
        <f>OrdersTable!C1713</f>
        <v>44682</v>
      </c>
      <c r="S1713" s="15">
        <f>OrdersTable!E1713</f>
        <v>2</v>
      </c>
      <c r="T1713" s="15">
        <f t="shared" si="586"/>
        <v>6.99</v>
      </c>
      <c r="U1713" s="15">
        <f t="shared" si="587"/>
        <v>9.8800000000000008</v>
      </c>
      <c r="V1713" s="15">
        <f t="shared" si="588"/>
        <v>11.32</v>
      </c>
      <c r="W1713" s="15">
        <f>IF(MarkupType="Store Markup",ROUND(V1713+V1713*StoreMarkup,2),IF(MarkupType="Supplier Markup",V1713+V1713*SupplierMarkup,"Error at finding value"))</f>
        <v>17.829999999999998</v>
      </c>
      <c r="X1713" s="32" t="str">
        <f t="shared" si="590"/>
        <v>0.00</v>
      </c>
      <c r="Y1713" s="15">
        <f t="shared" si="591"/>
        <v>22.64</v>
      </c>
      <c r="Z1713" s="15">
        <f t="shared" si="592"/>
        <v>35.659999999999997</v>
      </c>
      <c r="AA1713" s="15">
        <f>IF(FreightType="Lethbridge-Stewart Freight ",ROUND(2.99+IF(N1713&gt;0.75,(N1713-0.75)*2.25,0)*S1713,2),IF(MarkupType="Supplier Markup",V1713+V1713*SupplierMarkup,"Error at finding value"))</f>
        <v>2.99</v>
      </c>
      <c r="AB1713" s="15">
        <f t="shared" si="593"/>
        <v>0</v>
      </c>
    </row>
    <row r="1714" spans="1:28" x14ac:dyDescent="0.25">
      <c r="A1714" s="16">
        <f>OrdersTable!A1714</f>
        <v>906</v>
      </c>
      <c r="B1714" s="15" t="str">
        <f t="shared" si="573"/>
        <v>Mrs</v>
      </c>
      <c r="C1714" s="15" t="str">
        <f t="shared" si="594"/>
        <v>Turner</v>
      </c>
      <c r="D1714" s="15" t="str">
        <f t="shared" si="574"/>
        <v>Courtney</v>
      </c>
      <c r="E1714" s="15" t="str">
        <f t="shared" si="575"/>
        <v>42 Fearon Avenue</v>
      </c>
      <c r="F1714" s="15" t="str">
        <f t="shared" si="576"/>
        <v>Breakwater</v>
      </c>
      <c r="G1714" s="15" t="str">
        <f t="shared" si="577"/>
        <v>VIC</v>
      </c>
      <c r="H1714" s="15">
        <f t="shared" si="578"/>
        <v>3219</v>
      </c>
      <c r="I1714" s="15">
        <f t="shared" si="589"/>
        <v>1596</v>
      </c>
      <c r="J1714" s="15">
        <f>OrdersTable!B1714</f>
        <v>331</v>
      </c>
      <c r="K1714" s="15" t="str">
        <f t="shared" si="579"/>
        <v>Clothing and Apparel</v>
      </c>
      <c r="L1714" s="15" t="str">
        <f t="shared" si="580"/>
        <v xml:space="preserve">Doctor Who: T-Shirts: 4th Doctor Costume </v>
      </c>
      <c r="M1714" s="15" t="str">
        <f t="shared" si="581"/>
        <v>L</v>
      </c>
      <c r="N1714" s="15">
        <f t="shared" si="582"/>
        <v>0.8</v>
      </c>
      <c r="O1714" s="15" t="str">
        <f t="shared" si="583"/>
        <v>A20</v>
      </c>
      <c r="P1714" s="15" t="str">
        <f t="shared" si="584"/>
        <v>Morbius Inc.</v>
      </c>
      <c r="Q1714" s="15" t="str">
        <f t="shared" si="585"/>
        <v>56 Michael Spice Hwy</v>
      </c>
      <c r="R1714" s="3">
        <f>OrdersTable!C1714</f>
        <v>44682</v>
      </c>
      <c r="S1714" s="15">
        <f>OrdersTable!E1714</f>
        <v>8</v>
      </c>
      <c r="T1714" s="15">
        <f t="shared" si="586"/>
        <v>15.99</v>
      </c>
      <c r="U1714" s="15">
        <f t="shared" si="587"/>
        <v>22.08</v>
      </c>
      <c r="V1714" s="15">
        <f t="shared" si="588"/>
        <v>25.9</v>
      </c>
      <c r="W1714" s="15">
        <f>IF(MarkupType="Store Markup",ROUND(V1714+V1714*StoreMarkup,2),IF(MarkupType="Supplier Markup",V1714+V1714*SupplierMarkup,"Error at finding value"))</f>
        <v>40.79</v>
      </c>
      <c r="X1714" s="32" t="str">
        <f t="shared" si="590"/>
        <v>0.00</v>
      </c>
      <c r="Y1714" s="15">
        <f t="shared" si="591"/>
        <v>207.2</v>
      </c>
      <c r="Z1714" s="15">
        <f t="shared" si="592"/>
        <v>326.32</v>
      </c>
      <c r="AA1714" s="15">
        <f>IF(FreightType="Lethbridge-Stewart Freight ",ROUND(2.99+IF(N1714&gt;0.75,(N1714-0.75)*2.25,0)*S1714,2),IF(MarkupType="Supplier Markup",V1714+V1714*SupplierMarkup,"Error at finding value"))</f>
        <v>3.89</v>
      </c>
      <c r="AB1714" s="15">
        <f t="shared" si="593"/>
        <v>0</v>
      </c>
    </row>
    <row r="1715" spans="1:28" x14ac:dyDescent="0.25">
      <c r="A1715" s="16">
        <f>OrdersTable!A1715</f>
        <v>22</v>
      </c>
      <c r="B1715" s="15" t="str">
        <f t="shared" si="573"/>
        <v>Mr</v>
      </c>
      <c r="C1715" s="15" t="str">
        <f t="shared" si="594"/>
        <v>Tyrrell</v>
      </c>
      <c r="D1715" s="15" t="str">
        <f t="shared" si="574"/>
        <v>Timothy James</v>
      </c>
      <c r="E1715" s="15" t="str">
        <f t="shared" si="575"/>
        <v>48 Lambourne Crescent</v>
      </c>
      <c r="F1715" s="15" t="str">
        <f t="shared" si="576"/>
        <v>Belford</v>
      </c>
      <c r="G1715" s="15" t="str">
        <f t="shared" si="577"/>
        <v>NSW</v>
      </c>
      <c r="H1715" s="15">
        <f t="shared" si="578"/>
        <v>2335</v>
      </c>
      <c r="I1715" s="15">
        <f t="shared" si="589"/>
        <v>716</v>
      </c>
      <c r="J1715" s="15">
        <f>OrdersTable!B1715</f>
        <v>585</v>
      </c>
      <c r="K1715" s="15" t="str">
        <f t="shared" si="579"/>
        <v>iPhone Skins</v>
      </c>
      <c r="L1715" s="15" t="str">
        <f t="shared" si="580"/>
        <v>Doctor Who: iPhone Skin: Dalek To Victory</v>
      </c>
      <c r="M1715" s="15" t="str">
        <f t="shared" si="581"/>
        <v>-</v>
      </c>
      <c r="N1715" s="15">
        <f t="shared" si="582"/>
        <v>0.5</v>
      </c>
      <c r="O1715" s="15" t="str">
        <f t="shared" si="583"/>
        <v>A10</v>
      </c>
      <c r="P1715" s="15" t="str">
        <f t="shared" si="584"/>
        <v>Gallifrey International</v>
      </c>
      <c r="Q1715" s="15" t="str">
        <f t="shared" si="585"/>
        <v>181 Arcadia Street</v>
      </c>
      <c r="R1715" s="3">
        <f>OrdersTable!C1715</f>
        <v>44683</v>
      </c>
      <c r="S1715" s="15">
        <f>OrdersTable!E1715</f>
        <v>3</v>
      </c>
      <c r="T1715" s="15">
        <f t="shared" si="586"/>
        <v>9.99</v>
      </c>
      <c r="U1715" s="15">
        <f t="shared" si="587"/>
        <v>13.7</v>
      </c>
      <c r="V1715" s="15">
        <f t="shared" si="588"/>
        <v>16.18</v>
      </c>
      <c r="W1715" s="15">
        <f>IF(MarkupType="Store Markup",ROUND(V1715+V1715*StoreMarkup,2),IF(MarkupType="Supplier Markup",V1715+V1715*SupplierMarkup,"Error at finding value"))</f>
        <v>25.48</v>
      </c>
      <c r="X1715" s="32" t="str">
        <f t="shared" si="590"/>
        <v>0.00</v>
      </c>
      <c r="Y1715" s="15">
        <f t="shared" si="591"/>
        <v>48.54</v>
      </c>
      <c r="Z1715" s="15">
        <f t="shared" si="592"/>
        <v>76.44</v>
      </c>
      <c r="AA1715" s="15">
        <f>IF(FreightType="Lethbridge-Stewart Freight ",ROUND(2.99+IF(N1715&gt;0.75,(N1715-0.75)*2.25,0)*S1715,2),IF(MarkupType="Supplier Markup",V1715+V1715*SupplierMarkup,"Error at finding value"))</f>
        <v>2.99</v>
      </c>
      <c r="AB1715" s="15">
        <f t="shared" si="593"/>
        <v>0</v>
      </c>
    </row>
    <row r="1716" spans="1:28" x14ac:dyDescent="0.25">
      <c r="A1716" s="16">
        <f>OrdersTable!A1716</f>
        <v>158</v>
      </c>
      <c r="B1716" s="15" t="str">
        <f t="shared" si="573"/>
        <v>Mr</v>
      </c>
      <c r="C1716" s="15" t="str">
        <f t="shared" si="594"/>
        <v>Fowler</v>
      </c>
      <c r="D1716" s="15" t="str">
        <f t="shared" si="574"/>
        <v>James</v>
      </c>
      <c r="E1716" s="15" t="str">
        <f t="shared" si="575"/>
        <v>30 Virk Court</v>
      </c>
      <c r="F1716" s="15" t="str">
        <f t="shared" si="576"/>
        <v>Black Hills</v>
      </c>
      <c r="G1716" s="15" t="str">
        <f t="shared" si="577"/>
        <v>TAS</v>
      </c>
      <c r="H1716" s="15">
        <f t="shared" si="578"/>
        <v>7140</v>
      </c>
      <c r="I1716" s="15">
        <f t="shared" si="589"/>
        <v>2191</v>
      </c>
      <c r="J1716" s="15">
        <f>OrdersTable!B1716</f>
        <v>620</v>
      </c>
      <c r="K1716" s="15" t="str">
        <f t="shared" si="579"/>
        <v>iPhone Skins</v>
      </c>
      <c r="L1716" s="15" t="str">
        <f t="shared" si="580"/>
        <v>Doctor Who: iPhone Skin: TARDIS Water Colour</v>
      </c>
      <c r="M1716" s="15" t="str">
        <f t="shared" si="581"/>
        <v>-</v>
      </c>
      <c r="N1716" s="15">
        <f t="shared" si="582"/>
        <v>0.5</v>
      </c>
      <c r="O1716" s="15" t="str">
        <f t="shared" si="583"/>
        <v>A30</v>
      </c>
      <c r="P1716" s="15" t="str">
        <f t="shared" si="584"/>
        <v>Chesterton Enterprises</v>
      </c>
      <c r="Q1716" s="15" t="str">
        <f t="shared" si="585"/>
        <v>41 William Russell Road</v>
      </c>
      <c r="R1716" s="3">
        <f>OrdersTable!C1716</f>
        <v>44683</v>
      </c>
      <c r="S1716" s="15">
        <f>OrdersTable!E1716</f>
        <v>10</v>
      </c>
      <c r="T1716" s="15">
        <f t="shared" si="586"/>
        <v>9.99</v>
      </c>
      <c r="U1716" s="15">
        <f t="shared" si="587"/>
        <v>13.81</v>
      </c>
      <c r="V1716" s="15">
        <f t="shared" si="588"/>
        <v>16.18</v>
      </c>
      <c r="W1716" s="15">
        <f>IF(MarkupType="Store Markup",ROUND(V1716+V1716*StoreMarkup,2),IF(MarkupType="Supplier Markup",V1716+V1716*SupplierMarkup,"Error at finding value"))</f>
        <v>25.48</v>
      </c>
      <c r="X1716" s="32" t="str">
        <f t="shared" si="590"/>
        <v>0.00</v>
      </c>
      <c r="Y1716" s="15">
        <f t="shared" si="591"/>
        <v>161.80000000000001</v>
      </c>
      <c r="Z1716" s="15">
        <f t="shared" si="592"/>
        <v>254.8</v>
      </c>
      <c r="AA1716" s="15">
        <f>IF(FreightType="Lethbridge-Stewart Freight ",ROUND(2.99+IF(N1716&gt;0.75,(N1716-0.75)*2.25,0)*S1716,2),IF(MarkupType="Supplier Markup",V1716+V1716*SupplierMarkup,"Error at finding value"))</f>
        <v>2.99</v>
      </c>
      <c r="AB1716" s="15">
        <f t="shared" si="593"/>
        <v>0</v>
      </c>
    </row>
    <row r="1717" spans="1:28" x14ac:dyDescent="0.25">
      <c r="A1717" s="16">
        <f>OrdersTable!A1717</f>
        <v>249</v>
      </c>
      <c r="B1717" s="15" t="str">
        <f t="shared" si="573"/>
        <v>Mr</v>
      </c>
      <c r="C1717" s="15" t="str">
        <f t="shared" si="594"/>
        <v>Sinclair</v>
      </c>
      <c r="D1717" s="15" t="str">
        <f t="shared" si="574"/>
        <v>Travis James Foord</v>
      </c>
      <c r="E1717" s="15" t="str">
        <f t="shared" si="575"/>
        <v>25 Leunen Avenue</v>
      </c>
      <c r="F1717" s="15" t="str">
        <f t="shared" si="576"/>
        <v>Batlow</v>
      </c>
      <c r="G1717" s="15" t="str">
        <f t="shared" si="577"/>
        <v>NSW</v>
      </c>
      <c r="H1717" s="15">
        <f t="shared" si="578"/>
        <v>2730</v>
      </c>
      <c r="I1717" s="15">
        <f t="shared" si="589"/>
        <v>1138</v>
      </c>
      <c r="J1717" s="15">
        <f>OrdersTable!B1717</f>
        <v>812</v>
      </c>
      <c r="K1717" s="15" t="str">
        <f t="shared" si="579"/>
        <v>Statues and Busts</v>
      </c>
      <c r="L1717" s="15" t="str">
        <f t="shared" si="580"/>
        <v>Doctor Who: Masterpiece Collection Maxi Bust: Dalek: Day Of The Daleks</v>
      </c>
      <c r="M1717" s="15" t="str">
        <f t="shared" si="581"/>
        <v>-</v>
      </c>
      <c r="N1717" s="15">
        <f t="shared" si="582"/>
        <v>2.5</v>
      </c>
      <c r="O1717" s="15" t="str">
        <f t="shared" si="583"/>
        <v>A20</v>
      </c>
      <c r="P1717" s="15" t="str">
        <f t="shared" si="584"/>
        <v>Morbius Inc.</v>
      </c>
      <c r="Q1717" s="15" t="str">
        <f t="shared" si="585"/>
        <v>56 Michael Spice Hwy</v>
      </c>
      <c r="R1717" s="3">
        <f>OrdersTable!C1717</f>
        <v>44683</v>
      </c>
      <c r="S1717" s="15">
        <f>OrdersTable!E1717</f>
        <v>6</v>
      </c>
      <c r="T1717" s="15">
        <f t="shared" si="586"/>
        <v>49.99</v>
      </c>
      <c r="U1717" s="15">
        <f t="shared" si="587"/>
        <v>68.47</v>
      </c>
      <c r="V1717" s="15">
        <f t="shared" si="588"/>
        <v>80.98</v>
      </c>
      <c r="W1717" s="15">
        <f>IF(MarkupType="Store Markup",ROUND(V1717+V1717*StoreMarkup,2),IF(MarkupType="Supplier Markup",V1717+V1717*SupplierMarkup,"Error at finding value"))</f>
        <v>127.54</v>
      </c>
      <c r="X1717" s="32">
        <f t="shared" si="590"/>
        <v>9.09</v>
      </c>
      <c r="Y1717" s="15">
        <f t="shared" si="591"/>
        <v>485.88</v>
      </c>
      <c r="Z1717" s="15">
        <f t="shared" si="592"/>
        <v>710.7</v>
      </c>
      <c r="AA1717" s="15">
        <f>IF(FreightType="Lethbridge-Stewart Freight ",ROUND(2.99+IF(N1717&gt;0.75,(N1717-0.75)*2.25,0)*S1717,2),IF(MarkupType="Supplier Markup",V1717+V1717*SupplierMarkup,"Error at finding value"))</f>
        <v>26.62</v>
      </c>
      <c r="AB1717" s="15">
        <f t="shared" si="593"/>
        <v>54.54</v>
      </c>
    </row>
    <row r="1718" spans="1:28" x14ac:dyDescent="0.25">
      <c r="A1718" s="16">
        <f>OrdersTable!A1718</f>
        <v>308</v>
      </c>
      <c r="B1718" s="15" t="str">
        <f t="shared" si="573"/>
        <v>Dr</v>
      </c>
      <c r="C1718" s="15" t="str">
        <f t="shared" si="594"/>
        <v>Azar</v>
      </c>
      <c r="D1718" s="15" t="str">
        <f t="shared" si="574"/>
        <v>Mariam</v>
      </c>
      <c r="E1718" s="15" t="str">
        <f t="shared" si="575"/>
        <v>26 Osmond Road</v>
      </c>
      <c r="F1718" s="15" t="str">
        <f t="shared" si="576"/>
        <v>Boston</v>
      </c>
      <c r="G1718" s="15" t="str">
        <f t="shared" si="577"/>
        <v>SA</v>
      </c>
      <c r="H1718" s="15">
        <f t="shared" si="578"/>
        <v>5607</v>
      </c>
      <c r="I1718" s="15">
        <f t="shared" si="589"/>
        <v>2076</v>
      </c>
      <c r="J1718" s="15">
        <f>OrdersTable!B1718</f>
        <v>590</v>
      </c>
      <c r="K1718" s="15" t="str">
        <f t="shared" si="579"/>
        <v>iPhone Skins</v>
      </c>
      <c r="L1718" s="15" t="str">
        <f t="shared" si="580"/>
        <v>Doctor Who: iPhone Skin: Exploding TARDIS</v>
      </c>
      <c r="M1718" s="15" t="str">
        <f t="shared" si="581"/>
        <v>-</v>
      </c>
      <c r="N1718" s="15">
        <f t="shared" si="582"/>
        <v>0.5</v>
      </c>
      <c r="O1718" s="15" t="str">
        <f t="shared" si="583"/>
        <v>A20</v>
      </c>
      <c r="P1718" s="15" t="str">
        <f t="shared" si="584"/>
        <v>Morbius Inc.</v>
      </c>
      <c r="Q1718" s="15" t="str">
        <f t="shared" si="585"/>
        <v>56 Michael Spice Hwy</v>
      </c>
      <c r="R1718" s="3">
        <f>OrdersTable!C1718</f>
        <v>44683</v>
      </c>
      <c r="S1718" s="15">
        <f>OrdersTable!E1718</f>
        <v>10</v>
      </c>
      <c r="T1718" s="15">
        <f t="shared" si="586"/>
        <v>9.99</v>
      </c>
      <c r="U1718" s="15">
        <f t="shared" si="587"/>
        <v>13.86</v>
      </c>
      <c r="V1718" s="15">
        <f t="shared" si="588"/>
        <v>16.18</v>
      </c>
      <c r="W1718" s="15">
        <f>IF(MarkupType="Store Markup",ROUND(V1718+V1718*StoreMarkup,2),IF(MarkupType="Supplier Markup",V1718+V1718*SupplierMarkup,"Error at finding value"))</f>
        <v>25.48</v>
      </c>
      <c r="X1718" s="32" t="str">
        <f t="shared" si="590"/>
        <v>0.00</v>
      </c>
      <c r="Y1718" s="15">
        <f t="shared" si="591"/>
        <v>161.80000000000001</v>
      </c>
      <c r="Z1718" s="15">
        <f t="shared" si="592"/>
        <v>254.8</v>
      </c>
      <c r="AA1718" s="15">
        <f>IF(FreightType="Lethbridge-Stewart Freight ",ROUND(2.99+IF(N1718&gt;0.75,(N1718-0.75)*2.25,0)*S1718,2),IF(MarkupType="Supplier Markup",V1718+V1718*SupplierMarkup,"Error at finding value"))</f>
        <v>2.99</v>
      </c>
      <c r="AB1718" s="15">
        <f t="shared" si="593"/>
        <v>0</v>
      </c>
    </row>
    <row r="1719" spans="1:28" x14ac:dyDescent="0.25">
      <c r="A1719" s="16">
        <f>OrdersTable!A1719</f>
        <v>323</v>
      </c>
      <c r="B1719" s="15" t="str">
        <f t="shared" si="573"/>
        <v>Dr</v>
      </c>
      <c r="C1719" s="15" t="str">
        <f t="shared" si="594"/>
        <v>King</v>
      </c>
      <c r="D1719" s="15" t="str">
        <f t="shared" si="574"/>
        <v>Leith</v>
      </c>
      <c r="E1719" s="15" t="str">
        <f t="shared" si="575"/>
        <v>25 Carbone Court</v>
      </c>
      <c r="F1719" s="15" t="str">
        <f t="shared" si="576"/>
        <v>Nayook</v>
      </c>
      <c r="G1719" s="15" t="str">
        <f t="shared" si="577"/>
        <v>VIC</v>
      </c>
      <c r="H1719" s="15">
        <f t="shared" si="578"/>
        <v>3832</v>
      </c>
      <c r="I1719" s="15">
        <f t="shared" si="589"/>
        <v>1552</v>
      </c>
      <c r="J1719" s="15">
        <f>OrdersTable!B1719</f>
        <v>694</v>
      </c>
      <c r="K1719" s="15" t="str">
        <f t="shared" si="579"/>
        <v>Posters, Prints and Standees</v>
      </c>
      <c r="L1719" s="15" t="str">
        <f t="shared" si="580"/>
        <v>Doctor Who: 16'x12' Framed Print: Hide</v>
      </c>
      <c r="M1719" s="15" t="str">
        <f t="shared" si="581"/>
        <v>-</v>
      </c>
      <c r="N1719" s="15">
        <f t="shared" si="582"/>
        <v>0.75</v>
      </c>
      <c r="O1719" s="15" t="str">
        <f t="shared" si="583"/>
        <v>A40</v>
      </c>
      <c r="P1719" s="15" t="str">
        <f t="shared" si="584"/>
        <v>Romana Imports</v>
      </c>
      <c r="Q1719" s="15" t="str">
        <f t="shared" si="585"/>
        <v>17 Lalla Ward Road</v>
      </c>
      <c r="R1719" s="3">
        <f>OrdersTable!C1719</f>
        <v>44683</v>
      </c>
      <c r="S1719" s="15">
        <f>OrdersTable!E1719</f>
        <v>8</v>
      </c>
      <c r="T1719" s="15">
        <f t="shared" si="586"/>
        <v>14.99</v>
      </c>
      <c r="U1719" s="15">
        <f t="shared" si="587"/>
        <v>20.49</v>
      </c>
      <c r="V1719" s="15">
        <f t="shared" si="588"/>
        <v>24.28</v>
      </c>
      <c r="W1719" s="15">
        <f>IF(MarkupType="Store Markup",ROUND(V1719+V1719*StoreMarkup,2),IF(MarkupType="Supplier Markup",V1719+V1719*SupplierMarkup,"Error at finding value"))</f>
        <v>38.24</v>
      </c>
      <c r="X1719" s="32" t="str">
        <f t="shared" si="590"/>
        <v>0.00</v>
      </c>
      <c r="Y1719" s="15">
        <f t="shared" si="591"/>
        <v>194.24</v>
      </c>
      <c r="Z1719" s="15">
        <f t="shared" si="592"/>
        <v>305.92</v>
      </c>
      <c r="AA1719" s="15">
        <f>IF(FreightType="Lethbridge-Stewart Freight ",ROUND(2.99+IF(N1719&gt;0.75,(N1719-0.75)*2.25,0)*S1719,2),IF(MarkupType="Supplier Markup",V1719+V1719*SupplierMarkup,"Error at finding value"))</f>
        <v>2.99</v>
      </c>
      <c r="AB1719" s="15">
        <f t="shared" si="593"/>
        <v>0</v>
      </c>
    </row>
    <row r="1720" spans="1:28" x14ac:dyDescent="0.25">
      <c r="A1720" s="16">
        <f>OrdersTable!A1720</f>
        <v>364</v>
      </c>
      <c r="B1720" s="15" t="str">
        <f t="shared" si="573"/>
        <v>Dr</v>
      </c>
      <c r="C1720" s="15" t="str">
        <f t="shared" si="594"/>
        <v>Reibelt</v>
      </c>
      <c r="D1720" s="15" t="str">
        <f t="shared" si="574"/>
        <v>Corey James</v>
      </c>
      <c r="E1720" s="15" t="str">
        <f t="shared" si="575"/>
        <v>23 Burns Drive</v>
      </c>
      <c r="F1720" s="15" t="str">
        <f t="shared" si="576"/>
        <v>Caliph</v>
      </c>
      <c r="G1720" s="15" t="str">
        <f t="shared" si="577"/>
        <v>SA</v>
      </c>
      <c r="H1720" s="15">
        <f t="shared" si="578"/>
        <v>5310</v>
      </c>
      <c r="I1720" s="15">
        <f t="shared" si="589"/>
        <v>1720</v>
      </c>
      <c r="J1720" s="15">
        <f>OrdersTable!B1720</f>
        <v>710</v>
      </c>
      <c r="K1720" s="15" t="str">
        <f t="shared" si="579"/>
        <v>Posters, Prints and Standees</v>
      </c>
      <c r="L1720" s="15" t="str">
        <f t="shared" si="580"/>
        <v>Doctor Who: Poster: Regenerate</v>
      </c>
      <c r="M1720" s="15" t="str">
        <f t="shared" si="581"/>
        <v>-</v>
      </c>
      <c r="N1720" s="15">
        <f t="shared" si="582"/>
        <v>0.2</v>
      </c>
      <c r="O1720" s="15" t="str">
        <f t="shared" si="583"/>
        <v>A40</v>
      </c>
      <c r="P1720" s="15" t="str">
        <f t="shared" si="584"/>
        <v>Romana Imports</v>
      </c>
      <c r="Q1720" s="15" t="str">
        <f t="shared" si="585"/>
        <v>17 Lalla Ward Road</v>
      </c>
      <c r="R1720" s="3">
        <f>OrdersTable!C1720</f>
        <v>44683</v>
      </c>
      <c r="S1720" s="15">
        <f>OrdersTable!E1720</f>
        <v>3</v>
      </c>
      <c r="T1720" s="15">
        <f t="shared" si="586"/>
        <v>3.99</v>
      </c>
      <c r="U1720" s="15">
        <f t="shared" si="587"/>
        <v>5.5</v>
      </c>
      <c r="V1720" s="15">
        <f t="shared" si="588"/>
        <v>6.46</v>
      </c>
      <c r="W1720" s="15">
        <f>IF(MarkupType="Store Markup",ROUND(V1720+V1720*StoreMarkup,2),IF(MarkupType="Supplier Markup",V1720+V1720*SupplierMarkup,"Error at finding value"))</f>
        <v>10.17</v>
      </c>
      <c r="X1720" s="32" t="str">
        <f t="shared" si="590"/>
        <v>0.00</v>
      </c>
      <c r="Y1720" s="15">
        <f t="shared" si="591"/>
        <v>19.38</v>
      </c>
      <c r="Z1720" s="15">
        <f t="shared" si="592"/>
        <v>30.51</v>
      </c>
      <c r="AA1720" s="15">
        <f>IF(FreightType="Lethbridge-Stewart Freight ",ROUND(2.99+IF(N1720&gt;0.75,(N1720-0.75)*2.25,0)*S1720,2),IF(MarkupType="Supplier Markup",V1720+V1720*SupplierMarkup,"Error at finding value"))</f>
        <v>2.99</v>
      </c>
      <c r="AB1720" s="15">
        <f t="shared" si="593"/>
        <v>0</v>
      </c>
    </row>
    <row r="1721" spans="1:28" x14ac:dyDescent="0.25">
      <c r="A1721" s="16">
        <f>OrdersTable!A1721</f>
        <v>474</v>
      </c>
      <c r="B1721" s="15" t="str">
        <f t="shared" si="573"/>
        <v>Mr</v>
      </c>
      <c r="C1721" s="15" t="str">
        <f t="shared" si="594"/>
        <v>Jooste</v>
      </c>
      <c r="D1721" s="15" t="str">
        <f t="shared" si="574"/>
        <v>Nicholas</v>
      </c>
      <c r="E1721" s="15" t="str">
        <f t="shared" si="575"/>
        <v>32 Dover Road</v>
      </c>
      <c r="F1721" s="15" t="str">
        <f t="shared" si="576"/>
        <v>Belford</v>
      </c>
      <c r="G1721" s="15" t="str">
        <f t="shared" si="577"/>
        <v>NSW</v>
      </c>
      <c r="H1721" s="15">
        <f t="shared" si="578"/>
        <v>2335</v>
      </c>
      <c r="I1721" s="15">
        <f t="shared" si="589"/>
        <v>716</v>
      </c>
      <c r="J1721" s="15">
        <f>OrdersTable!B1721</f>
        <v>583</v>
      </c>
      <c r="K1721" s="15" t="str">
        <f t="shared" si="579"/>
        <v>iPhone Skins</v>
      </c>
      <c r="L1721" s="15" t="str">
        <f t="shared" si="580"/>
        <v>Doctor Who: iPhone Skin: Cyberman Delete</v>
      </c>
      <c r="M1721" s="15" t="str">
        <f t="shared" si="581"/>
        <v>-</v>
      </c>
      <c r="N1721" s="15">
        <f t="shared" si="582"/>
        <v>0.3</v>
      </c>
      <c r="O1721" s="15" t="str">
        <f t="shared" si="583"/>
        <v>A50</v>
      </c>
      <c r="P1721" s="15" t="str">
        <f t="shared" si="584"/>
        <v>Rassilon Ltd.</v>
      </c>
      <c r="Q1721" s="15" t="str">
        <f t="shared" si="585"/>
        <v>82 Richard Mathews Road</v>
      </c>
      <c r="R1721" s="3">
        <f>OrdersTable!C1721</f>
        <v>44683</v>
      </c>
      <c r="S1721" s="15">
        <f>OrdersTable!E1721</f>
        <v>5</v>
      </c>
      <c r="T1721" s="15">
        <f t="shared" si="586"/>
        <v>5.99</v>
      </c>
      <c r="U1721" s="15">
        <f t="shared" si="587"/>
        <v>8.23</v>
      </c>
      <c r="V1721" s="15">
        <f t="shared" si="588"/>
        <v>9.6999999999999993</v>
      </c>
      <c r="W1721" s="15">
        <f>IF(MarkupType="Store Markup",ROUND(V1721+V1721*StoreMarkup,2),IF(MarkupType="Supplier Markup",V1721+V1721*SupplierMarkup,"Error at finding value"))</f>
        <v>15.28</v>
      </c>
      <c r="X1721" s="32" t="str">
        <f t="shared" si="590"/>
        <v>0.00</v>
      </c>
      <c r="Y1721" s="15">
        <f t="shared" si="591"/>
        <v>48.5</v>
      </c>
      <c r="Z1721" s="15">
        <f t="shared" si="592"/>
        <v>76.400000000000006</v>
      </c>
      <c r="AA1721" s="15">
        <f>IF(FreightType="Lethbridge-Stewart Freight ",ROUND(2.99+IF(N1721&gt;0.75,(N1721-0.75)*2.25,0)*S1721,2),IF(MarkupType="Supplier Markup",V1721+V1721*SupplierMarkup,"Error at finding value"))</f>
        <v>2.99</v>
      </c>
      <c r="AB1721" s="15">
        <f t="shared" si="593"/>
        <v>0</v>
      </c>
    </row>
    <row r="1722" spans="1:28" x14ac:dyDescent="0.25">
      <c r="A1722" s="16">
        <f>OrdersTable!A1722</f>
        <v>474</v>
      </c>
      <c r="B1722" s="15" t="str">
        <f t="shared" si="573"/>
        <v>Mr</v>
      </c>
      <c r="C1722" s="15" t="str">
        <f t="shared" si="594"/>
        <v>Jooste</v>
      </c>
      <c r="D1722" s="15" t="str">
        <f t="shared" si="574"/>
        <v>Nicholas</v>
      </c>
      <c r="E1722" s="15" t="str">
        <f t="shared" si="575"/>
        <v>32 Dover Road</v>
      </c>
      <c r="F1722" s="15" t="str">
        <f t="shared" si="576"/>
        <v>Belford</v>
      </c>
      <c r="G1722" s="15" t="str">
        <f t="shared" si="577"/>
        <v>NSW</v>
      </c>
      <c r="H1722" s="15">
        <f t="shared" si="578"/>
        <v>2335</v>
      </c>
      <c r="I1722" s="15">
        <f t="shared" si="589"/>
        <v>716</v>
      </c>
      <c r="J1722" s="15">
        <f>OrdersTable!B1722</f>
        <v>668</v>
      </c>
      <c r="K1722" s="15" t="str">
        <f t="shared" si="579"/>
        <v>Mugs</v>
      </c>
      <c r="L1722" s="15" t="str">
        <f t="shared" si="580"/>
        <v>Doctor Who: Mug: Silver TARDIS</v>
      </c>
      <c r="M1722" s="15" t="str">
        <f t="shared" si="581"/>
        <v>-</v>
      </c>
      <c r="N1722" s="15">
        <f t="shared" si="582"/>
        <v>1.1499999999999999</v>
      </c>
      <c r="O1722" s="15" t="str">
        <f t="shared" si="583"/>
        <v>A50</v>
      </c>
      <c r="P1722" s="15" t="str">
        <f t="shared" si="584"/>
        <v>Rassilon Ltd.</v>
      </c>
      <c r="Q1722" s="15" t="str">
        <f t="shared" si="585"/>
        <v>82 Richard Mathews Road</v>
      </c>
      <c r="R1722" s="3">
        <f>OrdersTable!C1722</f>
        <v>44683</v>
      </c>
      <c r="S1722" s="15">
        <f>OrdersTable!E1722</f>
        <v>4</v>
      </c>
      <c r="T1722" s="15">
        <f t="shared" si="586"/>
        <v>22.99</v>
      </c>
      <c r="U1722" s="15">
        <f t="shared" si="587"/>
        <v>31.53</v>
      </c>
      <c r="V1722" s="15">
        <f t="shared" si="588"/>
        <v>37.24</v>
      </c>
      <c r="W1722" s="15">
        <f>IF(MarkupType="Store Markup",ROUND(V1722+V1722*StoreMarkup,2),IF(MarkupType="Supplier Markup",V1722+V1722*SupplierMarkup,"Error at finding value"))</f>
        <v>58.65</v>
      </c>
      <c r="X1722" s="32" t="str">
        <f t="shared" si="590"/>
        <v>0.00</v>
      </c>
      <c r="Y1722" s="15">
        <f t="shared" si="591"/>
        <v>148.96</v>
      </c>
      <c r="Z1722" s="15">
        <f t="shared" si="592"/>
        <v>234.6</v>
      </c>
      <c r="AA1722" s="15">
        <f>IF(FreightType="Lethbridge-Stewart Freight ",ROUND(2.99+IF(N1722&gt;0.75,(N1722-0.75)*2.25,0)*S1722,2),IF(MarkupType="Supplier Markup",V1722+V1722*SupplierMarkup,"Error at finding value"))</f>
        <v>6.59</v>
      </c>
      <c r="AB1722" s="15">
        <f t="shared" si="593"/>
        <v>0</v>
      </c>
    </row>
    <row r="1723" spans="1:28" x14ac:dyDescent="0.25">
      <c r="A1723" s="16">
        <f>OrdersTable!A1723</f>
        <v>491</v>
      </c>
      <c r="B1723" s="15" t="str">
        <f t="shared" si="573"/>
        <v>Miss</v>
      </c>
      <c r="C1723" s="15" t="str">
        <f t="shared" si="594"/>
        <v>Winks</v>
      </c>
      <c r="D1723" s="15" t="str">
        <f t="shared" si="574"/>
        <v>Lori-Ann</v>
      </c>
      <c r="E1723" s="15" t="str">
        <f t="shared" si="575"/>
        <v>40 Lyne Street</v>
      </c>
      <c r="F1723" s="15" t="str">
        <f t="shared" si="576"/>
        <v>Bray Park</v>
      </c>
      <c r="G1723" s="15" t="str">
        <f t="shared" si="577"/>
        <v>QLD</v>
      </c>
      <c r="H1723" s="15">
        <f t="shared" si="578"/>
        <v>4500</v>
      </c>
      <c r="I1723" s="15">
        <f t="shared" si="589"/>
        <v>139</v>
      </c>
      <c r="J1723" s="15">
        <f>OrdersTable!B1723</f>
        <v>812</v>
      </c>
      <c r="K1723" s="15" t="str">
        <f t="shared" si="579"/>
        <v>Statues and Busts</v>
      </c>
      <c r="L1723" s="15" t="str">
        <f t="shared" si="580"/>
        <v>Doctor Who: Masterpiece Collection Maxi Bust: Dalek: Day Of The Daleks</v>
      </c>
      <c r="M1723" s="15" t="str">
        <f t="shared" si="581"/>
        <v>-</v>
      </c>
      <c r="N1723" s="15">
        <f t="shared" si="582"/>
        <v>2.5</v>
      </c>
      <c r="O1723" s="15" t="str">
        <f t="shared" si="583"/>
        <v>A20</v>
      </c>
      <c r="P1723" s="15" t="str">
        <f t="shared" si="584"/>
        <v>Morbius Inc.</v>
      </c>
      <c r="Q1723" s="15" t="str">
        <f t="shared" si="585"/>
        <v>56 Michael Spice Hwy</v>
      </c>
      <c r="R1723" s="3">
        <f>OrdersTable!C1723</f>
        <v>44683</v>
      </c>
      <c r="S1723" s="15">
        <f>OrdersTable!E1723</f>
        <v>10</v>
      </c>
      <c r="T1723" s="15">
        <f t="shared" si="586"/>
        <v>49.99</v>
      </c>
      <c r="U1723" s="15">
        <f t="shared" si="587"/>
        <v>68.47</v>
      </c>
      <c r="V1723" s="15">
        <f t="shared" si="588"/>
        <v>80.98</v>
      </c>
      <c r="W1723" s="15">
        <f>IF(MarkupType="Store Markup",ROUND(V1723+V1723*StoreMarkup,2),IF(MarkupType="Supplier Markup",V1723+V1723*SupplierMarkup,"Error at finding value"))</f>
        <v>127.54</v>
      </c>
      <c r="X1723" s="32">
        <f t="shared" si="590"/>
        <v>9.09</v>
      </c>
      <c r="Y1723" s="15">
        <f t="shared" si="591"/>
        <v>809.8</v>
      </c>
      <c r="Z1723" s="15">
        <f t="shared" si="592"/>
        <v>1184.5</v>
      </c>
      <c r="AA1723" s="15">
        <f>IF(FreightType="Lethbridge-Stewart Freight ",ROUND(2.99+IF(N1723&gt;0.75,(N1723-0.75)*2.25,0)*S1723,2),IF(MarkupType="Supplier Markup",V1723+V1723*SupplierMarkup,"Error at finding value"))</f>
        <v>42.37</v>
      </c>
      <c r="AB1723" s="15">
        <f t="shared" si="593"/>
        <v>90.9</v>
      </c>
    </row>
    <row r="1724" spans="1:28" x14ac:dyDescent="0.25">
      <c r="A1724" s="16">
        <f>OrdersTable!A1724</f>
        <v>527</v>
      </c>
      <c r="B1724" s="15" t="str">
        <f t="shared" si="573"/>
        <v>Mr</v>
      </c>
      <c r="C1724" s="15" t="str">
        <f t="shared" si="594"/>
        <v>McTaggart</v>
      </c>
      <c r="D1724" s="15" t="str">
        <f t="shared" si="574"/>
        <v>Daniel</v>
      </c>
      <c r="E1724" s="15" t="str">
        <f t="shared" si="575"/>
        <v>24 Mulholland Avenue</v>
      </c>
      <c r="F1724" s="15" t="str">
        <f t="shared" si="576"/>
        <v>Belconnen</v>
      </c>
      <c r="G1724" s="15" t="str">
        <f t="shared" si="577"/>
        <v>ACT</v>
      </c>
      <c r="H1724" s="15">
        <f t="shared" si="578"/>
        <v>2617</v>
      </c>
      <c r="I1724" s="15">
        <f t="shared" si="589"/>
        <v>1194</v>
      </c>
      <c r="J1724" s="15">
        <f>OrdersTable!B1724</f>
        <v>145</v>
      </c>
      <c r="K1724" s="15" t="str">
        <f t="shared" si="579"/>
        <v>Bobbleheads</v>
      </c>
      <c r="L1724" s="15" t="str">
        <f t="shared" si="580"/>
        <v>Doctor Who: Bobblehead: Eleventh Doctor</v>
      </c>
      <c r="M1724" s="15" t="str">
        <f t="shared" si="581"/>
        <v>-</v>
      </c>
      <c r="N1724" s="15">
        <f t="shared" si="582"/>
        <v>1</v>
      </c>
      <c r="O1724" s="15" t="str">
        <f t="shared" si="583"/>
        <v>A30</v>
      </c>
      <c r="P1724" s="15" t="str">
        <f t="shared" si="584"/>
        <v>Chesterton Enterprises</v>
      </c>
      <c r="Q1724" s="15" t="str">
        <f t="shared" si="585"/>
        <v>41 William Russell Road</v>
      </c>
      <c r="R1724" s="3">
        <f>OrdersTable!C1724</f>
        <v>44683</v>
      </c>
      <c r="S1724" s="15">
        <f>OrdersTable!E1724</f>
        <v>10</v>
      </c>
      <c r="T1724" s="15">
        <f t="shared" si="586"/>
        <v>19.989999999999998</v>
      </c>
      <c r="U1724" s="15">
        <f t="shared" si="587"/>
        <v>27.54</v>
      </c>
      <c r="V1724" s="15">
        <f t="shared" si="588"/>
        <v>32.380000000000003</v>
      </c>
      <c r="W1724" s="15">
        <f>IF(MarkupType="Store Markup",ROUND(V1724+V1724*StoreMarkup,2),IF(MarkupType="Supplier Markup",V1724+V1724*SupplierMarkup,"Error at finding value"))</f>
        <v>51</v>
      </c>
      <c r="X1724" s="32" t="str">
        <f t="shared" si="590"/>
        <v>0.00</v>
      </c>
      <c r="Y1724" s="15">
        <f t="shared" si="591"/>
        <v>323.8</v>
      </c>
      <c r="Z1724" s="15">
        <f t="shared" si="592"/>
        <v>510</v>
      </c>
      <c r="AA1724" s="15">
        <f>IF(FreightType="Lethbridge-Stewart Freight ",ROUND(2.99+IF(N1724&gt;0.75,(N1724-0.75)*2.25,0)*S1724,2),IF(MarkupType="Supplier Markup",V1724+V1724*SupplierMarkup,"Error at finding value"))</f>
        <v>8.6199999999999992</v>
      </c>
      <c r="AB1724" s="15">
        <f t="shared" si="593"/>
        <v>0</v>
      </c>
    </row>
    <row r="1725" spans="1:28" x14ac:dyDescent="0.25">
      <c r="A1725" s="16">
        <f>OrdersTable!A1725</f>
        <v>568</v>
      </c>
      <c r="B1725" s="15" t="str">
        <f t="shared" si="573"/>
        <v>Mr</v>
      </c>
      <c r="C1725" s="15" t="str">
        <f t="shared" si="594"/>
        <v>Byrne</v>
      </c>
      <c r="D1725" s="15" t="str">
        <f t="shared" si="574"/>
        <v>Gregory James</v>
      </c>
      <c r="E1725" s="15" t="str">
        <f t="shared" si="575"/>
        <v>18 Doroshenko Crescent</v>
      </c>
      <c r="F1725" s="15" t="str">
        <f t="shared" si="576"/>
        <v>Abington</v>
      </c>
      <c r="G1725" s="15" t="str">
        <f t="shared" si="577"/>
        <v>QLD</v>
      </c>
      <c r="H1725" s="15">
        <f t="shared" si="578"/>
        <v>4660</v>
      </c>
      <c r="I1725" s="15">
        <f t="shared" si="589"/>
        <v>336</v>
      </c>
      <c r="J1725" s="15">
        <f>OrdersTable!B1725</f>
        <v>213</v>
      </c>
      <c r="K1725" s="15" t="str">
        <f t="shared" si="579"/>
        <v>Clothing and Apparel</v>
      </c>
      <c r="L1725" s="15" t="str">
        <f t="shared" si="580"/>
        <v>Doctor Who: Fez and Bow Tie</v>
      </c>
      <c r="M1725" s="15" t="str">
        <f t="shared" si="581"/>
        <v>-</v>
      </c>
      <c r="N1725" s="15">
        <f t="shared" si="582"/>
        <v>0.97499999999999998</v>
      </c>
      <c r="O1725" s="15" t="str">
        <f t="shared" si="583"/>
        <v>A50</v>
      </c>
      <c r="P1725" s="15" t="str">
        <f t="shared" si="584"/>
        <v>Rassilon Ltd.</v>
      </c>
      <c r="Q1725" s="15" t="str">
        <f t="shared" si="585"/>
        <v>82 Richard Mathews Road</v>
      </c>
      <c r="R1725" s="3">
        <f>OrdersTable!C1725</f>
        <v>44683</v>
      </c>
      <c r="S1725" s="15">
        <f>OrdersTable!E1725</f>
        <v>5</v>
      </c>
      <c r="T1725" s="15">
        <f t="shared" si="586"/>
        <v>19.5</v>
      </c>
      <c r="U1725" s="15">
        <f t="shared" si="587"/>
        <v>26.88</v>
      </c>
      <c r="V1725" s="15">
        <f t="shared" si="588"/>
        <v>31.59</v>
      </c>
      <c r="W1725" s="15">
        <f>IF(MarkupType="Store Markup",ROUND(V1725+V1725*StoreMarkup,2),IF(MarkupType="Supplier Markup",V1725+V1725*SupplierMarkup,"Error at finding value"))</f>
        <v>49.75</v>
      </c>
      <c r="X1725" s="32" t="str">
        <f t="shared" si="590"/>
        <v>0.00</v>
      </c>
      <c r="Y1725" s="15">
        <f t="shared" si="591"/>
        <v>157.94999999999999</v>
      </c>
      <c r="Z1725" s="15">
        <f t="shared" si="592"/>
        <v>248.75</v>
      </c>
      <c r="AA1725" s="15">
        <f>IF(FreightType="Lethbridge-Stewart Freight ",ROUND(2.99+IF(N1725&gt;0.75,(N1725-0.75)*2.25,0)*S1725,2),IF(MarkupType="Supplier Markup",V1725+V1725*SupplierMarkup,"Error at finding value"))</f>
        <v>5.52</v>
      </c>
      <c r="AB1725" s="15">
        <f t="shared" si="593"/>
        <v>0</v>
      </c>
    </row>
    <row r="1726" spans="1:28" x14ac:dyDescent="0.25">
      <c r="A1726" s="16">
        <f>OrdersTable!A1726</f>
        <v>823</v>
      </c>
      <c r="B1726" s="15" t="str">
        <f t="shared" si="573"/>
        <v>Mrs</v>
      </c>
      <c r="C1726" s="15" t="str">
        <f t="shared" si="594"/>
        <v>Riordan</v>
      </c>
      <c r="D1726" s="15" t="str">
        <f t="shared" si="574"/>
        <v>Brianna Leigh</v>
      </c>
      <c r="E1726" s="15" t="str">
        <f t="shared" si="575"/>
        <v>7 Boyd Crescent</v>
      </c>
      <c r="F1726" s="15" t="str">
        <f t="shared" si="576"/>
        <v>Bamboo</v>
      </c>
      <c r="G1726" s="15" t="str">
        <f t="shared" si="577"/>
        <v>QLD</v>
      </c>
      <c r="H1726" s="15">
        <f t="shared" si="578"/>
        <v>4873</v>
      </c>
      <c r="I1726" s="15">
        <f t="shared" si="589"/>
        <v>1741</v>
      </c>
      <c r="J1726" s="15">
        <f>OrdersTable!B1726</f>
        <v>374</v>
      </c>
      <c r="K1726" s="15" t="str">
        <f t="shared" si="579"/>
        <v>Clothing and Apparel</v>
      </c>
      <c r="L1726" s="15" t="str">
        <f t="shared" si="580"/>
        <v xml:space="preserve">Doctor Who: T-Shirts: 5th Doctor Costume </v>
      </c>
      <c r="M1726" s="15" t="str">
        <f t="shared" si="581"/>
        <v>XL</v>
      </c>
      <c r="N1726" s="15">
        <f t="shared" si="582"/>
        <v>0.8</v>
      </c>
      <c r="O1726" s="15" t="str">
        <f t="shared" si="583"/>
        <v>A50</v>
      </c>
      <c r="P1726" s="15" t="str">
        <f t="shared" si="584"/>
        <v>Rassilon Ltd.</v>
      </c>
      <c r="Q1726" s="15" t="str">
        <f t="shared" si="585"/>
        <v>82 Richard Mathews Road</v>
      </c>
      <c r="R1726" s="3">
        <f>OrdersTable!C1726</f>
        <v>44683</v>
      </c>
      <c r="S1726" s="15">
        <f>OrdersTable!E1726</f>
        <v>4</v>
      </c>
      <c r="T1726" s="15">
        <f t="shared" si="586"/>
        <v>15.99</v>
      </c>
      <c r="U1726" s="15">
        <f t="shared" si="587"/>
        <v>21.97</v>
      </c>
      <c r="V1726" s="15">
        <f t="shared" si="588"/>
        <v>25.9</v>
      </c>
      <c r="W1726" s="15">
        <f>IF(MarkupType="Store Markup",ROUND(V1726+V1726*StoreMarkup,2),IF(MarkupType="Supplier Markup",V1726+V1726*SupplierMarkup,"Error at finding value"))</f>
        <v>40.79</v>
      </c>
      <c r="X1726" s="32" t="str">
        <f t="shared" si="590"/>
        <v>0.00</v>
      </c>
      <c r="Y1726" s="15">
        <f t="shared" si="591"/>
        <v>103.6</v>
      </c>
      <c r="Z1726" s="15">
        <f t="shared" si="592"/>
        <v>163.16</v>
      </c>
      <c r="AA1726" s="15">
        <f>IF(FreightType="Lethbridge-Stewart Freight ",ROUND(2.99+IF(N1726&gt;0.75,(N1726-0.75)*2.25,0)*S1726,2),IF(MarkupType="Supplier Markup",V1726+V1726*SupplierMarkup,"Error at finding value"))</f>
        <v>3.44</v>
      </c>
      <c r="AB1726" s="15">
        <f t="shared" si="593"/>
        <v>0</v>
      </c>
    </row>
    <row r="1727" spans="1:28" x14ac:dyDescent="0.25">
      <c r="A1727" s="16">
        <f>OrdersTable!A1727</f>
        <v>22</v>
      </c>
      <c r="B1727" s="15" t="str">
        <f t="shared" si="573"/>
        <v>Mr</v>
      </c>
      <c r="C1727" s="15" t="str">
        <f t="shared" si="594"/>
        <v>Tyrrell</v>
      </c>
      <c r="D1727" s="15" t="str">
        <f t="shared" si="574"/>
        <v>Timothy James</v>
      </c>
      <c r="E1727" s="15" t="str">
        <f t="shared" si="575"/>
        <v>48 Lambourne Crescent</v>
      </c>
      <c r="F1727" s="15" t="str">
        <f t="shared" si="576"/>
        <v>Belford</v>
      </c>
      <c r="G1727" s="15" t="str">
        <f t="shared" si="577"/>
        <v>NSW</v>
      </c>
      <c r="H1727" s="15">
        <f t="shared" si="578"/>
        <v>2335</v>
      </c>
      <c r="I1727" s="15">
        <f t="shared" si="589"/>
        <v>716</v>
      </c>
      <c r="J1727" s="15">
        <f>OrdersTable!B1727</f>
        <v>710</v>
      </c>
      <c r="K1727" s="15" t="str">
        <f t="shared" si="579"/>
        <v>Posters, Prints and Standees</v>
      </c>
      <c r="L1727" s="15" t="str">
        <f t="shared" si="580"/>
        <v>Doctor Who: Poster: Regenerate</v>
      </c>
      <c r="M1727" s="15" t="str">
        <f t="shared" si="581"/>
        <v>-</v>
      </c>
      <c r="N1727" s="15">
        <f t="shared" si="582"/>
        <v>0.2</v>
      </c>
      <c r="O1727" s="15" t="str">
        <f t="shared" si="583"/>
        <v>A40</v>
      </c>
      <c r="P1727" s="15" t="str">
        <f t="shared" si="584"/>
        <v>Romana Imports</v>
      </c>
      <c r="Q1727" s="15" t="str">
        <f t="shared" si="585"/>
        <v>17 Lalla Ward Road</v>
      </c>
      <c r="R1727" s="3">
        <f>OrdersTable!C1727</f>
        <v>44684</v>
      </c>
      <c r="S1727" s="15">
        <f>OrdersTable!E1727</f>
        <v>3</v>
      </c>
      <c r="T1727" s="15">
        <f t="shared" si="586"/>
        <v>3.99</v>
      </c>
      <c r="U1727" s="15">
        <f t="shared" si="587"/>
        <v>5.5</v>
      </c>
      <c r="V1727" s="15">
        <f t="shared" si="588"/>
        <v>6.46</v>
      </c>
      <c r="W1727" s="15">
        <f>IF(MarkupType="Store Markup",ROUND(V1727+V1727*StoreMarkup,2),IF(MarkupType="Supplier Markup",V1727+V1727*SupplierMarkup,"Error at finding value"))</f>
        <v>10.17</v>
      </c>
      <c r="X1727" s="32" t="str">
        <f t="shared" si="590"/>
        <v>0.00</v>
      </c>
      <c r="Y1727" s="15">
        <f t="shared" si="591"/>
        <v>19.38</v>
      </c>
      <c r="Z1727" s="15">
        <f t="shared" si="592"/>
        <v>30.51</v>
      </c>
      <c r="AA1727" s="15">
        <f>IF(FreightType="Lethbridge-Stewart Freight ",ROUND(2.99+IF(N1727&gt;0.75,(N1727-0.75)*2.25,0)*S1727,2),IF(MarkupType="Supplier Markup",V1727+V1727*SupplierMarkup,"Error at finding value"))</f>
        <v>2.99</v>
      </c>
      <c r="AB1727" s="15">
        <f t="shared" si="593"/>
        <v>0</v>
      </c>
    </row>
    <row r="1728" spans="1:28" x14ac:dyDescent="0.25">
      <c r="A1728" s="16">
        <f>OrdersTable!A1728</f>
        <v>46</v>
      </c>
      <c r="B1728" s="15" t="str">
        <f t="shared" si="573"/>
        <v>Mrs</v>
      </c>
      <c r="C1728" s="15" t="str">
        <f t="shared" si="594"/>
        <v>Dovey</v>
      </c>
      <c r="D1728" s="15" t="str">
        <f t="shared" si="574"/>
        <v>Aisha Jade</v>
      </c>
      <c r="E1728" s="15" t="str">
        <f t="shared" si="575"/>
        <v>43 Wilkes Circuit</v>
      </c>
      <c r="F1728" s="15" t="str">
        <f t="shared" si="576"/>
        <v>Alfredtown</v>
      </c>
      <c r="G1728" s="15" t="str">
        <f t="shared" si="577"/>
        <v>NSW</v>
      </c>
      <c r="H1728" s="15">
        <f t="shared" si="578"/>
        <v>2650</v>
      </c>
      <c r="I1728" s="15">
        <f t="shared" si="589"/>
        <v>1124</v>
      </c>
      <c r="J1728" s="15">
        <f>OrdersTable!B1728</f>
        <v>530</v>
      </c>
      <c r="K1728" s="15" t="str">
        <f t="shared" si="579"/>
        <v>Giftware</v>
      </c>
      <c r="L1728" s="15" t="str">
        <f t="shared" si="580"/>
        <v>Doctor Who: Keyring TARDIS</v>
      </c>
      <c r="M1728" s="15" t="str">
        <f t="shared" si="581"/>
        <v>-</v>
      </c>
      <c r="N1728" s="15">
        <f t="shared" si="582"/>
        <v>0.25</v>
      </c>
      <c r="O1728" s="15" t="str">
        <f t="shared" si="583"/>
        <v>A20</v>
      </c>
      <c r="P1728" s="15" t="str">
        <f t="shared" si="584"/>
        <v>Morbius Inc.</v>
      </c>
      <c r="Q1728" s="15" t="str">
        <f t="shared" si="585"/>
        <v>56 Michael Spice Hwy</v>
      </c>
      <c r="R1728" s="3">
        <f>OrdersTable!C1728</f>
        <v>44684</v>
      </c>
      <c r="S1728" s="15">
        <f>OrdersTable!E1728</f>
        <v>6</v>
      </c>
      <c r="T1728" s="15">
        <f t="shared" si="586"/>
        <v>4.99</v>
      </c>
      <c r="U1728" s="15">
        <f t="shared" si="587"/>
        <v>7.1</v>
      </c>
      <c r="V1728" s="15">
        <f t="shared" si="588"/>
        <v>8.08</v>
      </c>
      <c r="W1728" s="15">
        <f>IF(MarkupType="Store Markup",ROUND(V1728+V1728*StoreMarkup,2),IF(MarkupType="Supplier Markup",V1728+V1728*SupplierMarkup,"Error at finding value"))</f>
        <v>12.73</v>
      </c>
      <c r="X1728" s="32" t="str">
        <f t="shared" si="590"/>
        <v>0.00</v>
      </c>
      <c r="Y1728" s="15">
        <f t="shared" si="591"/>
        <v>48.48</v>
      </c>
      <c r="Z1728" s="15">
        <f t="shared" si="592"/>
        <v>76.38</v>
      </c>
      <c r="AA1728" s="15">
        <f>IF(FreightType="Lethbridge-Stewart Freight ",ROUND(2.99+IF(N1728&gt;0.75,(N1728-0.75)*2.25,0)*S1728,2),IF(MarkupType="Supplier Markup",V1728+V1728*SupplierMarkup,"Error at finding value"))</f>
        <v>2.99</v>
      </c>
      <c r="AB1728" s="15">
        <f t="shared" si="593"/>
        <v>0</v>
      </c>
    </row>
    <row r="1729" spans="1:28" x14ac:dyDescent="0.25">
      <c r="A1729" s="16">
        <f>OrdersTable!A1729</f>
        <v>46</v>
      </c>
      <c r="B1729" s="15" t="str">
        <f t="shared" si="573"/>
        <v>Mrs</v>
      </c>
      <c r="C1729" s="15" t="str">
        <f t="shared" si="594"/>
        <v>Dovey</v>
      </c>
      <c r="D1729" s="15" t="str">
        <f t="shared" si="574"/>
        <v>Aisha Jade</v>
      </c>
      <c r="E1729" s="15" t="str">
        <f t="shared" si="575"/>
        <v>43 Wilkes Circuit</v>
      </c>
      <c r="F1729" s="15" t="str">
        <f t="shared" si="576"/>
        <v>Alfredtown</v>
      </c>
      <c r="G1729" s="15" t="str">
        <f t="shared" si="577"/>
        <v>NSW</v>
      </c>
      <c r="H1729" s="15">
        <f t="shared" si="578"/>
        <v>2650</v>
      </c>
      <c r="I1729" s="15">
        <f t="shared" si="589"/>
        <v>1124</v>
      </c>
      <c r="J1729" s="15">
        <f>OrdersTable!B1729</f>
        <v>667</v>
      </c>
      <c r="K1729" s="15" t="str">
        <f t="shared" si="579"/>
        <v>Mugs</v>
      </c>
      <c r="L1729" s="15" t="str">
        <f t="shared" si="580"/>
        <v>Doctor Who: Mug: Keep Calm And Don't Blink</v>
      </c>
      <c r="M1729" s="15" t="str">
        <f t="shared" si="581"/>
        <v>-</v>
      </c>
      <c r="N1729" s="15">
        <f t="shared" si="582"/>
        <v>0.35</v>
      </c>
      <c r="O1729" s="15" t="str">
        <f t="shared" si="583"/>
        <v>A10</v>
      </c>
      <c r="P1729" s="15" t="str">
        <f t="shared" si="584"/>
        <v>Gallifrey International</v>
      </c>
      <c r="Q1729" s="15" t="str">
        <f t="shared" si="585"/>
        <v>181 Arcadia Street</v>
      </c>
      <c r="R1729" s="3">
        <f>OrdersTable!C1729</f>
        <v>44684</v>
      </c>
      <c r="S1729" s="15">
        <f>OrdersTable!E1729</f>
        <v>3</v>
      </c>
      <c r="T1729" s="15">
        <f t="shared" si="586"/>
        <v>6.99</v>
      </c>
      <c r="U1729" s="15">
        <f t="shared" si="587"/>
        <v>9.84</v>
      </c>
      <c r="V1729" s="15">
        <f t="shared" si="588"/>
        <v>11.32</v>
      </c>
      <c r="W1729" s="15">
        <f>IF(MarkupType="Store Markup",ROUND(V1729+V1729*StoreMarkup,2),IF(MarkupType="Supplier Markup",V1729+V1729*SupplierMarkup,"Error at finding value"))</f>
        <v>17.829999999999998</v>
      </c>
      <c r="X1729" s="32" t="str">
        <f t="shared" si="590"/>
        <v>0.00</v>
      </c>
      <c r="Y1729" s="15">
        <f t="shared" si="591"/>
        <v>33.96</v>
      </c>
      <c r="Z1729" s="15">
        <f t="shared" si="592"/>
        <v>53.49</v>
      </c>
      <c r="AA1729" s="15">
        <f>IF(FreightType="Lethbridge-Stewart Freight ",ROUND(2.99+IF(N1729&gt;0.75,(N1729-0.75)*2.25,0)*S1729,2),IF(MarkupType="Supplier Markup",V1729+V1729*SupplierMarkup,"Error at finding value"))</f>
        <v>2.99</v>
      </c>
      <c r="AB1729" s="15">
        <f t="shared" si="593"/>
        <v>0</v>
      </c>
    </row>
    <row r="1730" spans="1:28" x14ac:dyDescent="0.25">
      <c r="A1730" s="16">
        <f>OrdersTable!A1730</f>
        <v>81</v>
      </c>
      <c r="B1730" s="15" t="str">
        <f t="shared" si="573"/>
        <v>Ms</v>
      </c>
      <c r="C1730" s="15" t="str">
        <f t="shared" si="594"/>
        <v>Madsen</v>
      </c>
      <c r="D1730" s="15" t="str">
        <f t="shared" si="574"/>
        <v>Kim Marie</v>
      </c>
      <c r="E1730" s="15" t="str">
        <f t="shared" si="575"/>
        <v>42 Singh Drive</v>
      </c>
      <c r="F1730" s="15" t="str">
        <f t="shared" si="576"/>
        <v>Caliph</v>
      </c>
      <c r="G1730" s="15" t="str">
        <f t="shared" si="577"/>
        <v>SA</v>
      </c>
      <c r="H1730" s="15">
        <f t="shared" si="578"/>
        <v>5310</v>
      </c>
      <c r="I1730" s="15">
        <f t="shared" si="589"/>
        <v>1720</v>
      </c>
      <c r="J1730" s="15">
        <f>OrdersTable!B1730</f>
        <v>745</v>
      </c>
      <c r="K1730" s="15" t="str">
        <f t="shared" si="579"/>
        <v>Props and Replicas</v>
      </c>
      <c r="L1730" s="15" t="str">
        <f t="shared" si="580"/>
        <v>Doctor Who: TARDIS Type 40 Plaque</v>
      </c>
      <c r="M1730" s="15" t="str">
        <f t="shared" si="581"/>
        <v>-</v>
      </c>
      <c r="N1730" s="15">
        <f t="shared" si="582"/>
        <v>1.75</v>
      </c>
      <c r="O1730" s="15" t="str">
        <f t="shared" si="583"/>
        <v>A30</v>
      </c>
      <c r="P1730" s="15" t="str">
        <f t="shared" si="584"/>
        <v>Chesterton Enterprises</v>
      </c>
      <c r="Q1730" s="15" t="str">
        <f t="shared" si="585"/>
        <v>41 William Russell Road</v>
      </c>
      <c r="R1730" s="3">
        <f>OrdersTable!C1730</f>
        <v>44684</v>
      </c>
      <c r="S1730" s="15">
        <f>OrdersTable!E1730</f>
        <v>6</v>
      </c>
      <c r="T1730" s="15">
        <f t="shared" si="586"/>
        <v>34.99</v>
      </c>
      <c r="U1730" s="15">
        <f t="shared" si="587"/>
        <v>47.86</v>
      </c>
      <c r="V1730" s="15">
        <f t="shared" si="588"/>
        <v>56.68</v>
      </c>
      <c r="W1730" s="15">
        <f>IF(MarkupType="Store Markup",ROUND(V1730+V1730*StoreMarkup,2),IF(MarkupType="Supplier Markup",V1730+V1730*SupplierMarkup,"Error at finding value"))</f>
        <v>89.27</v>
      </c>
      <c r="X1730" s="32" t="str">
        <f t="shared" si="590"/>
        <v>0.00</v>
      </c>
      <c r="Y1730" s="15">
        <f t="shared" si="591"/>
        <v>340.08</v>
      </c>
      <c r="Z1730" s="15">
        <f t="shared" si="592"/>
        <v>535.62</v>
      </c>
      <c r="AA1730" s="15">
        <f>IF(FreightType="Lethbridge-Stewart Freight ",ROUND(2.99+IF(N1730&gt;0.75,(N1730-0.75)*2.25,0)*S1730,2),IF(MarkupType="Supplier Markup",V1730+V1730*SupplierMarkup,"Error at finding value"))</f>
        <v>16.489999999999998</v>
      </c>
      <c r="AB1730" s="15">
        <f t="shared" si="593"/>
        <v>0</v>
      </c>
    </row>
    <row r="1731" spans="1:28" x14ac:dyDescent="0.25">
      <c r="A1731" s="16">
        <f>OrdersTable!A1731</f>
        <v>200</v>
      </c>
      <c r="B1731" s="15" t="str">
        <f t="shared" si="573"/>
        <v>Ms</v>
      </c>
      <c r="C1731" s="15" t="str">
        <f t="shared" si="594"/>
        <v>Barton</v>
      </c>
      <c r="D1731" s="15" t="str">
        <f t="shared" si="574"/>
        <v>Kimberley</v>
      </c>
      <c r="E1731" s="15" t="str">
        <f t="shared" si="575"/>
        <v>9 Decuyper Road</v>
      </c>
      <c r="F1731" s="15" t="str">
        <f t="shared" si="576"/>
        <v>Ashford</v>
      </c>
      <c r="G1731" s="15" t="str">
        <f t="shared" si="577"/>
        <v>SA</v>
      </c>
      <c r="H1731" s="15">
        <f t="shared" si="578"/>
        <v>5035</v>
      </c>
      <c r="I1731" s="15">
        <f t="shared" si="589"/>
        <v>1877</v>
      </c>
      <c r="J1731" s="15">
        <f>OrdersTable!B1731</f>
        <v>707</v>
      </c>
      <c r="K1731" s="15" t="str">
        <f t="shared" si="579"/>
        <v>Posters, Prints and Standees</v>
      </c>
      <c r="L1731" s="15" t="str">
        <f t="shared" si="580"/>
        <v>Doctor Who: Poster: Ironside Dalek Blueprint</v>
      </c>
      <c r="M1731" s="15" t="str">
        <f t="shared" si="581"/>
        <v>-</v>
      </c>
      <c r="N1731" s="15">
        <f t="shared" si="582"/>
        <v>0.2</v>
      </c>
      <c r="O1731" s="15" t="str">
        <f t="shared" si="583"/>
        <v>A20</v>
      </c>
      <c r="P1731" s="15" t="str">
        <f t="shared" si="584"/>
        <v>Morbius Inc.</v>
      </c>
      <c r="Q1731" s="15" t="str">
        <f t="shared" si="585"/>
        <v>56 Michael Spice Hwy</v>
      </c>
      <c r="R1731" s="3">
        <f>OrdersTable!C1731</f>
        <v>44684</v>
      </c>
      <c r="S1731" s="15">
        <f>OrdersTable!E1731</f>
        <v>4</v>
      </c>
      <c r="T1731" s="15">
        <f t="shared" si="586"/>
        <v>3.99</v>
      </c>
      <c r="U1731" s="15">
        <f t="shared" si="587"/>
        <v>5.48</v>
      </c>
      <c r="V1731" s="15">
        <f t="shared" si="588"/>
        <v>6.46</v>
      </c>
      <c r="W1731" s="15">
        <f>IF(MarkupType="Store Markup",ROUND(V1731+V1731*StoreMarkup,2),IF(MarkupType="Supplier Markup",V1731+V1731*SupplierMarkup,"Error at finding value"))</f>
        <v>10.17</v>
      </c>
      <c r="X1731" s="32" t="str">
        <f t="shared" si="590"/>
        <v>0.00</v>
      </c>
      <c r="Y1731" s="15">
        <f t="shared" si="591"/>
        <v>25.84</v>
      </c>
      <c r="Z1731" s="15">
        <f t="shared" si="592"/>
        <v>40.68</v>
      </c>
      <c r="AA1731" s="15">
        <f>IF(FreightType="Lethbridge-Stewart Freight ",ROUND(2.99+IF(N1731&gt;0.75,(N1731-0.75)*2.25,0)*S1731,2),IF(MarkupType="Supplier Markup",V1731+V1731*SupplierMarkup,"Error at finding value"))</f>
        <v>2.99</v>
      </c>
      <c r="AB1731" s="15">
        <f t="shared" si="593"/>
        <v>0</v>
      </c>
    </row>
    <row r="1732" spans="1:28" x14ac:dyDescent="0.25">
      <c r="A1732" s="16">
        <f>OrdersTable!A1732</f>
        <v>332</v>
      </c>
      <c r="B1732" s="15" t="str">
        <f t="shared" ref="B1732:B1795" si="595">VLOOKUP($A1732,Cust,2,0)</f>
        <v>Mr</v>
      </c>
      <c r="C1732" s="15" t="str">
        <f t="shared" si="594"/>
        <v>Selman</v>
      </c>
      <c r="D1732" s="15" t="str">
        <f t="shared" ref="D1732:D1795" si="596">VLOOKUP($A1732,Cust,4,0)</f>
        <v>Jack Ryan</v>
      </c>
      <c r="E1732" s="15" t="str">
        <f t="shared" ref="E1732:E1795" si="597">VLOOKUP($A1732,Cust,6,0)</f>
        <v>17 Van Essen Street</v>
      </c>
      <c r="F1732" s="15" t="str">
        <f t="shared" ref="F1732:F1795" si="598">VLOOKUP($A1732,Cust,7,0)</f>
        <v>Airly</v>
      </c>
      <c r="G1732" s="15" t="str">
        <f t="shared" ref="G1732:G1795" si="599">VLOOKUP($A1732,Cust,8,0)</f>
        <v>VIC</v>
      </c>
      <c r="H1732" s="15">
        <f t="shared" ref="H1732:H1795" si="600">VLOOKUP($A1732,Cust,9,0)</f>
        <v>3851</v>
      </c>
      <c r="I1732" s="15">
        <f t="shared" si="589"/>
        <v>1583</v>
      </c>
      <c r="J1732" s="15">
        <f>OrdersTable!B1732</f>
        <v>580</v>
      </c>
      <c r="K1732" s="15" t="str">
        <f t="shared" ref="K1732:K1795" si="601">VLOOKUP($J1732,Itms,2,0)</f>
        <v>Giftware</v>
      </c>
      <c r="L1732" s="15" t="str">
        <f t="shared" ref="L1732:L1795" si="602">VLOOKUP($J1732,Itms,3,0)</f>
        <v>Doctor Who: Wallpaper: Classic TARDIS Columns</v>
      </c>
      <c r="M1732" s="15" t="str">
        <f t="shared" ref="M1732:M1795" si="603">VLOOKUP($J1732,Itms,4,0)</f>
        <v>-</v>
      </c>
      <c r="N1732" s="15">
        <f t="shared" ref="N1732:N1795" si="604">VLOOKUP($J1732,Itms,5,0)</f>
        <v>0.65500000000000003</v>
      </c>
      <c r="O1732" s="15" t="str">
        <f t="shared" ref="O1732:O1795" si="605">VLOOKUP($J1732,Itms,6,0)</f>
        <v>A50</v>
      </c>
      <c r="P1732" s="15" t="str">
        <f t="shared" ref="P1732:P1795" si="606">VLOOKUP($O1732,Supp,2,0)</f>
        <v>Rassilon Ltd.</v>
      </c>
      <c r="Q1732" s="15" t="str">
        <f t="shared" ref="Q1732:Q1795" si="607">VLOOKUP($O1732,Supp,3,0)</f>
        <v>82 Richard Mathews Road</v>
      </c>
      <c r="R1732" s="3">
        <f>OrdersTable!C1732</f>
        <v>44684</v>
      </c>
      <c r="S1732" s="15">
        <f>OrdersTable!E1732</f>
        <v>1</v>
      </c>
      <c r="T1732" s="15">
        <f t="shared" ref="T1732:T1795" si="608">VLOOKUP($J1732,Itms,9,0)</f>
        <v>13.11</v>
      </c>
      <c r="U1732" s="15">
        <f t="shared" ref="U1732:U1795" si="609">VLOOKUP($J1732,Itms,10,0)</f>
        <v>18.18</v>
      </c>
      <c r="V1732" s="15">
        <f t="shared" ref="V1732:V1795" si="610">IF(ExchRateType="IR",ROUND(T1732*ExchRateIR,2),IF(ExchRateType="CA",ROUND(U1732*ExchRateCA,2),"Error at finding value"))</f>
        <v>21.24</v>
      </c>
      <c r="W1732" s="15">
        <f>IF(MarkupType="Store Markup",ROUND(V1732+V1732*StoreMarkup,2),IF(MarkupType="Supplier Markup",V1732+V1732*SupplierMarkup,"Error at finding value"))</f>
        <v>33.450000000000003</v>
      </c>
      <c r="X1732" s="32" t="str">
        <f t="shared" si="590"/>
        <v>0.00</v>
      </c>
      <c r="Y1732" s="15">
        <f t="shared" si="591"/>
        <v>21.24</v>
      </c>
      <c r="Z1732" s="15">
        <f t="shared" si="592"/>
        <v>33.450000000000003</v>
      </c>
      <c r="AA1732" s="15">
        <f>IF(FreightType="Lethbridge-Stewart Freight ",ROUND(2.99+IF(N1732&gt;0.75,(N1732-0.75)*2.25,0)*S1732,2),IF(MarkupType="Supplier Markup",V1732+V1732*SupplierMarkup,"Error at finding value"))</f>
        <v>2.99</v>
      </c>
      <c r="AB1732" s="15">
        <f t="shared" si="593"/>
        <v>0</v>
      </c>
    </row>
    <row r="1733" spans="1:28" x14ac:dyDescent="0.25">
      <c r="A1733" s="16">
        <f>OrdersTable!A1733</f>
        <v>334</v>
      </c>
      <c r="B1733" s="15" t="str">
        <f t="shared" si="595"/>
        <v>Mrs</v>
      </c>
      <c r="C1733" s="15" t="str">
        <f t="shared" si="594"/>
        <v>Wilson</v>
      </c>
      <c r="D1733" s="15" t="str">
        <f t="shared" si="596"/>
        <v>Hayley Lauren</v>
      </c>
      <c r="E1733" s="15" t="str">
        <f t="shared" si="597"/>
        <v>3 Ashley Crescent</v>
      </c>
      <c r="F1733" s="15" t="str">
        <f t="shared" si="598"/>
        <v>Black Hills</v>
      </c>
      <c r="G1733" s="15" t="str">
        <f t="shared" si="599"/>
        <v>TAS</v>
      </c>
      <c r="H1733" s="15">
        <f t="shared" si="600"/>
        <v>7140</v>
      </c>
      <c r="I1733" s="15">
        <f t="shared" ref="I1733:I1796" si="611">VLOOKUP($A1733,Cust,10,0)</f>
        <v>2191</v>
      </c>
      <c r="J1733" s="15">
        <f>OrdersTable!B1733</f>
        <v>395</v>
      </c>
      <c r="K1733" s="15" t="str">
        <f t="shared" si="601"/>
        <v>Clothing and Apparel</v>
      </c>
      <c r="L1733" s="15" t="str">
        <f t="shared" si="602"/>
        <v xml:space="preserve">Doctor Who: T-Shirts: 7th Doctor Costume </v>
      </c>
      <c r="M1733" s="15" t="str">
        <f t="shared" si="603"/>
        <v>L</v>
      </c>
      <c r="N1733" s="15">
        <f t="shared" si="604"/>
        <v>0.8</v>
      </c>
      <c r="O1733" s="15" t="str">
        <f t="shared" si="605"/>
        <v>A10</v>
      </c>
      <c r="P1733" s="15" t="str">
        <f t="shared" si="606"/>
        <v>Gallifrey International</v>
      </c>
      <c r="Q1733" s="15" t="str">
        <f t="shared" si="607"/>
        <v>181 Arcadia Street</v>
      </c>
      <c r="R1733" s="3">
        <f>OrdersTable!C1733</f>
        <v>44684</v>
      </c>
      <c r="S1733" s="15">
        <f>OrdersTable!E1733</f>
        <v>8</v>
      </c>
      <c r="T1733" s="15">
        <f t="shared" si="608"/>
        <v>15.99</v>
      </c>
      <c r="U1733" s="15">
        <f t="shared" si="609"/>
        <v>22.07</v>
      </c>
      <c r="V1733" s="15">
        <f t="shared" si="610"/>
        <v>25.9</v>
      </c>
      <c r="W1733" s="15">
        <f>IF(MarkupType="Store Markup",ROUND(V1733+V1733*StoreMarkup,2),IF(MarkupType="Supplier Markup",V1733+V1733*SupplierMarkup,"Error at finding value"))</f>
        <v>40.79</v>
      </c>
      <c r="X1733" s="32" t="str">
        <f t="shared" ref="X1733:X1796" si="612">IF(AND(W1733&gt;100,S1733&gt;=3),ROUND(0.07125*W1733,2),"0.00")</f>
        <v>0.00</v>
      </c>
      <c r="Y1733" s="15">
        <f t="shared" ref="Y1733:Y1796" si="613">ROUND(V1733*S1733,2)</f>
        <v>207.2</v>
      </c>
      <c r="Z1733" s="15">
        <f t="shared" ref="Z1733:Z1796" si="614">ROUND((W1733-X1733)*S1733,2)</f>
        <v>326.32</v>
      </c>
      <c r="AA1733" s="15">
        <f>IF(FreightType="Lethbridge-Stewart Freight ",ROUND(2.99+IF(N1733&gt;0.75,(N1733-0.75)*2.25,0)*S1733,2),IF(MarkupType="Supplier Markup",V1733+V1733*SupplierMarkup,"Error at finding value"))</f>
        <v>3.89</v>
      </c>
      <c r="AB1733" s="15">
        <f t="shared" ref="AB1733:AB1796" si="615">ROUND(X1733*S1733,2)</f>
        <v>0</v>
      </c>
    </row>
    <row r="1734" spans="1:28" x14ac:dyDescent="0.25">
      <c r="A1734" s="16">
        <f>OrdersTable!A1734</f>
        <v>370</v>
      </c>
      <c r="B1734" s="15" t="str">
        <f t="shared" si="595"/>
        <v>Mr</v>
      </c>
      <c r="C1734" s="15" t="str">
        <f t="shared" si="594"/>
        <v>Kennedy</v>
      </c>
      <c r="D1734" s="15" t="str">
        <f t="shared" si="596"/>
        <v>Joseph Dominic</v>
      </c>
      <c r="E1734" s="15" t="str">
        <f t="shared" si="597"/>
        <v>43 Barton Road</v>
      </c>
      <c r="F1734" s="15" t="str">
        <f t="shared" si="598"/>
        <v>Boston</v>
      </c>
      <c r="G1734" s="15" t="str">
        <f t="shared" si="599"/>
        <v>SA</v>
      </c>
      <c r="H1734" s="15">
        <f t="shared" si="600"/>
        <v>5607</v>
      </c>
      <c r="I1734" s="15">
        <f t="shared" si="611"/>
        <v>2076</v>
      </c>
      <c r="J1734" s="15">
        <f>OrdersTable!B1734</f>
        <v>177</v>
      </c>
      <c r="K1734" s="15" t="str">
        <f t="shared" si="601"/>
        <v>Bobbleheads</v>
      </c>
      <c r="L1734" s="15" t="str">
        <f t="shared" si="602"/>
        <v>Doctor Who: Bobblehead: TARDIS (With Sound)</v>
      </c>
      <c r="M1734" s="15" t="str">
        <f t="shared" si="603"/>
        <v>-</v>
      </c>
      <c r="N1734" s="15">
        <f t="shared" si="604"/>
        <v>1</v>
      </c>
      <c r="O1734" s="15" t="str">
        <f t="shared" si="605"/>
        <v>A30</v>
      </c>
      <c r="P1734" s="15" t="str">
        <f t="shared" si="606"/>
        <v>Chesterton Enterprises</v>
      </c>
      <c r="Q1734" s="15" t="str">
        <f t="shared" si="607"/>
        <v>41 William Russell Road</v>
      </c>
      <c r="R1734" s="3">
        <f>OrdersTable!C1734</f>
        <v>44684</v>
      </c>
      <c r="S1734" s="15">
        <f>OrdersTable!E1734</f>
        <v>7</v>
      </c>
      <c r="T1734" s="15">
        <f t="shared" si="608"/>
        <v>19.989999999999998</v>
      </c>
      <c r="U1734" s="15">
        <f t="shared" si="609"/>
        <v>27.6</v>
      </c>
      <c r="V1734" s="15">
        <f t="shared" si="610"/>
        <v>32.380000000000003</v>
      </c>
      <c r="W1734" s="15">
        <f>IF(MarkupType="Store Markup",ROUND(V1734+V1734*StoreMarkup,2),IF(MarkupType="Supplier Markup",V1734+V1734*SupplierMarkup,"Error at finding value"))</f>
        <v>51</v>
      </c>
      <c r="X1734" s="32" t="str">
        <f t="shared" si="612"/>
        <v>0.00</v>
      </c>
      <c r="Y1734" s="15">
        <f t="shared" si="613"/>
        <v>226.66</v>
      </c>
      <c r="Z1734" s="15">
        <f t="shared" si="614"/>
        <v>357</v>
      </c>
      <c r="AA1734" s="15">
        <f>IF(FreightType="Lethbridge-Stewart Freight ",ROUND(2.99+IF(N1734&gt;0.75,(N1734-0.75)*2.25,0)*S1734,2),IF(MarkupType="Supplier Markup",V1734+V1734*SupplierMarkup,"Error at finding value"))</f>
        <v>6.93</v>
      </c>
      <c r="AB1734" s="15">
        <f t="shared" si="615"/>
        <v>0</v>
      </c>
    </row>
    <row r="1735" spans="1:28" x14ac:dyDescent="0.25">
      <c r="A1735" s="16">
        <f>OrdersTable!A1735</f>
        <v>468</v>
      </c>
      <c r="B1735" s="15" t="str">
        <f t="shared" si="595"/>
        <v>Mrs</v>
      </c>
      <c r="C1735" s="15" t="str">
        <f t="shared" si="594"/>
        <v>Van Essen</v>
      </c>
      <c r="D1735" s="15" t="str">
        <f t="shared" si="596"/>
        <v>Bianca Jane</v>
      </c>
      <c r="E1735" s="15" t="str">
        <f t="shared" si="597"/>
        <v>47 Ward Circuit</v>
      </c>
      <c r="F1735" s="15" t="str">
        <f t="shared" si="598"/>
        <v>Batlow</v>
      </c>
      <c r="G1735" s="15" t="str">
        <f t="shared" si="599"/>
        <v>NSW</v>
      </c>
      <c r="H1735" s="15">
        <f t="shared" si="600"/>
        <v>2730</v>
      </c>
      <c r="I1735" s="15">
        <f t="shared" si="611"/>
        <v>1138</v>
      </c>
      <c r="J1735" s="15">
        <f>OrdersTable!B1735</f>
        <v>541</v>
      </c>
      <c r="K1735" s="15" t="str">
        <f t="shared" si="601"/>
        <v>Giftware</v>
      </c>
      <c r="L1735" s="15" t="str">
        <f t="shared" si="602"/>
        <v>Doctor Who: Salt and Pepper Shakers: TARDIS</v>
      </c>
      <c r="M1735" s="15" t="str">
        <f t="shared" si="603"/>
        <v>-</v>
      </c>
      <c r="N1735" s="15">
        <f t="shared" si="604"/>
        <v>0.6</v>
      </c>
      <c r="O1735" s="15" t="str">
        <f t="shared" si="605"/>
        <v>A10</v>
      </c>
      <c r="P1735" s="15" t="str">
        <f t="shared" si="606"/>
        <v>Gallifrey International</v>
      </c>
      <c r="Q1735" s="15" t="str">
        <f t="shared" si="607"/>
        <v>181 Arcadia Street</v>
      </c>
      <c r="R1735" s="3">
        <f>OrdersTable!C1735</f>
        <v>44684</v>
      </c>
      <c r="S1735" s="15">
        <f>OrdersTable!E1735</f>
        <v>6</v>
      </c>
      <c r="T1735" s="15">
        <f t="shared" si="608"/>
        <v>11.99</v>
      </c>
      <c r="U1735" s="15">
        <f t="shared" si="609"/>
        <v>16.62</v>
      </c>
      <c r="V1735" s="15">
        <f t="shared" si="610"/>
        <v>19.420000000000002</v>
      </c>
      <c r="W1735" s="15">
        <f>IF(MarkupType="Store Markup",ROUND(V1735+V1735*StoreMarkup,2),IF(MarkupType="Supplier Markup",V1735+V1735*SupplierMarkup,"Error at finding value"))</f>
        <v>30.59</v>
      </c>
      <c r="X1735" s="32" t="str">
        <f t="shared" si="612"/>
        <v>0.00</v>
      </c>
      <c r="Y1735" s="15">
        <f t="shared" si="613"/>
        <v>116.52</v>
      </c>
      <c r="Z1735" s="15">
        <f t="shared" si="614"/>
        <v>183.54</v>
      </c>
      <c r="AA1735" s="15">
        <f>IF(FreightType="Lethbridge-Stewart Freight ",ROUND(2.99+IF(N1735&gt;0.75,(N1735-0.75)*2.25,0)*S1735,2),IF(MarkupType="Supplier Markup",V1735+V1735*SupplierMarkup,"Error at finding value"))</f>
        <v>2.99</v>
      </c>
      <c r="AB1735" s="15">
        <f t="shared" si="615"/>
        <v>0</v>
      </c>
    </row>
    <row r="1736" spans="1:28" x14ac:dyDescent="0.25">
      <c r="A1736" s="16">
        <f>OrdersTable!A1736</f>
        <v>500</v>
      </c>
      <c r="B1736" s="15" t="str">
        <f t="shared" si="595"/>
        <v>Ms</v>
      </c>
      <c r="C1736" s="15" t="str">
        <f t="shared" si="594"/>
        <v>Helmers</v>
      </c>
      <c r="D1736" s="15" t="str">
        <f t="shared" si="596"/>
        <v>Kristy-Lee</v>
      </c>
      <c r="E1736" s="15" t="str">
        <f t="shared" si="597"/>
        <v>43 Welthagen Court</v>
      </c>
      <c r="F1736" s="15" t="str">
        <f t="shared" si="598"/>
        <v>Areegra</v>
      </c>
      <c r="G1736" s="15" t="str">
        <f t="shared" si="599"/>
        <v>VIC</v>
      </c>
      <c r="H1736" s="15">
        <f t="shared" si="600"/>
        <v>3480</v>
      </c>
      <c r="I1736" s="15">
        <f t="shared" si="611"/>
        <v>1559</v>
      </c>
      <c r="J1736" s="15">
        <f>OrdersTable!B1736</f>
        <v>787</v>
      </c>
      <c r="K1736" s="15" t="str">
        <f t="shared" si="601"/>
        <v>Statues and Busts</v>
      </c>
      <c r="L1736" s="15" t="str">
        <f t="shared" si="602"/>
        <v>Doctor Who: Masterpiece Collection Maxi Bust: 1st Doctor</v>
      </c>
      <c r="M1736" s="15" t="str">
        <f t="shared" si="603"/>
        <v>-</v>
      </c>
      <c r="N1736" s="15">
        <f t="shared" si="604"/>
        <v>2.5</v>
      </c>
      <c r="O1736" s="15" t="str">
        <f t="shared" si="605"/>
        <v>A10</v>
      </c>
      <c r="P1736" s="15" t="str">
        <f t="shared" si="606"/>
        <v>Gallifrey International</v>
      </c>
      <c r="Q1736" s="15" t="str">
        <f t="shared" si="607"/>
        <v>181 Arcadia Street</v>
      </c>
      <c r="R1736" s="3">
        <f>OrdersTable!C1736</f>
        <v>44684</v>
      </c>
      <c r="S1736" s="15">
        <f>OrdersTable!E1736</f>
        <v>2</v>
      </c>
      <c r="T1736" s="15">
        <f t="shared" si="608"/>
        <v>49.99</v>
      </c>
      <c r="U1736" s="15">
        <f t="shared" si="609"/>
        <v>68.290000000000006</v>
      </c>
      <c r="V1736" s="15">
        <f t="shared" si="610"/>
        <v>80.98</v>
      </c>
      <c r="W1736" s="15">
        <f>IF(MarkupType="Store Markup",ROUND(V1736+V1736*StoreMarkup,2),IF(MarkupType="Supplier Markup",V1736+V1736*SupplierMarkup,"Error at finding value"))</f>
        <v>127.54</v>
      </c>
      <c r="X1736" s="32" t="str">
        <f t="shared" si="612"/>
        <v>0.00</v>
      </c>
      <c r="Y1736" s="15">
        <f t="shared" si="613"/>
        <v>161.96</v>
      </c>
      <c r="Z1736" s="15">
        <f t="shared" si="614"/>
        <v>255.08</v>
      </c>
      <c r="AA1736" s="15">
        <f>IF(FreightType="Lethbridge-Stewart Freight ",ROUND(2.99+IF(N1736&gt;0.75,(N1736-0.75)*2.25,0)*S1736,2),IF(MarkupType="Supplier Markup",V1736+V1736*SupplierMarkup,"Error at finding value"))</f>
        <v>10.87</v>
      </c>
      <c r="AB1736" s="15">
        <f t="shared" si="615"/>
        <v>0</v>
      </c>
    </row>
    <row r="1737" spans="1:28" x14ac:dyDescent="0.25">
      <c r="A1737" s="16">
        <f>OrdersTable!A1737</f>
        <v>669</v>
      </c>
      <c r="B1737" s="15" t="str">
        <f t="shared" si="595"/>
        <v>Dr</v>
      </c>
      <c r="C1737" s="15" t="str">
        <f t="shared" si="594"/>
        <v>Ferjani</v>
      </c>
      <c r="D1737" s="15" t="str">
        <f t="shared" si="596"/>
        <v>Rabah</v>
      </c>
      <c r="E1737" s="15" t="str">
        <f t="shared" si="597"/>
        <v>2 Codrington Street</v>
      </c>
      <c r="F1737" s="15" t="str">
        <f t="shared" si="598"/>
        <v>Belford</v>
      </c>
      <c r="G1737" s="15" t="str">
        <f t="shared" si="599"/>
        <v>NSW</v>
      </c>
      <c r="H1737" s="15">
        <f t="shared" si="600"/>
        <v>2335</v>
      </c>
      <c r="I1737" s="15">
        <f t="shared" si="611"/>
        <v>716</v>
      </c>
      <c r="J1737" s="15">
        <f>OrdersTable!B1737</f>
        <v>758</v>
      </c>
      <c r="K1737" s="15" t="str">
        <f t="shared" si="601"/>
        <v>Statues and Busts</v>
      </c>
      <c r="L1737" s="15" t="str">
        <f t="shared" si="602"/>
        <v>Doctor Who: Helmet: Sontaran Officer Linx</v>
      </c>
      <c r="M1737" s="15" t="str">
        <f t="shared" si="603"/>
        <v>-</v>
      </c>
      <c r="N1737" s="15">
        <f t="shared" si="604"/>
        <v>1.75</v>
      </c>
      <c r="O1737" s="15" t="str">
        <f t="shared" si="605"/>
        <v>A50</v>
      </c>
      <c r="P1737" s="15" t="str">
        <f t="shared" si="606"/>
        <v>Rassilon Ltd.</v>
      </c>
      <c r="Q1737" s="15" t="str">
        <f t="shared" si="607"/>
        <v>82 Richard Mathews Road</v>
      </c>
      <c r="R1737" s="3">
        <f>OrdersTable!C1737</f>
        <v>44684</v>
      </c>
      <c r="S1737" s="15">
        <f>OrdersTable!E1737</f>
        <v>4</v>
      </c>
      <c r="T1737" s="15">
        <f t="shared" si="608"/>
        <v>34.99</v>
      </c>
      <c r="U1737" s="15">
        <f t="shared" si="609"/>
        <v>47.79</v>
      </c>
      <c r="V1737" s="15">
        <f t="shared" si="610"/>
        <v>56.68</v>
      </c>
      <c r="W1737" s="15">
        <f>IF(MarkupType="Store Markup",ROUND(V1737+V1737*StoreMarkup,2),IF(MarkupType="Supplier Markup",V1737+V1737*SupplierMarkup,"Error at finding value"))</f>
        <v>89.27</v>
      </c>
      <c r="X1737" s="32" t="str">
        <f t="shared" si="612"/>
        <v>0.00</v>
      </c>
      <c r="Y1737" s="15">
        <f t="shared" si="613"/>
        <v>226.72</v>
      </c>
      <c r="Z1737" s="15">
        <f t="shared" si="614"/>
        <v>357.08</v>
      </c>
      <c r="AA1737" s="15">
        <f>IF(FreightType="Lethbridge-Stewart Freight ",ROUND(2.99+IF(N1737&gt;0.75,(N1737-0.75)*2.25,0)*S1737,2),IF(MarkupType="Supplier Markup",V1737+V1737*SupplierMarkup,"Error at finding value"))</f>
        <v>11.99</v>
      </c>
      <c r="AB1737" s="15">
        <f t="shared" si="615"/>
        <v>0</v>
      </c>
    </row>
    <row r="1738" spans="1:28" x14ac:dyDescent="0.25">
      <c r="A1738" s="16">
        <f>OrdersTable!A1738</f>
        <v>747</v>
      </c>
      <c r="B1738" s="15" t="str">
        <f t="shared" si="595"/>
        <v>Miss</v>
      </c>
      <c r="C1738" s="15" t="str">
        <f t="shared" si="594"/>
        <v>Coom</v>
      </c>
      <c r="D1738" s="15" t="str">
        <f t="shared" si="596"/>
        <v>Mackenzie Megan</v>
      </c>
      <c r="E1738" s="15" t="str">
        <f t="shared" si="597"/>
        <v>2 Tsalikis Road</v>
      </c>
      <c r="F1738" s="15" t="str">
        <f t="shared" si="598"/>
        <v>Aberfoyle</v>
      </c>
      <c r="G1738" s="15" t="str">
        <f t="shared" si="599"/>
        <v>NSW</v>
      </c>
      <c r="H1738" s="15">
        <f t="shared" si="600"/>
        <v>2350</v>
      </c>
      <c r="I1738" s="15">
        <f t="shared" si="611"/>
        <v>363</v>
      </c>
      <c r="J1738" s="15">
        <f>OrdersTable!B1738</f>
        <v>725</v>
      </c>
      <c r="K1738" s="15" t="str">
        <f t="shared" si="601"/>
        <v>Props and Replicas</v>
      </c>
      <c r="L1738" s="15" t="str">
        <f t="shared" si="602"/>
        <v>Doctor Who: Captain Jack Sonic Blaster</v>
      </c>
      <c r="M1738" s="15" t="str">
        <f t="shared" si="603"/>
        <v>-</v>
      </c>
      <c r="N1738" s="15">
        <f t="shared" si="604"/>
        <v>14.8</v>
      </c>
      <c r="O1738" s="15" t="str">
        <f t="shared" si="605"/>
        <v>A30</v>
      </c>
      <c r="P1738" s="15" t="str">
        <f t="shared" si="606"/>
        <v>Chesterton Enterprises</v>
      </c>
      <c r="Q1738" s="15" t="str">
        <f t="shared" si="607"/>
        <v>41 William Russell Road</v>
      </c>
      <c r="R1738" s="3">
        <f>OrdersTable!C1738</f>
        <v>44684</v>
      </c>
      <c r="S1738" s="15">
        <f>OrdersTable!E1738</f>
        <v>1</v>
      </c>
      <c r="T1738" s="15">
        <f t="shared" si="608"/>
        <v>295.99</v>
      </c>
      <c r="U1738" s="15">
        <f t="shared" si="609"/>
        <v>403.88</v>
      </c>
      <c r="V1738" s="15">
        <f t="shared" si="610"/>
        <v>479.5</v>
      </c>
      <c r="W1738" s="15">
        <f>IF(MarkupType="Store Markup",ROUND(V1738+V1738*StoreMarkup,2),IF(MarkupType="Supplier Markup",V1738+V1738*SupplierMarkup,"Error at finding value"))</f>
        <v>755.21</v>
      </c>
      <c r="X1738" s="32" t="str">
        <f t="shared" si="612"/>
        <v>0.00</v>
      </c>
      <c r="Y1738" s="15">
        <f t="shared" si="613"/>
        <v>479.5</v>
      </c>
      <c r="Z1738" s="15">
        <f t="shared" si="614"/>
        <v>755.21</v>
      </c>
      <c r="AA1738" s="15">
        <f>IF(FreightType="Lethbridge-Stewart Freight ",ROUND(2.99+IF(N1738&gt;0.75,(N1738-0.75)*2.25,0)*S1738,2),IF(MarkupType="Supplier Markup",V1738+V1738*SupplierMarkup,"Error at finding value"))</f>
        <v>34.6</v>
      </c>
      <c r="AB1738" s="15">
        <f t="shared" si="615"/>
        <v>0</v>
      </c>
    </row>
    <row r="1739" spans="1:28" x14ac:dyDescent="0.25">
      <c r="A1739" s="16">
        <f>OrdersTable!A1739</f>
        <v>758</v>
      </c>
      <c r="B1739" s="15" t="str">
        <f t="shared" si="595"/>
        <v>Mr</v>
      </c>
      <c r="C1739" s="15" t="str">
        <f t="shared" ref="C1739:C1802" si="616">VLOOKUP($A1739,Cust,3,0)</f>
        <v>Whitehorn</v>
      </c>
      <c r="D1739" s="15" t="str">
        <f t="shared" si="596"/>
        <v>James</v>
      </c>
      <c r="E1739" s="15" t="str">
        <f t="shared" si="597"/>
        <v>32 Raubenheimer Circuit</v>
      </c>
      <c r="F1739" s="15" t="str">
        <f t="shared" si="598"/>
        <v>Belconnen</v>
      </c>
      <c r="G1739" s="15" t="str">
        <f t="shared" si="599"/>
        <v>ACT</v>
      </c>
      <c r="H1739" s="15">
        <f t="shared" si="600"/>
        <v>2617</v>
      </c>
      <c r="I1739" s="15">
        <f t="shared" si="611"/>
        <v>1194</v>
      </c>
      <c r="J1739" s="15">
        <f>OrdersTable!B1739</f>
        <v>694</v>
      </c>
      <c r="K1739" s="15" t="str">
        <f t="shared" si="601"/>
        <v>Posters, Prints and Standees</v>
      </c>
      <c r="L1739" s="15" t="str">
        <f t="shared" si="602"/>
        <v>Doctor Who: 16'x12' Framed Print: Hide</v>
      </c>
      <c r="M1739" s="15" t="str">
        <f t="shared" si="603"/>
        <v>-</v>
      </c>
      <c r="N1739" s="15">
        <f t="shared" si="604"/>
        <v>0.75</v>
      </c>
      <c r="O1739" s="15" t="str">
        <f t="shared" si="605"/>
        <v>A40</v>
      </c>
      <c r="P1739" s="15" t="str">
        <f t="shared" si="606"/>
        <v>Romana Imports</v>
      </c>
      <c r="Q1739" s="15" t="str">
        <f t="shared" si="607"/>
        <v>17 Lalla Ward Road</v>
      </c>
      <c r="R1739" s="3">
        <f>OrdersTable!C1739</f>
        <v>44684</v>
      </c>
      <c r="S1739" s="15">
        <f>OrdersTable!E1739</f>
        <v>6</v>
      </c>
      <c r="T1739" s="15">
        <f t="shared" si="608"/>
        <v>14.99</v>
      </c>
      <c r="U1739" s="15">
        <f t="shared" si="609"/>
        <v>20.49</v>
      </c>
      <c r="V1739" s="15">
        <f t="shared" si="610"/>
        <v>24.28</v>
      </c>
      <c r="W1739" s="15">
        <f>IF(MarkupType="Store Markup",ROUND(V1739+V1739*StoreMarkup,2),IF(MarkupType="Supplier Markup",V1739+V1739*SupplierMarkup,"Error at finding value"))</f>
        <v>38.24</v>
      </c>
      <c r="X1739" s="32" t="str">
        <f t="shared" si="612"/>
        <v>0.00</v>
      </c>
      <c r="Y1739" s="15">
        <f t="shared" si="613"/>
        <v>145.68</v>
      </c>
      <c r="Z1739" s="15">
        <f t="shared" si="614"/>
        <v>229.44</v>
      </c>
      <c r="AA1739" s="15">
        <f>IF(FreightType="Lethbridge-Stewart Freight ",ROUND(2.99+IF(N1739&gt;0.75,(N1739-0.75)*2.25,0)*S1739,2),IF(MarkupType="Supplier Markup",V1739+V1739*SupplierMarkup,"Error at finding value"))</f>
        <v>2.99</v>
      </c>
      <c r="AB1739" s="15">
        <f t="shared" si="615"/>
        <v>0</v>
      </c>
    </row>
    <row r="1740" spans="1:28" x14ac:dyDescent="0.25">
      <c r="A1740" s="16">
        <f>OrdersTable!A1740</f>
        <v>46</v>
      </c>
      <c r="B1740" s="15" t="str">
        <f t="shared" si="595"/>
        <v>Mrs</v>
      </c>
      <c r="C1740" s="15" t="str">
        <f t="shared" si="616"/>
        <v>Dovey</v>
      </c>
      <c r="D1740" s="15" t="str">
        <f t="shared" si="596"/>
        <v>Aisha Jade</v>
      </c>
      <c r="E1740" s="15" t="str">
        <f t="shared" si="597"/>
        <v>43 Wilkes Circuit</v>
      </c>
      <c r="F1740" s="15" t="str">
        <f t="shared" si="598"/>
        <v>Alfredtown</v>
      </c>
      <c r="G1740" s="15" t="str">
        <f t="shared" si="599"/>
        <v>NSW</v>
      </c>
      <c r="H1740" s="15">
        <f t="shared" si="600"/>
        <v>2650</v>
      </c>
      <c r="I1740" s="15">
        <f t="shared" si="611"/>
        <v>1124</v>
      </c>
      <c r="J1740" s="15">
        <f>OrdersTable!B1740</f>
        <v>725</v>
      </c>
      <c r="K1740" s="15" t="str">
        <f t="shared" si="601"/>
        <v>Props and Replicas</v>
      </c>
      <c r="L1740" s="15" t="str">
        <f t="shared" si="602"/>
        <v>Doctor Who: Captain Jack Sonic Blaster</v>
      </c>
      <c r="M1740" s="15" t="str">
        <f t="shared" si="603"/>
        <v>-</v>
      </c>
      <c r="N1740" s="15">
        <f t="shared" si="604"/>
        <v>14.8</v>
      </c>
      <c r="O1740" s="15" t="str">
        <f t="shared" si="605"/>
        <v>A30</v>
      </c>
      <c r="P1740" s="15" t="str">
        <f t="shared" si="606"/>
        <v>Chesterton Enterprises</v>
      </c>
      <c r="Q1740" s="15" t="str">
        <f t="shared" si="607"/>
        <v>41 William Russell Road</v>
      </c>
      <c r="R1740" s="3">
        <f>OrdersTable!C1740</f>
        <v>44685</v>
      </c>
      <c r="S1740" s="15">
        <f>OrdersTable!E1740</f>
        <v>10</v>
      </c>
      <c r="T1740" s="15">
        <f t="shared" si="608"/>
        <v>295.99</v>
      </c>
      <c r="U1740" s="15">
        <f t="shared" si="609"/>
        <v>403.88</v>
      </c>
      <c r="V1740" s="15">
        <f t="shared" si="610"/>
        <v>479.5</v>
      </c>
      <c r="W1740" s="15">
        <f>IF(MarkupType="Store Markup",ROUND(V1740+V1740*StoreMarkup,2),IF(MarkupType="Supplier Markup",V1740+V1740*SupplierMarkup,"Error at finding value"))</f>
        <v>755.21</v>
      </c>
      <c r="X1740" s="32">
        <f t="shared" si="612"/>
        <v>53.81</v>
      </c>
      <c r="Y1740" s="15">
        <f t="shared" si="613"/>
        <v>4795</v>
      </c>
      <c r="Z1740" s="15">
        <f t="shared" si="614"/>
        <v>7014</v>
      </c>
      <c r="AA1740" s="15">
        <f>IF(FreightType="Lethbridge-Stewart Freight ",ROUND(2.99+IF(N1740&gt;0.75,(N1740-0.75)*2.25,0)*S1740,2),IF(MarkupType="Supplier Markup",V1740+V1740*SupplierMarkup,"Error at finding value"))</f>
        <v>319.12</v>
      </c>
      <c r="AB1740" s="15">
        <f t="shared" si="615"/>
        <v>538.1</v>
      </c>
    </row>
    <row r="1741" spans="1:28" x14ac:dyDescent="0.25">
      <c r="A1741" s="16">
        <f>OrdersTable!A1741</f>
        <v>180</v>
      </c>
      <c r="B1741" s="15" t="str">
        <f t="shared" si="595"/>
        <v>Mrs</v>
      </c>
      <c r="C1741" s="15" t="str">
        <f t="shared" si="616"/>
        <v>Feeney</v>
      </c>
      <c r="D1741" s="15" t="str">
        <f t="shared" si="596"/>
        <v>Jennifer Ruth</v>
      </c>
      <c r="E1741" s="15" t="str">
        <f t="shared" si="597"/>
        <v>18 Cook Avenue</v>
      </c>
      <c r="F1741" s="15" t="str">
        <f t="shared" si="598"/>
        <v>Nayook</v>
      </c>
      <c r="G1741" s="15" t="str">
        <f t="shared" si="599"/>
        <v>VIC</v>
      </c>
      <c r="H1741" s="15">
        <f t="shared" si="600"/>
        <v>3832</v>
      </c>
      <c r="I1741" s="15">
        <f t="shared" si="611"/>
        <v>1552</v>
      </c>
      <c r="J1741" s="15">
        <f>OrdersTable!B1741</f>
        <v>530</v>
      </c>
      <c r="K1741" s="15" t="str">
        <f t="shared" si="601"/>
        <v>Giftware</v>
      </c>
      <c r="L1741" s="15" t="str">
        <f t="shared" si="602"/>
        <v>Doctor Who: Keyring TARDIS</v>
      </c>
      <c r="M1741" s="15" t="str">
        <f t="shared" si="603"/>
        <v>-</v>
      </c>
      <c r="N1741" s="15">
        <f t="shared" si="604"/>
        <v>0.25</v>
      </c>
      <c r="O1741" s="15" t="str">
        <f t="shared" si="605"/>
        <v>A20</v>
      </c>
      <c r="P1741" s="15" t="str">
        <f t="shared" si="606"/>
        <v>Morbius Inc.</v>
      </c>
      <c r="Q1741" s="15" t="str">
        <f t="shared" si="607"/>
        <v>56 Michael Spice Hwy</v>
      </c>
      <c r="R1741" s="3">
        <f>OrdersTable!C1741</f>
        <v>44685</v>
      </c>
      <c r="S1741" s="15">
        <f>OrdersTable!E1741</f>
        <v>1</v>
      </c>
      <c r="T1741" s="15">
        <f t="shared" si="608"/>
        <v>4.99</v>
      </c>
      <c r="U1741" s="15">
        <f t="shared" si="609"/>
        <v>7.1</v>
      </c>
      <c r="V1741" s="15">
        <f t="shared" si="610"/>
        <v>8.08</v>
      </c>
      <c r="W1741" s="15">
        <f>IF(MarkupType="Store Markup",ROUND(V1741+V1741*StoreMarkup,2),IF(MarkupType="Supplier Markup",V1741+V1741*SupplierMarkup,"Error at finding value"))</f>
        <v>12.73</v>
      </c>
      <c r="X1741" s="32" t="str">
        <f t="shared" si="612"/>
        <v>0.00</v>
      </c>
      <c r="Y1741" s="15">
        <f t="shared" si="613"/>
        <v>8.08</v>
      </c>
      <c r="Z1741" s="15">
        <f t="shared" si="614"/>
        <v>12.73</v>
      </c>
      <c r="AA1741" s="15">
        <f>IF(FreightType="Lethbridge-Stewart Freight ",ROUND(2.99+IF(N1741&gt;0.75,(N1741-0.75)*2.25,0)*S1741,2),IF(MarkupType="Supplier Markup",V1741+V1741*SupplierMarkup,"Error at finding value"))</f>
        <v>2.99</v>
      </c>
      <c r="AB1741" s="15">
        <f t="shared" si="615"/>
        <v>0</v>
      </c>
    </row>
    <row r="1742" spans="1:28" x14ac:dyDescent="0.25">
      <c r="A1742" s="16">
        <f>OrdersTable!A1742</f>
        <v>180</v>
      </c>
      <c r="B1742" s="15" t="str">
        <f t="shared" si="595"/>
        <v>Mrs</v>
      </c>
      <c r="C1742" s="15" t="str">
        <f t="shared" si="616"/>
        <v>Feeney</v>
      </c>
      <c r="D1742" s="15" t="str">
        <f t="shared" si="596"/>
        <v>Jennifer Ruth</v>
      </c>
      <c r="E1742" s="15" t="str">
        <f t="shared" si="597"/>
        <v>18 Cook Avenue</v>
      </c>
      <c r="F1742" s="15" t="str">
        <f t="shared" si="598"/>
        <v>Nayook</v>
      </c>
      <c r="G1742" s="15" t="str">
        <f t="shared" si="599"/>
        <v>VIC</v>
      </c>
      <c r="H1742" s="15">
        <f t="shared" si="600"/>
        <v>3832</v>
      </c>
      <c r="I1742" s="15">
        <f t="shared" si="611"/>
        <v>1552</v>
      </c>
      <c r="J1742" s="15">
        <f>OrdersTable!B1742</f>
        <v>709</v>
      </c>
      <c r="K1742" s="15" t="str">
        <f t="shared" si="601"/>
        <v>Posters, Prints and Standees</v>
      </c>
      <c r="L1742" s="15" t="str">
        <f t="shared" si="602"/>
        <v>Doctor Who: Poster: Metallic TARDIS</v>
      </c>
      <c r="M1742" s="15" t="str">
        <f t="shared" si="603"/>
        <v>-</v>
      </c>
      <c r="N1742" s="15">
        <f t="shared" si="604"/>
        <v>0.2</v>
      </c>
      <c r="O1742" s="15" t="str">
        <f t="shared" si="605"/>
        <v>A10</v>
      </c>
      <c r="P1742" s="15" t="str">
        <f t="shared" si="606"/>
        <v>Gallifrey International</v>
      </c>
      <c r="Q1742" s="15" t="str">
        <f t="shared" si="607"/>
        <v>181 Arcadia Street</v>
      </c>
      <c r="R1742" s="3">
        <f>OrdersTable!C1742</f>
        <v>44685</v>
      </c>
      <c r="S1742" s="15">
        <f>OrdersTable!E1742</f>
        <v>3</v>
      </c>
      <c r="T1742" s="15">
        <f t="shared" si="608"/>
        <v>3.99</v>
      </c>
      <c r="U1742" s="15">
        <f t="shared" si="609"/>
        <v>5.71</v>
      </c>
      <c r="V1742" s="15">
        <f t="shared" si="610"/>
        <v>6.46</v>
      </c>
      <c r="W1742" s="15">
        <f>IF(MarkupType="Store Markup",ROUND(V1742+V1742*StoreMarkup,2),IF(MarkupType="Supplier Markup",V1742+V1742*SupplierMarkup,"Error at finding value"))</f>
        <v>10.17</v>
      </c>
      <c r="X1742" s="32" t="str">
        <f t="shared" si="612"/>
        <v>0.00</v>
      </c>
      <c r="Y1742" s="15">
        <f t="shared" si="613"/>
        <v>19.38</v>
      </c>
      <c r="Z1742" s="15">
        <f t="shared" si="614"/>
        <v>30.51</v>
      </c>
      <c r="AA1742" s="15">
        <f>IF(FreightType="Lethbridge-Stewart Freight ",ROUND(2.99+IF(N1742&gt;0.75,(N1742-0.75)*2.25,0)*S1742,2),IF(MarkupType="Supplier Markup",V1742+V1742*SupplierMarkup,"Error at finding value"))</f>
        <v>2.99</v>
      </c>
      <c r="AB1742" s="15">
        <f t="shared" si="615"/>
        <v>0</v>
      </c>
    </row>
    <row r="1743" spans="1:28" x14ac:dyDescent="0.25">
      <c r="A1743" s="16">
        <f>OrdersTable!A1743</f>
        <v>249</v>
      </c>
      <c r="B1743" s="15" t="str">
        <f t="shared" si="595"/>
        <v>Mr</v>
      </c>
      <c r="C1743" s="15" t="str">
        <f t="shared" si="616"/>
        <v>Sinclair</v>
      </c>
      <c r="D1743" s="15" t="str">
        <f t="shared" si="596"/>
        <v>Travis James Foord</v>
      </c>
      <c r="E1743" s="15" t="str">
        <f t="shared" si="597"/>
        <v>25 Leunen Avenue</v>
      </c>
      <c r="F1743" s="15" t="str">
        <f t="shared" si="598"/>
        <v>Batlow</v>
      </c>
      <c r="G1743" s="15" t="str">
        <f t="shared" si="599"/>
        <v>NSW</v>
      </c>
      <c r="H1743" s="15">
        <f t="shared" si="600"/>
        <v>2730</v>
      </c>
      <c r="I1743" s="15">
        <f t="shared" si="611"/>
        <v>1138</v>
      </c>
      <c r="J1743" s="15">
        <f>OrdersTable!B1743</f>
        <v>259</v>
      </c>
      <c r="K1743" s="15" t="str">
        <f t="shared" si="601"/>
        <v>Clothing and Apparel</v>
      </c>
      <c r="L1743" s="15" t="str">
        <f t="shared" si="602"/>
        <v>Doctor Who: Men's Winter Pyjamas</v>
      </c>
      <c r="M1743" s="15" t="str">
        <f t="shared" si="603"/>
        <v>XL</v>
      </c>
      <c r="N1743" s="15">
        <f t="shared" si="604"/>
        <v>1.5</v>
      </c>
      <c r="O1743" s="15" t="str">
        <f t="shared" si="605"/>
        <v>A50</v>
      </c>
      <c r="P1743" s="15" t="str">
        <f t="shared" si="606"/>
        <v>Rassilon Ltd.</v>
      </c>
      <c r="Q1743" s="15" t="str">
        <f t="shared" si="607"/>
        <v>82 Richard Mathews Road</v>
      </c>
      <c r="R1743" s="3">
        <f>OrdersTable!C1743</f>
        <v>44685</v>
      </c>
      <c r="S1743" s="15">
        <f>OrdersTable!E1743</f>
        <v>2</v>
      </c>
      <c r="T1743" s="15">
        <f t="shared" si="608"/>
        <v>29.99</v>
      </c>
      <c r="U1743" s="15">
        <f t="shared" si="609"/>
        <v>41.15</v>
      </c>
      <c r="V1743" s="15">
        <f t="shared" si="610"/>
        <v>48.58</v>
      </c>
      <c r="W1743" s="15">
        <f>IF(MarkupType="Store Markup",ROUND(V1743+V1743*StoreMarkup,2),IF(MarkupType="Supplier Markup",V1743+V1743*SupplierMarkup,"Error at finding value"))</f>
        <v>76.510000000000005</v>
      </c>
      <c r="X1743" s="32" t="str">
        <f t="shared" si="612"/>
        <v>0.00</v>
      </c>
      <c r="Y1743" s="15">
        <f t="shared" si="613"/>
        <v>97.16</v>
      </c>
      <c r="Z1743" s="15">
        <f t="shared" si="614"/>
        <v>153.02000000000001</v>
      </c>
      <c r="AA1743" s="15">
        <f>IF(FreightType="Lethbridge-Stewart Freight ",ROUND(2.99+IF(N1743&gt;0.75,(N1743-0.75)*2.25,0)*S1743,2),IF(MarkupType="Supplier Markup",V1743+V1743*SupplierMarkup,"Error at finding value"))</f>
        <v>6.37</v>
      </c>
      <c r="AB1743" s="15">
        <f t="shared" si="615"/>
        <v>0</v>
      </c>
    </row>
    <row r="1744" spans="1:28" x14ac:dyDescent="0.25">
      <c r="A1744" s="16">
        <f>OrdersTable!A1744</f>
        <v>254</v>
      </c>
      <c r="B1744" s="15" t="str">
        <f t="shared" si="595"/>
        <v>Miss</v>
      </c>
      <c r="C1744" s="15" t="str">
        <f t="shared" si="616"/>
        <v>Hoolihan</v>
      </c>
      <c r="D1744" s="15" t="str">
        <f t="shared" si="596"/>
        <v>Crystal Claire Grace</v>
      </c>
      <c r="E1744" s="15" t="str">
        <f t="shared" si="597"/>
        <v>7 Van Riet Avenue</v>
      </c>
      <c r="F1744" s="15" t="str">
        <f t="shared" si="598"/>
        <v>Aberfoyle</v>
      </c>
      <c r="G1744" s="15" t="str">
        <f t="shared" si="599"/>
        <v>NSW</v>
      </c>
      <c r="H1744" s="15">
        <f t="shared" si="600"/>
        <v>2350</v>
      </c>
      <c r="I1744" s="15">
        <f t="shared" si="611"/>
        <v>363</v>
      </c>
      <c r="J1744" s="15">
        <f>OrdersTable!B1744</f>
        <v>331</v>
      </c>
      <c r="K1744" s="15" t="str">
        <f t="shared" si="601"/>
        <v>Clothing and Apparel</v>
      </c>
      <c r="L1744" s="15" t="str">
        <f t="shared" si="602"/>
        <v xml:space="preserve">Doctor Who: T-Shirts: 4th Doctor Costume </v>
      </c>
      <c r="M1744" s="15" t="str">
        <f t="shared" si="603"/>
        <v>L</v>
      </c>
      <c r="N1744" s="15">
        <f t="shared" si="604"/>
        <v>0.8</v>
      </c>
      <c r="O1744" s="15" t="str">
        <f t="shared" si="605"/>
        <v>A20</v>
      </c>
      <c r="P1744" s="15" t="str">
        <f t="shared" si="606"/>
        <v>Morbius Inc.</v>
      </c>
      <c r="Q1744" s="15" t="str">
        <f t="shared" si="607"/>
        <v>56 Michael Spice Hwy</v>
      </c>
      <c r="R1744" s="3">
        <f>OrdersTable!C1744</f>
        <v>44685</v>
      </c>
      <c r="S1744" s="15">
        <f>OrdersTable!E1744</f>
        <v>2</v>
      </c>
      <c r="T1744" s="15">
        <f t="shared" si="608"/>
        <v>15.99</v>
      </c>
      <c r="U1744" s="15">
        <f t="shared" si="609"/>
        <v>22.08</v>
      </c>
      <c r="V1744" s="15">
        <f t="shared" si="610"/>
        <v>25.9</v>
      </c>
      <c r="W1744" s="15">
        <f>IF(MarkupType="Store Markup",ROUND(V1744+V1744*StoreMarkup,2),IF(MarkupType="Supplier Markup",V1744+V1744*SupplierMarkup,"Error at finding value"))</f>
        <v>40.79</v>
      </c>
      <c r="X1744" s="32" t="str">
        <f t="shared" si="612"/>
        <v>0.00</v>
      </c>
      <c r="Y1744" s="15">
        <f t="shared" si="613"/>
        <v>51.8</v>
      </c>
      <c r="Z1744" s="15">
        <f t="shared" si="614"/>
        <v>81.58</v>
      </c>
      <c r="AA1744" s="15">
        <f>IF(FreightType="Lethbridge-Stewart Freight ",ROUND(2.99+IF(N1744&gt;0.75,(N1744-0.75)*2.25,0)*S1744,2),IF(MarkupType="Supplier Markup",V1744+V1744*SupplierMarkup,"Error at finding value"))</f>
        <v>3.22</v>
      </c>
      <c r="AB1744" s="15">
        <f t="shared" si="615"/>
        <v>0</v>
      </c>
    </row>
    <row r="1745" spans="1:28" x14ac:dyDescent="0.25">
      <c r="A1745" s="16">
        <f>OrdersTable!A1745</f>
        <v>538</v>
      </c>
      <c r="B1745" s="15" t="str">
        <f t="shared" si="595"/>
        <v>Dr</v>
      </c>
      <c r="C1745" s="15" t="str">
        <f t="shared" si="616"/>
        <v>Radovic</v>
      </c>
      <c r="D1745" s="15" t="str">
        <f t="shared" si="596"/>
        <v>Harley Benjamin</v>
      </c>
      <c r="E1745" s="15" t="str">
        <f t="shared" si="597"/>
        <v>50 Hocking Way</v>
      </c>
      <c r="F1745" s="15" t="str">
        <f t="shared" si="598"/>
        <v>Bray Park</v>
      </c>
      <c r="G1745" s="15" t="str">
        <f t="shared" si="599"/>
        <v>QLD</v>
      </c>
      <c r="H1745" s="15">
        <f t="shared" si="600"/>
        <v>4500</v>
      </c>
      <c r="I1745" s="15">
        <f t="shared" si="611"/>
        <v>139</v>
      </c>
      <c r="J1745" s="15">
        <f>OrdersTable!B1745</f>
        <v>689</v>
      </c>
      <c r="K1745" s="15" t="str">
        <f t="shared" si="601"/>
        <v>Posters, Prints and Standees</v>
      </c>
      <c r="L1745" s="15" t="str">
        <f t="shared" si="602"/>
        <v>Doctor Who: 16'x12' Framed Print: Cold War</v>
      </c>
      <c r="M1745" s="15" t="str">
        <f t="shared" si="603"/>
        <v>-</v>
      </c>
      <c r="N1745" s="15">
        <f t="shared" si="604"/>
        <v>0.75</v>
      </c>
      <c r="O1745" s="15" t="str">
        <f t="shared" si="605"/>
        <v>A50</v>
      </c>
      <c r="P1745" s="15" t="str">
        <f t="shared" si="606"/>
        <v>Rassilon Ltd.</v>
      </c>
      <c r="Q1745" s="15" t="str">
        <f t="shared" si="607"/>
        <v>82 Richard Mathews Road</v>
      </c>
      <c r="R1745" s="3">
        <f>OrdersTable!C1745</f>
        <v>44685</v>
      </c>
      <c r="S1745" s="15">
        <f>OrdersTable!E1745</f>
        <v>8</v>
      </c>
      <c r="T1745" s="15">
        <f t="shared" si="608"/>
        <v>14.99</v>
      </c>
      <c r="U1745" s="15">
        <f t="shared" si="609"/>
        <v>20.77</v>
      </c>
      <c r="V1745" s="15">
        <f t="shared" si="610"/>
        <v>24.28</v>
      </c>
      <c r="W1745" s="15">
        <f>IF(MarkupType="Store Markup",ROUND(V1745+V1745*StoreMarkup,2),IF(MarkupType="Supplier Markup",V1745+V1745*SupplierMarkup,"Error at finding value"))</f>
        <v>38.24</v>
      </c>
      <c r="X1745" s="32" t="str">
        <f t="shared" si="612"/>
        <v>0.00</v>
      </c>
      <c r="Y1745" s="15">
        <f t="shared" si="613"/>
        <v>194.24</v>
      </c>
      <c r="Z1745" s="15">
        <f t="shared" si="614"/>
        <v>305.92</v>
      </c>
      <c r="AA1745" s="15">
        <f>IF(FreightType="Lethbridge-Stewart Freight ",ROUND(2.99+IF(N1745&gt;0.75,(N1745-0.75)*2.25,0)*S1745,2),IF(MarkupType="Supplier Markup",V1745+V1745*SupplierMarkup,"Error at finding value"))</f>
        <v>2.99</v>
      </c>
      <c r="AB1745" s="15">
        <f t="shared" si="615"/>
        <v>0</v>
      </c>
    </row>
    <row r="1746" spans="1:28" x14ac:dyDescent="0.25">
      <c r="A1746" s="16">
        <f>OrdersTable!A1746</f>
        <v>538</v>
      </c>
      <c r="B1746" s="15" t="str">
        <f t="shared" si="595"/>
        <v>Dr</v>
      </c>
      <c r="C1746" s="15" t="str">
        <f t="shared" si="616"/>
        <v>Radovic</v>
      </c>
      <c r="D1746" s="15" t="str">
        <f t="shared" si="596"/>
        <v>Harley Benjamin</v>
      </c>
      <c r="E1746" s="15" t="str">
        <f t="shared" si="597"/>
        <v>50 Hocking Way</v>
      </c>
      <c r="F1746" s="15" t="str">
        <f t="shared" si="598"/>
        <v>Bray Park</v>
      </c>
      <c r="G1746" s="15" t="str">
        <f t="shared" si="599"/>
        <v>QLD</v>
      </c>
      <c r="H1746" s="15">
        <f t="shared" si="600"/>
        <v>4500</v>
      </c>
      <c r="I1746" s="15">
        <f t="shared" si="611"/>
        <v>139</v>
      </c>
      <c r="J1746" s="15">
        <f>OrdersTable!B1746</f>
        <v>732</v>
      </c>
      <c r="K1746" s="15" t="str">
        <f t="shared" si="601"/>
        <v>Props and Replicas</v>
      </c>
      <c r="L1746" s="15" t="str">
        <f t="shared" si="602"/>
        <v>Doctor Who: Eleventh Doctor's Sonic Screwdriver</v>
      </c>
      <c r="M1746" s="15" t="str">
        <f t="shared" si="603"/>
        <v>-</v>
      </c>
      <c r="N1746" s="15">
        <f t="shared" si="604"/>
        <v>3</v>
      </c>
      <c r="O1746" s="15" t="str">
        <f t="shared" si="605"/>
        <v>A40</v>
      </c>
      <c r="P1746" s="15" t="str">
        <f t="shared" si="606"/>
        <v>Romana Imports</v>
      </c>
      <c r="Q1746" s="15" t="str">
        <f t="shared" si="607"/>
        <v>17 Lalla Ward Road</v>
      </c>
      <c r="R1746" s="3">
        <f>OrdersTable!C1746</f>
        <v>44685</v>
      </c>
      <c r="S1746" s="15">
        <f>OrdersTable!E1746</f>
        <v>4</v>
      </c>
      <c r="T1746" s="15">
        <f t="shared" si="608"/>
        <v>59.99</v>
      </c>
      <c r="U1746" s="15">
        <f t="shared" si="609"/>
        <v>81.83</v>
      </c>
      <c r="V1746" s="15">
        <f t="shared" si="610"/>
        <v>97.18</v>
      </c>
      <c r="W1746" s="15">
        <f>IF(MarkupType="Store Markup",ROUND(V1746+V1746*StoreMarkup,2),IF(MarkupType="Supplier Markup",V1746+V1746*SupplierMarkup,"Error at finding value"))</f>
        <v>153.06</v>
      </c>
      <c r="X1746" s="32">
        <f t="shared" si="612"/>
        <v>10.91</v>
      </c>
      <c r="Y1746" s="15">
        <f t="shared" si="613"/>
        <v>388.72</v>
      </c>
      <c r="Z1746" s="15">
        <f t="shared" si="614"/>
        <v>568.6</v>
      </c>
      <c r="AA1746" s="15">
        <f>IF(FreightType="Lethbridge-Stewart Freight ",ROUND(2.99+IF(N1746&gt;0.75,(N1746-0.75)*2.25,0)*S1746,2),IF(MarkupType="Supplier Markup",V1746+V1746*SupplierMarkup,"Error at finding value"))</f>
        <v>23.24</v>
      </c>
      <c r="AB1746" s="15">
        <f t="shared" si="615"/>
        <v>43.64</v>
      </c>
    </row>
    <row r="1747" spans="1:28" x14ac:dyDescent="0.25">
      <c r="A1747" s="16">
        <f>OrdersTable!A1747</f>
        <v>540</v>
      </c>
      <c r="B1747" s="15" t="str">
        <f t="shared" si="595"/>
        <v>Dr</v>
      </c>
      <c r="C1747" s="15" t="str">
        <f t="shared" si="616"/>
        <v>Hackett</v>
      </c>
      <c r="D1747" s="15" t="str">
        <f t="shared" si="596"/>
        <v>Patrick</v>
      </c>
      <c r="E1747" s="15" t="str">
        <f t="shared" si="597"/>
        <v>25 Sweet Drive</v>
      </c>
      <c r="F1747" s="15" t="str">
        <f t="shared" si="598"/>
        <v>Bridgewater</v>
      </c>
      <c r="G1747" s="15" t="str">
        <f t="shared" si="599"/>
        <v>VIC</v>
      </c>
      <c r="H1747" s="15">
        <f t="shared" si="600"/>
        <v>3516</v>
      </c>
      <c r="I1747" s="15">
        <f t="shared" si="611"/>
        <v>1486</v>
      </c>
      <c r="J1747" s="15">
        <f>OrdersTable!B1747</f>
        <v>801</v>
      </c>
      <c r="K1747" s="15" t="str">
        <f t="shared" si="601"/>
        <v>Statues and Busts</v>
      </c>
      <c r="L1747" s="15" t="str">
        <f t="shared" si="602"/>
        <v>Doctor Who: Masterpiece Collection Maxi Bust: 4th Doctor</v>
      </c>
      <c r="M1747" s="15" t="str">
        <f t="shared" si="603"/>
        <v>-</v>
      </c>
      <c r="N1747" s="15">
        <f t="shared" si="604"/>
        <v>2.5</v>
      </c>
      <c r="O1747" s="15" t="str">
        <f t="shared" si="605"/>
        <v>A30</v>
      </c>
      <c r="P1747" s="15" t="str">
        <f t="shared" si="606"/>
        <v>Chesterton Enterprises</v>
      </c>
      <c r="Q1747" s="15" t="str">
        <f t="shared" si="607"/>
        <v>41 William Russell Road</v>
      </c>
      <c r="R1747" s="3">
        <f>OrdersTable!C1747</f>
        <v>44685</v>
      </c>
      <c r="S1747" s="15">
        <f>OrdersTable!E1747</f>
        <v>2</v>
      </c>
      <c r="T1747" s="15">
        <f t="shared" si="608"/>
        <v>49.99</v>
      </c>
      <c r="U1747" s="15">
        <f t="shared" si="609"/>
        <v>68.180000000000007</v>
      </c>
      <c r="V1747" s="15">
        <f t="shared" si="610"/>
        <v>80.98</v>
      </c>
      <c r="W1747" s="15">
        <f>IF(MarkupType="Store Markup",ROUND(V1747+V1747*StoreMarkup,2),IF(MarkupType="Supplier Markup",V1747+V1747*SupplierMarkup,"Error at finding value"))</f>
        <v>127.54</v>
      </c>
      <c r="X1747" s="32" t="str">
        <f t="shared" si="612"/>
        <v>0.00</v>
      </c>
      <c r="Y1747" s="15">
        <f t="shared" si="613"/>
        <v>161.96</v>
      </c>
      <c r="Z1747" s="15">
        <f t="shared" si="614"/>
        <v>255.08</v>
      </c>
      <c r="AA1747" s="15">
        <f>IF(FreightType="Lethbridge-Stewart Freight ",ROUND(2.99+IF(N1747&gt;0.75,(N1747-0.75)*2.25,0)*S1747,2),IF(MarkupType="Supplier Markup",V1747+V1747*SupplierMarkup,"Error at finding value"))</f>
        <v>10.87</v>
      </c>
      <c r="AB1747" s="15">
        <f t="shared" si="615"/>
        <v>0</v>
      </c>
    </row>
    <row r="1748" spans="1:28" x14ac:dyDescent="0.25">
      <c r="A1748" s="16">
        <f>OrdersTable!A1748</f>
        <v>544</v>
      </c>
      <c r="B1748" s="15" t="str">
        <f t="shared" si="595"/>
        <v>Mr</v>
      </c>
      <c r="C1748" s="15" t="str">
        <f t="shared" si="616"/>
        <v>Sullivan</v>
      </c>
      <c r="D1748" s="15" t="str">
        <f t="shared" si="596"/>
        <v>Lawrence Bernard</v>
      </c>
      <c r="E1748" s="15" t="str">
        <f t="shared" si="597"/>
        <v>11 Haydon Boulevard</v>
      </c>
      <c r="F1748" s="15" t="str">
        <f t="shared" si="598"/>
        <v>Breakwater</v>
      </c>
      <c r="G1748" s="15" t="str">
        <f t="shared" si="599"/>
        <v>VIC</v>
      </c>
      <c r="H1748" s="15">
        <f t="shared" si="600"/>
        <v>3219</v>
      </c>
      <c r="I1748" s="15">
        <f t="shared" si="611"/>
        <v>1596</v>
      </c>
      <c r="J1748" s="15">
        <f>OrdersTable!B1748</f>
        <v>709</v>
      </c>
      <c r="K1748" s="15" t="str">
        <f t="shared" si="601"/>
        <v>Posters, Prints and Standees</v>
      </c>
      <c r="L1748" s="15" t="str">
        <f t="shared" si="602"/>
        <v>Doctor Who: Poster: Metallic TARDIS</v>
      </c>
      <c r="M1748" s="15" t="str">
        <f t="shared" si="603"/>
        <v>-</v>
      </c>
      <c r="N1748" s="15">
        <f t="shared" si="604"/>
        <v>0.2</v>
      </c>
      <c r="O1748" s="15" t="str">
        <f t="shared" si="605"/>
        <v>A10</v>
      </c>
      <c r="P1748" s="15" t="str">
        <f t="shared" si="606"/>
        <v>Gallifrey International</v>
      </c>
      <c r="Q1748" s="15" t="str">
        <f t="shared" si="607"/>
        <v>181 Arcadia Street</v>
      </c>
      <c r="R1748" s="3">
        <f>OrdersTable!C1748</f>
        <v>44685</v>
      </c>
      <c r="S1748" s="15">
        <f>OrdersTable!E1748</f>
        <v>1</v>
      </c>
      <c r="T1748" s="15">
        <f t="shared" si="608"/>
        <v>3.99</v>
      </c>
      <c r="U1748" s="15">
        <f t="shared" si="609"/>
        <v>5.71</v>
      </c>
      <c r="V1748" s="15">
        <f t="shared" si="610"/>
        <v>6.46</v>
      </c>
      <c r="W1748" s="15">
        <f>IF(MarkupType="Store Markup",ROUND(V1748+V1748*StoreMarkup,2),IF(MarkupType="Supplier Markup",V1748+V1748*SupplierMarkup,"Error at finding value"))</f>
        <v>10.17</v>
      </c>
      <c r="X1748" s="32" t="str">
        <f t="shared" si="612"/>
        <v>0.00</v>
      </c>
      <c r="Y1748" s="15">
        <f t="shared" si="613"/>
        <v>6.46</v>
      </c>
      <c r="Z1748" s="15">
        <f t="shared" si="614"/>
        <v>10.17</v>
      </c>
      <c r="AA1748" s="15">
        <f>IF(FreightType="Lethbridge-Stewart Freight ",ROUND(2.99+IF(N1748&gt;0.75,(N1748-0.75)*2.25,0)*S1748,2),IF(MarkupType="Supplier Markup",V1748+V1748*SupplierMarkup,"Error at finding value"))</f>
        <v>2.99</v>
      </c>
      <c r="AB1748" s="15">
        <f t="shared" si="615"/>
        <v>0</v>
      </c>
    </row>
    <row r="1749" spans="1:28" x14ac:dyDescent="0.25">
      <c r="A1749" s="16">
        <f>OrdersTable!A1749</f>
        <v>561</v>
      </c>
      <c r="B1749" s="15" t="str">
        <f t="shared" si="595"/>
        <v>Ms</v>
      </c>
      <c r="C1749" s="15" t="str">
        <f t="shared" si="616"/>
        <v>Mulcahy</v>
      </c>
      <c r="D1749" s="15" t="str">
        <f t="shared" si="596"/>
        <v>Jodie Leigh</v>
      </c>
      <c r="E1749" s="15" t="str">
        <f t="shared" si="597"/>
        <v>32 Scott Crescent</v>
      </c>
      <c r="F1749" s="15" t="str">
        <f t="shared" si="598"/>
        <v>Bray Park</v>
      </c>
      <c r="G1749" s="15" t="str">
        <f t="shared" si="599"/>
        <v>QLD</v>
      </c>
      <c r="H1749" s="15">
        <f t="shared" si="600"/>
        <v>4500</v>
      </c>
      <c r="I1749" s="15">
        <f t="shared" si="611"/>
        <v>139</v>
      </c>
      <c r="J1749" s="15">
        <f>OrdersTable!B1749</f>
        <v>164</v>
      </c>
      <c r="K1749" s="15" t="str">
        <f t="shared" si="601"/>
        <v>Bobbleheads</v>
      </c>
      <c r="L1749" s="15" t="str">
        <f t="shared" si="602"/>
        <v>Doctor Who: Bobblehead: Fourth Doctor</v>
      </c>
      <c r="M1749" s="15" t="str">
        <f t="shared" si="603"/>
        <v>-</v>
      </c>
      <c r="N1749" s="15">
        <f t="shared" si="604"/>
        <v>0.75</v>
      </c>
      <c r="O1749" s="15" t="str">
        <f t="shared" si="605"/>
        <v>A40</v>
      </c>
      <c r="P1749" s="15" t="str">
        <f t="shared" si="606"/>
        <v>Romana Imports</v>
      </c>
      <c r="Q1749" s="15" t="str">
        <f t="shared" si="607"/>
        <v>17 Lalla Ward Road</v>
      </c>
      <c r="R1749" s="3">
        <f>OrdersTable!C1749</f>
        <v>44685</v>
      </c>
      <c r="S1749" s="15">
        <f>OrdersTable!E1749</f>
        <v>4</v>
      </c>
      <c r="T1749" s="15">
        <f t="shared" si="608"/>
        <v>14.99</v>
      </c>
      <c r="U1749" s="15">
        <f t="shared" si="609"/>
        <v>20.53</v>
      </c>
      <c r="V1749" s="15">
        <f t="shared" si="610"/>
        <v>24.28</v>
      </c>
      <c r="W1749" s="15">
        <f>IF(MarkupType="Store Markup",ROUND(V1749+V1749*StoreMarkup,2),IF(MarkupType="Supplier Markup",V1749+V1749*SupplierMarkup,"Error at finding value"))</f>
        <v>38.24</v>
      </c>
      <c r="X1749" s="32" t="str">
        <f t="shared" si="612"/>
        <v>0.00</v>
      </c>
      <c r="Y1749" s="15">
        <f t="shared" si="613"/>
        <v>97.12</v>
      </c>
      <c r="Z1749" s="15">
        <f t="shared" si="614"/>
        <v>152.96</v>
      </c>
      <c r="AA1749" s="15">
        <f>IF(FreightType="Lethbridge-Stewart Freight ",ROUND(2.99+IF(N1749&gt;0.75,(N1749-0.75)*2.25,0)*S1749,2),IF(MarkupType="Supplier Markup",V1749+V1749*SupplierMarkup,"Error at finding value"))</f>
        <v>2.99</v>
      </c>
      <c r="AB1749" s="15">
        <f t="shared" si="615"/>
        <v>0</v>
      </c>
    </row>
    <row r="1750" spans="1:28" x14ac:dyDescent="0.25">
      <c r="A1750" s="16">
        <f>OrdersTable!A1750</f>
        <v>610</v>
      </c>
      <c r="B1750" s="15" t="str">
        <f t="shared" si="595"/>
        <v>Ms</v>
      </c>
      <c r="C1750" s="15" t="str">
        <f t="shared" si="616"/>
        <v>Bichel</v>
      </c>
      <c r="D1750" s="15" t="str">
        <f t="shared" si="596"/>
        <v>Abbey Kate</v>
      </c>
      <c r="E1750" s="15" t="str">
        <f t="shared" si="597"/>
        <v>32 Rambau Avenue</v>
      </c>
      <c r="F1750" s="15" t="str">
        <f t="shared" si="598"/>
        <v>Bamboo</v>
      </c>
      <c r="G1750" s="15" t="str">
        <f t="shared" si="599"/>
        <v>QLD</v>
      </c>
      <c r="H1750" s="15">
        <f t="shared" si="600"/>
        <v>4873</v>
      </c>
      <c r="I1750" s="15">
        <f t="shared" si="611"/>
        <v>1741</v>
      </c>
      <c r="J1750" s="15">
        <f>OrdersTable!B1750</f>
        <v>812</v>
      </c>
      <c r="K1750" s="15" t="str">
        <f t="shared" si="601"/>
        <v>Statues and Busts</v>
      </c>
      <c r="L1750" s="15" t="str">
        <f t="shared" si="602"/>
        <v>Doctor Who: Masterpiece Collection Maxi Bust: Dalek: Day Of The Daleks</v>
      </c>
      <c r="M1750" s="15" t="str">
        <f t="shared" si="603"/>
        <v>-</v>
      </c>
      <c r="N1750" s="15">
        <f t="shared" si="604"/>
        <v>2.5</v>
      </c>
      <c r="O1750" s="15" t="str">
        <f t="shared" si="605"/>
        <v>A20</v>
      </c>
      <c r="P1750" s="15" t="str">
        <f t="shared" si="606"/>
        <v>Morbius Inc.</v>
      </c>
      <c r="Q1750" s="15" t="str">
        <f t="shared" si="607"/>
        <v>56 Michael Spice Hwy</v>
      </c>
      <c r="R1750" s="3">
        <f>OrdersTable!C1750</f>
        <v>44685</v>
      </c>
      <c r="S1750" s="15">
        <f>OrdersTable!E1750</f>
        <v>2</v>
      </c>
      <c r="T1750" s="15">
        <f t="shared" si="608"/>
        <v>49.99</v>
      </c>
      <c r="U1750" s="15">
        <f t="shared" si="609"/>
        <v>68.47</v>
      </c>
      <c r="V1750" s="15">
        <f t="shared" si="610"/>
        <v>80.98</v>
      </c>
      <c r="W1750" s="15">
        <f>IF(MarkupType="Store Markup",ROUND(V1750+V1750*StoreMarkup,2),IF(MarkupType="Supplier Markup",V1750+V1750*SupplierMarkup,"Error at finding value"))</f>
        <v>127.54</v>
      </c>
      <c r="X1750" s="32" t="str">
        <f t="shared" si="612"/>
        <v>0.00</v>
      </c>
      <c r="Y1750" s="15">
        <f t="shared" si="613"/>
        <v>161.96</v>
      </c>
      <c r="Z1750" s="15">
        <f t="shared" si="614"/>
        <v>255.08</v>
      </c>
      <c r="AA1750" s="15">
        <f>IF(FreightType="Lethbridge-Stewart Freight ",ROUND(2.99+IF(N1750&gt;0.75,(N1750-0.75)*2.25,0)*S1750,2),IF(MarkupType="Supplier Markup",V1750+V1750*SupplierMarkup,"Error at finding value"))</f>
        <v>10.87</v>
      </c>
      <c r="AB1750" s="15">
        <f t="shared" si="615"/>
        <v>0</v>
      </c>
    </row>
    <row r="1751" spans="1:28" x14ac:dyDescent="0.25">
      <c r="A1751" s="16">
        <f>OrdersTable!A1751</f>
        <v>634</v>
      </c>
      <c r="B1751" s="15" t="str">
        <f t="shared" si="595"/>
        <v>Miss</v>
      </c>
      <c r="C1751" s="15" t="str">
        <f t="shared" si="616"/>
        <v>Betts</v>
      </c>
      <c r="D1751" s="15" t="str">
        <f t="shared" si="596"/>
        <v>Melissa Leigh</v>
      </c>
      <c r="E1751" s="15" t="str">
        <f t="shared" si="597"/>
        <v>4 Aitcheson Drive</v>
      </c>
      <c r="F1751" s="15" t="str">
        <f t="shared" si="598"/>
        <v>Bray Park</v>
      </c>
      <c r="G1751" s="15" t="str">
        <f t="shared" si="599"/>
        <v>QLD</v>
      </c>
      <c r="H1751" s="15">
        <f t="shared" si="600"/>
        <v>4500</v>
      </c>
      <c r="I1751" s="15">
        <f t="shared" si="611"/>
        <v>139</v>
      </c>
      <c r="J1751" s="15">
        <f>OrdersTable!B1751</f>
        <v>698</v>
      </c>
      <c r="K1751" s="15" t="str">
        <f t="shared" si="601"/>
        <v>Posters, Prints and Standees</v>
      </c>
      <c r="L1751" s="15" t="str">
        <f t="shared" si="602"/>
        <v>Doctor Who: Art Print: My Mysterious Doctor</v>
      </c>
      <c r="M1751" s="15" t="str">
        <f t="shared" si="603"/>
        <v>-</v>
      </c>
      <c r="N1751" s="15">
        <f t="shared" si="604"/>
        <v>0.75</v>
      </c>
      <c r="O1751" s="15" t="str">
        <f t="shared" si="605"/>
        <v>A30</v>
      </c>
      <c r="P1751" s="15" t="str">
        <f t="shared" si="606"/>
        <v>Chesterton Enterprises</v>
      </c>
      <c r="Q1751" s="15" t="str">
        <f t="shared" si="607"/>
        <v>41 William Russell Road</v>
      </c>
      <c r="R1751" s="3">
        <f>OrdersTable!C1751</f>
        <v>44685</v>
      </c>
      <c r="S1751" s="15">
        <f>OrdersTable!E1751</f>
        <v>6</v>
      </c>
      <c r="T1751" s="15">
        <f t="shared" si="608"/>
        <v>14.99</v>
      </c>
      <c r="U1751" s="15">
        <f t="shared" si="609"/>
        <v>20.56</v>
      </c>
      <c r="V1751" s="15">
        <f t="shared" si="610"/>
        <v>24.28</v>
      </c>
      <c r="W1751" s="15">
        <f>IF(MarkupType="Store Markup",ROUND(V1751+V1751*StoreMarkup,2),IF(MarkupType="Supplier Markup",V1751+V1751*SupplierMarkup,"Error at finding value"))</f>
        <v>38.24</v>
      </c>
      <c r="X1751" s="32" t="str">
        <f t="shared" si="612"/>
        <v>0.00</v>
      </c>
      <c r="Y1751" s="15">
        <f t="shared" si="613"/>
        <v>145.68</v>
      </c>
      <c r="Z1751" s="15">
        <f t="shared" si="614"/>
        <v>229.44</v>
      </c>
      <c r="AA1751" s="15">
        <f>IF(FreightType="Lethbridge-Stewart Freight ",ROUND(2.99+IF(N1751&gt;0.75,(N1751-0.75)*2.25,0)*S1751,2),IF(MarkupType="Supplier Markup",V1751+V1751*SupplierMarkup,"Error at finding value"))</f>
        <v>2.99</v>
      </c>
      <c r="AB1751" s="15">
        <f t="shared" si="615"/>
        <v>0</v>
      </c>
    </row>
    <row r="1752" spans="1:28" x14ac:dyDescent="0.25">
      <c r="A1752" s="16">
        <f>OrdersTable!A1752</f>
        <v>22</v>
      </c>
      <c r="B1752" s="15" t="str">
        <f t="shared" si="595"/>
        <v>Mr</v>
      </c>
      <c r="C1752" s="15" t="str">
        <f t="shared" si="616"/>
        <v>Tyrrell</v>
      </c>
      <c r="D1752" s="15" t="str">
        <f t="shared" si="596"/>
        <v>Timothy James</v>
      </c>
      <c r="E1752" s="15" t="str">
        <f t="shared" si="597"/>
        <v>48 Lambourne Crescent</v>
      </c>
      <c r="F1752" s="15" t="str">
        <f t="shared" si="598"/>
        <v>Belford</v>
      </c>
      <c r="G1752" s="15" t="str">
        <f t="shared" si="599"/>
        <v>NSW</v>
      </c>
      <c r="H1752" s="15">
        <f t="shared" si="600"/>
        <v>2335</v>
      </c>
      <c r="I1752" s="15">
        <f t="shared" si="611"/>
        <v>716</v>
      </c>
      <c r="J1752" s="15">
        <f>OrdersTable!B1752</f>
        <v>702</v>
      </c>
      <c r="K1752" s="15" t="str">
        <f t="shared" si="601"/>
        <v>Posters, Prints and Standees</v>
      </c>
      <c r="L1752" s="15" t="str">
        <f t="shared" si="602"/>
        <v>Doctor Who: Poster: Daleks</v>
      </c>
      <c r="M1752" s="15" t="str">
        <f t="shared" si="603"/>
        <v>-</v>
      </c>
      <c r="N1752" s="15">
        <f t="shared" si="604"/>
        <v>0.2</v>
      </c>
      <c r="O1752" s="15" t="str">
        <f t="shared" si="605"/>
        <v>A50</v>
      </c>
      <c r="P1752" s="15" t="str">
        <f t="shared" si="606"/>
        <v>Rassilon Ltd.</v>
      </c>
      <c r="Q1752" s="15" t="str">
        <f t="shared" si="607"/>
        <v>82 Richard Mathews Road</v>
      </c>
      <c r="R1752" s="3">
        <f>OrdersTable!C1752</f>
        <v>44686</v>
      </c>
      <c r="S1752" s="15">
        <f>OrdersTable!E1752</f>
        <v>1</v>
      </c>
      <c r="T1752" s="15">
        <f t="shared" si="608"/>
        <v>3.99</v>
      </c>
      <c r="U1752" s="15">
        <f t="shared" si="609"/>
        <v>5.46</v>
      </c>
      <c r="V1752" s="15">
        <f t="shared" si="610"/>
        <v>6.46</v>
      </c>
      <c r="W1752" s="15">
        <f>IF(MarkupType="Store Markup",ROUND(V1752+V1752*StoreMarkup,2),IF(MarkupType="Supplier Markup",V1752+V1752*SupplierMarkup,"Error at finding value"))</f>
        <v>10.17</v>
      </c>
      <c r="X1752" s="32" t="str">
        <f t="shared" si="612"/>
        <v>0.00</v>
      </c>
      <c r="Y1752" s="15">
        <f t="shared" si="613"/>
        <v>6.46</v>
      </c>
      <c r="Z1752" s="15">
        <f t="shared" si="614"/>
        <v>10.17</v>
      </c>
      <c r="AA1752" s="15">
        <f>IF(FreightType="Lethbridge-Stewart Freight ",ROUND(2.99+IF(N1752&gt;0.75,(N1752-0.75)*2.25,0)*S1752,2),IF(MarkupType="Supplier Markup",V1752+V1752*SupplierMarkup,"Error at finding value"))</f>
        <v>2.99</v>
      </c>
      <c r="AB1752" s="15">
        <f t="shared" si="615"/>
        <v>0</v>
      </c>
    </row>
    <row r="1753" spans="1:28" x14ac:dyDescent="0.25">
      <c r="A1753" s="16">
        <f>OrdersTable!A1753</f>
        <v>81</v>
      </c>
      <c r="B1753" s="15" t="str">
        <f t="shared" si="595"/>
        <v>Ms</v>
      </c>
      <c r="C1753" s="15" t="str">
        <f t="shared" si="616"/>
        <v>Madsen</v>
      </c>
      <c r="D1753" s="15" t="str">
        <f t="shared" si="596"/>
        <v>Kim Marie</v>
      </c>
      <c r="E1753" s="15" t="str">
        <f t="shared" si="597"/>
        <v>42 Singh Drive</v>
      </c>
      <c r="F1753" s="15" t="str">
        <f t="shared" si="598"/>
        <v>Caliph</v>
      </c>
      <c r="G1753" s="15" t="str">
        <f t="shared" si="599"/>
        <v>SA</v>
      </c>
      <c r="H1753" s="15">
        <f t="shared" si="600"/>
        <v>5310</v>
      </c>
      <c r="I1753" s="15">
        <f t="shared" si="611"/>
        <v>1720</v>
      </c>
      <c r="J1753" s="15">
        <f>OrdersTable!B1753</f>
        <v>652</v>
      </c>
      <c r="K1753" s="15" t="str">
        <f t="shared" si="601"/>
        <v>Mugs</v>
      </c>
      <c r="L1753" s="15" t="str">
        <f t="shared" si="602"/>
        <v>Doctor Who: Mug: Dalek 2D</v>
      </c>
      <c r="M1753" s="15" t="str">
        <f t="shared" si="603"/>
        <v>-</v>
      </c>
      <c r="N1753" s="15">
        <f t="shared" si="604"/>
        <v>0.35</v>
      </c>
      <c r="O1753" s="15" t="str">
        <f t="shared" si="605"/>
        <v>A10</v>
      </c>
      <c r="P1753" s="15" t="str">
        <f t="shared" si="606"/>
        <v>Gallifrey International</v>
      </c>
      <c r="Q1753" s="15" t="str">
        <f t="shared" si="607"/>
        <v>181 Arcadia Street</v>
      </c>
      <c r="R1753" s="3">
        <f>OrdersTable!C1753</f>
        <v>44686</v>
      </c>
      <c r="S1753" s="15">
        <f>OrdersTable!E1753</f>
        <v>10</v>
      </c>
      <c r="T1753" s="15">
        <f t="shared" si="608"/>
        <v>6.99</v>
      </c>
      <c r="U1753" s="15">
        <f t="shared" si="609"/>
        <v>9.8800000000000008</v>
      </c>
      <c r="V1753" s="15">
        <f t="shared" si="610"/>
        <v>11.32</v>
      </c>
      <c r="W1753" s="15">
        <f>IF(MarkupType="Store Markup",ROUND(V1753+V1753*StoreMarkup,2),IF(MarkupType="Supplier Markup",V1753+V1753*SupplierMarkup,"Error at finding value"))</f>
        <v>17.829999999999998</v>
      </c>
      <c r="X1753" s="32" t="str">
        <f t="shared" si="612"/>
        <v>0.00</v>
      </c>
      <c r="Y1753" s="15">
        <f t="shared" si="613"/>
        <v>113.2</v>
      </c>
      <c r="Z1753" s="15">
        <f t="shared" si="614"/>
        <v>178.3</v>
      </c>
      <c r="AA1753" s="15">
        <f>IF(FreightType="Lethbridge-Stewart Freight ",ROUND(2.99+IF(N1753&gt;0.75,(N1753-0.75)*2.25,0)*S1753,2),IF(MarkupType="Supplier Markup",V1753+V1753*SupplierMarkup,"Error at finding value"))</f>
        <v>2.99</v>
      </c>
      <c r="AB1753" s="15">
        <f t="shared" si="615"/>
        <v>0</v>
      </c>
    </row>
    <row r="1754" spans="1:28" x14ac:dyDescent="0.25">
      <c r="A1754" s="16">
        <f>OrdersTable!A1754</f>
        <v>180</v>
      </c>
      <c r="B1754" s="15" t="str">
        <f t="shared" si="595"/>
        <v>Mrs</v>
      </c>
      <c r="C1754" s="15" t="str">
        <f t="shared" si="616"/>
        <v>Feeney</v>
      </c>
      <c r="D1754" s="15" t="str">
        <f t="shared" si="596"/>
        <v>Jennifer Ruth</v>
      </c>
      <c r="E1754" s="15" t="str">
        <f t="shared" si="597"/>
        <v>18 Cook Avenue</v>
      </c>
      <c r="F1754" s="15" t="str">
        <f t="shared" si="598"/>
        <v>Nayook</v>
      </c>
      <c r="G1754" s="15" t="str">
        <f t="shared" si="599"/>
        <v>VIC</v>
      </c>
      <c r="H1754" s="15">
        <f t="shared" si="600"/>
        <v>3832</v>
      </c>
      <c r="I1754" s="15">
        <f t="shared" si="611"/>
        <v>1552</v>
      </c>
      <c r="J1754" s="15">
        <f>OrdersTable!B1754</f>
        <v>377</v>
      </c>
      <c r="K1754" s="15" t="str">
        <f t="shared" si="601"/>
        <v>Clothing and Apparel</v>
      </c>
      <c r="L1754" s="15" t="str">
        <f t="shared" si="602"/>
        <v xml:space="preserve">Doctor Who: T-Shirts: 7th Doctor Costume </v>
      </c>
      <c r="M1754" s="15" t="str">
        <f t="shared" si="603"/>
        <v>M</v>
      </c>
      <c r="N1754" s="15">
        <f t="shared" si="604"/>
        <v>0.8</v>
      </c>
      <c r="O1754" s="15" t="str">
        <f t="shared" si="605"/>
        <v>A40</v>
      </c>
      <c r="P1754" s="15" t="str">
        <f t="shared" si="606"/>
        <v>Romana Imports</v>
      </c>
      <c r="Q1754" s="15" t="str">
        <f t="shared" si="607"/>
        <v>17 Lalla Ward Road</v>
      </c>
      <c r="R1754" s="3">
        <f>OrdersTable!C1754</f>
        <v>44686</v>
      </c>
      <c r="S1754" s="15">
        <f>OrdersTable!E1754</f>
        <v>10</v>
      </c>
      <c r="T1754" s="15">
        <f t="shared" si="608"/>
        <v>15.99</v>
      </c>
      <c r="U1754" s="15">
        <f t="shared" si="609"/>
        <v>21.95</v>
      </c>
      <c r="V1754" s="15">
        <f t="shared" si="610"/>
        <v>25.9</v>
      </c>
      <c r="W1754" s="15">
        <f>IF(MarkupType="Store Markup",ROUND(V1754+V1754*StoreMarkup,2),IF(MarkupType="Supplier Markup",V1754+V1754*SupplierMarkup,"Error at finding value"))</f>
        <v>40.79</v>
      </c>
      <c r="X1754" s="32" t="str">
        <f t="shared" si="612"/>
        <v>0.00</v>
      </c>
      <c r="Y1754" s="15">
        <f t="shared" si="613"/>
        <v>259</v>
      </c>
      <c r="Z1754" s="15">
        <f t="shared" si="614"/>
        <v>407.9</v>
      </c>
      <c r="AA1754" s="15">
        <f>IF(FreightType="Lethbridge-Stewart Freight ",ROUND(2.99+IF(N1754&gt;0.75,(N1754-0.75)*2.25,0)*S1754,2),IF(MarkupType="Supplier Markup",V1754+V1754*SupplierMarkup,"Error at finding value"))</f>
        <v>4.12</v>
      </c>
      <c r="AB1754" s="15">
        <f t="shared" si="615"/>
        <v>0</v>
      </c>
    </row>
    <row r="1755" spans="1:28" x14ac:dyDescent="0.25">
      <c r="A1755" s="16">
        <f>OrdersTable!A1755</f>
        <v>302</v>
      </c>
      <c r="B1755" s="15" t="str">
        <f t="shared" si="595"/>
        <v>Ms</v>
      </c>
      <c r="C1755" s="15" t="str">
        <f t="shared" si="616"/>
        <v>Lamshed</v>
      </c>
      <c r="D1755" s="15" t="str">
        <f t="shared" si="596"/>
        <v>Laura Clare</v>
      </c>
      <c r="E1755" s="15" t="str">
        <f t="shared" si="597"/>
        <v>22 Edser Drive</v>
      </c>
      <c r="F1755" s="15" t="str">
        <f t="shared" si="598"/>
        <v>Caliph</v>
      </c>
      <c r="G1755" s="15" t="str">
        <f t="shared" si="599"/>
        <v>SA</v>
      </c>
      <c r="H1755" s="15">
        <f t="shared" si="600"/>
        <v>5310</v>
      </c>
      <c r="I1755" s="15">
        <f t="shared" si="611"/>
        <v>1720</v>
      </c>
      <c r="J1755" s="15">
        <f>OrdersTable!B1755</f>
        <v>692</v>
      </c>
      <c r="K1755" s="15" t="str">
        <f t="shared" si="601"/>
        <v>Posters, Prints and Standees</v>
      </c>
      <c r="L1755" s="15" t="str">
        <f t="shared" si="602"/>
        <v>Doctor Who: 16'x12' Framed Print: Exploding TARDIS</v>
      </c>
      <c r="M1755" s="15" t="str">
        <f t="shared" si="603"/>
        <v>-</v>
      </c>
      <c r="N1755" s="15">
        <f t="shared" si="604"/>
        <v>0.75</v>
      </c>
      <c r="O1755" s="15" t="str">
        <f t="shared" si="605"/>
        <v>A30</v>
      </c>
      <c r="P1755" s="15" t="str">
        <f t="shared" si="606"/>
        <v>Chesterton Enterprises</v>
      </c>
      <c r="Q1755" s="15" t="str">
        <f t="shared" si="607"/>
        <v>41 William Russell Road</v>
      </c>
      <c r="R1755" s="3">
        <f>OrdersTable!C1755</f>
        <v>44686</v>
      </c>
      <c r="S1755" s="15">
        <f>OrdersTable!E1755</f>
        <v>6</v>
      </c>
      <c r="T1755" s="15">
        <f t="shared" si="608"/>
        <v>14.99</v>
      </c>
      <c r="U1755" s="15">
        <f t="shared" si="609"/>
        <v>20.54</v>
      </c>
      <c r="V1755" s="15">
        <f t="shared" si="610"/>
        <v>24.28</v>
      </c>
      <c r="W1755" s="15">
        <f>IF(MarkupType="Store Markup",ROUND(V1755+V1755*StoreMarkup,2),IF(MarkupType="Supplier Markup",V1755+V1755*SupplierMarkup,"Error at finding value"))</f>
        <v>38.24</v>
      </c>
      <c r="X1755" s="32" t="str">
        <f t="shared" si="612"/>
        <v>0.00</v>
      </c>
      <c r="Y1755" s="15">
        <f t="shared" si="613"/>
        <v>145.68</v>
      </c>
      <c r="Z1755" s="15">
        <f t="shared" si="614"/>
        <v>229.44</v>
      </c>
      <c r="AA1755" s="15">
        <f>IF(FreightType="Lethbridge-Stewart Freight ",ROUND(2.99+IF(N1755&gt;0.75,(N1755-0.75)*2.25,0)*S1755,2),IF(MarkupType="Supplier Markup",V1755+V1755*SupplierMarkup,"Error at finding value"))</f>
        <v>2.99</v>
      </c>
      <c r="AB1755" s="15">
        <f t="shared" si="615"/>
        <v>0</v>
      </c>
    </row>
    <row r="1756" spans="1:28" x14ac:dyDescent="0.25">
      <c r="A1756" s="16">
        <f>OrdersTable!A1756</f>
        <v>312</v>
      </c>
      <c r="B1756" s="15" t="str">
        <f t="shared" si="595"/>
        <v>Mr</v>
      </c>
      <c r="C1756" s="15" t="str">
        <f t="shared" si="616"/>
        <v>Lloyd</v>
      </c>
      <c r="D1756" s="15" t="str">
        <f t="shared" si="596"/>
        <v>Ben</v>
      </c>
      <c r="E1756" s="15" t="str">
        <f t="shared" si="597"/>
        <v>13 Stark Avenue</v>
      </c>
      <c r="F1756" s="15" t="str">
        <f t="shared" si="598"/>
        <v>Iluka</v>
      </c>
      <c r="G1756" s="15" t="str">
        <f t="shared" si="599"/>
        <v>NSW</v>
      </c>
      <c r="H1756" s="15">
        <f t="shared" si="600"/>
        <v>2466</v>
      </c>
      <c r="I1756" s="15">
        <f t="shared" si="611"/>
        <v>347</v>
      </c>
      <c r="J1756" s="15">
        <f>OrdersTable!B1756</f>
        <v>704</v>
      </c>
      <c r="K1756" s="15" t="str">
        <f t="shared" si="601"/>
        <v>Posters, Prints and Standees</v>
      </c>
      <c r="L1756" s="15" t="str">
        <f t="shared" si="602"/>
        <v>Doctor Who: Poster: Doctor's Enemies</v>
      </c>
      <c r="M1756" s="15" t="str">
        <f t="shared" si="603"/>
        <v>-</v>
      </c>
      <c r="N1756" s="15">
        <f t="shared" si="604"/>
        <v>0.2</v>
      </c>
      <c r="O1756" s="15" t="str">
        <f t="shared" si="605"/>
        <v>A30</v>
      </c>
      <c r="P1756" s="15" t="str">
        <f t="shared" si="606"/>
        <v>Chesterton Enterprises</v>
      </c>
      <c r="Q1756" s="15" t="str">
        <f t="shared" si="607"/>
        <v>41 William Russell Road</v>
      </c>
      <c r="R1756" s="3">
        <f>OrdersTable!C1756</f>
        <v>44686</v>
      </c>
      <c r="S1756" s="15">
        <f>OrdersTable!E1756</f>
        <v>9</v>
      </c>
      <c r="T1756" s="15">
        <f t="shared" si="608"/>
        <v>3.99</v>
      </c>
      <c r="U1756" s="15">
        <f t="shared" si="609"/>
        <v>5.52</v>
      </c>
      <c r="V1756" s="15">
        <f t="shared" si="610"/>
        <v>6.46</v>
      </c>
      <c r="W1756" s="15">
        <f>IF(MarkupType="Store Markup",ROUND(V1756+V1756*StoreMarkup,2),IF(MarkupType="Supplier Markup",V1756+V1756*SupplierMarkup,"Error at finding value"))</f>
        <v>10.17</v>
      </c>
      <c r="X1756" s="32" t="str">
        <f t="shared" si="612"/>
        <v>0.00</v>
      </c>
      <c r="Y1756" s="15">
        <f t="shared" si="613"/>
        <v>58.14</v>
      </c>
      <c r="Z1756" s="15">
        <f t="shared" si="614"/>
        <v>91.53</v>
      </c>
      <c r="AA1756" s="15">
        <f>IF(FreightType="Lethbridge-Stewart Freight ",ROUND(2.99+IF(N1756&gt;0.75,(N1756-0.75)*2.25,0)*S1756,2),IF(MarkupType="Supplier Markup",V1756+V1756*SupplierMarkup,"Error at finding value"))</f>
        <v>2.99</v>
      </c>
      <c r="AB1756" s="15">
        <f t="shared" si="615"/>
        <v>0</v>
      </c>
    </row>
    <row r="1757" spans="1:28" x14ac:dyDescent="0.25">
      <c r="A1757" s="16">
        <f>OrdersTable!A1757</f>
        <v>360</v>
      </c>
      <c r="B1757" s="15" t="str">
        <f t="shared" si="595"/>
        <v>Ms</v>
      </c>
      <c r="C1757" s="15" t="str">
        <f t="shared" si="616"/>
        <v>Bobonica</v>
      </c>
      <c r="D1757" s="15" t="str">
        <f t="shared" si="596"/>
        <v>Claudia</v>
      </c>
      <c r="E1757" s="15" t="str">
        <f t="shared" si="597"/>
        <v>47 Klein Way</v>
      </c>
      <c r="F1757" s="15" t="str">
        <f t="shared" si="598"/>
        <v>Avon Plains</v>
      </c>
      <c r="G1757" s="15" t="str">
        <f t="shared" si="599"/>
        <v>VIC</v>
      </c>
      <c r="H1757" s="15">
        <f t="shared" si="600"/>
        <v>3477</v>
      </c>
      <c r="I1757" s="15">
        <f t="shared" si="611"/>
        <v>1565</v>
      </c>
      <c r="J1757" s="15">
        <f>OrdersTable!B1757</f>
        <v>541</v>
      </c>
      <c r="K1757" s="15" t="str">
        <f t="shared" si="601"/>
        <v>Giftware</v>
      </c>
      <c r="L1757" s="15" t="str">
        <f t="shared" si="602"/>
        <v>Doctor Who: Salt and Pepper Shakers: TARDIS</v>
      </c>
      <c r="M1757" s="15" t="str">
        <f t="shared" si="603"/>
        <v>-</v>
      </c>
      <c r="N1757" s="15">
        <f t="shared" si="604"/>
        <v>0.6</v>
      </c>
      <c r="O1757" s="15" t="str">
        <f t="shared" si="605"/>
        <v>A10</v>
      </c>
      <c r="P1757" s="15" t="str">
        <f t="shared" si="606"/>
        <v>Gallifrey International</v>
      </c>
      <c r="Q1757" s="15" t="str">
        <f t="shared" si="607"/>
        <v>181 Arcadia Street</v>
      </c>
      <c r="R1757" s="3">
        <f>OrdersTable!C1757</f>
        <v>44686</v>
      </c>
      <c r="S1757" s="15">
        <f>OrdersTable!E1757</f>
        <v>5</v>
      </c>
      <c r="T1757" s="15">
        <f t="shared" si="608"/>
        <v>11.99</v>
      </c>
      <c r="U1757" s="15">
        <f t="shared" si="609"/>
        <v>16.62</v>
      </c>
      <c r="V1757" s="15">
        <f t="shared" si="610"/>
        <v>19.420000000000002</v>
      </c>
      <c r="W1757" s="15">
        <f>IF(MarkupType="Store Markup",ROUND(V1757+V1757*StoreMarkup,2),IF(MarkupType="Supplier Markup",V1757+V1757*SupplierMarkup,"Error at finding value"))</f>
        <v>30.59</v>
      </c>
      <c r="X1757" s="32" t="str">
        <f t="shared" si="612"/>
        <v>0.00</v>
      </c>
      <c r="Y1757" s="15">
        <f t="shared" si="613"/>
        <v>97.1</v>
      </c>
      <c r="Z1757" s="15">
        <f t="shared" si="614"/>
        <v>152.94999999999999</v>
      </c>
      <c r="AA1757" s="15">
        <f>IF(FreightType="Lethbridge-Stewart Freight ",ROUND(2.99+IF(N1757&gt;0.75,(N1757-0.75)*2.25,0)*S1757,2),IF(MarkupType="Supplier Markup",V1757+V1757*SupplierMarkup,"Error at finding value"))</f>
        <v>2.99</v>
      </c>
      <c r="AB1757" s="15">
        <f t="shared" si="615"/>
        <v>0</v>
      </c>
    </row>
    <row r="1758" spans="1:28" x14ac:dyDescent="0.25">
      <c r="A1758" s="16">
        <f>OrdersTable!A1758</f>
        <v>585</v>
      </c>
      <c r="B1758" s="15" t="str">
        <f t="shared" si="595"/>
        <v>Miss</v>
      </c>
      <c r="C1758" s="15" t="str">
        <f t="shared" si="616"/>
        <v>Long</v>
      </c>
      <c r="D1758" s="15" t="str">
        <f t="shared" si="596"/>
        <v>Bellinda May</v>
      </c>
      <c r="E1758" s="15" t="str">
        <f t="shared" si="597"/>
        <v>5 Hutcheson Avenue</v>
      </c>
      <c r="F1758" s="15" t="str">
        <f t="shared" si="598"/>
        <v>Glenfern</v>
      </c>
      <c r="G1758" s="15" t="str">
        <f t="shared" si="599"/>
        <v>QLD</v>
      </c>
      <c r="H1758" s="15">
        <f t="shared" si="600"/>
        <v>4515</v>
      </c>
      <c r="I1758" s="15">
        <f t="shared" si="611"/>
        <v>128</v>
      </c>
      <c r="J1758" s="15">
        <f>OrdersTable!B1758</f>
        <v>726</v>
      </c>
      <c r="K1758" s="15" t="str">
        <f t="shared" si="601"/>
        <v>Props and Replicas</v>
      </c>
      <c r="L1758" s="15" t="str">
        <f t="shared" si="602"/>
        <v>Doctor Who: Dalek Death Ray</v>
      </c>
      <c r="M1758" s="15" t="str">
        <f t="shared" si="603"/>
        <v>-</v>
      </c>
      <c r="N1758" s="15">
        <f t="shared" si="604"/>
        <v>18</v>
      </c>
      <c r="O1758" s="15" t="str">
        <f t="shared" si="605"/>
        <v>A30</v>
      </c>
      <c r="P1758" s="15" t="str">
        <f t="shared" si="606"/>
        <v>Chesterton Enterprises</v>
      </c>
      <c r="Q1758" s="15" t="str">
        <f t="shared" si="607"/>
        <v>41 William Russell Road</v>
      </c>
      <c r="R1758" s="3">
        <f>OrdersTable!C1758</f>
        <v>44686</v>
      </c>
      <c r="S1758" s="15">
        <f>OrdersTable!E1758</f>
        <v>3</v>
      </c>
      <c r="T1758" s="15">
        <f t="shared" si="608"/>
        <v>359.99</v>
      </c>
      <c r="U1758" s="15">
        <f t="shared" si="609"/>
        <v>491.12</v>
      </c>
      <c r="V1758" s="15">
        <f t="shared" si="610"/>
        <v>583.17999999999995</v>
      </c>
      <c r="W1758" s="15">
        <f>IF(MarkupType="Store Markup",ROUND(V1758+V1758*StoreMarkup,2),IF(MarkupType="Supplier Markup",V1758+V1758*SupplierMarkup,"Error at finding value"))</f>
        <v>918.51</v>
      </c>
      <c r="X1758" s="32">
        <f t="shared" si="612"/>
        <v>65.44</v>
      </c>
      <c r="Y1758" s="15">
        <f t="shared" si="613"/>
        <v>1749.54</v>
      </c>
      <c r="Z1758" s="15">
        <f t="shared" si="614"/>
        <v>2559.21</v>
      </c>
      <c r="AA1758" s="15">
        <f>IF(FreightType="Lethbridge-Stewart Freight ",ROUND(2.99+IF(N1758&gt;0.75,(N1758-0.75)*2.25,0)*S1758,2),IF(MarkupType="Supplier Markup",V1758+V1758*SupplierMarkup,"Error at finding value"))</f>
        <v>119.43</v>
      </c>
      <c r="AB1758" s="15">
        <f t="shared" si="615"/>
        <v>196.32</v>
      </c>
    </row>
    <row r="1759" spans="1:28" x14ac:dyDescent="0.25">
      <c r="A1759" s="16">
        <f>OrdersTable!A1759</f>
        <v>600</v>
      </c>
      <c r="B1759" s="15" t="str">
        <f t="shared" si="595"/>
        <v>Dr</v>
      </c>
      <c r="C1759" s="15" t="str">
        <f t="shared" si="616"/>
        <v>McConnell</v>
      </c>
      <c r="D1759" s="15" t="str">
        <f t="shared" si="596"/>
        <v>Hannah Clair</v>
      </c>
      <c r="E1759" s="15" t="str">
        <f t="shared" si="597"/>
        <v>27 Mccarthy Circuit</v>
      </c>
      <c r="F1759" s="15" t="str">
        <f t="shared" si="598"/>
        <v>Ashford</v>
      </c>
      <c r="G1759" s="15" t="str">
        <f t="shared" si="599"/>
        <v>SA</v>
      </c>
      <c r="H1759" s="15">
        <f t="shared" si="600"/>
        <v>5035</v>
      </c>
      <c r="I1759" s="15">
        <f t="shared" si="611"/>
        <v>1877</v>
      </c>
      <c r="J1759" s="15">
        <f>OrdersTable!B1759</f>
        <v>810</v>
      </c>
      <c r="K1759" s="15" t="str">
        <f t="shared" si="601"/>
        <v>Statues and Busts</v>
      </c>
      <c r="L1759" s="15" t="str">
        <f t="shared" si="602"/>
        <v>Doctor Who: Masterpiece Collection Maxi Bust: Amy Pond</v>
      </c>
      <c r="M1759" s="15" t="str">
        <f t="shared" si="603"/>
        <v>-</v>
      </c>
      <c r="N1759" s="15">
        <f t="shared" si="604"/>
        <v>2.5</v>
      </c>
      <c r="O1759" s="15" t="str">
        <f t="shared" si="605"/>
        <v>A50</v>
      </c>
      <c r="P1759" s="15" t="str">
        <f t="shared" si="606"/>
        <v>Rassilon Ltd.</v>
      </c>
      <c r="Q1759" s="15" t="str">
        <f t="shared" si="607"/>
        <v>82 Richard Mathews Road</v>
      </c>
      <c r="R1759" s="3">
        <f>OrdersTable!C1759</f>
        <v>44686</v>
      </c>
      <c r="S1759" s="15">
        <f>OrdersTable!E1759</f>
        <v>3</v>
      </c>
      <c r="T1759" s="15">
        <f t="shared" si="608"/>
        <v>49.99</v>
      </c>
      <c r="U1759" s="15">
        <f t="shared" si="609"/>
        <v>68.260000000000005</v>
      </c>
      <c r="V1759" s="15">
        <f t="shared" si="610"/>
        <v>80.98</v>
      </c>
      <c r="W1759" s="15">
        <f>IF(MarkupType="Store Markup",ROUND(V1759+V1759*StoreMarkup,2),IF(MarkupType="Supplier Markup",V1759+V1759*SupplierMarkup,"Error at finding value"))</f>
        <v>127.54</v>
      </c>
      <c r="X1759" s="32">
        <f t="shared" si="612"/>
        <v>9.09</v>
      </c>
      <c r="Y1759" s="15">
        <f t="shared" si="613"/>
        <v>242.94</v>
      </c>
      <c r="Z1759" s="15">
        <f t="shared" si="614"/>
        <v>355.35</v>
      </c>
      <c r="AA1759" s="15">
        <f>IF(FreightType="Lethbridge-Stewart Freight ",ROUND(2.99+IF(N1759&gt;0.75,(N1759-0.75)*2.25,0)*S1759,2),IF(MarkupType="Supplier Markup",V1759+V1759*SupplierMarkup,"Error at finding value"))</f>
        <v>14.8</v>
      </c>
      <c r="AB1759" s="15">
        <f t="shared" si="615"/>
        <v>27.27</v>
      </c>
    </row>
    <row r="1760" spans="1:28" x14ac:dyDescent="0.25">
      <c r="A1760" s="16">
        <f>OrdersTable!A1760</f>
        <v>602</v>
      </c>
      <c r="B1760" s="15" t="str">
        <f t="shared" si="595"/>
        <v>Mr</v>
      </c>
      <c r="C1760" s="15" t="str">
        <f t="shared" si="616"/>
        <v>Spinelli</v>
      </c>
      <c r="D1760" s="15" t="str">
        <f t="shared" si="596"/>
        <v>Paul Walter</v>
      </c>
      <c r="E1760" s="15" t="str">
        <f t="shared" si="597"/>
        <v>35 Azar Drive</v>
      </c>
      <c r="F1760" s="15" t="str">
        <f t="shared" si="598"/>
        <v>Bray Park</v>
      </c>
      <c r="G1760" s="15" t="str">
        <f t="shared" si="599"/>
        <v>QLD</v>
      </c>
      <c r="H1760" s="15">
        <f t="shared" si="600"/>
        <v>4500</v>
      </c>
      <c r="I1760" s="15">
        <f t="shared" si="611"/>
        <v>139</v>
      </c>
      <c r="J1760" s="15">
        <f>OrdersTable!B1760</f>
        <v>582</v>
      </c>
      <c r="K1760" s="15" t="str">
        <f t="shared" si="601"/>
        <v>Giftware</v>
      </c>
      <c r="L1760" s="15" t="str">
        <f t="shared" si="602"/>
        <v>Doctor Who: Wallpaper: Classic TARDIS Roundels</v>
      </c>
      <c r="M1760" s="15" t="str">
        <f t="shared" si="603"/>
        <v>-</v>
      </c>
      <c r="N1760" s="15">
        <f t="shared" si="604"/>
        <v>1.75</v>
      </c>
      <c r="O1760" s="15" t="str">
        <f t="shared" si="605"/>
        <v>A40</v>
      </c>
      <c r="P1760" s="15" t="str">
        <f t="shared" si="606"/>
        <v>Romana Imports</v>
      </c>
      <c r="Q1760" s="15" t="str">
        <f t="shared" si="607"/>
        <v>17 Lalla Ward Road</v>
      </c>
      <c r="R1760" s="3">
        <f>OrdersTable!C1760</f>
        <v>44686</v>
      </c>
      <c r="S1760" s="15">
        <f>OrdersTable!E1760</f>
        <v>5</v>
      </c>
      <c r="T1760" s="15">
        <f t="shared" si="608"/>
        <v>34.99</v>
      </c>
      <c r="U1760" s="15">
        <f t="shared" si="609"/>
        <v>47.77</v>
      </c>
      <c r="V1760" s="15">
        <f t="shared" si="610"/>
        <v>56.68</v>
      </c>
      <c r="W1760" s="15">
        <f>IF(MarkupType="Store Markup",ROUND(V1760+V1760*StoreMarkup,2),IF(MarkupType="Supplier Markup",V1760+V1760*SupplierMarkup,"Error at finding value"))</f>
        <v>89.27</v>
      </c>
      <c r="X1760" s="32" t="str">
        <f t="shared" si="612"/>
        <v>0.00</v>
      </c>
      <c r="Y1760" s="15">
        <f t="shared" si="613"/>
        <v>283.39999999999998</v>
      </c>
      <c r="Z1760" s="15">
        <f t="shared" si="614"/>
        <v>446.35</v>
      </c>
      <c r="AA1760" s="15">
        <f>IF(FreightType="Lethbridge-Stewart Freight ",ROUND(2.99+IF(N1760&gt;0.75,(N1760-0.75)*2.25,0)*S1760,2),IF(MarkupType="Supplier Markup",V1760+V1760*SupplierMarkup,"Error at finding value"))</f>
        <v>14.24</v>
      </c>
      <c r="AB1760" s="15">
        <f t="shared" si="615"/>
        <v>0</v>
      </c>
    </row>
    <row r="1761" spans="1:28" x14ac:dyDescent="0.25">
      <c r="A1761" s="16">
        <f>OrdersTable!A1761</f>
        <v>643</v>
      </c>
      <c r="B1761" s="15" t="str">
        <f t="shared" si="595"/>
        <v>Ms</v>
      </c>
      <c r="C1761" s="15" t="str">
        <f t="shared" si="616"/>
        <v>Crispin-Purcell</v>
      </c>
      <c r="D1761" s="15" t="str">
        <f t="shared" si="596"/>
        <v>Gabriellen Elizabeth</v>
      </c>
      <c r="E1761" s="15" t="str">
        <f t="shared" si="597"/>
        <v>12 Williams Road</v>
      </c>
      <c r="F1761" s="15" t="str">
        <f t="shared" si="598"/>
        <v>Appletree Flat</v>
      </c>
      <c r="G1761" s="15" t="str">
        <f t="shared" si="599"/>
        <v>NSW</v>
      </c>
      <c r="H1761" s="15">
        <f t="shared" si="600"/>
        <v>2330</v>
      </c>
      <c r="I1761" s="15">
        <f t="shared" si="611"/>
        <v>691</v>
      </c>
      <c r="J1761" s="15">
        <f>OrdersTable!B1761</f>
        <v>711</v>
      </c>
      <c r="K1761" s="15" t="str">
        <f t="shared" si="601"/>
        <v>Posters, Prints and Standees</v>
      </c>
      <c r="L1761" s="15" t="str">
        <f t="shared" si="602"/>
        <v>Doctor Who: Poster: TARDIS Door Poster</v>
      </c>
      <c r="M1761" s="15" t="str">
        <f t="shared" si="603"/>
        <v>-</v>
      </c>
      <c r="N1761" s="15">
        <f t="shared" si="604"/>
        <v>0.3</v>
      </c>
      <c r="O1761" s="15" t="str">
        <f t="shared" si="605"/>
        <v>A20</v>
      </c>
      <c r="P1761" s="15" t="str">
        <f t="shared" si="606"/>
        <v>Morbius Inc.</v>
      </c>
      <c r="Q1761" s="15" t="str">
        <f t="shared" si="607"/>
        <v>56 Michael Spice Hwy</v>
      </c>
      <c r="R1761" s="3">
        <f>OrdersTable!C1761</f>
        <v>44686</v>
      </c>
      <c r="S1761" s="15">
        <f>OrdersTable!E1761</f>
        <v>4</v>
      </c>
      <c r="T1761" s="15">
        <f t="shared" si="608"/>
        <v>5.99</v>
      </c>
      <c r="U1761" s="15">
        <f t="shared" si="609"/>
        <v>8.41</v>
      </c>
      <c r="V1761" s="15">
        <f t="shared" si="610"/>
        <v>9.6999999999999993</v>
      </c>
      <c r="W1761" s="15">
        <f>IF(MarkupType="Store Markup",ROUND(V1761+V1761*StoreMarkup,2),IF(MarkupType="Supplier Markup",V1761+V1761*SupplierMarkup,"Error at finding value"))</f>
        <v>15.28</v>
      </c>
      <c r="X1761" s="32" t="str">
        <f t="shared" si="612"/>
        <v>0.00</v>
      </c>
      <c r="Y1761" s="15">
        <f t="shared" si="613"/>
        <v>38.799999999999997</v>
      </c>
      <c r="Z1761" s="15">
        <f t="shared" si="614"/>
        <v>61.12</v>
      </c>
      <c r="AA1761" s="15">
        <f>IF(FreightType="Lethbridge-Stewart Freight ",ROUND(2.99+IF(N1761&gt;0.75,(N1761-0.75)*2.25,0)*S1761,2),IF(MarkupType="Supplier Markup",V1761+V1761*SupplierMarkup,"Error at finding value"))</f>
        <v>2.99</v>
      </c>
      <c r="AB1761" s="15">
        <f t="shared" si="615"/>
        <v>0</v>
      </c>
    </row>
    <row r="1762" spans="1:28" x14ac:dyDescent="0.25">
      <c r="A1762" s="16">
        <f>OrdersTable!A1762</f>
        <v>758</v>
      </c>
      <c r="B1762" s="15" t="str">
        <f t="shared" si="595"/>
        <v>Mr</v>
      </c>
      <c r="C1762" s="15" t="str">
        <f t="shared" si="616"/>
        <v>Whitehorn</v>
      </c>
      <c r="D1762" s="15" t="str">
        <f t="shared" si="596"/>
        <v>James</v>
      </c>
      <c r="E1762" s="15" t="str">
        <f t="shared" si="597"/>
        <v>32 Raubenheimer Circuit</v>
      </c>
      <c r="F1762" s="15" t="str">
        <f t="shared" si="598"/>
        <v>Belconnen</v>
      </c>
      <c r="G1762" s="15" t="str">
        <f t="shared" si="599"/>
        <v>ACT</v>
      </c>
      <c r="H1762" s="15">
        <f t="shared" si="600"/>
        <v>2617</v>
      </c>
      <c r="I1762" s="15">
        <f t="shared" si="611"/>
        <v>1194</v>
      </c>
      <c r="J1762" s="15">
        <f>OrdersTable!B1762</f>
        <v>479</v>
      </c>
      <c r="K1762" s="15" t="str">
        <f t="shared" si="601"/>
        <v>Giftware</v>
      </c>
      <c r="L1762" s="15" t="str">
        <f t="shared" si="602"/>
        <v>Doctor Who: Keyring Dalek</v>
      </c>
      <c r="M1762" s="15" t="str">
        <f t="shared" si="603"/>
        <v>-</v>
      </c>
      <c r="N1762" s="15">
        <f t="shared" si="604"/>
        <v>0.25</v>
      </c>
      <c r="O1762" s="15" t="str">
        <f t="shared" si="605"/>
        <v>A10</v>
      </c>
      <c r="P1762" s="15" t="str">
        <f t="shared" si="606"/>
        <v>Gallifrey International</v>
      </c>
      <c r="Q1762" s="15" t="str">
        <f t="shared" si="607"/>
        <v>181 Arcadia Street</v>
      </c>
      <c r="R1762" s="3">
        <f>OrdersTable!C1762</f>
        <v>44686</v>
      </c>
      <c r="S1762" s="15">
        <f>OrdersTable!E1762</f>
        <v>2</v>
      </c>
      <c r="T1762" s="15">
        <f t="shared" si="608"/>
        <v>4.99</v>
      </c>
      <c r="U1762" s="15">
        <f t="shared" si="609"/>
        <v>6.86</v>
      </c>
      <c r="V1762" s="15">
        <f t="shared" si="610"/>
        <v>8.08</v>
      </c>
      <c r="W1762" s="15">
        <f>IF(MarkupType="Store Markup",ROUND(V1762+V1762*StoreMarkup,2),IF(MarkupType="Supplier Markup",V1762+V1762*SupplierMarkup,"Error at finding value"))</f>
        <v>12.73</v>
      </c>
      <c r="X1762" s="32" t="str">
        <f t="shared" si="612"/>
        <v>0.00</v>
      </c>
      <c r="Y1762" s="15">
        <f t="shared" si="613"/>
        <v>16.16</v>
      </c>
      <c r="Z1762" s="15">
        <f t="shared" si="614"/>
        <v>25.46</v>
      </c>
      <c r="AA1762" s="15">
        <f>IF(FreightType="Lethbridge-Stewart Freight ",ROUND(2.99+IF(N1762&gt;0.75,(N1762-0.75)*2.25,0)*S1762,2),IF(MarkupType="Supplier Markup",V1762+V1762*SupplierMarkup,"Error at finding value"))</f>
        <v>2.99</v>
      </c>
      <c r="AB1762" s="15">
        <f t="shared" si="615"/>
        <v>0</v>
      </c>
    </row>
    <row r="1763" spans="1:28" x14ac:dyDescent="0.25">
      <c r="A1763" s="16">
        <f>OrdersTable!A1763</f>
        <v>843</v>
      </c>
      <c r="B1763" s="15" t="str">
        <f t="shared" si="595"/>
        <v>Mr</v>
      </c>
      <c r="C1763" s="15" t="str">
        <f t="shared" si="616"/>
        <v>Goodwin</v>
      </c>
      <c r="D1763" s="15" t="str">
        <f t="shared" si="596"/>
        <v>Damon Joel</v>
      </c>
      <c r="E1763" s="15" t="str">
        <f t="shared" si="597"/>
        <v>40 Powell Boulevard</v>
      </c>
      <c r="F1763" s="15" t="str">
        <f t="shared" si="598"/>
        <v>Abington</v>
      </c>
      <c r="G1763" s="15" t="str">
        <f t="shared" si="599"/>
        <v>QLD</v>
      </c>
      <c r="H1763" s="15">
        <f t="shared" si="600"/>
        <v>4660</v>
      </c>
      <c r="I1763" s="15">
        <f t="shared" si="611"/>
        <v>336</v>
      </c>
      <c r="J1763" s="15">
        <f>OrdersTable!B1763</f>
        <v>582</v>
      </c>
      <c r="K1763" s="15" t="str">
        <f t="shared" si="601"/>
        <v>Giftware</v>
      </c>
      <c r="L1763" s="15" t="str">
        <f t="shared" si="602"/>
        <v>Doctor Who: Wallpaper: Classic TARDIS Roundels</v>
      </c>
      <c r="M1763" s="15" t="str">
        <f t="shared" si="603"/>
        <v>-</v>
      </c>
      <c r="N1763" s="15">
        <f t="shared" si="604"/>
        <v>1.75</v>
      </c>
      <c r="O1763" s="15" t="str">
        <f t="shared" si="605"/>
        <v>A40</v>
      </c>
      <c r="P1763" s="15" t="str">
        <f t="shared" si="606"/>
        <v>Romana Imports</v>
      </c>
      <c r="Q1763" s="15" t="str">
        <f t="shared" si="607"/>
        <v>17 Lalla Ward Road</v>
      </c>
      <c r="R1763" s="3">
        <f>OrdersTable!C1763</f>
        <v>44686</v>
      </c>
      <c r="S1763" s="15">
        <f>OrdersTable!E1763</f>
        <v>9</v>
      </c>
      <c r="T1763" s="15">
        <f t="shared" si="608"/>
        <v>34.99</v>
      </c>
      <c r="U1763" s="15">
        <f t="shared" si="609"/>
        <v>47.77</v>
      </c>
      <c r="V1763" s="15">
        <f t="shared" si="610"/>
        <v>56.68</v>
      </c>
      <c r="W1763" s="15">
        <f>IF(MarkupType="Store Markup",ROUND(V1763+V1763*StoreMarkup,2),IF(MarkupType="Supplier Markup",V1763+V1763*SupplierMarkup,"Error at finding value"))</f>
        <v>89.27</v>
      </c>
      <c r="X1763" s="32" t="str">
        <f t="shared" si="612"/>
        <v>0.00</v>
      </c>
      <c r="Y1763" s="15">
        <f t="shared" si="613"/>
        <v>510.12</v>
      </c>
      <c r="Z1763" s="15">
        <f t="shared" si="614"/>
        <v>803.43</v>
      </c>
      <c r="AA1763" s="15">
        <f>IF(FreightType="Lethbridge-Stewart Freight ",ROUND(2.99+IF(N1763&gt;0.75,(N1763-0.75)*2.25,0)*S1763,2),IF(MarkupType="Supplier Markup",V1763+V1763*SupplierMarkup,"Error at finding value"))</f>
        <v>23.24</v>
      </c>
      <c r="AB1763" s="15">
        <f t="shared" si="615"/>
        <v>0</v>
      </c>
    </row>
    <row r="1764" spans="1:28" x14ac:dyDescent="0.25">
      <c r="A1764" s="16">
        <f>OrdersTable!A1764</f>
        <v>66</v>
      </c>
      <c r="B1764" s="15" t="str">
        <f t="shared" si="595"/>
        <v>Mr</v>
      </c>
      <c r="C1764" s="15" t="str">
        <f t="shared" si="616"/>
        <v>Bachmann</v>
      </c>
      <c r="D1764" s="15" t="str">
        <f t="shared" si="596"/>
        <v>Aaron</v>
      </c>
      <c r="E1764" s="15" t="str">
        <f t="shared" si="597"/>
        <v>3 Csabai Avenue</v>
      </c>
      <c r="F1764" s="15" t="str">
        <f t="shared" si="598"/>
        <v>Bridgewater</v>
      </c>
      <c r="G1764" s="15" t="str">
        <f t="shared" si="599"/>
        <v>VIC</v>
      </c>
      <c r="H1764" s="15">
        <f t="shared" si="600"/>
        <v>3516</v>
      </c>
      <c r="I1764" s="15">
        <f t="shared" si="611"/>
        <v>1486</v>
      </c>
      <c r="J1764" s="15">
        <f>OrdersTable!B1764</f>
        <v>479</v>
      </c>
      <c r="K1764" s="15" t="str">
        <f t="shared" si="601"/>
        <v>Giftware</v>
      </c>
      <c r="L1764" s="15" t="str">
        <f t="shared" si="602"/>
        <v>Doctor Who: Keyring Dalek</v>
      </c>
      <c r="M1764" s="15" t="str">
        <f t="shared" si="603"/>
        <v>-</v>
      </c>
      <c r="N1764" s="15">
        <f t="shared" si="604"/>
        <v>0.25</v>
      </c>
      <c r="O1764" s="15" t="str">
        <f t="shared" si="605"/>
        <v>A10</v>
      </c>
      <c r="P1764" s="15" t="str">
        <f t="shared" si="606"/>
        <v>Gallifrey International</v>
      </c>
      <c r="Q1764" s="15" t="str">
        <f t="shared" si="607"/>
        <v>181 Arcadia Street</v>
      </c>
      <c r="R1764" s="3">
        <f>OrdersTable!C1764</f>
        <v>44687</v>
      </c>
      <c r="S1764" s="15">
        <f>OrdersTable!E1764</f>
        <v>8</v>
      </c>
      <c r="T1764" s="15">
        <f t="shared" si="608"/>
        <v>4.99</v>
      </c>
      <c r="U1764" s="15">
        <f t="shared" si="609"/>
        <v>6.86</v>
      </c>
      <c r="V1764" s="15">
        <f t="shared" si="610"/>
        <v>8.08</v>
      </c>
      <c r="W1764" s="15">
        <f>IF(MarkupType="Store Markup",ROUND(V1764+V1764*StoreMarkup,2),IF(MarkupType="Supplier Markup",V1764+V1764*SupplierMarkup,"Error at finding value"))</f>
        <v>12.73</v>
      </c>
      <c r="X1764" s="32" t="str">
        <f t="shared" si="612"/>
        <v>0.00</v>
      </c>
      <c r="Y1764" s="15">
        <f t="shared" si="613"/>
        <v>64.64</v>
      </c>
      <c r="Z1764" s="15">
        <f t="shared" si="614"/>
        <v>101.84</v>
      </c>
      <c r="AA1764" s="15">
        <f>IF(FreightType="Lethbridge-Stewart Freight ",ROUND(2.99+IF(N1764&gt;0.75,(N1764-0.75)*2.25,0)*S1764,2),IF(MarkupType="Supplier Markup",V1764+V1764*SupplierMarkup,"Error at finding value"))</f>
        <v>2.99</v>
      </c>
      <c r="AB1764" s="15">
        <f t="shared" si="615"/>
        <v>0</v>
      </c>
    </row>
    <row r="1765" spans="1:28" x14ac:dyDescent="0.25">
      <c r="A1765" s="16">
        <f>OrdersTable!A1765</f>
        <v>146</v>
      </c>
      <c r="B1765" s="15" t="str">
        <f t="shared" si="595"/>
        <v>Miss</v>
      </c>
      <c r="C1765" s="15" t="str">
        <f t="shared" si="616"/>
        <v>Brown</v>
      </c>
      <c r="D1765" s="15" t="str">
        <f t="shared" si="596"/>
        <v>Sarah Danielle</v>
      </c>
      <c r="E1765" s="15" t="str">
        <f t="shared" si="597"/>
        <v>50 Brieschke Court</v>
      </c>
      <c r="F1765" s="15" t="str">
        <f t="shared" si="598"/>
        <v>Bray Park</v>
      </c>
      <c r="G1765" s="15" t="str">
        <f t="shared" si="599"/>
        <v>QLD</v>
      </c>
      <c r="H1765" s="15">
        <f t="shared" si="600"/>
        <v>4500</v>
      </c>
      <c r="I1765" s="15">
        <f t="shared" si="611"/>
        <v>139</v>
      </c>
      <c r="J1765" s="15">
        <f>OrdersTable!B1765</f>
        <v>186</v>
      </c>
      <c r="K1765" s="15" t="str">
        <f t="shared" si="601"/>
        <v>Bobbleheads</v>
      </c>
      <c r="L1765" s="15" t="str">
        <f t="shared" si="602"/>
        <v>Doctor Who: Monitor Mate: 50th Anniversary Original TARDIS</v>
      </c>
      <c r="M1765" s="15" t="str">
        <f t="shared" si="603"/>
        <v>-</v>
      </c>
      <c r="N1765" s="15">
        <f t="shared" si="604"/>
        <v>0.45</v>
      </c>
      <c r="O1765" s="15" t="str">
        <f t="shared" si="605"/>
        <v>A20</v>
      </c>
      <c r="P1765" s="15" t="str">
        <f t="shared" si="606"/>
        <v>Morbius Inc.</v>
      </c>
      <c r="Q1765" s="15" t="str">
        <f t="shared" si="607"/>
        <v>56 Michael Spice Hwy</v>
      </c>
      <c r="R1765" s="3">
        <f>OrdersTable!C1765</f>
        <v>44687</v>
      </c>
      <c r="S1765" s="15">
        <f>OrdersTable!E1765</f>
        <v>8</v>
      </c>
      <c r="T1765" s="15">
        <f t="shared" si="608"/>
        <v>8.99</v>
      </c>
      <c r="U1765" s="15">
        <f t="shared" si="609"/>
        <v>12.46</v>
      </c>
      <c r="V1765" s="15">
        <f t="shared" si="610"/>
        <v>14.56</v>
      </c>
      <c r="W1765" s="15">
        <f>IF(MarkupType="Store Markup",ROUND(V1765+V1765*StoreMarkup,2),IF(MarkupType="Supplier Markup",V1765+V1765*SupplierMarkup,"Error at finding value"))</f>
        <v>22.93</v>
      </c>
      <c r="X1765" s="32" t="str">
        <f t="shared" si="612"/>
        <v>0.00</v>
      </c>
      <c r="Y1765" s="15">
        <f t="shared" si="613"/>
        <v>116.48</v>
      </c>
      <c r="Z1765" s="15">
        <f t="shared" si="614"/>
        <v>183.44</v>
      </c>
      <c r="AA1765" s="15">
        <f>IF(FreightType="Lethbridge-Stewart Freight ",ROUND(2.99+IF(N1765&gt;0.75,(N1765-0.75)*2.25,0)*S1765,2),IF(MarkupType="Supplier Markup",V1765+V1765*SupplierMarkup,"Error at finding value"))</f>
        <v>2.99</v>
      </c>
      <c r="AB1765" s="15">
        <f t="shared" si="615"/>
        <v>0</v>
      </c>
    </row>
    <row r="1766" spans="1:28" x14ac:dyDescent="0.25">
      <c r="A1766" s="16">
        <f>OrdersTable!A1766</f>
        <v>200</v>
      </c>
      <c r="B1766" s="15" t="str">
        <f t="shared" si="595"/>
        <v>Ms</v>
      </c>
      <c r="C1766" s="15" t="str">
        <f t="shared" si="616"/>
        <v>Barton</v>
      </c>
      <c r="D1766" s="15" t="str">
        <f t="shared" si="596"/>
        <v>Kimberley</v>
      </c>
      <c r="E1766" s="15" t="str">
        <f t="shared" si="597"/>
        <v>9 Decuyper Road</v>
      </c>
      <c r="F1766" s="15" t="str">
        <f t="shared" si="598"/>
        <v>Ashford</v>
      </c>
      <c r="G1766" s="15" t="str">
        <f t="shared" si="599"/>
        <v>SA</v>
      </c>
      <c r="H1766" s="15">
        <f t="shared" si="600"/>
        <v>5035</v>
      </c>
      <c r="I1766" s="15">
        <f t="shared" si="611"/>
        <v>1877</v>
      </c>
      <c r="J1766" s="15">
        <f>OrdersTable!B1766</f>
        <v>709</v>
      </c>
      <c r="K1766" s="15" t="str">
        <f t="shared" si="601"/>
        <v>Posters, Prints and Standees</v>
      </c>
      <c r="L1766" s="15" t="str">
        <f t="shared" si="602"/>
        <v>Doctor Who: Poster: Metallic TARDIS</v>
      </c>
      <c r="M1766" s="15" t="str">
        <f t="shared" si="603"/>
        <v>-</v>
      </c>
      <c r="N1766" s="15">
        <f t="shared" si="604"/>
        <v>0.2</v>
      </c>
      <c r="O1766" s="15" t="str">
        <f t="shared" si="605"/>
        <v>A10</v>
      </c>
      <c r="P1766" s="15" t="str">
        <f t="shared" si="606"/>
        <v>Gallifrey International</v>
      </c>
      <c r="Q1766" s="15" t="str">
        <f t="shared" si="607"/>
        <v>181 Arcadia Street</v>
      </c>
      <c r="R1766" s="3">
        <f>OrdersTable!C1766</f>
        <v>44687</v>
      </c>
      <c r="S1766" s="15">
        <f>OrdersTable!E1766</f>
        <v>10</v>
      </c>
      <c r="T1766" s="15">
        <f t="shared" si="608"/>
        <v>3.99</v>
      </c>
      <c r="U1766" s="15">
        <f t="shared" si="609"/>
        <v>5.71</v>
      </c>
      <c r="V1766" s="15">
        <f t="shared" si="610"/>
        <v>6.46</v>
      </c>
      <c r="W1766" s="15">
        <f>IF(MarkupType="Store Markup",ROUND(V1766+V1766*StoreMarkup,2),IF(MarkupType="Supplier Markup",V1766+V1766*SupplierMarkup,"Error at finding value"))</f>
        <v>10.17</v>
      </c>
      <c r="X1766" s="32" t="str">
        <f t="shared" si="612"/>
        <v>0.00</v>
      </c>
      <c r="Y1766" s="15">
        <f t="shared" si="613"/>
        <v>64.599999999999994</v>
      </c>
      <c r="Z1766" s="15">
        <f t="shared" si="614"/>
        <v>101.7</v>
      </c>
      <c r="AA1766" s="15">
        <f>IF(FreightType="Lethbridge-Stewart Freight ",ROUND(2.99+IF(N1766&gt;0.75,(N1766-0.75)*2.25,0)*S1766,2),IF(MarkupType="Supplier Markup",V1766+V1766*SupplierMarkup,"Error at finding value"))</f>
        <v>2.99</v>
      </c>
      <c r="AB1766" s="15">
        <f t="shared" si="615"/>
        <v>0</v>
      </c>
    </row>
    <row r="1767" spans="1:28" x14ac:dyDescent="0.25">
      <c r="A1767" s="16">
        <f>OrdersTable!A1767</f>
        <v>226</v>
      </c>
      <c r="B1767" s="15" t="str">
        <f t="shared" si="595"/>
        <v>Ms</v>
      </c>
      <c r="C1767" s="15" t="str">
        <f t="shared" si="616"/>
        <v>Stewart</v>
      </c>
      <c r="D1767" s="15" t="str">
        <f t="shared" si="596"/>
        <v>Jodi Louise</v>
      </c>
      <c r="E1767" s="15" t="str">
        <f t="shared" si="597"/>
        <v>33 Abington Court</v>
      </c>
      <c r="F1767" s="15" t="str">
        <f t="shared" si="598"/>
        <v>Iluka</v>
      </c>
      <c r="G1767" s="15" t="str">
        <f t="shared" si="599"/>
        <v>NSW</v>
      </c>
      <c r="H1767" s="15">
        <f t="shared" si="600"/>
        <v>2466</v>
      </c>
      <c r="I1767" s="15">
        <f t="shared" si="611"/>
        <v>347</v>
      </c>
      <c r="J1767" s="15">
        <f>OrdersTable!B1767</f>
        <v>810</v>
      </c>
      <c r="K1767" s="15" t="str">
        <f t="shared" si="601"/>
        <v>Statues and Busts</v>
      </c>
      <c r="L1767" s="15" t="str">
        <f t="shared" si="602"/>
        <v>Doctor Who: Masterpiece Collection Maxi Bust: Amy Pond</v>
      </c>
      <c r="M1767" s="15" t="str">
        <f t="shared" si="603"/>
        <v>-</v>
      </c>
      <c r="N1767" s="15">
        <f t="shared" si="604"/>
        <v>2.5</v>
      </c>
      <c r="O1767" s="15" t="str">
        <f t="shared" si="605"/>
        <v>A50</v>
      </c>
      <c r="P1767" s="15" t="str">
        <f t="shared" si="606"/>
        <v>Rassilon Ltd.</v>
      </c>
      <c r="Q1767" s="15" t="str">
        <f t="shared" si="607"/>
        <v>82 Richard Mathews Road</v>
      </c>
      <c r="R1767" s="3">
        <f>OrdersTable!C1767</f>
        <v>44687</v>
      </c>
      <c r="S1767" s="15">
        <f>OrdersTable!E1767</f>
        <v>9</v>
      </c>
      <c r="T1767" s="15">
        <f t="shared" si="608"/>
        <v>49.99</v>
      </c>
      <c r="U1767" s="15">
        <f t="shared" si="609"/>
        <v>68.260000000000005</v>
      </c>
      <c r="V1767" s="15">
        <f t="shared" si="610"/>
        <v>80.98</v>
      </c>
      <c r="W1767" s="15">
        <f>IF(MarkupType="Store Markup",ROUND(V1767+V1767*StoreMarkup,2),IF(MarkupType="Supplier Markup",V1767+V1767*SupplierMarkup,"Error at finding value"))</f>
        <v>127.54</v>
      </c>
      <c r="X1767" s="32">
        <f t="shared" si="612"/>
        <v>9.09</v>
      </c>
      <c r="Y1767" s="15">
        <f t="shared" si="613"/>
        <v>728.82</v>
      </c>
      <c r="Z1767" s="15">
        <f t="shared" si="614"/>
        <v>1066.05</v>
      </c>
      <c r="AA1767" s="15">
        <f>IF(FreightType="Lethbridge-Stewart Freight ",ROUND(2.99+IF(N1767&gt;0.75,(N1767-0.75)*2.25,0)*S1767,2),IF(MarkupType="Supplier Markup",V1767+V1767*SupplierMarkup,"Error at finding value"))</f>
        <v>38.43</v>
      </c>
      <c r="AB1767" s="15">
        <f t="shared" si="615"/>
        <v>81.81</v>
      </c>
    </row>
    <row r="1768" spans="1:28" x14ac:dyDescent="0.25">
      <c r="A1768" s="16">
        <f>OrdersTable!A1768</f>
        <v>323</v>
      </c>
      <c r="B1768" s="15" t="str">
        <f t="shared" si="595"/>
        <v>Dr</v>
      </c>
      <c r="C1768" s="15" t="str">
        <f t="shared" si="616"/>
        <v>King</v>
      </c>
      <c r="D1768" s="15" t="str">
        <f t="shared" si="596"/>
        <v>Leith</v>
      </c>
      <c r="E1768" s="15" t="str">
        <f t="shared" si="597"/>
        <v>25 Carbone Court</v>
      </c>
      <c r="F1768" s="15" t="str">
        <f t="shared" si="598"/>
        <v>Nayook</v>
      </c>
      <c r="G1768" s="15" t="str">
        <f t="shared" si="599"/>
        <v>VIC</v>
      </c>
      <c r="H1768" s="15">
        <f t="shared" si="600"/>
        <v>3832</v>
      </c>
      <c r="I1768" s="15">
        <f t="shared" si="611"/>
        <v>1552</v>
      </c>
      <c r="J1768" s="15">
        <f>OrdersTable!B1768</f>
        <v>813</v>
      </c>
      <c r="K1768" s="15" t="str">
        <f t="shared" si="601"/>
        <v>Statues and Busts</v>
      </c>
      <c r="L1768" s="15" t="str">
        <f t="shared" si="602"/>
        <v>Doctor Who: Masterpiece Collection Maxi Bust: Leela</v>
      </c>
      <c r="M1768" s="15" t="str">
        <f t="shared" si="603"/>
        <v>-</v>
      </c>
      <c r="N1768" s="15">
        <f t="shared" si="604"/>
        <v>2.5</v>
      </c>
      <c r="O1768" s="15" t="str">
        <f t="shared" si="605"/>
        <v>A30</v>
      </c>
      <c r="P1768" s="15" t="str">
        <f t="shared" si="606"/>
        <v>Chesterton Enterprises</v>
      </c>
      <c r="Q1768" s="15" t="str">
        <f t="shared" si="607"/>
        <v>41 William Russell Road</v>
      </c>
      <c r="R1768" s="3">
        <f>OrdersTable!C1768</f>
        <v>44687</v>
      </c>
      <c r="S1768" s="15">
        <f>OrdersTable!E1768</f>
        <v>2</v>
      </c>
      <c r="T1768" s="15">
        <f t="shared" si="608"/>
        <v>49.99</v>
      </c>
      <c r="U1768" s="15">
        <f t="shared" si="609"/>
        <v>68.319999999999993</v>
      </c>
      <c r="V1768" s="15">
        <f t="shared" si="610"/>
        <v>80.98</v>
      </c>
      <c r="W1768" s="15">
        <f>IF(MarkupType="Store Markup",ROUND(V1768+V1768*StoreMarkup,2),IF(MarkupType="Supplier Markup",V1768+V1768*SupplierMarkup,"Error at finding value"))</f>
        <v>127.54</v>
      </c>
      <c r="X1768" s="32" t="str">
        <f t="shared" si="612"/>
        <v>0.00</v>
      </c>
      <c r="Y1768" s="15">
        <f t="shared" si="613"/>
        <v>161.96</v>
      </c>
      <c r="Z1768" s="15">
        <f t="shared" si="614"/>
        <v>255.08</v>
      </c>
      <c r="AA1768" s="15">
        <f>IF(FreightType="Lethbridge-Stewart Freight ",ROUND(2.99+IF(N1768&gt;0.75,(N1768-0.75)*2.25,0)*S1768,2),IF(MarkupType="Supplier Markup",V1768+V1768*SupplierMarkup,"Error at finding value"))</f>
        <v>10.87</v>
      </c>
      <c r="AB1768" s="15">
        <f t="shared" si="615"/>
        <v>0</v>
      </c>
    </row>
    <row r="1769" spans="1:28" x14ac:dyDescent="0.25">
      <c r="A1769" s="16">
        <f>OrdersTable!A1769</f>
        <v>328</v>
      </c>
      <c r="B1769" s="15" t="str">
        <f t="shared" si="595"/>
        <v>Dr</v>
      </c>
      <c r="C1769" s="15" t="str">
        <f t="shared" si="616"/>
        <v>Ward</v>
      </c>
      <c r="D1769" s="15" t="str">
        <f t="shared" si="596"/>
        <v>Keiren Nicholas</v>
      </c>
      <c r="E1769" s="15" t="str">
        <f t="shared" si="597"/>
        <v>13 Green Crescent</v>
      </c>
      <c r="F1769" s="15" t="str">
        <f t="shared" si="598"/>
        <v>Breakwater</v>
      </c>
      <c r="G1769" s="15" t="str">
        <f t="shared" si="599"/>
        <v>VIC</v>
      </c>
      <c r="H1769" s="15">
        <f t="shared" si="600"/>
        <v>3219</v>
      </c>
      <c r="I1769" s="15">
        <f t="shared" si="611"/>
        <v>1596</v>
      </c>
      <c r="J1769" s="15">
        <f>OrdersTable!B1769</f>
        <v>580</v>
      </c>
      <c r="K1769" s="15" t="str">
        <f t="shared" si="601"/>
        <v>Giftware</v>
      </c>
      <c r="L1769" s="15" t="str">
        <f t="shared" si="602"/>
        <v>Doctor Who: Wallpaper: Classic TARDIS Columns</v>
      </c>
      <c r="M1769" s="15" t="str">
        <f t="shared" si="603"/>
        <v>-</v>
      </c>
      <c r="N1769" s="15">
        <f t="shared" si="604"/>
        <v>0.65500000000000003</v>
      </c>
      <c r="O1769" s="15" t="str">
        <f t="shared" si="605"/>
        <v>A50</v>
      </c>
      <c r="P1769" s="15" t="str">
        <f t="shared" si="606"/>
        <v>Rassilon Ltd.</v>
      </c>
      <c r="Q1769" s="15" t="str">
        <f t="shared" si="607"/>
        <v>82 Richard Mathews Road</v>
      </c>
      <c r="R1769" s="3">
        <f>OrdersTable!C1769</f>
        <v>44687</v>
      </c>
      <c r="S1769" s="15">
        <f>OrdersTable!E1769</f>
        <v>1</v>
      </c>
      <c r="T1769" s="15">
        <f t="shared" si="608"/>
        <v>13.11</v>
      </c>
      <c r="U1769" s="15">
        <f t="shared" si="609"/>
        <v>18.18</v>
      </c>
      <c r="V1769" s="15">
        <f t="shared" si="610"/>
        <v>21.24</v>
      </c>
      <c r="W1769" s="15">
        <f>IF(MarkupType="Store Markup",ROUND(V1769+V1769*StoreMarkup,2),IF(MarkupType="Supplier Markup",V1769+V1769*SupplierMarkup,"Error at finding value"))</f>
        <v>33.450000000000003</v>
      </c>
      <c r="X1769" s="32" t="str">
        <f t="shared" si="612"/>
        <v>0.00</v>
      </c>
      <c r="Y1769" s="15">
        <f t="shared" si="613"/>
        <v>21.24</v>
      </c>
      <c r="Z1769" s="15">
        <f t="shared" si="614"/>
        <v>33.450000000000003</v>
      </c>
      <c r="AA1769" s="15">
        <f>IF(FreightType="Lethbridge-Stewart Freight ",ROUND(2.99+IF(N1769&gt;0.75,(N1769-0.75)*2.25,0)*S1769,2),IF(MarkupType="Supplier Markup",V1769+V1769*SupplierMarkup,"Error at finding value"))</f>
        <v>2.99</v>
      </c>
      <c r="AB1769" s="15">
        <f t="shared" si="615"/>
        <v>0</v>
      </c>
    </row>
    <row r="1770" spans="1:28" x14ac:dyDescent="0.25">
      <c r="A1770" s="16">
        <f>OrdersTable!A1770</f>
        <v>467</v>
      </c>
      <c r="B1770" s="15" t="str">
        <f t="shared" si="595"/>
        <v>Mrs</v>
      </c>
      <c r="C1770" s="15" t="str">
        <f t="shared" si="616"/>
        <v>Daniell</v>
      </c>
      <c r="D1770" s="15" t="str">
        <f t="shared" si="596"/>
        <v>Bronte Eliza</v>
      </c>
      <c r="E1770" s="15" t="str">
        <f t="shared" si="597"/>
        <v>41 Wilson Boulevard</v>
      </c>
      <c r="F1770" s="15" t="str">
        <f t="shared" si="598"/>
        <v>Aberfoyle</v>
      </c>
      <c r="G1770" s="15" t="str">
        <f t="shared" si="599"/>
        <v>NSW</v>
      </c>
      <c r="H1770" s="15">
        <f t="shared" si="600"/>
        <v>2350</v>
      </c>
      <c r="I1770" s="15">
        <f t="shared" si="611"/>
        <v>363</v>
      </c>
      <c r="J1770" s="15">
        <f>OrdersTable!B1770</f>
        <v>826</v>
      </c>
      <c r="K1770" s="15" t="str">
        <f t="shared" si="601"/>
        <v>Statues and Busts</v>
      </c>
      <c r="L1770" s="15" t="str">
        <f t="shared" si="602"/>
        <v>Doctor Who: Mini Bust: Cyberman</v>
      </c>
      <c r="M1770" s="15" t="str">
        <f t="shared" si="603"/>
        <v>-</v>
      </c>
      <c r="N1770" s="15">
        <f t="shared" si="604"/>
        <v>1.8</v>
      </c>
      <c r="O1770" s="15" t="str">
        <f t="shared" si="605"/>
        <v>A40</v>
      </c>
      <c r="P1770" s="15" t="str">
        <f t="shared" si="606"/>
        <v>Romana Imports</v>
      </c>
      <c r="Q1770" s="15" t="str">
        <f t="shared" si="607"/>
        <v>17 Lalla Ward Road</v>
      </c>
      <c r="R1770" s="3">
        <f>OrdersTable!C1770</f>
        <v>44687</v>
      </c>
      <c r="S1770" s="15">
        <f>OrdersTable!E1770</f>
        <v>1</v>
      </c>
      <c r="T1770" s="15">
        <f t="shared" si="608"/>
        <v>35.99</v>
      </c>
      <c r="U1770" s="15">
        <f t="shared" si="609"/>
        <v>49.13</v>
      </c>
      <c r="V1770" s="15">
        <f t="shared" si="610"/>
        <v>58.3</v>
      </c>
      <c r="W1770" s="15">
        <f>IF(MarkupType="Store Markup",ROUND(V1770+V1770*StoreMarkup,2),IF(MarkupType="Supplier Markup",V1770+V1770*SupplierMarkup,"Error at finding value"))</f>
        <v>91.82</v>
      </c>
      <c r="X1770" s="32" t="str">
        <f t="shared" si="612"/>
        <v>0.00</v>
      </c>
      <c r="Y1770" s="15">
        <f t="shared" si="613"/>
        <v>58.3</v>
      </c>
      <c r="Z1770" s="15">
        <f t="shared" si="614"/>
        <v>91.82</v>
      </c>
      <c r="AA1770" s="15">
        <f>IF(FreightType="Lethbridge-Stewart Freight ",ROUND(2.99+IF(N1770&gt;0.75,(N1770-0.75)*2.25,0)*S1770,2),IF(MarkupType="Supplier Markup",V1770+V1770*SupplierMarkup,"Error at finding value"))</f>
        <v>5.35</v>
      </c>
      <c r="AB1770" s="15">
        <f t="shared" si="615"/>
        <v>0</v>
      </c>
    </row>
    <row r="1771" spans="1:28" x14ac:dyDescent="0.25">
      <c r="A1771" s="16">
        <f>OrdersTable!A1771</f>
        <v>468</v>
      </c>
      <c r="B1771" s="15" t="str">
        <f t="shared" si="595"/>
        <v>Mrs</v>
      </c>
      <c r="C1771" s="15" t="str">
        <f t="shared" si="616"/>
        <v>Van Essen</v>
      </c>
      <c r="D1771" s="15" t="str">
        <f t="shared" si="596"/>
        <v>Bianca Jane</v>
      </c>
      <c r="E1771" s="15" t="str">
        <f t="shared" si="597"/>
        <v>47 Ward Circuit</v>
      </c>
      <c r="F1771" s="15" t="str">
        <f t="shared" si="598"/>
        <v>Batlow</v>
      </c>
      <c r="G1771" s="15" t="str">
        <f t="shared" si="599"/>
        <v>NSW</v>
      </c>
      <c r="H1771" s="15">
        <f t="shared" si="600"/>
        <v>2730</v>
      </c>
      <c r="I1771" s="15">
        <f t="shared" si="611"/>
        <v>1138</v>
      </c>
      <c r="J1771" s="15">
        <f>OrdersTable!B1771</f>
        <v>219</v>
      </c>
      <c r="K1771" s="15" t="str">
        <f t="shared" si="601"/>
        <v>Clothing and Apparel</v>
      </c>
      <c r="L1771" s="15" t="str">
        <f t="shared" si="602"/>
        <v>Doctor Who: Men's Winter Pyjamas</v>
      </c>
      <c r="M1771" s="15" t="str">
        <f t="shared" si="603"/>
        <v>M</v>
      </c>
      <c r="N1771" s="15">
        <f t="shared" si="604"/>
        <v>1.5</v>
      </c>
      <c r="O1771" s="15" t="str">
        <f t="shared" si="605"/>
        <v>A40</v>
      </c>
      <c r="P1771" s="15" t="str">
        <f t="shared" si="606"/>
        <v>Romana Imports</v>
      </c>
      <c r="Q1771" s="15" t="str">
        <f t="shared" si="607"/>
        <v>17 Lalla Ward Road</v>
      </c>
      <c r="R1771" s="3">
        <f>OrdersTable!C1771</f>
        <v>44687</v>
      </c>
      <c r="S1771" s="15">
        <f>OrdersTable!E1771</f>
        <v>4</v>
      </c>
      <c r="T1771" s="15">
        <f t="shared" si="608"/>
        <v>29.99</v>
      </c>
      <c r="U1771" s="15">
        <f t="shared" si="609"/>
        <v>41.24</v>
      </c>
      <c r="V1771" s="15">
        <f t="shared" si="610"/>
        <v>48.58</v>
      </c>
      <c r="W1771" s="15">
        <f>IF(MarkupType="Store Markup",ROUND(V1771+V1771*StoreMarkup,2),IF(MarkupType="Supplier Markup",V1771+V1771*SupplierMarkup,"Error at finding value"))</f>
        <v>76.510000000000005</v>
      </c>
      <c r="X1771" s="32" t="str">
        <f t="shared" si="612"/>
        <v>0.00</v>
      </c>
      <c r="Y1771" s="15">
        <f t="shared" si="613"/>
        <v>194.32</v>
      </c>
      <c r="Z1771" s="15">
        <f t="shared" si="614"/>
        <v>306.04000000000002</v>
      </c>
      <c r="AA1771" s="15">
        <f>IF(FreightType="Lethbridge-Stewart Freight ",ROUND(2.99+IF(N1771&gt;0.75,(N1771-0.75)*2.25,0)*S1771,2),IF(MarkupType="Supplier Markup",V1771+V1771*SupplierMarkup,"Error at finding value"))</f>
        <v>9.74</v>
      </c>
      <c r="AB1771" s="15">
        <f t="shared" si="615"/>
        <v>0</v>
      </c>
    </row>
    <row r="1772" spans="1:28" x14ac:dyDescent="0.25">
      <c r="A1772" s="16">
        <f>OrdersTable!A1772</f>
        <v>474</v>
      </c>
      <c r="B1772" s="15" t="str">
        <f t="shared" si="595"/>
        <v>Mr</v>
      </c>
      <c r="C1772" s="15" t="str">
        <f t="shared" si="616"/>
        <v>Jooste</v>
      </c>
      <c r="D1772" s="15" t="str">
        <f t="shared" si="596"/>
        <v>Nicholas</v>
      </c>
      <c r="E1772" s="15" t="str">
        <f t="shared" si="597"/>
        <v>32 Dover Road</v>
      </c>
      <c r="F1772" s="15" t="str">
        <f t="shared" si="598"/>
        <v>Belford</v>
      </c>
      <c r="G1772" s="15" t="str">
        <f t="shared" si="599"/>
        <v>NSW</v>
      </c>
      <c r="H1772" s="15">
        <f t="shared" si="600"/>
        <v>2335</v>
      </c>
      <c r="I1772" s="15">
        <f t="shared" si="611"/>
        <v>716</v>
      </c>
      <c r="J1772" s="15">
        <f>OrdersTable!B1772</f>
        <v>699</v>
      </c>
      <c r="K1772" s="15" t="str">
        <f t="shared" si="601"/>
        <v>Posters, Prints and Standees</v>
      </c>
      <c r="L1772" s="15" t="str">
        <f t="shared" si="602"/>
        <v>Doctor Who: Half Sized Standee: The Master</v>
      </c>
      <c r="M1772" s="15" t="str">
        <f t="shared" si="603"/>
        <v>-</v>
      </c>
      <c r="N1772" s="15">
        <f t="shared" si="604"/>
        <v>0.5</v>
      </c>
      <c r="O1772" s="15" t="str">
        <f t="shared" si="605"/>
        <v>A20</v>
      </c>
      <c r="P1772" s="15" t="str">
        <f t="shared" si="606"/>
        <v>Morbius Inc.</v>
      </c>
      <c r="Q1772" s="15" t="str">
        <f t="shared" si="607"/>
        <v>56 Michael Spice Hwy</v>
      </c>
      <c r="R1772" s="3">
        <f>OrdersTable!C1772</f>
        <v>44687</v>
      </c>
      <c r="S1772" s="15">
        <f>OrdersTable!E1772</f>
        <v>3</v>
      </c>
      <c r="T1772" s="15">
        <f t="shared" si="608"/>
        <v>9.99</v>
      </c>
      <c r="U1772" s="15">
        <f t="shared" si="609"/>
        <v>13.79</v>
      </c>
      <c r="V1772" s="15">
        <f t="shared" si="610"/>
        <v>16.18</v>
      </c>
      <c r="W1772" s="15">
        <f>IF(MarkupType="Store Markup",ROUND(V1772+V1772*StoreMarkup,2),IF(MarkupType="Supplier Markup",V1772+V1772*SupplierMarkup,"Error at finding value"))</f>
        <v>25.48</v>
      </c>
      <c r="X1772" s="32" t="str">
        <f t="shared" si="612"/>
        <v>0.00</v>
      </c>
      <c r="Y1772" s="15">
        <f t="shared" si="613"/>
        <v>48.54</v>
      </c>
      <c r="Z1772" s="15">
        <f t="shared" si="614"/>
        <v>76.44</v>
      </c>
      <c r="AA1772" s="15">
        <f>IF(FreightType="Lethbridge-Stewart Freight ",ROUND(2.99+IF(N1772&gt;0.75,(N1772-0.75)*2.25,0)*S1772,2),IF(MarkupType="Supplier Markup",V1772+V1772*SupplierMarkup,"Error at finding value"))</f>
        <v>2.99</v>
      </c>
      <c r="AB1772" s="15">
        <f t="shared" si="615"/>
        <v>0</v>
      </c>
    </row>
    <row r="1773" spans="1:28" x14ac:dyDescent="0.25">
      <c r="A1773" s="16">
        <f>OrdersTable!A1773</f>
        <v>526</v>
      </c>
      <c r="B1773" s="15" t="str">
        <f t="shared" si="595"/>
        <v>Mrs</v>
      </c>
      <c r="C1773" s="15" t="str">
        <f t="shared" si="616"/>
        <v>Bradford</v>
      </c>
      <c r="D1773" s="15" t="str">
        <f t="shared" si="596"/>
        <v>Haleigh Renae Ann</v>
      </c>
      <c r="E1773" s="15" t="str">
        <f t="shared" si="597"/>
        <v>31 Johnston Road</v>
      </c>
      <c r="F1773" s="15" t="str">
        <f t="shared" si="598"/>
        <v>Ashford</v>
      </c>
      <c r="G1773" s="15" t="str">
        <f t="shared" si="599"/>
        <v>SA</v>
      </c>
      <c r="H1773" s="15">
        <f t="shared" si="600"/>
        <v>5035</v>
      </c>
      <c r="I1773" s="15">
        <f t="shared" si="611"/>
        <v>1877</v>
      </c>
      <c r="J1773" s="15">
        <f>OrdersTable!B1773</f>
        <v>745</v>
      </c>
      <c r="K1773" s="15" t="str">
        <f t="shared" si="601"/>
        <v>Props and Replicas</v>
      </c>
      <c r="L1773" s="15" t="str">
        <f t="shared" si="602"/>
        <v>Doctor Who: TARDIS Type 40 Plaque</v>
      </c>
      <c r="M1773" s="15" t="str">
        <f t="shared" si="603"/>
        <v>-</v>
      </c>
      <c r="N1773" s="15">
        <f t="shared" si="604"/>
        <v>1.75</v>
      </c>
      <c r="O1773" s="15" t="str">
        <f t="shared" si="605"/>
        <v>A30</v>
      </c>
      <c r="P1773" s="15" t="str">
        <f t="shared" si="606"/>
        <v>Chesterton Enterprises</v>
      </c>
      <c r="Q1773" s="15" t="str">
        <f t="shared" si="607"/>
        <v>41 William Russell Road</v>
      </c>
      <c r="R1773" s="3">
        <f>OrdersTable!C1773</f>
        <v>44687</v>
      </c>
      <c r="S1773" s="15">
        <f>OrdersTable!E1773</f>
        <v>2</v>
      </c>
      <c r="T1773" s="15">
        <f t="shared" si="608"/>
        <v>34.99</v>
      </c>
      <c r="U1773" s="15">
        <f t="shared" si="609"/>
        <v>47.86</v>
      </c>
      <c r="V1773" s="15">
        <f t="shared" si="610"/>
        <v>56.68</v>
      </c>
      <c r="W1773" s="15">
        <f>IF(MarkupType="Store Markup",ROUND(V1773+V1773*StoreMarkup,2),IF(MarkupType="Supplier Markup",V1773+V1773*SupplierMarkup,"Error at finding value"))</f>
        <v>89.27</v>
      </c>
      <c r="X1773" s="32" t="str">
        <f t="shared" si="612"/>
        <v>0.00</v>
      </c>
      <c r="Y1773" s="15">
        <f t="shared" si="613"/>
        <v>113.36</v>
      </c>
      <c r="Z1773" s="15">
        <f t="shared" si="614"/>
        <v>178.54</v>
      </c>
      <c r="AA1773" s="15">
        <f>IF(FreightType="Lethbridge-Stewart Freight ",ROUND(2.99+IF(N1773&gt;0.75,(N1773-0.75)*2.25,0)*S1773,2),IF(MarkupType="Supplier Markup",V1773+V1773*SupplierMarkup,"Error at finding value"))</f>
        <v>7.49</v>
      </c>
      <c r="AB1773" s="15">
        <f t="shared" si="615"/>
        <v>0</v>
      </c>
    </row>
    <row r="1774" spans="1:28" x14ac:dyDescent="0.25">
      <c r="A1774" s="16">
        <f>OrdersTable!A1774</f>
        <v>531</v>
      </c>
      <c r="B1774" s="15" t="str">
        <f t="shared" si="595"/>
        <v>Ms</v>
      </c>
      <c r="C1774" s="15" t="str">
        <f t="shared" si="616"/>
        <v>Stanton</v>
      </c>
      <c r="D1774" s="15" t="str">
        <f t="shared" si="596"/>
        <v>Sharaze</v>
      </c>
      <c r="E1774" s="15" t="str">
        <f t="shared" si="597"/>
        <v>1 Siddons Crescent</v>
      </c>
      <c r="F1774" s="15" t="str">
        <f t="shared" si="598"/>
        <v>Alfredtown</v>
      </c>
      <c r="G1774" s="15" t="str">
        <f t="shared" si="599"/>
        <v>NSW</v>
      </c>
      <c r="H1774" s="15">
        <f t="shared" si="600"/>
        <v>2650</v>
      </c>
      <c r="I1774" s="15">
        <f t="shared" si="611"/>
        <v>1124</v>
      </c>
      <c r="J1774" s="15">
        <f>OrdersTable!B1774</f>
        <v>852</v>
      </c>
      <c r="K1774" s="15" t="str">
        <f t="shared" si="601"/>
        <v>Statues and Busts</v>
      </c>
      <c r="L1774" s="15" t="str">
        <f t="shared" si="602"/>
        <v>Doctor Who: Statue: Revenge Of The Cybermen Cyberleader</v>
      </c>
      <c r="M1774" s="15" t="str">
        <f t="shared" si="603"/>
        <v>-</v>
      </c>
      <c r="N1774" s="15">
        <f t="shared" si="604"/>
        <v>5.4</v>
      </c>
      <c r="O1774" s="15" t="str">
        <f t="shared" si="605"/>
        <v>A50</v>
      </c>
      <c r="P1774" s="15" t="str">
        <f t="shared" si="606"/>
        <v>Rassilon Ltd.</v>
      </c>
      <c r="Q1774" s="15" t="str">
        <f t="shared" si="607"/>
        <v>82 Richard Mathews Road</v>
      </c>
      <c r="R1774" s="3">
        <f>OrdersTable!C1774</f>
        <v>44687</v>
      </c>
      <c r="S1774" s="15">
        <f>OrdersTable!E1774</f>
        <v>1</v>
      </c>
      <c r="T1774" s="15">
        <f t="shared" si="608"/>
        <v>108</v>
      </c>
      <c r="U1774" s="15">
        <f t="shared" si="609"/>
        <v>147.29</v>
      </c>
      <c r="V1774" s="15">
        <f t="shared" si="610"/>
        <v>174.96</v>
      </c>
      <c r="W1774" s="15">
        <f>IF(MarkupType="Store Markup",ROUND(V1774+V1774*StoreMarkup,2),IF(MarkupType="Supplier Markup",V1774+V1774*SupplierMarkup,"Error at finding value"))</f>
        <v>275.56</v>
      </c>
      <c r="X1774" s="32" t="str">
        <f t="shared" si="612"/>
        <v>0.00</v>
      </c>
      <c r="Y1774" s="15">
        <f t="shared" si="613"/>
        <v>174.96</v>
      </c>
      <c r="Z1774" s="15">
        <f t="shared" si="614"/>
        <v>275.56</v>
      </c>
      <c r="AA1774" s="15">
        <f>IF(FreightType="Lethbridge-Stewart Freight ",ROUND(2.99+IF(N1774&gt;0.75,(N1774-0.75)*2.25,0)*S1774,2),IF(MarkupType="Supplier Markup",V1774+V1774*SupplierMarkup,"Error at finding value"))</f>
        <v>13.45</v>
      </c>
      <c r="AB1774" s="15">
        <f t="shared" si="615"/>
        <v>0</v>
      </c>
    </row>
    <row r="1775" spans="1:28" x14ac:dyDescent="0.25">
      <c r="A1775" s="16">
        <f>OrdersTable!A1775</f>
        <v>543</v>
      </c>
      <c r="B1775" s="15" t="str">
        <f t="shared" si="595"/>
        <v>Ms</v>
      </c>
      <c r="C1775" s="15" t="str">
        <f t="shared" si="616"/>
        <v>Mendezona</v>
      </c>
      <c r="D1775" s="15" t="str">
        <f t="shared" si="596"/>
        <v>Tara Colleen-Mary</v>
      </c>
      <c r="E1775" s="15" t="str">
        <f t="shared" si="597"/>
        <v>27 Picone Drive</v>
      </c>
      <c r="F1775" s="15" t="str">
        <f t="shared" si="598"/>
        <v>Aberfoyle</v>
      </c>
      <c r="G1775" s="15" t="str">
        <f t="shared" si="599"/>
        <v>NSW</v>
      </c>
      <c r="H1775" s="15">
        <f t="shared" si="600"/>
        <v>2350</v>
      </c>
      <c r="I1775" s="15">
        <f t="shared" si="611"/>
        <v>363</v>
      </c>
      <c r="J1775" s="15">
        <f>OrdersTable!B1775</f>
        <v>541</v>
      </c>
      <c r="K1775" s="15" t="str">
        <f t="shared" si="601"/>
        <v>Giftware</v>
      </c>
      <c r="L1775" s="15" t="str">
        <f t="shared" si="602"/>
        <v>Doctor Who: Salt and Pepper Shakers: TARDIS</v>
      </c>
      <c r="M1775" s="15" t="str">
        <f t="shared" si="603"/>
        <v>-</v>
      </c>
      <c r="N1775" s="15">
        <f t="shared" si="604"/>
        <v>0.6</v>
      </c>
      <c r="O1775" s="15" t="str">
        <f t="shared" si="605"/>
        <v>A10</v>
      </c>
      <c r="P1775" s="15" t="str">
        <f t="shared" si="606"/>
        <v>Gallifrey International</v>
      </c>
      <c r="Q1775" s="15" t="str">
        <f t="shared" si="607"/>
        <v>181 Arcadia Street</v>
      </c>
      <c r="R1775" s="3">
        <f>OrdersTable!C1775</f>
        <v>44687</v>
      </c>
      <c r="S1775" s="15">
        <f>OrdersTable!E1775</f>
        <v>3</v>
      </c>
      <c r="T1775" s="15">
        <f t="shared" si="608"/>
        <v>11.99</v>
      </c>
      <c r="U1775" s="15">
        <f t="shared" si="609"/>
        <v>16.62</v>
      </c>
      <c r="V1775" s="15">
        <f t="shared" si="610"/>
        <v>19.420000000000002</v>
      </c>
      <c r="W1775" s="15">
        <f>IF(MarkupType="Store Markup",ROUND(V1775+V1775*StoreMarkup,2),IF(MarkupType="Supplier Markup",V1775+V1775*SupplierMarkup,"Error at finding value"))</f>
        <v>30.59</v>
      </c>
      <c r="X1775" s="32" t="str">
        <f t="shared" si="612"/>
        <v>0.00</v>
      </c>
      <c r="Y1775" s="15">
        <f t="shared" si="613"/>
        <v>58.26</v>
      </c>
      <c r="Z1775" s="15">
        <f t="shared" si="614"/>
        <v>91.77</v>
      </c>
      <c r="AA1775" s="15">
        <f>IF(FreightType="Lethbridge-Stewart Freight ",ROUND(2.99+IF(N1775&gt;0.75,(N1775-0.75)*2.25,0)*S1775,2),IF(MarkupType="Supplier Markup",V1775+V1775*SupplierMarkup,"Error at finding value"))</f>
        <v>2.99</v>
      </c>
      <c r="AB1775" s="15">
        <f t="shared" si="615"/>
        <v>0</v>
      </c>
    </row>
    <row r="1776" spans="1:28" x14ac:dyDescent="0.25">
      <c r="A1776" s="16">
        <f>OrdersTable!A1776</f>
        <v>610</v>
      </c>
      <c r="B1776" s="15" t="str">
        <f t="shared" si="595"/>
        <v>Ms</v>
      </c>
      <c r="C1776" s="15" t="str">
        <f t="shared" si="616"/>
        <v>Bichel</v>
      </c>
      <c r="D1776" s="15" t="str">
        <f t="shared" si="596"/>
        <v>Abbey Kate</v>
      </c>
      <c r="E1776" s="15" t="str">
        <f t="shared" si="597"/>
        <v>32 Rambau Avenue</v>
      </c>
      <c r="F1776" s="15" t="str">
        <f t="shared" si="598"/>
        <v>Bamboo</v>
      </c>
      <c r="G1776" s="15" t="str">
        <f t="shared" si="599"/>
        <v>QLD</v>
      </c>
      <c r="H1776" s="15">
        <f t="shared" si="600"/>
        <v>4873</v>
      </c>
      <c r="I1776" s="15">
        <f t="shared" si="611"/>
        <v>1741</v>
      </c>
      <c r="J1776" s="15">
        <f>OrdersTable!B1776</f>
        <v>316</v>
      </c>
      <c r="K1776" s="15" t="str">
        <f t="shared" si="601"/>
        <v>Clothing and Apparel</v>
      </c>
      <c r="L1776" s="15" t="str">
        <f t="shared" si="602"/>
        <v xml:space="preserve">Doctor Who: T-Shirts: 4th Doctor Costume </v>
      </c>
      <c r="M1776" s="15" t="str">
        <f t="shared" si="603"/>
        <v>S</v>
      </c>
      <c r="N1776" s="15">
        <f t="shared" si="604"/>
        <v>0.8</v>
      </c>
      <c r="O1776" s="15" t="str">
        <f t="shared" si="605"/>
        <v>A30</v>
      </c>
      <c r="P1776" s="15" t="str">
        <f t="shared" si="606"/>
        <v>Chesterton Enterprises</v>
      </c>
      <c r="Q1776" s="15" t="str">
        <f t="shared" si="607"/>
        <v>41 William Russell Road</v>
      </c>
      <c r="R1776" s="3">
        <f>OrdersTable!C1776</f>
        <v>44687</v>
      </c>
      <c r="S1776" s="15">
        <f>OrdersTable!E1776</f>
        <v>1</v>
      </c>
      <c r="T1776" s="15">
        <f t="shared" si="608"/>
        <v>15.99</v>
      </c>
      <c r="U1776" s="15">
        <f t="shared" si="609"/>
        <v>21.94</v>
      </c>
      <c r="V1776" s="15">
        <f t="shared" si="610"/>
        <v>25.9</v>
      </c>
      <c r="W1776" s="15">
        <f>IF(MarkupType="Store Markup",ROUND(V1776+V1776*StoreMarkup,2),IF(MarkupType="Supplier Markup",V1776+V1776*SupplierMarkup,"Error at finding value"))</f>
        <v>40.79</v>
      </c>
      <c r="X1776" s="32" t="str">
        <f t="shared" si="612"/>
        <v>0.00</v>
      </c>
      <c r="Y1776" s="15">
        <f t="shared" si="613"/>
        <v>25.9</v>
      </c>
      <c r="Z1776" s="15">
        <f t="shared" si="614"/>
        <v>40.79</v>
      </c>
      <c r="AA1776" s="15">
        <f>IF(FreightType="Lethbridge-Stewart Freight ",ROUND(2.99+IF(N1776&gt;0.75,(N1776-0.75)*2.25,0)*S1776,2),IF(MarkupType="Supplier Markup",V1776+V1776*SupplierMarkup,"Error at finding value"))</f>
        <v>3.1</v>
      </c>
      <c r="AB1776" s="15">
        <f t="shared" si="615"/>
        <v>0</v>
      </c>
    </row>
    <row r="1777" spans="1:28" x14ac:dyDescent="0.25">
      <c r="A1777" s="16">
        <f>OrdersTable!A1777</f>
        <v>611</v>
      </c>
      <c r="B1777" s="15" t="str">
        <f t="shared" si="595"/>
        <v>Mr</v>
      </c>
      <c r="C1777" s="15" t="str">
        <f t="shared" si="616"/>
        <v>Wittman</v>
      </c>
      <c r="D1777" s="15" t="str">
        <f t="shared" si="596"/>
        <v>Nicholas Jackson</v>
      </c>
      <c r="E1777" s="15" t="str">
        <f t="shared" si="597"/>
        <v>48 Sheppard-Kadel Way</v>
      </c>
      <c r="F1777" s="15" t="str">
        <f t="shared" si="598"/>
        <v>Nayook</v>
      </c>
      <c r="G1777" s="15" t="str">
        <f t="shared" si="599"/>
        <v>VIC</v>
      </c>
      <c r="H1777" s="15">
        <f t="shared" si="600"/>
        <v>3832</v>
      </c>
      <c r="I1777" s="15">
        <f t="shared" si="611"/>
        <v>1552</v>
      </c>
      <c r="J1777" s="15">
        <f>OrdersTable!B1777</f>
        <v>676</v>
      </c>
      <c r="K1777" s="15" t="str">
        <f t="shared" si="601"/>
        <v>Mugs</v>
      </c>
      <c r="L1777" s="15" t="str">
        <f t="shared" si="602"/>
        <v>Doctor Who: Mug: The Eleventh Doctor</v>
      </c>
      <c r="M1777" s="15" t="str">
        <f t="shared" si="603"/>
        <v>-</v>
      </c>
      <c r="N1777" s="15">
        <f t="shared" si="604"/>
        <v>0.45</v>
      </c>
      <c r="O1777" s="15" t="str">
        <f t="shared" si="605"/>
        <v>A20</v>
      </c>
      <c r="P1777" s="15" t="str">
        <f t="shared" si="606"/>
        <v>Morbius Inc.</v>
      </c>
      <c r="Q1777" s="15" t="str">
        <f t="shared" si="607"/>
        <v>56 Michael Spice Hwy</v>
      </c>
      <c r="R1777" s="3">
        <f>OrdersTable!C1777</f>
        <v>44687</v>
      </c>
      <c r="S1777" s="15">
        <f>OrdersTable!E1777</f>
        <v>9</v>
      </c>
      <c r="T1777" s="15">
        <f t="shared" si="608"/>
        <v>8.99</v>
      </c>
      <c r="U1777" s="15">
        <f t="shared" si="609"/>
        <v>12.55</v>
      </c>
      <c r="V1777" s="15">
        <f t="shared" si="610"/>
        <v>14.56</v>
      </c>
      <c r="W1777" s="15">
        <f>IF(MarkupType="Store Markup",ROUND(V1777+V1777*StoreMarkup,2),IF(MarkupType="Supplier Markup",V1777+V1777*SupplierMarkup,"Error at finding value"))</f>
        <v>22.93</v>
      </c>
      <c r="X1777" s="32" t="str">
        <f t="shared" si="612"/>
        <v>0.00</v>
      </c>
      <c r="Y1777" s="15">
        <f t="shared" si="613"/>
        <v>131.04</v>
      </c>
      <c r="Z1777" s="15">
        <f t="shared" si="614"/>
        <v>206.37</v>
      </c>
      <c r="AA1777" s="15">
        <f>IF(FreightType="Lethbridge-Stewart Freight ",ROUND(2.99+IF(N1777&gt;0.75,(N1777-0.75)*2.25,0)*S1777,2),IF(MarkupType="Supplier Markup",V1777+V1777*SupplierMarkup,"Error at finding value"))</f>
        <v>2.99</v>
      </c>
      <c r="AB1777" s="15">
        <f t="shared" si="615"/>
        <v>0</v>
      </c>
    </row>
    <row r="1778" spans="1:28" x14ac:dyDescent="0.25">
      <c r="A1778" s="16">
        <f>OrdersTable!A1778</f>
        <v>843</v>
      </c>
      <c r="B1778" s="15" t="str">
        <f t="shared" si="595"/>
        <v>Mr</v>
      </c>
      <c r="C1778" s="15" t="str">
        <f t="shared" si="616"/>
        <v>Goodwin</v>
      </c>
      <c r="D1778" s="15" t="str">
        <f t="shared" si="596"/>
        <v>Damon Joel</v>
      </c>
      <c r="E1778" s="15" t="str">
        <f t="shared" si="597"/>
        <v>40 Powell Boulevard</v>
      </c>
      <c r="F1778" s="15" t="str">
        <f t="shared" si="598"/>
        <v>Abington</v>
      </c>
      <c r="G1778" s="15" t="str">
        <f t="shared" si="599"/>
        <v>QLD</v>
      </c>
      <c r="H1778" s="15">
        <f t="shared" si="600"/>
        <v>4660</v>
      </c>
      <c r="I1778" s="15">
        <f t="shared" si="611"/>
        <v>336</v>
      </c>
      <c r="J1778" s="15">
        <f>OrdersTable!B1778</f>
        <v>582</v>
      </c>
      <c r="K1778" s="15" t="str">
        <f t="shared" si="601"/>
        <v>Giftware</v>
      </c>
      <c r="L1778" s="15" t="str">
        <f t="shared" si="602"/>
        <v>Doctor Who: Wallpaper: Classic TARDIS Roundels</v>
      </c>
      <c r="M1778" s="15" t="str">
        <f t="shared" si="603"/>
        <v>-</v>
      </c>
      <c r="N1778" s="15">
        <f t="shared" si="604"/>
        <v>1.75</v>
      </c>
      <c r="O1778" s="15" t="str">
        <f t="shared" si="605"/>
        <v>A40</v>
      </c>
      <c r="P1778" s="15" t="str">
        <f t="shared" si="606"/>
        <v>Romana Imports</v>
      </c>
      <c r="Q1778" s="15" t="str">
        <f t="shared" si="607"/>
        <v>17 Lalla Ward Road</v>
      </c>
      <c r="R1778" s="3">
        <f>OrdersTable!C1778</f>
        <v>44687</v>
      </c>
      <c r="S1778" s="15">
        <f>OrdersTable!E1778</f>
        <v>3</v>
      </c>
      <c r="T1778" s="15">
        <f t="shared" si="608"/>
        <v>34.99</v>
      </c>
      <c r="U1778" s="15">
        <f t="shared" si="609"/>
        <v>47.77</v>
      </c>
      <c r="V1778" s="15">
        <f t="shared" si="610"/>
        <v>56.68</v>
      </c>
      <c r="W1778" s="15">
        <f>IF(MarkupType="Store Markup",ROUND(V1778+V1778*StoreMarkup,2),IF(MarkupType="Supplier Markup",V1778+V1778*SupplierMarkup,"Error at finding value"))</f>
        <v>89.27</v>
      </c>
      <c r="X1778" s="32" t="str">
        <f t="shared" si="612"/>
        <v>0.00</v>
      </c>
      <c r="Y1778" s="15">
        <f t="shared" si="613"/>
        <v>170.04</v>
      </c>
      <c r="Z1778" s="15">
        <f t="shared" si="614"/>
        <v>267.81</v>
      </c>
      <c r="AA1778" s="15">
        <f>IF(FreightType="Lethbridge-Stewart Freight ",ROUND(2.99+IF(N1778&gt;0.75,(N1778-0.75)*2.25,0)*S1778,2),IF(MarkupType="Supplier Markup",V1778+V1778*SupplierMarkup,"Error at finding value"))</f>
        <v>9.74</v>
      </c>
      <c r="AB1778" s="15">
        <f t="shared" si="615"/>
        <v>0</v>
      </c>
    </row>
    <row r="1779" spans="1:28" x14ac:dyDescent="0.25">
      <c r="A1779" s="16">
        <f>OrdersTable!A1779</f>
        <v>849</v>
      </c>
      <c r="B1779" s="15" t="str">
        <f t="shared" si="595"/>
        <v>Dr</v>
      </c>
      <c r="C1779" s="15" t="str">
        <f t="shared" si="616"/>
        <v>Blair</v>
      </c>
      <c r="D1779" s="15" t="str">
        <f t="shared" si="596"/>
        <v>Taylor Ashleigh</v>
      </c>
      <c r="E1779" s="15" t="str">
        <f t="shared" si="597"/>
        <v>42 Ward Avenue</v>
      </c>
      <c r="F1779" s="15" t="str">
        <f t="shared" si="598"/>
        <v>Airly</v>
      </c>
      <c r="G1779" s="15" t="str">
        <f t="shared" si="599"/>
        <v>VIC</v>
      </c>
      <c r="H1779" s="15">
        <f t="shared" si="600"/>
        <v>3851</v>
      </c>
      <c r="I1779" s="15">
        <f t="shared" si="611"/>
        <v>1583</v>
      </c>
      <c r="J1779" s="15">
        <f>OrdersTable!B1779</f>
        <v>515</v>
      </c>
      <c r="K1779" s="15" t="str">
        <f t="shared" si="601"/>
        <v>Giftware</v>
      </c>
      <c r="L1779" s="15" t="str">
        <f t="shared" si="602"/>
        <v>Doctor Who: Keyring K9</v>
      </c>
      <c r="M1779" s="15" t="str">
        <f t="shared" si="603"/>
        <v>-</v>
      </c>
      <c r="N1779" s="15">
        <f t="shared" si="604"/>
        <v>0.25</v>
      </c>
      <c r="O1779" s="15" t="str">
        <f t="shared" si="605"/>
        <v>A50</v>
      </c>
      <c r="P1779" s="15" t="str">
        <f t="shared" si="606"/>
        <v>Rassilon Ltd.</v>
      </c>
      <c r="Q1779" s="15" t="str">
        <f t="shared" si="607"/>
        <v>82 Richard Mathews Road</v>
      </c>
      <c r="R1779" s="3">
        <f>OrdersTable!C1779</f>
        <v>44687</v>
      </c>
      <c r="S1779" s="15">
        <f>OrdersTable!E1779</f>
        <v>4</v>
      </c>
      <c r="T1779" s="15">
        <f t="shared" si="608"/>
        <v>4.99</v>
      </c>
      <c r="U1779" s="15">
        <f t="shared" si="609"/>
        <v>6.91</v>
      </c>
      <c r="V1779" s="15">
        <f t="shared" si="610"/>
        <v>8.08</v>
      </c>
      <c r="W1779" s="15">
        <f>IF(MarkupType="Store Markup",ROUND(V1779+V1779*StoreMarkup,2),IF(MarkupType="Supplier Markup",V1779+V1779*SupplierMarkup,"Error at finding value"))</f>
        <v>12.73</v>
      </c>
      <c r="X1779" s="32" t="str">
        <f t="shared" si="612"/>
        <v>0.00</v>
      </c>
      <c r="Y1779" s="15">
        <f t="shared" si="613"/>
        <v>32.32</v>
      </c>
      <c r="Z1779" s="15">
        <f t="shared" si="614"/>
        <v>50.92</v>
      </c>
      <c r="AA1779" s="15">
        <f>IF(FreightType="Lethbridge-Stewart Freight ",ROUND(2.99+IF(N1779&gt;0.75,(N1779-0.75)*2.25,0)*S1779,2),IF(MarkupType="Supplier Markup",V1779+V1779*SupplierMarkup,"Error at finding value"))</f>
        <v>2.99</v>
      </c>
      <c r="AB1779" s="15">
        <f t="shared" si="615"/>
        <v>0</v>
      </c>
    </row>
    <row r="1780" spans="1:28" x14ac:dyDescent="0.25">
      <c r="A1780" s="16">
        <f>OrdersTable!A1780</f>
        <v>302</v>
      </c>
      <c r="B1780" s="15" t="str">
        <f t="shared" si="595"/>
        <v>Ms</v>
      </c>
      <c r="C1780" s="15" t="str">
        <f t="shared" si="616"/>
        <v>Lamshed</v>
      </c>
      <c r="D1780" s="15" t="str">
        <f t="shared" si="596"/>
        <v>Laura Clare</v>
      </c>
      <c r="E1780" s="15" t="str">
        <f t="shared" si="597"/>
        <v>22 Edser Drive</v>
      </c>
      <c r="F1780" s="15" t="str">
        <f t="shared" si="598"/>
        <v>Caliph</v>
      </c>
      <c r="G1780" s="15" t="str">
        <f t="shared" si="599"/>
        <v>SA</v>
      </c>
      <c r="H1780" s="15">
        <f t="shared" si="600"/>
        <v>5310</v>
      </c>
      <c r="I1780" s="15">
        <f t="shared" si="611"/>
        <v>1720</v>
      </c>
      <c r="J1780" s="15">
        <f>OrdersTable!B1780</f>
        <v>725</v>
      </c>
      <c r="K1780" s="15" t="str">
        <f t="shared" si="601"/>
        <v>Props and Replicas</v>
      </c>
      <c r="L1780" s="15" t="str">
        <f t="shared" si="602"/>
        <v>Doctor Who: Captain Jack Sonic Blaster</v>
      </c>
      <c r="M1780" s="15" t="str">
        <f t="shared" si="603"/>
        <v>-</v>
      </c>
      <c r="N1780" s="15">
        <f t="shared" si="604"/>
        <v>14.8</v>
      </c>
      <c r="O1780" s="15" t="str">
        <f t="shared" si="605"/>
        <v>A30</v>
      </c>
      <c r="P1780" s="15" t="str">
        <f t="shared" si="606"/>
        <v>Chesterton Enterprises</v>
      </c>
      <c r="Q1780" s="15" t="str">
        <f t="shared" si="607"/>
        <v>41 William Russell Road</v>
      </c>
      <c r="R1780" s="3">
        <f>OrdersTable!C1780</f>
        <v>44688</v>
      </c>
      <c r="S1780" s="15">
        <f>OrdersTable!E1780</f>
        <v>5</v>
      </c>
      <c r="T1780" s="15">
        <f t="shared" si="608"/>
        <v>295.99</v>
      </c>
      <c r="U1780" s="15">
        <f t="shared" si="609"/>
        <v>403.88</v>
      </c>
      <c r="V1780" s="15">
        <f t="shared" si="610"/>
        <v>479.5</v>
      </c>
      <c r="W1780" s="15">
        <f>IF(MarkupType="Store Markup",ROUND(V1780+V1780*StoreMarkup,2),IF(MarkupType="Supplier Markup",V1780+V1780*SupplierMarkup,"Error at finding value"))</f>
        <v>755.21</v>
      </c>
      <c r="X1780" s="32">
        <f t="shared" si="612"/>
        <v>53.81</v>
      </c>
      <c r="Y1780" s="15">
        <f t="shared" si="613"/>
        <v>2397.5</v>
      </c>
      <c r="Z1780" s="15">
        <f t="shared" si="614"/>
        <v>3507</v>
      </c>
      <c r="AA1780" s="15">
        <f>IF(FreightType="Lethbridge-Stewart Freight ",ROUND(2.99+IF(N1780&gt;0.75,(N1780-0.75)*2.25,0)*S1780,2),IF(MarkupType="Supplier Markup",V1780+V1780*SupplierMarkup,"Error at finding value"))</f>
        <v>161.05000000000001</v>
      </c>
      <c r="AB1780" s="15">
        <f t="shared" si="615"/>
        <v>269.05</v>
      </c>
    </row>
    <row r="1781" spans="1:28" x14ac:dyDescent="0.25">
      <c r="A1781" s="16">
        <f>OrdersTable!A1781</f>
        <v>338</v>
      </c>
      <c r="B1781" s="15" t="str">
        <f t="shared" si="595"/>
        <v>Miss</v>
      </c>
      <c r="C1781" s="15" t="str">
        <f t="shared" si="616"/>
        <v>Pellegrino</v>
      </c>
      <c r="D1781" s="15" t="str">
        <f t="shared" si="596"/>
        <v>Samantha</v>
      </c>
      <c r="E1781" s="15" t="str">
        <f t="shared" si="597"/>
        <v>38 McKeown Street</v>
      </c>
      <c r="F1781" s="15" t="str">
        <f t="shared" si="598"/>
        <v>Avon Plains</v>
      </c>
      <c r="G1781" s="15" t="str">
        <f t="shared" si="599"/>
        <v>VIC</v>
      </c>
      <c r="H1781" s="15">
        <f t="shared" si="600"/>
        <v>3477</v>
      </c>
      <c r="I1781" s="15">
        <f t="shared" si="611"/>
        <v>1565</v>
      </c>
      <c r="J1781" s="15">
        <f>OrdersTable!B1781</f>
        <v>685</v>
      </c>
      <c r="K1781" s="15" t="str">
        <f t="shared" si="601"/>
        <v>Mugs</v>
      </c>
      <c r="L1781" s="15" t="str">
        <f t="shared" si="602"/>
        <v>Doctor Who: Teapot: Sliver TARDIS</v>
      </c>
      <c r="M1781" s="15" t="str">
        <f t="shared" si="603"/>
        <v>-</v>
      </c>
      <c r="N1781" s="15">
        <f t="shared" si="604"/>
        <v>1.35</v>
      </c>
      <c r="O1781" s="15" t="str">
        <f t="shared" si="605"/>
        <v>A30</v>
      </c>
      <c r="P1781" s="15" t="str">
        <f t="shared" si="606"/>
        <v>Chesterton Enterprises</v>
      </c>
      <c r="Q1781" s="15" t="str">
        <f t="shared" si="607"/>
        <v>41 William Russell Road</v>
      </c>
      <c r="R1781" s="3">
        <f>OrdersTable!C1781</f>
        <v>44688</v>
      </c>
      <c r="S1781" s="15">
        <f>OrdersTable!E1781</f>
        <v>8</v>
      </c>
      <c r="T1781" s="15">
        <f t="shared" si="608"/>
        <v>26.99</v>
      </c>
      <c r="U1781" s="15">
        <f t="shared" si="609"/>
        <v>36.869999999999997</v>
      </c>
      <c r="V1781" s="15">
        <f t="shared" si="610"/>
        <v>43.72</v>
      </c>
      <c r="W1781" s="15">
        <f>IF(MarkupType="Store Markup",ROUND(V1781+V1781*StoreMarkup,2),IF(MarkupType="Supplier Markup",V1781+V1781*SupplierMarkup,"Error at finding value"))</f>
        <v>68.86</v>
      </c>
      <c r="X1781" s="32" t="str">
        <f t="shared" si="612"/>
        <v>0.00</v>
      </c>
      <c r="Y1781" s="15">
        <f t="shared" si="613"/>
        <v>349.76</v>
      </c>
      <c r="Z1781" s="15">
        <f t="shared" si="614"/>
        <v>550.88</v>
      </c>
      <c r="AA1781" s="15">
        <f>IF(FreightType="Lethbridge-Stewart Freight ",ROUND(2.99+IF(N1781&gt;0.75,(N1781-0.75)*2.25,0)*S1781,2),IF(MarkupType="Supplier Markup",V1781+V1781*SupplierMarkup,"Error at finding value"))</f>
        <v>13.79</v>
      </c>
      <c r="AB1781" s="15">
        <f t="shared" si="615"/>
        <v>0</v>
      </c>
    </row>
    <row r="1782" spans="1:28" x14ac:dyDescent="0.25">
      <c r="A1782" s="16">
        <f>OrdersTable!A1782</f>
        <v>527</v>
      </c>
      <c r="B1782" s="15" t="str">
        <f t="shared" si="595"/>
        <v>Mr</v>
      </c>
      <c r="C1782" s="15" t="str">
        <f t="shared" si="616"/>
        <v>McTaggart</v>
      </c>
      <c r="D1782" s="15" t="str">
        <f t="shared" si="596"/>
        <v>Daniel</v>
      </c>
      <c r="E1782" s="15" t="str">
        <f t="shared" si="597"/>
        <v>24 Mulholland Avenue</v>
      </c>
      <c r="F1782" s="15" t="str">
        <f t="shared" si="598"/>
        <v>Belconnen</v>
      </c>
      <c r="G1782" s="15" t="str">
        <f t="shared" si="599"/>
        <v>ACT</v>
      </c>
      <c r="H1782" s="15">
        <f t="shared" si="600"/>
        <v>2617</v>
      </c>
      <c r="I1782" s="15">
        <f t="shared" si="611"/>
        <v>1194</v>
      </c>
      <c r="J1782" s="15">
        <f>OrdersTable!B1782</f>
        <v>667</v>
      </c>
      <c r="K1782" s="15" t="str">
        <f t="shared" si="601"/>
        <v>Mugs</v>
      </c>
      <c r="L1782" s="15" t="str">
        <f t="shared" si="602"/>
        <v>Doctor Who: Mug: Keep Calm And Don't Blink</v>
      </c>
      <c r="M1782" s="15" t="str">
        <f t="shared" si="603"/>
        <v>-</v>
      </c>
      <c r="N1782" s="15">
        <f t="shared" si="604"/>
        <v>0.35</v>
      </c>
      <c r="O1782" s="15" t="str">
        <f t="shared" si="605"/>
        <v>A10</v>
      </c>
      <c r="P1782" s="15" t="str">
        <f t="shared" si="606"/>
        <v>Gallifrey International</v>
      </c>
      <c r="Q1782" s="15" t="str">
        <f t="shared" si="607"/>
        <v>181 Arcadia Street</v>
      </c>
      <c r="R1782" s="3">
        <f>OrdersTable!C1782</f>
        <v>44688</v>
      </c>
      <c r="S1782" s="15">
        <f>OrdersTable!E1782</f>
        <v>3</v>
      </c>
      <c r="T1782" s="15">
        <f t="shared" si="608"/>
        <v>6.99</v>
      </c>
      <c r="U1782" s="15">
        <f t="shared" si="609"/>
        <v>9.84</v>
      </c>
      <c r="V1782" s="15">
        <f t="shared" si="610"/>
        <v>11.32</v>
      </c>
      <c r="W1782" s="15">
        <f>IF(MarkupType="Store Markup",ROUND(V1782+V1782*StoreMarkup,2),IF(MarkupType="Supplier Markup",V1782+V1782*SupplierMarkup,"Error at finding value"))</f>
        <v>17.829999999999998</v>
      </c>
      <c r="X1782" s="32" t="str">
        <f t="shared" si="612"/>
        <v>0.00</v>
      </c>
      <c r="Y1782" s="15">
        <f t="shared" si="613"/>
        <v>33.96</v>
      </c>
      <c r="Z1782" s="15">
        <f t="shared" si="614"/>
        <v>53.49</v>
      </c>
      <c r="AA1782" s="15">
        <f>IF(FreightType="Lethbridge-Stewart Freight ",ROUND(2.99+IF(N1782&gt;0.75,(N1782-0.75)*2.25,0)*S1782,2),IF(MarkupType="Supplier Markup",V1782+V1782*SupplierMarkup,"Error at finding value"))</f>
        <v>2.99</v>
      </c>
      <c r="AB1782" s="15">
        <f t="shared" si="615"/>
        <v>0</v>
      </c>
    </row>
    <row r="1783" spans="1:28" x14ac:dyDescent="0.25">
      <c r="A1783" s="16">
        <f>OrdersTable!A1783</f>
        <v>531</v>
      </c>
      <c r="B1783" s="15" t="str">
        <f t="shared" si="595"/>
        <v>Ms</v>
      </c>
      <c r="C1783" s="15" t="str">
        <f t="shared" si="616"/>
        <v>Stanton</v>
      </c>
      <c r="D1783" s="15" t="str">
        <f t="shared" si="596"/>
        <v>Sharaze</v>
      </c>
      <c r="E1783" s="15" t="str">
        <f t="shared" si="597"/>
        <v>1 Siddons Crescent</v>
      </c>
      <c r="F1783" s="15" t="str">
        <f t="shared" si="598"/>
        <v>Alfredtown</v>
      </c>
      <c r="G1783" s="15" t="str">
        <f t="shared" si="599"/>
        <v>NSW</v>
      </c>
      <c r="H1783" s="15">
        <f t="shared" si="600"/>
        <v>2650</v>
      </c>
      <c r="I1783" s="15">
        <f t="shared" si="611"/>
        <v>1124</v>
      </c>
      <c r="J1783" s="15">
        <f>OrdersTable!B1783</f>
        <v>683</v>
      </c>
      <c r="K1783" s="15" t="str">
        <f t="shared" si="601"/>
        <v>Mugs</v>
      </c>
      <c r="L1783" s="15" t="str">
        <f t="shared" si="602"/>
        <v>Doctor Who: Mug: The Tenth Doctor</v>
      </c>
      <c r="M1783" s="15" t="str">
        <f t="shared" si="603"/>
        <v>-</v>
      </c>
      <c r="N1783" s="15">
        <f t="shared" si="604"/>
        <v>0.45</v>
      </c>
      <c r="O1783" s="15" t="str">
        <f t="shared" si="605"/>
        <v>A20</v>
      </c>
      <c r="P1783" s="15" t="str">
        <f t="shared" si="606"/>
        <v>Morbius Inc.</v>
      </c>
      <c r="Q1783" s="15" t="str">
        <f t="shared" si="607"/>
        <v>56 Michael Spice Hwy</v>
      </c>
      <c r="R1783" s="3">
        <f>OrdersTable!C1783</f>
        <v>44688</v>
      </c>
      <c r="S1783" s="15">
        <f>OrdersTable!E1783</f>
        <v>8</v>
      </c>
      <c r="T1783" s="15">
        <f t="shared" si="608"/>
        <v>8.99</v>
      </c>
      <c r="U1783" s="15">
        <f t="shared" si="609"/>
        <v>12.54</v>
      </c>
      <c r="V1783" s="15">
        <f t="shared" si="610"/>
        <v>14.56</v>
      </c>
      <c r="W1783" s="15">
        <f>IF(MarkupType="Store Markup",ROUND(V1783+V1783*StoreMarkup,2),IF(MarkupType="Supplier Markup",V1783+V1783*SupplierMarkup,"Error at finding value"))</f>
        <v>22.93</v>
      </c>
      <c r="X1783" s="32" t="str">
        <f t="shared" si="612"/>
        <v>0.00</v>
      </c>
      <c r="Y1783" s="15">
        <f t="shared" si="613"/>
        <v>116.48</v>
      </c>
      <c r="Z1783" s="15">
        <f t="shared" si="614"/>
        <v>183.44</v>
      </c>
      <c r="AA1783" s="15">
        <f>IF(FreightType="Lethbridge-Stewart Freight ",ROUND(2.99+IF(N1783&gt;0.75,(N1783-0.75)*2.25,0)*S1783,2),IF(MarkupType="Supplier Markup",V1783+V1783*SupplierMarkup,"Error at finding value"))</f>
        <v>2.99</v>
      </c>
      <c r="AB1783" s="15">
        <f t="shared" si="615"/>
        <v>0</v>
      </c>
    </row>
    <row r="1784" spans="1:28" x14ac:dyDescent="0.25">
      <c r="A1784" s="16">
        <f>OrdersTable!A1784</f>
        <v>538</v>
      </c>
      <c r="B1784" s="15" t="str">
        <f t="shared" si="595"/>
        <v>Dr</v>
      </c>
      <c r="C1784" s="15" t="str">
        <f t="shared" si="616"/>
        <v>Radovic</v>
      </c>
      <c r="D1784" s="15" t="str">
        <f t="shared" si="596"/>
        <v>Harley Benjamin</v>
      </c>
      <c r="E1784" s="15" t="str">
        <f t="shared" si="597"/>
        <v>50 Hocking Way</v>
      </c>
      <c r="F1784" s="15" t="str">
        <f t="shared" si="598"/>
        <v>Bray Park</v>
      </c>
      <c r="G1784" s="15" t="str">
        <f t="shared" si="599"/>
        <v>QLD</v>
      </c>
      <c r="H1784" s="15">
        <f t="shared" si="600"/>
        <v>4500</v>
      </c>
      <c r="I1784" s="15">
        <f t="shared" si="611"/>
        <v>139</v>
      </c>
      <c r="J1784" s="15">
        <f>OrdersTable!B1784</f>
        <v>219</v>
      </c>
      <c r="K1784" s="15" t="str">
        <f t="shared" si="601"/>
        <v>Clothing and Apparel</v>
      </c>
      <c r="L1784" s="15" t="str">
        <f t="shared" si="602"/>
        <v>Doctor Who: Men's Winter Pyjamas</v>
      </c>
      <c r="M1784" s="15" t="str">
        <f t="shared" si="603"/>
        <v>M</v>
      </c>
      <c r="N1784" s="15">
        <f t="shared" si="604"/>
        <v>1.5</v>
      </c>
      <c r="O1784" s="15" t="str">
        <f t="shared" si="605"/>
        <v>A40</v>
      </c>
      <c r="P1784" s="15" t="str">
        <f t="shared" si="606"/>
        <v>Romana Imports</v>
      </c>
      <c r="Q1784" s="15" t="str">
        <f t="shared" si="607"/>
        <v>17 Lalla Ward Road</v>
      </c>
      <c r="R1784" s="3">
        <f>OrdersTable!C1784</f>
        <v>44688</v>
      </c>
      <c r="S1784" s="15">
        <f>OrdersTable!E1784</f>
        <v>1</v>
      </c>
      <c r="T1784" s="15">
        <f t="shared" si="608"/>
        <v>29.99</v>
      </c>
      <c r="U1784" s="15">
        <f t="shared" si="609"/>
        <v>41.24</v>
      </c>
      <c r="V1784" s="15">
        <f t="shared" si="610"/>
        <v>48.58</v>
      </c>
      <c r="W1784" s="15">
        <f>IF(MarkupType="Store Markup",ROUND(V1784+V1784*StoreMarkup,2),IF(MarkupType="Supplier Markup",V1784+V1784*SupplierMarkup,"Error at finding value"))</f>
        <v>76.510000000000005</v>
      </c>
      <c r="X1784" s="32" t="str">
        <f t="shared" si="612"/>
        <v>0.00</v>
      </c>
      <c r="Y1784" s="15">
        <f t="shared" si="613"/>
        <v>48.58</v>
      </c>
      <c r="Z1784" s="15">
        <f t="shared" si="614"/>
        <v>76.510000000000005</v>
      </c>
      <c r="AA1784" s="15">
        <f>IF(FreightType="Lethbridge-Stewart Freight ",ROUND(2.99+IF(N1784&gt;0.75,(N1784-0.75)*2.25,0)*S1784,2),IF(MarkupType="Supplier Markup",V1784+V1784*SupplierMarkup,"Error at finding value"))</f>
        <v>4.68</v>
      </c>
      <c r="AB1784" s="15">
        <f t="shared" si="615"/>
        <v>0</v>
      </c>
    </row>
    <row r="1785" spans="1:28" x14ac:dyDescent="0.25">
      <c r="A1785" s="16">
        <f>OrdersTable!A1785</f>
        <v>561</v>
      </c>
      <c r="B1785" s="15" t="str">
        <f t="shared" si="595"/>
        <v>Ms</v>
      </c>
      <c r="C1785" s="15" t="str">
        <f t="shared" si="616"/>
        <v>Mulcahy</v>
      </c>
      <c r="D1785" s="15" t="str">
        <f t="shared" si="596"/>
        <v>Jodie Leigh</v>
      </c>
      <c r="E1785" s="15" t="str">
        <f t="shared" si="597"/>
        <v>32 Scott Crescent</v>
      </c>
      <c r="F1785" s="15" t="str">
        <f t="shared" si="598"/>
        <v>Bray Park</v>
      </c>
      <c r="G1785" s="15" t="str">
        <f t="shared" si="599"/>
        <v>QLD</v>
      </c>
      <c r="H1785" s="15">
        <f t="shared" si="600"/>
        <v>4500</v>
      </c>
      <c r="I1785" s="15">
        <f t="shared" si="611"/>
        <v>139</v>
      </c>
      <c r="J1785" s="15">
        <f>OrdersTable!B1785</f>
        <v>701</v>
      </c>
      <c r="K1785" s="15" t="str">
        <f t="shared" si="601"/>
        <v>Posters, Prints and Standees</v>
      </c>
      <c r="L1785" s="15" t="str">
        <f t="shared" si="602"/>
        <v>Doctor Who: Half Sized Standee: The TARDIS</v>
      </c>
      <c r="M1785" s="15" t="str">
        <f t="shared" si="603"/>
        <v>-</v>
      </c>
      <c r="N1785" s="15">
        <f t="shared" si="604"/>
        <v>0.5</v>
      </c>
      <c r="O1785" s="15" t="str">
        <f t="shared" si="605"/>
        <v>A40</v>
      </c>
      <c r="P1785" s="15" t="str">
        <f t="shared" si="606"/>
        <v>Romana Imports</v>
      </c>
      <c r="Q1785" s="15" t="str">
        <f t="shared" si="607"/>
        <v>17 Lalla Ward Road</v>
      </c>
      <c r="R1785" s="3">
        <f>OrdersTable!C1785</f>
        <v>44688</v>
      </c>
      <c r="S1785" s="15">
        <f>OrdersTable!E1785</f>
        <v>5</v>
      </c>
      <c r="T1785" s="15">
        <f t="shared" si="608"/>
        <v>9.99</v>
      </c>
      <c r="U1785" s="15">
        <f t="shared" si="609"/>
        <v>13.83</v>
      </c>
      <c r="V1785" s="15">
        <f t="shared" si="610"/>
        <v>16.18</v>
      </c>
      <c r="W1785" s="15">
        <f>IF(MarkupType="Store Markup",ROUND(V1785+V1785*StoreMarkup,2),IF(MarkupType="Supplier Markup",V1785+V1785*SupplierMarkup,"Error at finding value"))</f>
        <v>25.48</v>
      </c>
      <c r="X1785" s="32" t="str">
        <f t="shared" si="612"/>
        <v>0.00</v>
      </c>
      <c r="Y1785" s="15">
        <f t="shared" si="613"/>
        <v>80.900000000000006</v>
      </c>
      <c r="Z1785" s="15">
        <f t="shared" si="614"/>
        <v>127.4</v>
      </c>
      <c r="AA1785" s="15">
        <f>IF(FreightType="Lethbridge-Stewart Freight ",ROUND(2.99+IF(N1785&gt;0.75,(N1785-0.75)*2.25,0)*S1785,2),IF(MarkupType="Supplier Markup",V1785+V1785*SupplierMarkup,"Error at finding value"))</f>
        <v>2.99</v>
      </c>
      <c r="AB1785" s="15">
        <f t="shared" si="615"/>
        <v>0</v>
      </c>
    </row>
    <row r="1786" spans="1:28" x14ac:dyDescent="0.25">
      <c r="A1786" s="16">
        <f>OrdersTable!A1786</f>
        <v>573</v>
      </c>
      <c r="B1786" s="15" t="str">
        <f t="shared" si="595"/>
        <v>Mrs</v>
      </c>
      <c r="C1786" s="15" t="str">
        <f t="shared" si="616"/>
        <v>Hollonds</v>
      </c>
      <c r="D1786" s="15" t="str">
        <f t="shared" si="596"/>
        <v>Suzan</v>
      </c>
      <c r="E1786" s="15" t="str">
        <f t="shared" si="597"/>
        <v>49 Patel Way</v>
      </c>
      <c r="F1786" s="15" t="str">
        <f t="shared" si="598"/>
        <v>Belconnen</v>
      </c>
      <c r="G1786" s="15" t="str">
        <f t="shared" si="599"/>
        <v>ACT</v>
      </c>
      <c r="H1786" s="15">
        <f t="shared" si="600"/>
        <v>2617</v>
      </c>
      <c r="I1786" s="15">
        <f t="shared" si="611"/>
        <v>1194</v>
      </c>
      <c r="J1786" s="15">
        <f>OrdersTable!B1786</f>
        <v>740</v>
      </c>
      <c r="K1786" s="15" t="str">
        <f t="shared" si="601"/>
        <v>Props and Replicas</v>
      </c>
      <c r="L1786" s="15" t="str">
        <f t="shared" si="602"/>
        <v>Doctor Who: River Song Squareness Blaster</v>
      </c>
      <c r="M1786" s="15" t="str">
        <f t="shared" si="603"/>
        <v>-</v>
      </c>
      <c r="N1786" s="15">
        <f t="shared" si="604"/>
        <v>14.8</v>
      </c>
      <c r="O1786" s="15" t="str">
        <f t="shared" si="605"/>
        <v>A40</v>
      </c>
      <c r="P1786" s="15" t="str">
        <f t="shared" si="606"/>
        <v>Romana Imports</v>
      </c>
      <c r="Q1786" s="15" t="str">
        <f t="shared" si="607"/>
        <v>17 Lalla Ward Road</v>
      </c>
      <c r="R1786" s="3">
        <f>OrdersTable!C1786</f>
        <v>44688</v>
      </c>
      <c r="S1786" s="15">
        <f>OrdersTable!E1786</f>
        <v>2</v>
      </c>
      <c r="T1786" s="15">
        <f t="shared" si="608"/>
        <v>295.99</v>
      </c>
      <c r="U1786" s="15">
        <f t="shared" si="609"/>
        <v>403.84</v>
      </c>
      <c r="V1786" s="15">
        <f t="shared" si="610"/>
        <v>479.5</v>
      </c>
      <c r="W1786" s="15">
        <f>IF(MarkupType="Store Markup",ROUND(V1786+V1786*StoreMarkup,2),IF(MarkupType="Supplier Markup",V1786+V1786*SupplierMarkup,"Error at finding value"))</f>
        <v>755.21</v>
      </c>
      <c r="X1786" s="32" t="str">
        <f t="shared" si="612"/>
        <v>0.00</v>
      </c>
      <c r="Y1786" s="15">
        <f t="shared" si="613"/>
        <v>959</v>
      </c>
      <c r="Z1786" s="15">
        <f t="shared" si="614"/>
        <v>1510.42</v>
      </c>
      <c r="AA1786" s="15">
        <f>IF(FreightType="Lethbridge-Stewart Freight ",ROUND(2.99+IF(N1786&gt;0.75,(N1786-0.75)*2.25,0)*S1786,2),IF(MarkupType="Supplier Markup",V1786+V1786*SupplierMarkup,"Error at finding value"))</f>
        <v>66.22</v>
      </c>
      <c r="AB1786" s="15">
        <f t="shared" si="615"/>
        <v>0</v>
      </c>
    </row>
    <row r="1787" spans="1:28" x14ac:dyDescent="0.25">
      <c r="A1787" s="16">
        <f>OrdersTable!A1787</f>
        <v>580</v>
      </c>
      <c r="B1787" s="15" t="str">
        <f t="shared" si="595"/>
        <v>Mr</v>
      </c>
      <c r="C1787" s="15" t="str">
        <f t="shared" si="616"/>
        <v>Faatoafe</v>
      </c>
      <c r="D1787" s="15" t="str">
        <f t="shared" si="596"/>
        <v>Jasson Iosefa</v>
      </c>
      <c r="E1787" s="15" t="str">
        <f t="shared" si="597"/>
        <v>29 Schaffer Boulevard</v>
      </c>
      <c r="F1787" s="15" t="str">
        <f t="shared" si="598"/>
        <v>Binduli</v>
      </c>
      <c r="G1787" s="15" t="str">
        <f t="shared" si="599"/>
        <v>WA</v>
      </c>
      <c r="H1787" s="15">
        <f t="shared" si="600"/>
        <v>6430</v>
      </c>
      <c r="I1787" s="15">
        <f t="shared" si="611"/>
        <v>3543</v>
      </c>
      <c r="J1787" s="15">
        <f>OrdersTable!B1787</f>
        <v>801</v>
      </c>
      <c r="K1787" s="15" t="str">
        <f t="shared" si="601"/>
        <v>Statues and Busts</v>
      </c>
      <c r="L1787" s="15" t="str">
        <f t="shared" si="602"/>
        <v>Doctor Who: Masterpiece Collection Maxi Bust: 4th Doctor</v>
      </c>
      <c r="M1787" s="15" t="str">
        <f t="shared" si="603"/>
        <v>-</v>
      </c>
      <c r="N1787" s="15">
        <f t="shared" si="604"/>
        <v>2.5</v>
      </c>
      <c r="O1787" s="15" t="str">
        <f t="shared" si="605"/>
        <v>A30</v>
      </c>
      <c r="P1787" s="15" t="str">
        <f t="shared" si="606"/>
        <v>Chesterton Enterprises</v>
      </c>
      <c r="Q1787" s="15" t="str">
        <f t="shared" si="607"/>
        <v>41 William Russell Road</v>
      </c>
      <c r="R1787" s="3">
        <f>OrdersTable!C1787</f>
        <v>44688</v>
      </c>
      <c r="S1787" s="15">
        <f>OrdersTable!E1787</f>
        <v>10</v>
      </c>
      <c r="T1787" s="15">
        <f t="shared" si="608"/>
        <v>49.99</v>
      </c>
      <c r="U1787" s="15">
        <f t="shared" si="609"/>
        <v>68.180000000000007</v>
      </c>
      <c r="V1787" s="15">
        <f t="shared" si="610"/>
        <v>80.98</v>
      </c>
      <c r="W1787" s="15">
        <f>IF(MarkupType="Store Markup",ROUND(V1787+V1787*StoreMarkup,2),IF(MarkupType="Supplier Markup",V1787+V1787*SupplierMarkup,"Error at finding value"))</f>
        <v>127.54</v>
      </c>
      <c r="X1787" s="32">
        <f t="shared" si="612"/>
        <v>9.09</v>
      </c>
      <c r="Y1787" s="15">
        <f t="shared" si="613"/>
        <v>809.8</v>
      </c>
      <c r="Z1787" s="15">
        <f t="shared" si="614"/>
        <v>1184.5</v>
      </c>
      <c r="AA1787" s="15">
        <f>IF(FreightType="Lethbridge-Stewart Freight ",ROUND(2.99+IF(N1787&gt;0.75,(N1787-0.75)*2.25,0)*S1787,2),IF(MarkupType="Supplier Markup",V1787+V1787*SupplierMarkup,"Error at finding value"))</f>
        <v>42.37</v>
      </c>
      <c r="AB1787" s="15">
        <f t="shared" si="615"/>
        <v>90.9</v>
      </c>
    </row>
    <row r="1788" spans="1:28" x14ac:dyDescent="0.25">
      <c r="A1788" s="16">
        <f>OrdersTable!A1788</f>
        <v>585</v>
      </c>
      <c r="B1788" s="15" t="str">
        <f t="shared" si="595"/>
        <v>Miss</v>
      </c>
      <c r="C1788" s="15" t="str">
        <f t="shared" si="616"/>
        <v>Long</v>
      </c>
      <c r="D1788" s="15" t="str">
        <f t="shared" si="596"/>
        <v>Bellinda May</v>
      </c>
      <c r="E1788" s="15" t="str">
        <f t="shared" si="597"/>
        <v>5 Hutcheson Avenue</v>
      </c>
      <c r="F1788" s="15" t="str">
        <f t="shared" si="598"/>
        <v>Glenfern</v>
      </c>
      <c r="G1788" s="15" t="str">
        <f t="shared" si="599"/>
        <v>QLD</v>
      </c>
      <c r="H1788" s="15">
        <f t="shared" si="600"/>
        <v>4515</v>
      </c>
      <c r="I1788" s="15">
        <f t="shared" si="611"/>
        <v>128</v>
      </c>
      <c r="J1788" s="15">
        <f>OrdersTable!B1788</f>
        <v>563</v>
      </c>
      <c r="K1788" s="15" t="str">
        <f t="shared" si="601"/>
        <v>Giftware</v>
      </c>
      <c r="L1788" s="15" t="str">
        <f t="shared" si="602"/>
        <v>Doctor Who: TARDIS Jewellery Box</v>
      </c>
      <c r="M1788" s="15" t="str">
        <f t="shared" si="603"/>
        <v>-</v>
      </c>
      <c r="N1788" s="15">
        <f t="shared" si="604"/>
        <v>1.1499999999999999</v>
      </c>
      <c r="O1788" s="15" t="str">
        <f t="shared" si="605"/>
        <v>A50</v>
      </c>
      <c r="P1788" s="15" t="str">
        <f t="shared" si="606"/>
        <v>Rassilon Ltd.</v>
      </c>
      <c r="Q1788" s="15" t="str">
        <f t="shared" si="607"/>
        <v>82 Richard Mathews Road</v>
      </c>
      <c r="R1788" s="3">
        <f>OrdersTable!C1788</f>
        <v>44688</v>
      </c>
      <c r="S1788" s="15">
        <f>OrdersTable!E1788</f>
        <v>4</v>
      </c>
      <c r="T1788" s="15">
        <f t="shared" si="608"/>
        <v>22.99</v>
      </c>
      <c r="U1788" s="15">
        <f t="shared" si="609"/>
        <v>31.63</v>
      </c>
      <c r="V1788" s="15">
        <f t="shared" si="610"/>
        <v>37.24</v>
      </c>
      <c r="W1788" s="15">
        <f>IF(MarkupType="Store Markup",ROUND(V1788+V1788*StoreMarkup,2),IF(MarkupType="Supplier Markup",V1788+V1788*SupplierMarkup,"Error at finding value"))</f>
        <v>58.65</v>
      </c>
      <c r="X1788" s="32" t="str">
        <f t="shared" si="612"/>
        <v>0.00</v>
      </c>
      <c r="Y1788" s="15">
        <f t="shared" si="613"/>
        <v>148.96</v>
      </c>
      <c r="Z1788" s="15">
        <f t="shared" si="614"/>
        <v>234.6</v>
      </c>
      <c r="AA1788" s="15">
        <f>IF(FreightType="Lethbridge-Stewart Freight ",ROUND(2.99+IF(N1788&gt;0.75,(N1788-0.75)*2.25,0)*S1788,2),IF(MarkupType="Supplier Markup",V1788+V1788*SupplierMarkup,"Error at finding value"))</f>
        <v>6.59</v>
      </c>
      <c r="AB1788" s="15">
        <f t="shared" si="615"/>
        <v>0</v>
      </c>
    </row>
    <row r="1789" spans="1:28" x14ac:dyDescent="0.25">
      <c r="A1789" s="16">
        <f>OrdersTable!A1789</f>
        <v>594</v>
      </c>
      <c r="B1789" s="15" t="str">
        <f t="shared" si="595"/>
        <v>Mrs</v>
      </c>
      <c r="C1789" s="15" t="str">
        <f t="shared" si="616"/>
        <v>Entriken</v>
      </c>
      <c r="D1789" s="15" t="str">
        <f t="shared" si="596"/>
        <v>Gwenda Dawn</v>
      </c>
      <c r="E1789" s="15" t="str">
        <f t="shared" si="597"/>
        <v>8 Miljkovic Drive</v>
      </c>
      <c r="F1789" s="15" t="str">
        <f t="shared" si="598"/>
        <v>Nayook</v>
      </c>
      <c r="G1789" s="15" t="str">
        <f t="shared" si="599"/>
        <v>VIC</v>
      </c>
      <c r="H1789" s="15">
        <f t="shared" si="600"/>
        <v>3832</v>
      </c>
      <c r="I1789" s="15">
        <f t="shared" si="611"/>
        <v>1552</v>
      </c>
      <c r="J1789" s="15">
        <f>OrdersTable!B1789</f>
        <v>849</v>
      </c>
      <c r="K1789" s="15" t="str">
        <f t="shared" si="601"/>
        <v>Statues and Busts</v>
      </c>
      <c r="L1789" s="15" t="str">
        <f t="shared" si="602"/>
        <v>Doctor Who: Statue: Cyber Controller</v>
      </c>
      <c r="M1789" s="15" t="str">
        <f t="shared" si="603"/>
        <v>-</v>
      </c>
      <c r="N1789" s="15">
        <f t="shared" si="604"/>
        <v>5</v>
      </c>
      <c r="O1789" s="15" t="str">
        <f t="shared" si="605"/>
        <v>A10</v>
      </c>
      <c r="P1789" s="15" t="str">
        <f t="shared" si="606"/>
        <v>Gallifrey International</v>
      </c>
      <c r="Q1789" s="15" t="str">
        <f t="shared" si="607"/>
        <v>181 Arcadia Street</v>
      </c>
      <c r="R1789" s="3">
        <f>OrdersTable!C1789</f>
        <v>44688</v>
      </c>
      <c r="S1789" s="15">
        <f>OrdersTable!E1789</f>
        <v>10</v>
      </c>
      <c r="T1789" s="15">
        <f t="shared" si="608"/>
        <v>99.99</v>
      </c>
      <c r="U1789" s="15">
        <f t="shared" si="609"/>
        <v>136.41</v>
      </c>
      <c r="V1789" s="15">
        <f t="shared" si="610"/>
        <v>161.97999999999999</v>
      </c>
      <c r="W1789" s="15">
        <f>IF(MarkupType="Store Markup",ROUND(V1789+V1789*StoreMarkup,2),IF(MarkupType="Supplier Markup",V1789+V1789*SupplierMarkup,"Error at finding value"))</f>
        <v>255.12</v>
      </c>
      <c r="X1789" s="32">
        <f t="shared" si="612"/>
        <v>18.18</v>
      </c>
      <c r="Y1789" s="15">
        <f t="shared" si="613"/>
        <v>1619.8</v>
      </c>
      <c r="Z1789" s="15">
        <f t="shared" si="614"/>
        <v>2369.4</v>
      </c>
      <c r="AA1789" s="15">
        <f>IF(FreightType="Lethbridge-Stewart Freight ",ROUND(2.99+IF(N1789&gt;0.75,(N1789-0.75)*2.25,0)*S1789,2),IF(MarkupType="Supplier Markup",V1789+V1789*SupplierMarkup,"Error at finding value"))</f>
        <v>98.62</v>
      </c>
      <c r="AB1789" s="15">
        <f t="shared" si="615"/>
        <v>181.8</v>
      </c>
    </row>
    <row r="1790" spans="1:28" x14ac:dyDescent="0.25">
      <c r="A1790" s="16">
        <f>OrdersTable!A1790</f>
        <v>602</v>
      </c>
      <c r="B1790" s="15" t="str">
        <f t="shared" si="595"/>
        <v>Mr</v>
      </c>
      <c r="C1790" s="15" t="str">
        <f t="shared" si="616"/>
        <v>Spinelli</v>
      </c>
      <c r="D1790" s="15" t="str">
        <f t="shared" si="596"/>
        <v>Paul Walter</v>
      </c>
      <c r="E1790" s="15" t="str">
        <f t="shared" si="597"/>
        <v>35 Azar Drive</v>
      </c>
      <c r="F1790" s="15" t="str">
        <f t="shared" si="598"/>
        <v>Bray Park</v>
      </c>
      <c r="G1790" s="15" t="str">
        <f t="shared" si="599"/>
        <v>QLD</v>
      </c>
      <c r="H1790" s="15">
        <f t="shared" si="600"/>
        <v>4500</v>
      </c>
      <c r="I1790" s="15">
        <f t="shared" si="611"/>
        <v>139</v>
      </c>
      <c r="J1790" s="15">
        <f>OrdersTable!B1790</f>
        <v>724</v>
      </c>
      <c r="K1790" s="15" t="str">
        <f t="shared" si="601"/>
        <v>Posters, Prints and Standees</v>
      </c>
      <c r="L1790" s="15" t="str">
        <f t="shared" si="602"/>
        <v>Doctor Who: Standee: The 10th Doctor</v>
      </c>
      <c r="M1790" s="15" t="str">
        <f t="shared" si="603"/>
        <v>-</v>
      </c>
      <c r="N1790" s="15">
        <f t="shared" si="604"/>
        <v>1.125</v>
      </c>
      <c r="O1790" s="15" t="str">
        <f t="shared" si="605"/>
        <v>A50</v>
      </c>
      <c r="P1790" s="15" t="str">
        <f t="shared" si="606"/>
        <v>Rassilon Ltd.</v>
      </c>
      <c r="Q1790" s="15" t="str">
        <f t="shared" si="607"/>
        <v>82 Richard Mathews Road</v>
      </c>
      <c r="R1790" s="3">
        <f>OrdersTable!C1790</f>
        <v>44688</v>
      </c>
      <c r="S1790" s="15">
        <f>OrdersTable!E1790</f>
        <v>6</v>
      </c>
      <c r="T1790" s="15">
        <f t="shared" si="608"/>
        <v>22.49</v>
      </c>
      <c r="U1790" s="15">
        <f t="shared" si="609"/>
        <v>30.77</v>
      </c>
      <c r="V1790" s="15">
        <f t="shared" si="610"/>
        <v>36.43</v>
      </c>
      <c r="W1790" s="15">
        <f>IF(MarkupType="Store Markup",ROUND(V1790+V1790*StoreMarkup,2),IF(MarkupType="Supplier Markup",V1790+V1790*SupplierMarkup,"Error at finding value"))</f>
        <v>57.38</v>
      </c>
      <c r="X1790" s="32" t="str">
        <f t="shared" si="612"/>
        <v>0.00</v>
      </c>
      <c r="Y1790" s="15">
        <f t="shared" si="613"/>
        <v>218.58</v>
      </c>
      <c r="Z1790" s="15">
        <f t="shared" si="614"/>
        <v>344.28</v>
      </c>
      <c r="AA1790" s="15">
        <f>IF(FreightType="Lethbridge-Stewart Freight ",ROUND(2.99+IF(N1790&gt;0.75,(N1790-0.75)*2.25,0)*S1790,2),IF(MarkupType="Supplier Markup",V1790+V1790*SupplierMarkup,"Error at finding value"))</f>
        <v>8.0500000000000007</v>
      </c>
      <c r="AB1790" s="15">
        <f t="shared" si="615"/>
        <v>0</v>
      </c>
    </row>
    <row r="1791" spans="1:28" x14ac:dyDescent="0.25">
      <c r="A1791" s="16">
        <f>OrdersTable!A1791</f>
        <v>651</v>
      </c>
      <c r="B1791" s="15" t="str">
        <f t="shared" si="595"/>
        <v>Mr</v>
      </c>
      <c r="C1791" s="15" t="str">
        <f t="shared" si="616"/>
        <v>Wilkes</v>
      </c>
      <c r="D1791" s="15" t="str">
        <f t="shared" si="596"/>
        <v>Harley</v>
      </c>
      <c r="E1791" s="15" t="str">
        <f t="shared" si="597"/>
        <v>12 Locke Circuit</v>
      </c>
      <c r="F1791" s="15" t="str">
        <f t="shared" si="598"/>
        <v>Bray Park</v>
      </c>
      <c r="G1791" s="15" t="str">
        <f t="shared" si="599"/>
        <v>QLD</v>
      </c>
      <c r="H1791" s="15">
        <f t="shared" si="600"/>
        <v>4500</v>
      </c>
      <c r="I1791" s="15">
        <f t="shared" si="611"/>
        <v>139</v>
      </c>
      <c r="J1791" s="15">
        <f>OrdersTable!B1791</f>
        <v>580</v>
      </c>
      <c r="K1791" s="15" t="str">
        <f t="shared" si="601"/>
        <v>Giftware</v>
      </c>
      <c r="L1791" s="15" t="str">
        <f t="shared" si="602"/>
        <v>Doctor Who: Wallpaper: Classic TARDIS Columns</v>
      </c>
      <c r="M1791" s="15" t="str">
        <f t="shared" si="603"/>
        <v>-</v>
      </c>
      <c r="N1791" s="15">
        <f t="shared" si="604"/>
        <v>0.65500000000000003</v>
      </c>
      <c r="O1791" s="15" t="str">
        <f t="shared" si="605"/>
        <v>A50</v>
      </c>
      <c r="P1791" s="15" t="str">
        <f t="shared" si="606"/>
        <v>Rassilon Ltd.</v>
      </c>
      <c r="Q1791" s="15" t="str">
        <f t="shared" si="607"/>
        <v>82 Richard Mathews Road</v>
      </c>
      <c r="R1791" s="3">
        <f>OrdersTable!C1791</f>
        <v>44688</v>
      </c>
      <c r="S1791" s="15">
        <f>OrdersTable!E1791</f>
        <v>9</v>
      </c>
      <c r="T1791" s="15">
        <f t="shared" si="608"/>
        <v>13.11</v>
      </c>
      <c r="U1791" s="15">
        <f t="shared" si="609"/>
        <v>18.18</v>
      </c>
      <c r="V1791" s="15">
        <f t="shared" si="610"/>
        <v>21.24</v>
      </c>
      <c r="W1791" s="15">
        <f>IF(MarkupType="Store Markup",ROUND(V1791+V1791*StoreMarkup,2),IF(MarkupType="Supplier Markup",V1791+V1791*SupplierMarkup,"Error at finding value"))</f>
        <v>33.450000000000003</v>
      </c>
      <c r="X1791" s="32" t="str">
        <f t="shared" si="612"/>
        <v>0.00</v>
      </c>
      <c r="Y1791" s="15">
        <f t="shared" si="613"/>
        <v>191.16</v>
      </c>
      <c r="Z1791" s="15">
        <f t="shared" si="614"/>
        <v>301.05</v>
      </c>
      <c r="AA1791" s="15">
        <f>IF(FreightType="Lethbridge-Stewart Freight ",ROUND(2.99+IF(N1791&gt;0.75,(N1791-0.75)*2.25,0)*S1791,2),IF(MarkupType="Supplier Markup",V1791+V1791*SupplierMarkup,"Error at finding value"))</f>
        <v>2.99</v>
      </c>
      <c r="AB1791" s="15">
        <f t="shared" si="615"/>
        <v>0</v>
      </c>
    </row>
    <row r="1792" spans="1:28" x14ac:dyDescent="0.25">
      <c r="A1792" s="16">
        <f>OrdersTable!A1792</f>
        <v>657</v>
      </c>
      <c r="B1792" s="15" t="str">
        <f t="shared" si="595"/>
        <v>Mr</v>
      </c>
      <c r="C1792" s="15" t="str">
        <f t="shared" si="616"/>
        <v>Poljak</v>
      </c>
      <c r="D1792" s="15" t="str">
        <f t="shared" si="596"/>
        <v>Anthony</v>
      </c>
      <c r="E1792" s="15" t="str">
        <f t="shared" si="597"/>
        <v>45 Robertson Boulevard</v>
      </c>
      <c r="F1792" s="15" t="str">
        <f t="shared" si="598"/>
        <v>Iluka</v>
      </c>
      <c r="G1792" s="15" t="str">
        <f t="shared" si="599"/>
        <v>NSW</v>
      </c>
      <c r="H1792" s="15">
        <f t="shared" si="600"/>
        <v>2466</v>
      </c>
      <c r="I1792" s="15">
        <f t="shared" si="611"/>
        <v>347</v>
      </c>
      <c r="J1792" s="15">
        <f>OrdersTable!B1792</f>
        <v>464</v>
      </c>
      <c r="K1792" s="15" t="str">
        <f t="shared" si="601"/>
        <v>Giftware</v>
      </c>
      <c r="L1792" s="15" t="str">
        <f t="shared" si="602"/>
        <v>Doctor Who: Collectable License Plate: My Other Car Is A TARDIS</v>
      </c>
      <c r="M1792" s="15" t="str">
        <f t="shared" si="603"/>
        <v>-</v>
      </c>
      <c r="N1792" s="15">
        <f t="shared" si="604"/>
        <v>0.6</v>
      </c>
      <c r="O1792" s="15" t="str">
        <f t="shared" si="605"/>
        <v>A50</v>
      </c>
      <c r="P1792" s="15" t="str">
        <f t="shared" si="606"/>
        <v>Rassilon Ltd.</v>
      </c>
      <c r="Q1792" s="15" t="str">
        <f t="shared" si="607"/>
        <v>82 Richard Mathews Road</v>
      </c>
      <c r="R1792" s="3">
        <f>OrdersTable!C1792</f>
        <v>44688</v>
      </c>
      <c r="S1792" s="15">
        <f>OrdersTable!E1792</f>
        <v>8</v>
      </c>
      <c r="T1792" s="15">
        <f t="shared" si="608"/>
        <v>11.99</v>
      </c>
      <c r="U1792" s="15">
        <f t="shared" si="609"/>
        <v>16.579999999999998</v>
      </c>
      <c r="V1792" s="15">
        <f t="shared" si="610"/>
        <v>19.420000000000002</v>
      </c>
      <c r="W1792" s="15">
        <f>IF(MarkupType="Store Markup",ROUND(V1792+V1792*StoreMarkup,2),IF(MarkupType="Supplier Markup",V1792+V1792*SupplierMarkup,"Error at finding value"))</f>
        <v>30.59</v>
      </c>
      <c r="X1792" s="32" t="str">
        <f t="shared" si="612"/>
        <v>0.00</v>
      </c>
      <c r="Y1792" s="15">
        <f t="shared" si="613"/>
        <v>155.36000000000001</v>
      </c>
      <c r="Z1792" s="15">
        <f t="shared" si="614"/>
        <v>244.72</v>
      </c>
      <c r="AA1792" s="15">
        <f>IF(FreightType="Lethbridge-Stewart Freight ",ROUND(2.99+IF(N1792&gt;0.75,(N1792-0.75)*2.25,0)*S1792,2),IF(MarkupType="Supplier Markup",V1792+V1792*SupplierMarkup,"Error at finding value"))</f>
        <v>2.99</v>
      </c>
      <c r="AB1792" s="15">
        <f t="shared" si="615"/>
        <v>0</v>
      </c>
    </row>
    <row r="1793" spans="1:28" x14ac:dyDescent="0.25">
      <c r="A1793" s="16">
        <f>OrdersTable!A1793</f>
        <v>730</v>
      </c>
      <c r="B1793" s="15" t="str">
        <f t="shared" si="595"/>
        <v>Mr</v>
      </c>
      <c r="C1793" s="15" t="str">
        <f t="shared" si="616"/>
        <v>Romer</v>
      </c>
      <c r="D1793" s="15" t="str">
        <f t="shared" si="596"/>
        <v>Leo Alexander</v>
      </c>
      <c r="E1793" s="15" t="str">
        <f t="shared" si="597"/>
        <v>47 Bennett Circuit</v>
      </c>
      <c r="F1793" s="15" t="str">
        <f t="shared" si="598"/>
        <v>Caliph</v>
      </c>
      <c r="G1793" s="15" t="str">
        <f t="shared" si="599"/>
        <v>SA</v>
      </c>
      <c r="H1793" s="15">
        <f t="shared" si="600"/>
        <v>5310</v>
      </c>
      <c r="I1793" s="15">
        <f t="shared" si="611"/>
        <v>1720</v>
      </c>
      <c r="J1793" s="15">
        <f>OrdersTable!B1793</f>
        <v>594</v>
      </c>
      <c r="K1793" s="15" t="str">
        <f t="shared" si="601"/>
        <v>iPhone Skins</v>
      </c>
      <c r="L1793" s="15" t="str">
        <f t="shared" si="602"/>
        <v>Doctor Who: iPhone Skin: Keep Calm And Don't Blink</v>
      </c>
      <c r="M1793" s="15" t="str">
        <f t="shared" si="603"/>
        <v>-</v>
      </c>
      <c r="N1793" s="15">
        <f t="shared" si="604"/>
        <v>0.5</v>
      </c>
      <c r="O1793" s="15" t="str">
        <f t="shared" si="605"/>
        <v>A20</v>
      </c>
      <c r="P1793" s="15" t="str">
        <f t="shared" si="606"/>
        <v>Morbius Inc.</v>
      </c>
      <c r="Q1793" s="15" t="str">
        <f t="shared" si="607"/>
        <v>56 Michael Spice Hwy</v>
      </c>
      <c r="R1793" s="3">
        <f>OrdersTable!C1793</f>
        <v>44688</v>
      </c>
      <c r="S1793" s="15">
        <f>OrdersTable!E1793</f>
        <v>10</v>
      </c>
      <c r="T1793" s="15">
        <f t="shared" si="608"/>
        <v>9.99</v>
      </c>
      <c r="U1793" s="15">
        <f t="shared" si="609"/>
        <v>13.88</v>
      </c>
      <c r="V1793" s="15">
        <f t="shared" si="610"/>
        <v>16.18</v>
      </c>
      <c r="W1793" s="15">
        <f>IF(MarkupType="Store Markup",ROUND(V1793+V1793*StoreMarkup,2),IF(MarkupType="Supplier Markup",V1793+V1793*SupplierMarkup,"Error at finding value"))</f>
        <v>25.48</v>
      </c>
      <c r="X1793" s="32" t="str">
        <f t="shared" si="612"/>
        <v>0.00</v>
      </c>
      <c r="Y1793" s="15">
        <f t="shared" si="613"/>
        <v>161.80000000000001</v>
      </c>
      <c r="Z1793" s="15">
        <f t="shared" si="614"/>
        <v>254.8</v>
      </c>
      <c r="AA1793" s="15">
        <f>IF(FreightType="Lethbridge-Stewart Freight ",ROUND(2.99+IF(N1793&gt;0.75,(N1793-0.75)*2.25,0)*S1793,2),IF(MarkupType="Supplier Markup",V1793+V1793*SupplierMarkup,"Error at finding value"))</f>
        <v>2.99</v>
      </c>
      <c r="AB1793" s="15">
        <f t="shared" si="615"/>
        <v>0</v>
      </c>
    </row>
    <row r="1794" spans="1:28" x14ac:dyDescent="0.25">
      <c r="A1794" s="16">
        <f>OrdersTable!A1794</f>
        <v>906</v>
      </c>
      <c r="B1794" s="15" t="str">
        <f t="shared" si="595"/>
        <v>Mrs</v>
      </c>
      <c r="C1794" s="15" t="str">
        <f t="shared" si="616"/>
        <v>Turner</v>
      </c>
      <c r="D1794" s="15" t="str">
        <f t="shared" si="596"/>
        <v>Courtney</v>
      </c>
      <c r="E1794" s="15" t="str">
        <f t="shared" si="597"/>
        <v>42 Fearon Avenue</v>
      </c>
      <c r="F1794" s="15" t="str">
        <f t="shared" si="598"/>
        <v>Breakwater</v>
      </c>
      <c r="G1794" s="15" t="str">
        <f t="shared" si="599"/>
        <v>VIC</v>
      </c>
      <c r="H1794" s="15">
        <f t="shared" si="600"/>
        <v>3219</v>
      </c>
      <c r="I1794" s="15">
        <f t="shared" si="611"/>
        <v>1596</v>
      </c>
      <c r="J1794" s="15">
        <f>OrdersTable!B1794</f>
        <v>177</v>
      </c>
      <c r="K1794" s="15" t="str">
        <f t="shared" si="601"/>
        <v>Bobbleheads</v>
      </c>
      <c r="L1794" s="15" t="str">
        <f t="shared" si="602"/>
        <v>Doctor Who: Bobblehead: TARDIS (With Sound)</v>
      </c>
      <c r="M1794" s="15" t="str">
        <f t="shared" si="603"/>
        <v>-</v>
      </c>
      <c r="N1794" s="15">
        <f t="shared" si="604"/>
        <v>1</v>
      </c>
      <c r="O1794" s="15" t="str">
        <f t="shared" si="605"/>
        <v>A30</v>
      </c>
      <c r="P1794" s="15" t="str">
        <f t="shared" si="606"/>
        <v>Chesterton Enterprises</v>
      </c>
      <c r="Q1794" s="15" t="str">
        <f t="shared" si="607"/>
        <v>41 William Russell Road</v>
      </c>
      <c r="R1794" s="3">
        <f>OrdersTable!C1794</f>
        <v>44688</v>
      </c>
      <c r="S1794" s="15">
        <f>OrdersTable!E1794</f>
        <v>1</v>
      </c>
      <c r="T1794" s="15">
        <f t="shared" si="608"/>
        <v>19.989999999999998</v>
      </c>
      <c r="U1794" s="15">
        <f t="shared" si="609"/>
        <v>27.6</v>
      </c>
      <c r="V1794" s="15">
        <f t="shared" si="610"/>
        <v>32.380000000000003</v>
      </c>
      <c r="W1794" s="15">
        <f>IF(MarkupType="Store Markup",ROUND(V1794+V1794*StoreMarkup,2),IF(MarkupType="Supplier Markup",V1794+V1794*SupplierMarkup,"Error at finding value"))</f>
        <v>51</v>
      </c>
      <c r="X1794" s="32" t="str">
        <f t="shared" si="612"/>
        <v>0.00</v>
      </c>
      <c r="Y1794" s="15">
        <f t="shared" si="613"/>
        <v>32.380000000000003</v>
      </c>
      <c r="Z1794" s="15">
        <f t="shared" si="614"/>
        <v>51</v>
      </c>
      <c r="AA1794" s="15">
        <f>IF(FreightType="Lethbridge-Stewart Freight ",ROUND(2.99+IF(N1794&gt;0.75,(N1794-0.75)*2.25,0)*S1794,2),IF(MarkupType="Supplier Markup",V1794+V1794*SupplierMarkup,"Error at finding value"))</f>
        <v>3.55</v>
      </c>
      <c r="AB1794" s="15">
        <f t="shared" si="615"/>
        <v>0</v>
      </c>
    </row>
    <row r="1795" spans="1:28" x14ac:dyDescent="0.25">
      <c r="A1795" s="16">
        <f>OrdersTable!A1795</f>
        <v>961</v>
      </c>
      <c r="B1795" s="15" t="str">
        <f t="shared" si="595"/>
        <v>Ms</v>
      </c>
      <c r="C1795" s="15" t="str">
        <f t="shared" si="616"/>
        <v>Schuh</v>
      </c>
      <c r="D1795" s="15" t="str">
        <f t="shared" si="596"/>
        <v>Rebecca Anne</v>
      </c>
      <c r="E1795" s="15" t="str">
        <f t="shared" si="597"/>
        <v>48 Wilson Court</v>
      </c>
      <c r="F1795" s="15" t="str">
        <f t="shared" si="598"/>
        <v>Breakwater</v>
      </c>
      <c r="G1795" s="15" t="str">
        <f t="shared" si="599"/>
        <v>VIC</v>
      </c>
      <c r="H1795" s="15">
        <f t="shared" si="600"/>
        <v>3219</v>
      </c>
      <c r="I1795" s="15">
        <f t="shared" si="611"/>
        <v>1596</v>
      </c>
      <c r="J1795" s="15">
        <f>OrdersTable!B1795</f>
        <v>698</v>
      </c>
      <c r="K1795" s="15" t="str">
        <f t="shared" si="601"/>
        <v>Posters, Prints and Standees</v>
      </c>
      <c r="L1795" s="15" t="str">
        <f t="shared" si="602"/>
        <v>Doctor Who: Art Print: My Mysterious Doctor</v>
      </c>
      <c r="M1795" s="15" t="str">
        <f t="shared" si="603"/>
        <v>-</v>
      </c>
      <c r="N1795" s="15">
        <f t="shared" si="604"/>
        <v>0.75</v>
      </c>
      <c r="O1795" s="15" t="str">
        <f t="shared" si="605"/>
        <v>A30</v>
      </c>
      <c r="P1795" s="15" t="str">
        <f t="shared" si="606"/>
        <v>Chesterton Enterprises</v>
      </c>
      <c r="Q1795" s="15" t="str">
        <f t="shared" si="607"/>
        <v>41 William Russell Road</v>
      </c>
      <c r="R1795" s="3">
        <f>OrdersTable!C1795</f>
        <v>44688</v>
      </c>
      <c r="S1795" s="15">
        <f>OrdersTable!E1795</f>
        <v>8</v>
      </c>
      <c r="T1795" s="15">
        <f t="shared" si="608"/>
        <v>14.99</v>
      </c>
      <c r="U1795" s="15">
        <f t="shared" si="609"/>
        <v>20.56</v>
      </c>
      <c r="V1795" s="15">
        <f t="shared" si="610"/>
        <v>24.28</v>
      </c>
      <c r="W1795" s="15">
        <f>IF(MarkupType="Store Markup",ROUND(V1795+V1795*StoreMarkup,2),IF(MarkupType="Supplier Markup",V1795+V1795*SupplierMarkup,"Error at finding value"))</f>
        <v>38.24</v>
      </c>
      <c r="X1795" s="32" t="str">
        <f t="shared" si="612"/>
        <v>0.00</v>
      </c>
      <c r="Y1795" s="15">
        <f t="shared" si="613"/>
        <v>194.24</v>
      </c>
      <c r="Z1795" s="15">
        <f t="shared" si="614"/>
        <v>305.92</v>
      </c>
      <c r="AA1795" s="15">
        <f>IF(FreightType="Lethbridge-Stewart Freight ",ROUND(2.99+IF(N1795&gt;0.75,(N1795-0.75)*2.25,0)*S1795,2),IF(MarkupType="Supplier Markup",V1795+V1795*SupplierMarkup,"Error at finding value"))</f>
        <v>2.99</v>
      </c>
      <c r="AB1795" s="15">
        <f t="shared" si="615"/>
        <v>0</v>
      </c>
    </row>
    <row r="1796" spans="1:28" x14ac:dyDescent="0.25">
      <c r="A1796" s="16">
        <f>OrdersTable!A1796</f>
        <v>47</v>
      </c>
      <c r="B1796" s="15" t="str">
        <f t="shared" ref="B1796:B1859" si="617">VLOOKUP($A1796,Cust,2,0)</f>
        <v>Dr</v>
      </c>
      <c r="C1796" s="15" t="str">
        <f t="shared" si="616"/>
        <v>Kaur</v>
      </c>
      <c r="D1796" s="15" t="str">
        <f t="shared" ref="D1796:D1859" si="618">VLOOKUP($A1796,Cust,4,0)</f>
        <v>Jasleen</v>
      </c>
      <c r="E1796" s="15" t="str">
        <f t="shared" ref="E1796:E1859" si="619">VLOOKUP($A1796,Cust,6,0)</f>
        <v>7 Hong Road</v>
      </c>
      <c r="F1796" s="15" t="str">
        <f t="shared" ref="F1796:F1859" si="620">VLOOKUP($A1796,Cust,7,0)</f>
        <v>Belconnen</v>
      </c>
      <c r="G1796" s="15" t="str">
        <f t="shared" ref="G1796:G1859" si="621">VLOOKUP($A1796,Cust,8,0)</f>
        <v>ACT</v>
      </c>
      <c r="H1796" s="15">
        <f t="shared" ref="H1796:H1859" si="622">VLOOKUP($A1796,Cust,9,0)</f>
        <v>2617</v>
      </c>
      <c r="I1796" s="15">
        <f t="shared" si="611"/>
        <v>1194</v>
      </c>
      <c r="J1796" s="15">
        <f>OrdersTable!B1796</f>
        <v>840</v>
      </c>
      <c r="K1796" s="15" t="str">
        <f t="shared" ref="K1796:K1859" si="623">VLOOKUP($J1796,Itms,2,0)</f>
        <v>Statues and Busts</v>
      </c>
      <c r="L1796" s="15" t="str">
        <f t="shared" ref="L1796:L1859" si="624">VLOOKUP($J1796,Itms,3,0)</f>
        <v>Doctor Who: Signature Edition Statue: Gallifrey Edition: Patrick Troughton</v>
      </c>
      <c r="M1796" s="15" t="str">
        <f t="shared" ref="M1796:M1859" si="625">VLOOKUP($J1796,Itms,4,0)</f>
        <v>-</v>
      </c>
      <c r="N1796" s="15">
        <f t="shared" ref="N1796:N1859" si="626">VLOOKUP($J1796,Itms,5,0)</f>
        <v>2.5</v>
      </c>
      <c r="O1796" s="15" t="str">
        <f t="shared" ref="O1796:O1859" si="627">VLOOKUP($J1796,Itms,6,0)</f>
        <v>A40</v>
      </c>
      <c r="P1796" s="15" t="str">
        <f t="shared" ref="P1796:P1859" si="628">VLOOKUP($O1796,Supp,2,0)</f>
        <v>Romana Imports</v>
      </c>
      <c r="Q1796" s="15" t="str">
        <f t="shared" ref="Q1796:Q1859" si="629">VLOOKUP($O1796,Supp,3,0)</f>
        <v>17 Lalla Ward Road</v>
      </c>
      <c r="R1796" s="3">
        <f>OrdersTable!C1796</f>
        <v>44689</v>
      </c>
      <c r="S1796" s="15">
        <f>OrdersTable!E1796</f>
        <v>3</v>
      </c>
      <c r="T1796" s="15">
        <f t="shared" ref="T1796:T1859" si="630">VLOOKUP($J1796,Itms,9,0)</f>
        <v>49.99</v>
      </c>
      <c r="U1796" s="15">
        <f t="shared" ref="U1796:U1859" si="631">VLOOKUP($J1796,Itms,10,0)</f>
        <v>68.510000000000005</v>
      </c>
      <c r="V1796" s="15">
        <f t="shared" ref="V1796:V1859" si="632">IF(ExchRateType="IR",ROUND(T1796*ExchRateIR,2),IF(ExchRateType="CA",ROUND(U1796*ExchRateCA,2),"Error at finding value"))</f>
        <v>80.98</v>
      </c>
      <c r="W1796" s="15">
        <f>IF(MarkupType="Store Markup",ROUND(V1796+V1796*StoreMarkup,2),IF(MarkupType="Supplier Markup",V1796+V1796*SupplierMarkup,"Error at finding value"))</f>
        <v>127.54</v>
      </c>
      <c r="X1796" s="32">
        <f t="shared" si="612"/>
        <v>9.09</v>
      </c>
      <c r="Y1796" s="15">
        <f t="shared" si="613"/>
        <v>242.94</v>
      </c>
      <c r="Z1796" s="15">
        <f t="shared" si="614"/>
        <v>355.35</v>
      </c>
      <c r="AA1796" s="15">
        <f>IF(FreightType="Lethbridge-Stewart Freight ",ROUND(2.99+IF(N1796&gt;0.75,(N1796-0.75)*2.25,0)*S1796,2),IF(MarkupType="Supplier Markup",V1796+V1796*SupplierMarkup,"Error at finding value"))</f>
        <v>14.8</v>
      </c>
      <c r="AB1796" s="15">
        <f t="shared" si="615"/>
        <v>27.27</v>
      </c>
    </row>
    <row r="1797" spans="1:28" x14ac:dyDescent="0.25">
      <c r="A1797" s="16">
        <f>OrdersTable!A1797</f>
        <v>55</v>
      </c>
      <c r="B1797" s="15" t="str">
        <f t="shared" si="617"/>
        <v>Mr</v>
      </c>
      <c r="C1797" s="15" t="str">
        <f t="shared" si="616"/>
        <v>Myers</v>
      </c>
      <c r="D1797" s="15" t="str">
        <f t="shared" si="618"/>
        <v>Luke Charles</v>
      </c>
      <c r="E1797" s="15" t="str">
        <f t="shared" si="619"/>
        <v>25 Penrose Street</v>
      </c>
      <c r="F1797" s="15" t="str">
        <f t="shared" si="620"/>
        <v>Black Hills</v>
      </c>
      <c r="G1797" s="15" t="str">
        <f t="shared" si="621"/>
        <v>TAS</v>
      </c>
      <c r="H1797" s="15">
        <f t="shared" si="622"/>
        <v>7140</v>
      </c>
      <c r="I1797" s="15">
        <f t="shared" ref="I1797:I1860" si="633">VLOOKUP($A1797,Cust,10,0)</f>
        <v>2191</v>
      </c>
      <c r="J1797" s="15">
        <f>OrdersTable!B1797</f>
        <v>759</v>
      </c>
      <c r="K1797" s="15" t="str">
        <f t="shared" si="623"/>
        <v>Statues and Busts</v>
      </c>
      <c r="L1797" s="15" t="str">
        <f t="shared" si="624"/>
        <v>Doctor Who: Legends Forever Bust: Jon Pertwee</v>
      </c>
      <c r="M1797" s="15" t="str">
        <f t="shared" si="625"/>
        <v>-</v>
      </c>
      <c r="N1797" s="15">
        <f t="shared" si="626"/>
        <v>1.375</v>
      </c>
      <c r="O1797" s="15" t="str">
        <f t="shared" si="627"/>
        <v>A30</v>
      </c>
      <c r="P1797" s="15" t="str">
        <f t="shared" si="628"/>
        <v>Chesterton Enterprises</v>
      </c>
      <c r="Q1797" s="15" t="str">
        <f t="shared" si="629"/>
        <v>41 William Russell Road</v>
      </c>
      <c r="R1797" s="3">
        <f>OrdersTable!C1797</f>
        <v>44689</v>
      </c>
      <c r="S1797" s="15">
        <f>OrdersTable!E1797</f>
        <v>2</v>
      </c>
      <c r="T1797" s="15">
        <f t="shared" si="630"/>
        <v>27.5</v>
      </c>
      <c r="U1797" s="15">
        <f t="shared" si="631"/>
        <v>37.630000000000003</v>
      </c>
      <c r="V1797" s="15">
        <f t="shared" si="632"/>
        <v>44.55</v>
      </c>
      <c r="W1797" s="15">
        <f>IF(MarkupType="Store Markup",ROUND(V1797+V1797*StoreMarkup,2),IF(MarkupType="Supplier Markup",V1797+V1797*SupplierMarkup,"Error at finding value"))</f>
        <v>70.17</v>
      </c>
      <c r="X1797" s="32" t="str">
        <f t="shared" ref="X1797:X1860" si="634">IF(AND(W1797&gt;100,S1797&gt;=3),ROUND(0.07125*W1797,2),"0.00")</f>
        <v>0.00</v>
      </c>
      <c r="Y1797" s="15">
        <f t="shared" ref="Y1797:Y1860" si="635">ROUND(V1797*S1797,2)</f>
        <v>89.1</v>
      </c>
      <c r="Z1797" s="15">
        <f t="shared" ref="Z1797:Z1860" si="636">ROUND((W1797-X1797)*S1797,2)</f>
        <v>140.34</v>
      </c>
      <c r="AA1797" s="15">
        <f>IF(FreightType="Lethbridge-Stewart Freight ",ROUND(2.99+IF(N1797&gt;0.75,(N1797-0.75)*2.25,0)*S1797,2),IF(MarkupType="Supplier Markup",V1797+V1797*SupplierMarkup,"Error at finding value"))</f>
        <v>5.8</v>
      </c>
      <c r="AB1797" s="15">
        <f t="shared" ref="AB1797:AB1860" si="637">ROUND(X1797*S1797,2)</f>
        <v>0</v>
      </c>
    </row>
    <row r="1798" spans="1:28" x14ac:dyDescent="0.25">
      <c r="A1798" s="16">
        <f>OrdersTable!A1798</f>
        <v>224</v>
      </c>
      <c r="B1798" s="15" t="str">
        <f t="shared" si="617"/>
        <v>Miss</v>
      </c>
      <c r="C1798" s="15" t="str">
        <f t="shared" si="616"/>
        <v>Baruwal</v>
      </c>
      <c r="D1798" s="15" t="str">
        <f t="shared" si="618"/>
        <v>Pratikshya</v>
      </c>
      <c r="E1798" s="15" t="str">
        <f t="shared" si="619"/>
        <v>43 Gilloway Street</v>
      </c>
      <c r="F1798" s="15" t="str">
        <f t="shared" si="620"/>
        <v>Iluka</v>
      </c>
      <c r="G1798" s="15" t="str">
        <f t="shared" si="621"/>
        <v>NSW</v>
      </c>
      <c r="H1798" s="15">
        <f t="shared" si="622"/>
        <v>2466</v>
      </c>
      <c r="I1798" s="15">
        <f t="shared" si="633"/>
        <v>347</v>
      </c>
      <c r="J1798" s="15">
        <f>OrdersTable!B1798</f>
        <v>668</v>
      </c>
      <c r="K1798" s="15" t="str">
        <f t="shared" si="623"/>
        <v>Mugs</v>
      </c>
      <c r="L1798" s="15" t="str">
        <f t="shared" si="624"/>
        <v>Doctor Who: Mug: Silver TARDIS</v>
      </c>
      <c r="M1798" s="15" t="str">
        <f t="shared" si="625"/>
        <v>-</v>
      </c>
      <c r="N1798" s="15">
        <f t="shared" si="626"/>
        <v>1.1499999999999999</v>
      </c>
      <c r="O1798" s="15" t="str">
        <f t="shared" si="627"/>
        <v>A50</v>
      </c>
      <c r="P1798" s="15" t="str">
        <f t="shared" si="628"/>
        <v>Rassilon Ltd.</v>
      </c>
      <c r="Q1798" s="15" t="str">
        <f t="shared" si="629"/>
        <v>82 Richard Mathews Road</v>
      </c>
      <c r="R1798" s="3">
        <f>OrdersTable!C1798</f>
        <v>44689</v>
      </c>
      <c r="S1798" s="15">
        <f>OrdersTable!E1798</f>
        <v>8</v>
      </c>
      <c r="T1798" s="15">
        <f t="shared" si="630"/>
        <v>22.99</v>
      </c>
      <c r="U1798" s="15">
        <f t="shared" si="631"/>
        <v>31.53</v>
      </c>
      <c r="V1798" s="15">
        <f t="shared" si="632"/>
        <v>37.24</v>
      </c>
      <c r="W1798" s="15">
        <f>IF(MarkupType="Store Markup",ROUND(V1798+V1798*StoreMarkup,2),IF(MarkupType="Supplier Markup",V1798+V1798*SupplierMarkup,"Error at finding value"))</f>
        <v>58.65</v>
      </c>
      <c r="X1798" s="32" t="str">
        <f t="shared" si="634"/>
        <v>0.00</v>
      </c>
      <c r="Y1798" s="15">
        <f t="shared" si="635"/>
        <v>297.92</v>
      </c>
      <c r="Z1798" s="15">
        <f t="shared" si="636"/>
        <v>469.2</v>
      </c>
      <c r="AA1798" s="15">
        <f>IF(FreightType="Lethbridge-Stewart Freight ",ROUND(2.99+IF(N1798&gt;0.75,(N1798-0.75)*2.25,0)*S1798,2),IF(MarkupType="Supplier Markup",V1798+V1798*SupplierMarkup,"Error at finding value"))</f>
        <v>10.19</v>
      </c>
      <c r="AB1798" s="15">
        <f t="shared" si="637"/>
        <v>0</v>
      </c>
    </row>
    <row r="1799" spans="1:28" x14ac:dyDescent="0.25">
      <c r="A1799" s="16">
        <f>OrdersTable!A1799</f>
        <v>323</v>
      </c>
      <c r="B1799" s="15" t="str">
        <f t="shared" si="617"/>
        <v>Dr</v>
      </c>
      <c r="C1799" s="15" t="str">
        <f t="shared" si="616"/>
        <v>King</v>
      </c>
      <c r="D1799" s="15" t="str">
        <f t="shared" si="618"/>
        <v>Leith</v>
      </c>
      <c r="E1799" s="15" t="str">
        <f t="shared" si="619"/>
        <v>25 Carbone Court</v>
      </c>
      <c r="F1799" s="15" t="str">
        <f t="shared" si="620"/>
        <v>Nayook</v>
      </c>
      <c r="G1799" s="15" t="str">
        <f t="shared" si="621"/>
        <v>VIC</v>
      </c>
      <c r="H1799" s="15">
        <f t="shared" si="622"/>
        <v>3832</v>
      </c>
      <c r="I1799" s="15">
        <f t="shared" si="633"/>
        <v>1552</v>
      </c>
      <c r="J1799" s="15">
        <f>OrdersTable!B1799</f>
        <v>834</v>
      </c>
      <c r="K1799" s="15" t="str">
        <f t="shared" si="623"/>
        <v>Statues and Busts</v>
      </c>
      <c r="L1799" s="15" t="str">
        <f t="shared" si="624"/>
        <v>Doctor Who: Signature Edition Statue: Gallifrey Edition: Matt Smith</v>
      </c>
      <c r="M1799" s="15" t="str">
        <f t="shared" si="625"/>
        <v>-</v>
      </c>
      <c r="N1799" s="15">
        <f t="shared" si="626"/>
        <v>2.5</v>
      </c>
      <c r="O1799" s="15" t="str">
        <f t="shared" si="627"/>
        <v>A30</v>
      </c>
      <c r="P1799" s="15" t="str">
        <f t="shared" si="628"/>
        <v>Chesterton Enterprises</v>
      </c>
      <c r="Q1799" s="15" t="str">
        <f t="shared" si="629"/>
        <v>41 William Russell Road</v>
      </c>
      <c r="R1799" s="3">
        <f>OrdersTable!C1799</f>
        <v>44689</v>
      </c>
      <c r="S1799" s="15">
        <f>OrdersTable!E1799</f>
        <v>2</v>
      </c>
      <c r="T1799" s="15">
        <f t="shared" si="630"/>
        <v>49.99</v>
      </c>
      <c r="U1799" s="15">
        <f t="shared" si="631"/>
        <v>68.52</v>
      </c>
      <c r="V1799" s="15">
        <f t="shared" si="632"/>
        <v>80.98</v>
      </c>
      <c r="W1799" s="15">
        <f>IF(MarkupType="Store Markup",ROUND(V1799+V1799*StoreMarkup,2),IF(MarkupType="Supplier Markup",V1799+V1799*SupplierMarkup,"Error at finding value"))</f>
        <v>127.54</v>
      </c>
      <c r="X1799" s="32" t="str">
        <f t="shared" si="634"/>
        <v>0.00</v>
      </c>
      <c r="Y1799" s="15">
        <f t="shared" si="635"/>
        <v>161.96</v>
      </c>
      <c r="Z1799" s="15">
        <f t="shared" si="636"/>
        <v>255.08</v>
      </c>
      <c r="AA1799" s="15">
        <f>IF(FreightType="Lethbridge-Stewart Freight ",ROUND(2.99+IF(N1799&gt;0.75,(N1799-0.75)*2.25,0)*S1799,2),IF(MarkupType="Supplier Markup",V1799+V1799*SupplierMarkup,"Error at finding value"))</f>
        <v>10.87</v>
      </c>
      <c r="AB1799" s="15">
        <f t="shared" si="637"/>
        <v>0</v>
      </c>
    </row>
    <row r="1800" spans="1:28" x14ac:dyDescent="0.25">
      <c r="A1800" s="16">
        <f>OrdersTable!A1800</f>
        <v>491</v>
      </c>
      <c r="B1800" s="15" t="str">
        <f t="shared" si="617"/>
        <v>Miss</v>
      </c>
      <c r="C1800" s="15" t="str">
        <f t="shared" si="616"/>
        <v>Winks</v>
      </c>
      <c r="D1800" s="15" t="str">
        <f t="shared" si="618"/>
        <v>Lori-Ann</v>
      </c>
      <c r="E1800" s="15" t="str">
        <f t="shared" si="619"/>
        <v>40 Lyne Street</v>
      </c>
      <c r="F1800" s="15" t="str">
        <f t="shared" si="620"/>
        <v>Bray Park</v>
      </c>
      <c r="G1800" s="15" t="str">
        <f t="shared" si="621"/>
        <v>QLD</v>
      </c>
      <c r="H1800" s="15">
        <f t="shared" si="622"/>
        <v>4500</v>
      </c>
      <c r="I1800" s="15">
        <f t="shared" si="633"/>
        <v>139</v>
      </c>
      <c r="J1800" s="15">
        <f>OrdersTable!B1800</f>
        <v>590</v>
      </c>
      <c r="K1800" s="15" t="str">
        <f t="shared" si="623"/>
        <v>iPhone Skins</v>
      </c>
      <c r="L1800" s="15" t="str">
        <f t="shared" si="624"/>
        <v>Doctor Who: iPhone Skin: Exploding TARDIS</v>
      </c>
      <c r="M1800" s="15" t="str">
        <f t="shared" si="625"/>
        <v>-</v>
      </c>
      <c r="N1800" s="15">
        <f t="shared" si="626"/>
        <v>0.5</v>
      </c>
      <c r="O1800" s="15" t="str">
        <f t="shared" si="627"/>
        <v>A20</v>
      </c>
      <c r="P1800" s="15" t="str">
        <f t="shared" si="628"/>
        <v>Morbius Inc.</v>
      </c>
      <c r="Q1800" s="15" t="str">
        <f t="shared" si="629"/>
        <v>56 Michael Spice Hwy</v>
      </c>
      <c r="R1800" s="3">
        <f>OrdersTable!C1800</f>
        <v>44689</v>
      </c>
      <c r="S1800" s="15">
        <f>OrdersTable!E1800</f>
        <v>4</v>
      </c>
      <c r="T1800" s="15">
        <f t="shared" si="630"/>
        <v>9.99</v>
      </c>
      <c r="U1800" s="15">
        <f t="shared" si="631"/>
        <v>13.86</v>
      </c>
      <c r="V1800" s="15">
        <f t="shared" si="632"/>
        <v>16.18</v>
      </c>
      <c r="W1800" s="15">
        <f>IF(MarkupType="Store Markup",ROUND(V1800+V1800*StoreMarkup,2),IF(MarkupType="Supplier Markup",V1800+V1800*SupplierMarkup,"Error at finding value"))</f>
        <v>25.48</v>
      </c>
      <c r="X1800" s="32" t="str">
        <f t="shared" si="634"/>
        <v>0.00</v>
      </c>
      <c r="Y1800" s="15">
        <f t="shared" si="635"/>
        <v>64.72</v>
      </c>
      <c r="Z1800" s="15">
        <f t="shared" si="636"/>
        <v>101.92</v>
      </c>
      <c r="AA1800" s="15">
        <f>IF(FreightType="Lethbridge-Stewart Freight ",ROUND(2.99+IF(N1800&gt;0.75,(N1800-0.75)*2.25,0)*S1800,2),IF(MarkupType="Supplier Markup",V1800+V1800*SupplierMarkup,"Error at finding value"))</f>
        <v>2.99</v>
      </c>
      <c r="AB1800" s="15">
        <f t="shared" si="637"/>
        <v>0</v>
      </c>
    </row>
    <row r="1801" spans="1:28" x14ac:dyDescent="0.25">
      <c r="A1801" s="16">
        <f>OrdersTable!A1801</f>
        <v>515</v>
      </c>
      <c r="B1801" s="15" t="str">
        <f t="shared" si="617"/>
        <v>Mr</v>
      </c>
      <c r="C1801" s="15" t="str">
        <f t="shared" si="616"/>
        <v>Noffke</v>
      </c>
      <c r="D1801" s="15" t="str">
        <f t="shared" si="618"/>
        <v>William Thomas</v>
      </c>
      <c r="E1801" s="15" t="str">
        <f t="shared" si="619"/>
        <v>20 Tyler Drive</v>
      </c>
      <c r="F1801" s="15" t="str">
        <f t="shared" si="620"/>
        <v>Areegra</v>
      </c>
      <c r="G1801" s="15" t="str">
        <f t="shared" si="621"/>
        <v>VIC</v>
      </c>
      <c r="H1801" s="15">
        <f t="shared" si="622"/>
        <v>3480</v>
      </c>
      <c r="I1801" s="15">
        <f t="shared" si="633"/>
        <v>1559</v>
      </c>
      <c r="J1801" s="15">
        <f>OrdersTable!B1801</f>
        <v>724</v>
      </c>
      <c r="K1801" s="15" t="str">
        <f t="shared" si="623"/>
        <v>Posters, Prints and Standees</v>
      </c>
      <c r="L1801" s="15" t="str">
        <f t="shared" si="624"/>
        <v>Doctor Who: Standee: The 10th Doctor</v>
      </c>
      <c r="M1801" s="15" t="str">
        <f t="shared" si="625"/>
        <v>-</v>
      </c>
      <c r="N1801" s="15">
        <f t="shared" si="626"/>
        <v>1.125</v>
      </c>
      <c r="O1801" s="15" t="str">
        <f t="shared" si="627"/>
        <v>A50</v>
      </c>
      <c r="P1801" s="15" t="str">
        <f t="shared" si="628"/>
        <v>Rassilon Ltd.</v>
      </c>
      <c r="Q1801" s="15" t="str">
        <f t="shared" si="629"/>
        <v>82 Richard Mathews Road</v>
      </c>
      <c r="R1801" s="3">
        <f>OrdersTable!C1801</f>
        <v>44689</v>
      </c>
      <c r="S1801" s="15">
        <f>OrdersTable!E1801</f>
        <v>5</v>
      </c>
      <c r="T1801" s="15">
        <f t="shared" si="630"/>
        <v>22.49</v>
      </c>
      <c r="U1801" s="15">
        <f t="shared" si="631"/>
        <v>30.77</v>
      </c>
      <c r="V1801" s="15">
        <f t="shared" si="632"/>
        <v>36.43</v>
      </c>
      <c r="W1801" s="15">
        <f>IF(MarkupType="Store Markup",ROUND(V1801+V1801*StoreMarkup,2),IF(MarkupType="Supplier Markup",V1801+V1801*SupplierMarkup,"Error at finding value"))</f>
        <v>57.38</v>
      </c>
      <c r="X1801" s="32" t="str">
        <f t="shared" si="634"/>
        <v>0.00</v>
      </c>
      <c r="Y1801" s="15">
        <f t="shared" si="635"/>
        <v>182.15</v>
      </c>
      <c r="Z1801" s="15">
        <f t="shared" si="636"/>
        <v>286.89999999999998</v>
      </c>
      <c r="AA1801" s="15">
        <f>IF(FreightType="Lethbridge-Stewart Freight ",ROUND(2.99+IF(N1801&gt;0.75,(N1801-0.75)*2.25,0)*S1801,2),IF(MarkupType="Supplier Markup",V1801+V1801*SupplierMarkup,"Error at finding value"))</f>
        <v>7.21</v>
      </c>
      <c r="AB1801" s="15">
        <f t="shared" si="637"/>
        <v>0</v>
      </c>
    </row>
    <row r="1802" spans="1:28" x14ac:dyDescent="0.25">
      <c r="A1802" s="16">
        <f>OrdersTable!A1802</f>
        <v>544</v>
      </c>
      <c r="B1802" s="15" t="str">
        <f t="shared" si="617"/>
        <v>Mr</v>
      </c>
      <c r="C1802" s="15" t="str">
        <f t="shared" si="616"/>
        <v>Sullivan</v>
      </c>
      <c r="D1802" s="15" t="str">
        <f t="shared" si="618"/>
        <v>Lawrence Bernard</v>
      </c>
      <c r="E1802" s="15" t="str">
        <f t="shared" si="619"/>
        <v>11 Haydon Boulevard</v>
      </c>
      <c r="F1802" s="15" t="str">
        <f t="shared" si="620"/>
        <v>Breakwater</v>
      </c>
      <c r="G1802" s="15" t="str">
        <f t="shared" si="621"/>
        <v>VIC</v>
      </c>
      <c r="H1802" s="15">
        <f t="shared" si="622"/>
        <v>3219</v>
      </c>
      <c r="I1802" s="15">
        <f t="shared" si="633"/>
        <v>1596</v>
      </c>
      <c r="J1802" s="15">
        <f>OrdersTable!B1802</f>
        <v>812</v>
      </c>
      <c r="K1802" s="15" t="str">
        <f t="shared" si="623"/>
        <v>Statues and Busts</v>
      </c>
      <c r="L1802" s="15" t="str">
        <f t="shared" si="624"/>
        <v>Doctor Who: Masterpiece Collection Maxi Bust: Dalek: Day Of The Daleks</v>
      </c>
      <c r="M1802" s="15" t="str">
        <f t="shared" si="625"/>
        <v>-</v>
      </c>
      <c r="N1802" s="15">
        <f t="shared" si="626"/>
        <v>2.5</v>
      </c>
      <c r="O1802" s="15" t="str">
        <f t="shared" si="627"/>
        <v>A20</v>
      </c>
      <c r="P1802" s="15" t="str">
        <f t="shared" si="628"/>
        <v>Morbius Inc.</v>
      </c>
      <c r="Q1802" s="15" t="str">
        <f t="shared" si="629"/>
        <v>56 Michael Spice Hwy</v>
      </c>
      <c r="R1802" s="3">
        <f>OrdersTable!C1802</f>
        <v>44689</v>
      </c>
      <c r="S1802" s="15">
        <f>OrdersTable!E1802</f>
        <v>2</v>
      </c>
      <c r="T1802" s="15">
        <f t="shared" si="630"/>
        <v>49.99</v>
      </c>
      <c r="U1802" s="15">
        <f t="shared" si="631"/>
        <v>68.47</v>
      </c>
      <c r="V1802" s="15">
        <f t="shared" si="632"/>
        <v>80.98</v>
      </c>
      <c r="W1802" s="15">
        <f>IF(MarkupType="Store Markup",ROUND(V1802+V1802*StoreMarkup,2),IF(MarkupType="Supplier Markup",V1802+V1802*SupplierMarkup,"Error at finding value"))</f>
        <v>127.54</v>
      </c>
      <c r="X1802" s="32" t="str">
        <f t="shared" si="634"/>
        <v>0.00</v>
      </c>
      <c r="Y1802" s="15">
        <f t="shared" si="635"/>
        <v>161.96</v>
      </c>
      <c r="Z1802" s="15">
        <f t="shared" si="636"/>
        <v>255.08</v>
      </c>
      <c r="AA1802" s="15">
        <f>IF(FreightType="Lethbridge-Stewart Freight ",ROUND(2.99+IF(N1802&gt;0.75,(N1802-0.75)*2.25,0)*S1802,2),IF(MarkupType="Supplier Markup",V1802+V1802*SupplierMarkup,"Error at finding value"))</f>
        <v>10.87</v>
      </c>
      <c r="AB1802" s="15">
        <f t="shared" si="637"/>
        <v>0</v>
      </c>
    </row>
    <row r="1803" spans="1:28" x14ac:dyDescent="0.25">
      <c r="A1803" s="16">
        <f>OrdersTable!A1803</f>
        <v>594</v>
      </c>
      <c r="B1803" s="15" t="str">
        <f t="shared" si="617"/>
        <v>Mrs</v>
      </c>
      <c r="C1803" s="15" t="str">
        <f t="shared" ref="C1803:C1866" si="638">VLOOKUP($A1803,Cust,3,0)</f>
        <v>Entriken</v>
      </c>
      <c r="D1803" s="15" t="str">
        <f t="shared" si="618"/>
        <v>Gwenda Dawn</v>
      </c>
      <c r="E1803" s="15" t="str">
        <f t="shared" si="619"/>
        <v>8 Miljkovic Drive</v>
      </c>
      <c r="F1803" s="15" t="str">
        <f t="shared" si="620"/>
        <v>Nayook</v>
      </c>
      <c r="G1803" s="15" t="str">
        <f t="shared" si="621"/>
        <v>VIC</v>
      </c>
      <c r="H1803" s="15">
        <f t="shared" si="622"/>
        <v>3832</v>
      </c>
      <c r="I1803" s="15">
        <f t="shared" si="633"/>
        <v>1552</v>
      </c>
      <c r="J1803" s="15">
        <f>OrdersTable!B1803</f>
        <v>762</v>
      </c>
      <c r="K1803" s="15" t="str">
        <f t="shared" si="623"/>
        <v>Statues and Busts</v>
      </c>
      <c r="L1803" s="15" t="str">
        <f t="shared" si="624"/>
        <v>Doctor Who: Legends Forever Bust: Patrick Troughton</v>
      </c>
      <c r="M1803" s="15" t="str">
        <f t="shared" si="625"/>
        <v>-</v>
      </c>
      <c r="N1803" s="15">
        <f t="shared" si="626"/>
        <v>1.375</v>
      </c>
      <c r="O1803" s="15" t="str">
        <f t="shared" si="627"/>
        <v>A40</v>
      </c>
      <c r="P1803" s="15" t="str">
        <f t="shared" si="628"/>
        <v>Romana Imports</v>
      </c>
      <c r="Q1803" s="15" t="str">
        <f t="shared" si="629"/>
        <v>17 Lalla Ward Road</v>
      </c>
      <c r="R1803" s="3">
        <f>OrdersTable!C1803</f>
        <v>44689</v>
      </c>
      <c r="S1803" s="15">
        <f>OrdersTable!E1803</f>
        <v>4</v>
      </c>
      <c r="T1803" s="15">
        <f t="shared" si="630"/>
        <v>27.5</v>
      </c>
      <c r="U1803" s="15">
        <f t="shared" si="631"/>
        <v>37.799999999999997</v>
      </c>
      <c r="V1803" s="15">
        <f t="shared" si="632"/>
        <v>44.55</v>
      </c>
      <c r="W1803" s="15">
        <f>IF(MarkupType="Store Markup",ROUND(V1803+V1803*StoreMarkup,2),IF(MarkupType="Supplier Markup",V1803+V1803*SupplierMarkup,"Error at finding value"))</f>
        <v>70.17</v>
      </c>
      <c r="X1803" s="32" t="str">
        <f t="shared" si="634"/>
        <v>0.00</v>
      </c>
      <c r="Y1803" s="15">
        <f t="shared" si="635"/>
        <v>178.2</v>
      </c>
      <c r="Z1803" s="15">
        <f t="shared" si="636"/>
        <v>280.68</v>
      </c>
      <c r="AA1803" s="15">
        <f>IF(FreightType="Lethbridge-Stewart Freight ",ROUND(2.99+IF(N1803&gt;0.75,(N1803-0.75)*2.25,0)*S1803,2),IF(MarkupType="Supplier Markup",V1803+V1803*SupplierMarkup,"Error at finding value"))</f>
        <v>8.6199999999999992</v>
      </c>
      <c r="AB1803" s="15">
        <f t="shared" si="637"/>
        <v>0</v>
      </c>
    </row>
    <row r="1804" spans="1:28" x14ac:dyDescent="0.25">
      <c r="A1804" s="16">
        <f>OrdersTable!A1804</f>
        <v>611</v>
      </c>
      <c r="B1804" s="15" t="str">
        <f t="shared" si="617"/>
        <v>Mr</v>
      </c>
      <c r="C1804" s="15" t="str">
        <f t="shared" si="638"/>
        <v>Wittman</v>
      </c>
      <c r="D1804" s="15" t="str">
        <f t="shared" si="618"/>
        <v>Nicholas Jackson</v>
      </c>
      <c r="E1804" s="15" t="str">
        <f t="shared" si="619"/>
        <v>48 Sheppard-Kadel Way</v>
      </c>
      <c r="F1804" s="15" t="str">
        <f t="shared" si="620"/>
        <v>Nayook</v>
      </c>
      <c r="G1804" s="15" t="str">
        <f t="shared" si="621"/>
        <v>VIC</v>
      </c>
      <c r="H1804" s="15">
        <f t="shared" si="622"/>
        <v>3832</v>
      </c>
      <c r="I1804" s="15">
        <f t="shared" si="633"/>
        <v>1552</v>
      </c>
      <c r="J1804" s="15">
        <f>OrdersTable!B1804</f>
        <v>698</v>
      </c>
      <c r="K1804" s="15" t="str">
        <f t="shared" si="623"/>
        <v>Posters, Prints and Standees</v>
      </c>
      <c r="L1804" s="15" t="str">
        <f t="shared" si="624"/>
        <v>Doctor Who: Art Print: My Mysterious Doctor</v>
      </c>
      <c r="M1804" s="15" t="str">
        <f t="shared" si="625"/>
        <v>-</v>
      </c>
      <c r="N1804" s="15">
        <f t="shared" si="626"/>
        <v>0.75</v>
      </c>
      <c r="O1804" s="15" t="str">
        <f t="shared" si="627"/>
        <v>A30</v>
      </c>
      <c r="P1804" s="15" t="str">
        <f t="shared" si="628"/>
        <v>Chesterton Enterprises</v>
      </c>
      <c r="Q1804" s="15" t="str">
        <f t="shared" si="629"/>
        <v>41 William Russell Road</v>
      </c>
      <c r="R1804" s="3">
        <f>OrdersTable!C1804</f>
        <v>44689</v>
      </c>
      <c r="S1804" s="15">
        <f>OrdersTable!E1804</f>
        <v>1</v>
      </c>
      <c r="T1804" s="15">
        <f t="shared" si="630"/>
        <v>14.99</v>
      </c>
      <c r="U1804" s="15">
        <f t="shared" si="631"/>
        <v>20.56</v>
      </c>
      <c r="V1804" s="15">
        <f t="shared" si="632"/>
        <v>24.28</v>
      </c>
      <c r="W1804" s="15">
        <f>IF(MarkupType="Store Markup",ROUND(V1804+V1804*StoreMarkup,2),IF(MarkupType="Supplier Markup",V1804+V1804*SupplierMarkup,"Error at finding value"))</f>
        <v>38.24</v>
      </c>
      <c r="X1804" s="32" t="str">
        <f t="shared" si="634"/>
        <v>0.00</v>
      </c>
      <c r="Y1804" s="15">
        <f t="shared" si="635"/>
        <v>24.28</v>
      </c>
      <c r="Z1804" s="15">
        <f t="shared" si="636"/>
        <v>38.24</v>
      </c>
      <c r="AA1804" s="15">
        <f>IF(FreightType="Lethbridge-Stewart Freight ",ROUND(2.99+IF(N1804&gt;0.75,(N1804-0.75)*2.25,0)*S1804,2),IF(MarkupType="Supplier Markup",V1804+V1804*SupplierMarkup,"Error at finding value"))</f>
        <v>2.99</v>
      </c>
      <c r="AB1804" s="15">
        <f t="shared" si="637"/>
        <v>0</v>
      </c>
    </row>
    <row r="1805" spans="1:28" x14ac:dyDescent="0.25">
      <c r="A1805" s="16">
        <f>OrdersTable!A1805</f>
        <v>651</v>
      </c>
      <c r="B1805" s="15" t="str">
        <f t="shared" si="617"/>
        <v>Mr</v>
      </c>
      <c r="C1805" s="15" t="str">
        <f t="shared" si="638"/>
        <v>Wilkes</v>
      </c>
      <c r="D1805" s="15" t="str">
        <f t="shared" si="618"/>
        <v>Harley</v>
      </c>
      <c r="E1805" s="15" t="str">
        <f t="shared" si="619"/>
        <v>12 Locke Circuit</v>
      </c>
      <c r="F1805" s="15" t="str">
        <f t="shared" si="620"/>
        <v>Bray Park</v>
      </c>
      <c r="G1805" s="15" t="str">
        <f t="shared" si="621"/>
        <v>QLD</v>
      </c>
      <c r="H1805" s="15">
        <f t="shared" si="622"/>
        <v>4500</v>
      </c>
      <c r="I1805" s="15">
        <f t="shared" si="633"/>
        <v>139</v>
      </c>
      <c r="J1805" s="15">
        <f>OrdersTable!B1805</f>
        <v>668</v>
      </c>
      <c r="K1805" s="15" t="str">
        <f t="shared" si="623"/>
        <v>Mugs</v>
      </c>
      <c r="L1805" s="15" t="str">
        <f t="shared" si="624"/>
        <v>Doctor Who: Mug: Silver TARDIS</v>
      </c>
      <c r="M1805" s="15" t="str">
        <f t="shared" si="625"/>
        <v>-</v>
      </c>
      <c r="N1805" s="15">
        <f t="shared" si="626"/>
        <v>1.1499999999999999</v>
      </c>
      <c r="O1805" s="15" t="str">
        <f t="shared" si="627"/>
        <v>A50</v>
      </c>
      <c r="P1805" s="15" t="str">
        <f t="shared" si="628"/>
        <v>Rassilon Ltd.</v>
      </c>
      <c r="Q1805" s="15" t="str">
        <f t="shared" si="629"/>
        <v>82 Richard Mathews Road</v>
      </c>
      <c r="R1805" s="3">
        <f>OrdersTable!C1805</f>
        <v>44689</v>
      </c>
      <c r="S1805" s="15">
        <f>OrdersTable!E1805</f>
        <v>5</v>
      </c>
      <c r="T1805" s="15">
        <f t="shared" si="630"/>
        <v>22.99</v>
      </c>
      <c r="U1805" s="15">
        <f t="shared" si="631"/>
        <v>31.53</v>
      </c>
      <c r="V1805" s="15">
        <f t="shared" si="632"/>
        <v>37.24</v>
      </c>
      <c r="W1805" s="15">
        <f>IF(MarkupType="Store Markup",ROUND(V1805+V1805*StoreMarkup,2),IF(MarkupType="Supplier Markup",V1805+V1805*SupplierMarkup,"Error at finding value"))</f>
        <v>58.65</v>
      </c>
      <c r="X1805" s="32" t="str">
        <f t="shared" si="634"/>
        <v>0.00</v>
      </c>
      <c r="Y1805" s="15">
        <f t="shared" si="635"/>
        <v>186.2</v>
      </c>
      <c r="Z1805" s="15">
        <f t="shared" si="636"/>
        <v>293.25</v>
      </c>
      <c r="AA1805" s="15">
        <f>IF(FreightType="Lethbridge-Stewart Freight ",ROUND(2.99+IF(N1805&gt;0.75,(N1805-0.75)*2.25,0)*S1805,2),IF(MarkupType="Supplier Markup",V1805+V1805*SupplierMarkup,"Error at finding value"))</f>
        <v>7.49</v>
      </c>
      <c r="AB1805" s="15">
        <f t="shared" si="637"/>
        <v>0</v>
      </c>
    </row>
    <row r="1806" spans="1:28" x14ac:dyDescent="0.25">
      <c r="A1806" s="16">
        <f>OrdersTable!A1806</f>
        <v>659</v>
      </c>
      <c r="B1806" s="15" t="str">
        <f t="shared" si="617"/>
        <v>Mr</v>
      </c>
      <c r="C1806" s="15" t="str">
        <f t="shared" si="638"/>
        <v>Douglas</v>
      </c>
      <c r="D1806" s="15" t="str">
        <f t="shared" si="618"/>
        <v>Jason Richard</v>
      </c>
      <c r="E1806" s="15" t="str">
        <f t="shared" si="619"/>
        <v>14 Young Crescent</v>
      </c>
      <c r="F1806" s="15" t="str">
        <f t="shared" si="620"/>
        <v>Caliph</v>
      </c>
      <c r="G1806" s="15" t="str">
        <f t="shared" si="621"/>
        <v>SA</v>
      </c>
      <c r="H1806" s="15">
        <f t="shared" si="622"/>
        <v>5310</v>
      </c>
      <c r="I1806" s="15">
        <f t="shared" si="633"/>
        <v>1720</v>
      </c>
      <c r="J1806" s="15">
        <f>OrdersTable!B1806</f>
        <v>331</v>
      </c>
      <c r="K1806" s="15" t="str">
        <f t="shared" si="623"/>
        <v>Clothing and Apparel</v>
      </c>
      <c r="L1806" s="15" t="str">
        <f t="shared" si="624"/>
        <v xml:space="preserve">Doctor Who: T-Shirts: 4th Doctor Costume </v>
      </c>
      <c r="M1806" s="15" t="str">
        <f t="shared" si="625"/>
        <v>L</v>
      </c>
      <c r="N1806" s="15">
        <f t="shared" si="626"/>
        <v>0.8</v>
      </c>
      <c r="O1806" s="15" t="str">
        <f t="shared" si="627"/>
        <v>A20</v>
      </c>
      <c r="P1806" s="15" t="str">
        <f t="shared" si="628"/>
        <v>Morbius Inc.</v>
      </c>
      <c r="Q1806" s="15" t="str">
        <f t="shared" si="629"/>
        <v>56 Michael Spice Hwy</v>
      </c>
      <c r="R1806" s="3">
        <f>OrdersTable!C1806</f>
        <v>44689</v>
      </c>
      <c r="S1806" s="15">
        <f>OrdersTable!E1806</f>
        <v>10</v>
      </c>
      <c r="T1806" s="15">
        <f t="shared" si="630"/>
        <v>15.99</v>
      </c>
      <c r="U1806" s="15">
        <f t="shared" si="631"/>
        <v>22.08</v>
      </c>
      <c r="V1806" s="15">
        <f t="shared" si="632"/>
        <v>25.9</v>
      </c>
      <c r="W1806" s="15">
        <f>IF(MarkupType="Store Markup",ROUND(V1806+V1806*StoreMarkup,2),IF(MarkupType="Supplier Markup",V1806+V1806*SupplierMarkup,"Error at finding value"))</f>
        <v>40.79</v>
      </c>
      <c r="X1806" s="32" t="str">
        <f t="shared" si="634"/>
        <v>0.00</v>
      </c>
      <c r="Y1806" s="15">
        <f t="shared" si="635"/>
        <v>259</v>
      </c>
      <c r="Z1806" s="15">
        <f t="shared" si="636"/>
        <v>407.9</v>
      </c>
      <c r="AA1806" s="15">
        <f>IF(FreightType="Lethbridge-Stewart Freight ",ROUND(2.99+IF(N1806&gt;0.75,(N1806-0.75)*2.25,0)*S1806,2),IF(MarkupType="Supplier Markup",V1806+V1806*SupplierMarkup,"Error at finding value"))</f>
        <v>4.12</v>
      </c>
      <c r="AB1806" s="15">
        <f t="shared" si="637"/>
        <v>0</v>
      </c>
    </row>
    <row r="1807" spans="1:28" x14ac:dyDescent="0.25">
      <c r="A1807" s="16">
        <f>OrdersTable!A1807</f>
        <v>659</v>
      </c>
      <c r="B1807" s="15" t="str">
        <f t="shared" si="617"/>
        <v>Mr</v>
      </c>
      <c r="C1807" s="15" t="str">
        <f t="shared" si="638"/>
        <v>Douglas</v>
      </c>
      <c r="D1807" s="15" t="str">
        <f t="shared" si="618"/>
        <v>Jason Richard</v>
      </c>
      <c r="E1807" s="15" t="str">
        <f t="shared" si="619"/>
        <v>14 Young Crescent</v>
      </c>
      <c r="F1807" s="15" t="str">
        <f t="shared" si="620"/>
        <v>Caliph</v>
      </c>
      <c r="G1807" s="15" t="str">
        <f t="shared" si="621"/>
        <v>SA</v>
      </c>
      <c r="H1807" s="15">
        <f t="shared" si="622"/>
        <v>5310</v>
      </c>
      <c r="I1807" s="15">
        <f t="shared" si="633"/>
        <v>1720</v>
      </c>
      <c r="J1807" s="15">
        <f>OrdersTable!B1807</f>
        <v>530</v>
      </c>
      <c r="K1807" s="15" t="str">
        <f t="shared" si="623"/>
        <v>Giftware</v>
      </c>
      <c r="L1807" s="15" t="str">
        <f t="shared" si="624"/>
        <v>Doctor Who: Keyring TARDIS</v>
      </c>
      <c r="M1807" s="15" t="str">
        <f t="shared" si="625"/>
        <v>-</v>
      </c>
      <c r="N1807" s="15">
        <f t="shared" si="626"/>
        <v>0.25</v>
      </c>
      <c r="O1807" s="15" t="str">
        <f t="shared" si="627"/>
        <v>A20</v>
      </c>
      <c r="P1807" s="15" t="str">
        <f t="shared" si="628"/>
        <v>Morbius Inc.</v>
      </c>
      <c r="Q1807" s="15" t="str">
        <f t="shared" si="629"/>
        <v>56 Michael Spice Hwy</v>
      </c>
      <c r="R1807" s="3">
        <f>OrdersTable!C1807</f>
        <v>44689</v>
      </c>
      <c r="S1807" s="15">
        <f>OrdersTable!E1807</f>
        <v>7</v>
      </c>
      <c r="T1807" s="15">
        <f t="shared" si="630"/>
        <v>4.99</v>
      </c>
      <c r="U1807" s="15">
        <f t="shared" si="631"/>
        <v>7.1</v>
      </c>
      <c r="V1807" s="15">
        <f t="shared" si="632"/>
        <v>8.08</v>
      </c>
      <c r="W1807" s="15">
        <f>IF(MarkupType="Store Markup",ROUND(V1807+V1807*StoreMarkup,2),IF(MarkupType="Supplier Markup",V1807+V1807*SupplierMarkup,"Error at finding value"))</f>
        <v>12.73</v>
      </c>
      <c r="X1807" s="32" t="str">
        <f t="shared" si="634"/>
        <v>0.00</v>
      </c>
      <c r="Y1807" s="15">
        <f t="shared" si="635"/>
        <v>56.56</v>
      </c>
      <c r="Z1807" s="15">
        <f t="shared" si="636"/>
        <v>89.11</v>
      </c>
      <c r="AA1807" s="15">
        <f>IF(FreightType="Lethbridge-Stewart Freight ",ROUND(2.99+IF(N1807&gt;0.75,(N1807-0.75)*2.25,0)*S1807,2),IF(MarkupType="Supplier Markup",V1807+V1807*SupplierMarkup,"Error at finding value"))</f>
        <v>2.99</v>
      </c>
      <c r="AB1807" s="15">
        <f t="shared" si="637"/>
        <v>0</v>
      </c>
    </row>
    <row r="1808" spans="1:28" x14ac:dyDescent="0.25">
      <c r="A1808" s="16">
        <f>OrdersTable!A1808</f>
        <v>823</v>
      </c>
      <c r="B1808" s="15" t="str">
        <f t="shared" si="617"/>
        <v>Mrs</v>
      </c>
      <c r="C1808" s="15" t="str">
        <f t="shared" si="638"/>
        <v>Riordan</v>
      </c>
      <c r="D1808" s="15" t="str">
        <f t="shared" si="618"/>
        <v>Brianna Leigh</v>
      </c>
      <c r="E1808" s="15" t="str">
        <f t="shared" si="619"/>
        <v>7 Boyd Crescent</v>
      </c>
      <c r="F1808" s="15" t="str">
        <f t="shared" si="620"/>
        <v>Bamboo</v>
      </c>
      <c r="G1808" s="15" t="str">
        <f t="shared" si="621"/>
        <v>QLD</v>
      </c>
      <c r="H1808" s="15">
        <f t="shared" si="622"/>
        <v>4873</v>
      </c>
      <c r="I1808" s="15">
        <f t="shared" si="633"/>
        <v>1741</v>
      </c>
      <c r="J1808" s="15">
        <f>OrdersTable!B1808</f>
        <v>853</v>
      </c>
      <c r="K1808" s="15" t="str">
        <f t="shared" si="623"/>
        <v>Statues and Busts</v>
      </c>
      <c r="L1808" s="15" t="str">
        <f t="shared" si="624"/>
        <v>Doctor Who: Statue: The Master And Auton</v>
      </c>
      <c r="M1808" s="15" t="str">
        <f t="shared" si="625"/>
        <v>-</v>
      </c>
      <c r="N1808" s="15">
        <f t="shared" si="626"/>
        <v>3.5</v>
      </c>
      <c r="O1808" s="15" t="str">
        <f t="shared" si="627"/>
        <v>A50</v>
      </c>
      <c r="P1808" s="15" t="str">
        <f t="shared" si="628"/>
        <v>Rassilon Ltd.</v>
      </c>
      <c r="Q1808" s="15" t="str">
        <f t="shared" si="629"/>
        <v>82 Richard Mathews Road</v>
      </c>
      <c r="R1808" s="3">
        <f>OrdersTable!C1808</f>
        <v>44689</v>
      </c>
      <c r="S1808" s="15">
        <f>OrdersTable!E1808</f>
        <v>1</v>
      </c>
      <c r="T1808" s="15">
        <f t="shared" si="630"/>
        <v>69.989999999999995</v>
      </c>
      <c r="U1808" s="15">
        <f t="shared" si="631"/>
        <v>95.51</v>
      </c>
      <c r="V1808" s="15">
        <f t="shared" si="632"/>
        <v>113.38</v>
      </c>
      <c r="W1808" s="15">
        <f>IF(MarkupType="Store Markup",ROUND(V1808+V1808*StoreMarkup,2),IF(MarkupType="Supplier Markup",V1808+V1808*SupplierMarkup,"Error at finding value"))</f>
        <v>178.57</v>
      </c>
      <c r="X1808" s="32" t="str">
        <f t="shared" si="634"/>
        <v>0.00</v>
      </c>
      <c r="Y1808" s="15">
        <f t="shared" si="635"/>
        <v>113.38</v>
      </c>
      <c r="Z1808" s="15">
        <f t="shared" si="636"/>
        <v>178.57</v>
      </c>
      <c r="AA1808" s="15">
        <f>IF(FreightType="Lethbridge-Stewart Freight ",ROUND(2.99+IF(N1808&gt;0.75,(N1808-0.75)*2.25,0)*S1808,2),IF(MarkupType="Supplier Markup",V1808+V1808*SupplierMarkup,"Error at finding value"))</f>
        <v>9.18</v>
      </c>
      <c r="AB1808" s="15">
        <f t="shared" si="637"/>
        <v>0</v>
      </c>
    </row>
    <row r="1809" spans="1:28" x14ac:dyDescent="0.25">
      <c r="A1809" s="16">
        <f>OrdersTable!A1809</f>
        <v>884</v>
      </c>
      <c r="B1809" s="15" t="str">
        <f t="shared" si="617"/>
        <v>Mr</v>
      </c>
      <c r="C1809" s="15" t="str">
        <f t="shared" si="638"/>
        <v>Smy</v>
      </c>
      <c r="D1809" s="15" t="str">
        <f t="shared" si="618"/>
        <v>Corey Alexander</v>
      </c>
      <c r="E1809" s="15" t="str">
        <f t="shared" si="619"/>
        <v>47 Lindsay Circuit</v>
      </c>
      <c r="F1809" s="15" t="str">
        <f t="shared" si="620"/>
        <v>Boston</v>
      </c>
      <c r="G1809" s="15" t="str">
        <f t="shared" si="621"/>
        <v>SA</v>
      </c>
      <c r="H1809" s="15">
        <f t="shared" si="622"/>
        <v>5607</v>
      </c>
      <c r="I1809" s="15">
        <f t="shared" si="633"/>
        <v>2076</v>
      </c>
      <c r="J1809" s="15">
        <f>OrdersTable!B1809</f>
        <v>685</v>
      </c>
      <c r="K1809" s="15" t="str">
        <f t="shared" si="623"/>
        <v>Mugs</v>
      </c>
      <c r="L1809" s="15" t="str">
        <f t="shared" si="624"/>
        <v>Doctor Who: Teapot: Sliver TARDIS</v>
      </c>
      <c r="M1809" s="15" t="str">
        <f t="shared" si="625"/>
        <v>-</v>
      </c>
      <c r="N1809" s="15">
        <f t="shared" si="626"/>
        <v>1.35</v>
      </c>
      <c r="O1809" s="15" t="str">
        <f t="shared" si="627"/>
        <v>A30</v>
      </c>
      <c r="P1809" s="15" t="str">
        <f t="shared" si="628"/>
        <v>Chesterton Enterprises</v>
      </c>
      <c r="Q1809" s="15" t="str">
        <f t="shared" si="629"/>
        <v>41 William Russell Road</v>
      </c>
      <c r="R1809" s="3">
        <f>OrdersTable!C1809</f>
        <v>44689</v>
      </c>
      <c r="S1809" s="15">
        <f>OrdersTable!E1809</f>
        <v>9</v>
      </c>
      <c r="T1809" s="15">
        <f t="shared" si="630"/>
        <v>26.99</v>
      </c>
      <c r="U1809" s="15">
        <f t="shared" si="631"/>
        <v>36.869999999999997</v>
      </c>
      <c r="V1809" s="15">
        <f t="shared" si="632"/>
        <v>43.72</v>
      </c>
      <c r="W1809" s="15">
        <f>IF(MarkupType="Store Markup",ROUND(V1809+V1809*StoreMarkup,2),IF(MarkupType="Supplier Markup",V1809+V1809*SupplierMarkup,"Error at finding value"))</f>
        <v>68.86</v>
      </c>
      <c r="X1809" s="32" t="str">
        <f t="shared" si="634"/>
        <v>0.00</v>
      </c>
      <c r="Y1809" s="15">
        <f t="shared" si="635"/>
        <v>393.48</v>
      </c>
      <c r="Z1809" s="15">
        <f t="shared" si="636"/>
        <v>619.74</v>
      </c>
      <c r="AA1809" s="15">
        <f>IF(FreightType="Lethbridge-Stewart Freight ",ROUND(2.99+IF(N1809&gt;0.75,(N1809-0.75)*2.25,0)*S1809,2),IF(MarkupType="Supplier Markup",V1809+V1809*SupplierMarkup,"Error at finding value"))</f>
        <v>15.14</v>
      </c>
      <c r="AB1809" s="15">
        <f t="shared" si="637"/>
        <v>0</v>
      </c>
    </row>
    <row r="1810" spans="1:28" x14ac:dyDescent="0.25">
      <c r="A1810" s="16">
        <f>OrdersTable!A1810</f>
        <v>923</v>
      </c>
      <c r="B1810" s="15" t="str">
        <f t="shared" si="617"/>
        <v>Ms</v>
      </c>
      <c r="C1810" s="15" t="str">
        <f t="shared" si="638"/>
        <v>Savage</v>
      </c>
      <c r="D1810" s="15" t="str">
        <f t="shared" si="618"/>
        <v>Eliza Margaret</v>
      </c>
      <c r="E1810" s="15" t="str">
        <f t="shared" si="619"/>
        <v>28 Whisson Crescent</v>
      </c>
      <c r="F1810" s="15" t="str">
        <f t="shared" si="620"/>
        <v>Belconnen</v>
      </c>
      <c r="G1810" s="15" t="str">
        <f t="shared" si="621"/>
        <v>ACT</v>
      </c>
      <c r="H1810" s="15">
        <f t="shared" si="622"/>
        <v>2617</v>
      </c>
      <c r="I1810" s="15">
        <f t="shared" si="633"/>
        <v>1194</v>
      </c>
      <c r="J1810" s="15">
        <f>OrdersTable!B1810</f>
        <v>862</v>
      </c>
      <c r="K1810" s="15" t="str">
        <f t="shared" si="623"/>
        <v>Statues and Busts</v>
      </c>
      <c r="L1810" s="15" t="str">
        <f t="shared" si="624"/>
        <v>Doctor Who: TITANS: The 10th Doctor</v>
      </c>
      <c r="M1810" s="15" t="str">
        <f t="shared" si="625"/>
        <v>-</v>
      </c>
      <c r="N1810" s="15">
        <f t="shared" si="626"/>
        <v>0.4</v>
      </c>
      <c r="O1810" s="15" t="str">
        <f t="shared" si="627"/>
        <v>A40</v>
      </c>
      <c r="P1810" s="15" t="str">
        <f t="shared" si="628"/>
        <v>Romana Imports</v>
      </c>
      <c r="Q1810" s="15" t="str">
        <f t="shared" si="629"/>
        <v>17 Lalla Ward Road</v>
      </c>
      <c r="R1810" s="3">
        <f>OrdersTable!C1810</f>
        <v>44689</v>
      </c>
      <c r="S1810" s="15">
        <f>OrdersTable!E1810</f>
        <v>3</v>
      </c>
      <c r="T1810" s="15">
        <f t="shared" si="630"/>
        <v>7.99</v>
      </c>
      <c r="U1810" s="15">
        <f t="shared" si="631"/>
        <v>11.01</v>
      </c>
      <c r="V1810" s="15">
        <f t="shared" si="632"/>
        <v>12.94</v>
      </c>
      <c r="W1810" s="15">
        <f>IF(MarkupType="Store Markup",ROUND(V1810+V1810*StoreMarkup,2),IF(MarkupType="Supplier Markup",V1810+V1810*SupplierMarkup,"Error at finding value"))</f>
        <v>20.38</v>
      </c>
      <c r="X1810" s="32" t="str">
        <f t="shared" si="634"/>
        <v>0.00</v>
      </c>
      <c r="Y1810" s="15">
        <f t="shared" si="635"/>
        <v>38.82</v>
      </c>
      <c r="Z1810" s="15">
        <f t="shared" si="636"/>
        <v>61.14</v>
      </c>
      <c r="AA1810" s="15">
        <f>IF(FreightType="Lethbridge-Stewart Freight ",ROUND(2.99+IF(N1810&gt;0.75,(N1810-0.75)*2.25,0)*S1810,2),IF(MarkupType="Supplier Markup",V1810+V1810*SupplierMarkup,"Error at finding value"))</f>
        <v>2.99</v>
      </c>
      <c r="AB1810" s="15">
        <f t="shared" si="637"/>
        <v>0</v>
      </c>
    </row>
    <row r="1811" spans="1:28" x14ac:dyDescent="0.25">
      <c r="A1811" s="16">
        <f>OrdersTable!A1811</f>
        <v>989</v>
      </c>
      <c r="B1811" s="15" t="str">
        <f t="shared" si="617"/>
        <v>Miss</v>
      </c>
      <c r="C1811" s="15" t="str">
        <f t="shared" si="638"/>
        <v>McInnes</v>
      </c>
      <c r="D1811" s="15" t="str">
        <f t="shared" si="618"/>
        <v>Nina Marie</v>
      </c>
      <c r="E1811" s="15" t="str">
        <f t="shared" si="619"/>
        <v>28 Caruss Road</v>
      </c>
      <c r="F1811" s="15" t="str">
        <f t="shared" si="620"/>
        <v>Belford</v>
      </c>
      <c r="G1811" s="15" t="str">
        <f t="shared" si="621"/>
        <v>NSW</v>
      </c>
      <c r="H1811" s="15">
        <f t="shared" si="622"/>
        <v>2335</v>
      </c>
      <c r="I1811" s="15">
        <f t="shared" si="633"/>
        <v>716</v>
      </c>
      <c r="J1811" s="15">
        <f>OrdersTable!B1811</f>
        <v>862</v>
      </c>
      <c r="K1811" s="15" t="str">
        <f t="shared" si="623"/>
        <v>Statues and Busts</v>
      </c>
      <c r="L1811" s="15" t="str">
        <f t="shared" si="624"/>
        <v>Doctor Who: TITANS: The 10th Doctor</v>
      </c>
      <c r="M1811" s="15" t="str">
        <f t="shared" si="625"/>
        <v>-</v>
      </c>
      <c r="N1811" s="15">
        <f t="shared" si="626"/>
        <v>0.4</v>
      </c>
      <c r="O1811" s="15" t="str">
        <f t="shared" si="627"/>
        <v>A40</v>
      </c>
      <c r="P1811" s="15" t="str">
        <f t="shared" si="628"/>
        <v>Romana Imports</v>
      </c>
      <c r="Q1811" s="15" t="str">
        <f t="shared" si="629"/>
        <v>17 Lalla Ward Road</v>
      </c>
      <c r="R1811" s="3">
        <f>OrdersTable!C1811</f>
        <v>44689</v>
      </c>
      <c r="S1811" s="15">
        <f>OrdersTable!E1811</f>
        <v>8</v>
      </c>
      <c r="T1811" s="15">
        <f t="shared" si="630"/>
        <v>7.99</v>
      </c>
      <c r="U1811" s="15">
        <f t="shared" si="631"/>
        <v>11.01</v>
      </c>
      <c r="V1811" s="15">
        <f t="shared" si="632"/>
        <v>12.94</v>
      </c>
      <c r="W1811" s="15">
        <f>IF(MarkupType="Store Markup",ROUND(V1811+V1811*StoreMarkup,2),IF(MarkupType="Supplier Markup",V1811+V1811*SupplierMarkup,"Error at finding value"))</f>
        <v>20.38</v>
      </c>
      <c r="X1811" s="32" t="str">
        <f t="shared" si="634"/>
        <v>0.00</v>
      </c>
      <c r="Y1811" s="15">
        <f t="shared" si="635"/>
        <v>103.52</v>
      </c>
      <c r="Z1811" s="15">
        <f t="shared" si="636"/>
        <v>163.04</v>
      </c>
      <c r="AA1811" s="15">
        <f>IF(FreightType="Lethbridge-Stewart Freight ",ROUND(2.99+IF(N1811&gt;0.75,(N1811-0.75)*2.25,0)*S1811,2),IF(MarkupType="Supplier Markup",V1811+V1811*SupplierMarkup,"Error at finding value"))</f>
        <v>2.99</v>
      </c>
      <c r="AB1811" s="15">
        <f t="shared" si="637"/>
        <v>0</v>
      </c>
    </row>
    <row r="1812" spans="1:28" x14ac:dyDescent="0.25">
      <c r="A1812" s="16">
        <f>OrdersTable!A1812</f>
        <v>66</v>
      </c>
      <c r="B1812" s="15" t="str">
        <f t="shared" si="617"/>
        <v>Mr</v>
      </c>
      <c r="C1812" s="15" t="str">
        <f t="shared" si="638"/>
        <v>Bachmann</v>
      </c>
      <c r="D1812" s="15" t="str">
        <f t="shared" si="618"/>
        <v>Aaron</v>
      </c>
      <c r="E1812" s="15" t="str">
        <f t="shared" si="619"/>
        <v>3 Csabai Avenue</v>
      </c>
      <c r="F1812" s="15" t="str">
        <f t="shared" si="620"/>
        <v>Bridgewater</v>
      </c>
      <c r="G1812" s="15" t="str">
        <f t="shared" si="621"/>
        <v>VIC</v>
      </c>
      <c r="H1812" s="15">
        <f t="shared" si="622"/>
        <v>3516</v>
      </c>
      <c r="I1812" s="15">
        <f t="shared" si="633"/>
        <v>1486</v>
      </c>
      <c r="J1812" s="15">
        <f>OrdersTable!B1812</f>
        <v>464</v>
      </c>
      <c r="K1812" s="15" t="str">
        <f t="shared" si="623"/>
        <v>Giftware</v>
      </c>
      <c r="L1812" s="15" t="str">
        <f t="shared" si="624"/>
        <v>Doctor Who: Collectable License Plate: My Other Car Is A TARDIS</v>
      </c>
      <c r="M1812" s="15" t="str">
        <f t="shared" si="625"/>
        <v>-</v>
      </c>
      <c r="N1812" s="15">
        <f t="shared" si="626"/>
        <v>0.6</v>
      </c>
      <c r="O1812" s="15" t="str">
        <f t="shared" si="627"/>
        <v>A50</v>
      </c>
      <c r="P1812" s="15" t="str">
        <f t="shared" si="628"/>
        <v>Rassilon Ltd.</v>
      </c>
      <c r="Q1812" s="15" t="str">
        <f t="shared" si="629"/>
        <v>82 Richard Mathews Road</v>
      </c>
      <c r="R1812" s="3">
        <f>OrdersTable!C1812</f>
        <v>44690</v>
      </c>
      <c r="S1812" s="15">
        <f>OrdersTable!E1812</f>
        <v>7</v>
      </c>
      <c r="T1812" s="15">
        <f t="shared" si="630"/>
        <v>11.99</v>
      </c>
      <c r="U1812" s="15">
        <f t="shared" si="631"/>
        <v>16.579999999999998</v>
      </c>
      <c r="V1812" s="15">
        <f t="shared" si="632"/>
        <v>19.420000000000002</v>
      </c>
      <c r="W1812" s="15">
        <f>IF(MarkupType="Store Markup",ROUND(V1812+V1812*StoreMarkup,2),IF(MarkupType="Supplier Markup",V1812+V1812*SupplierMarkup,"Error at finding value"))</f>
        <v>30.59</v>
      </c>
      <c r="X1812" s="32" t="str">
        <f t="shared" si="634"/>
        <v>0.00</v>
      </c>
      <c r="Y1812" s="15">
        <f t="shared" si="635"/>
        <v>135.94</v>
      </c>
      <c r="Z1812" s="15">
        <f t="shared" si="636"/>
        <v>214.13</v>
      </c>
      <c r="AA1812" s="15">
        <f>IF(FreightType="Lethbridge-Stewart Freight ",ROUND(2.99+IF(N1812&gt;0.75,(N1812-0.75)*2.25,0)*S1812,2),IF(MarkupType="Supplier Markup",V1812+V1812*SupplierMarkup,"Error at finding value"))</f>
        <v>2.99</v>
      </c>
      <c r="AB1812" s="15">
        <f t="shared" si="637"/>
        <v>0</v>
      </c>
    </row>
    <row r="1813" spans="1:28" x14ac:dyDescent="0.25">
      <c r="A1813" s="16">
        <f>OrdersTable!A1813</f>
        <v>146</v>
      </c>
      <c r="B1813" s="15" t="str">
        <f t="shared" si="617"/>
        <v>Miss</v>
      </c>
      <c r="C1813" s="15" t="str">
        <f t="shared" si="638"/>
        <v>Brown</v>
      </c>
      <c r="D1813" s="15" t="str">
        <f t="shared" si="618"/>
        <v>Sarah Danielle</v>
      </c>
      <c r="E1813" s="15" t="str">
        <f t="shared" si="619"/>
        <v>50 Brieschke Court</v>
      </c>
      <c r="F1813" s="15" t="str">
        <f t="shared" si="620"/>
        <v>Bray Park</v>
      </c>
      <c r="G1813" s="15" t="str">
        <f t="shared" si="621"/>
        <v>QLD</v>
      </c>
      <c r="H1813" s="15">
        <f t="shared" si="622"/>
        <v>4500</v>
      </c>
      <c r="I1813" s="15">
        <f t="shared" si="633"/>
        <v>139</v>
      </c>
      <c r="J1813" s="15">
        <f>OrdersTable!B1813</f>
        <v>580</v>
      </c>
      <c r="K1813" s="15" t="str">
        <f t="shared" si="623"/>
        <v>Giftware</v>
      </c>
      <c r="L1813" s="15" t="str">
        <f t="shared" si="624"/>
        <v>Doctor Who: Wallpaper: Classic TARDIS Columns</v>
      </c>
      <c r="M1813" s="15" t="str">
        <f t="shared" si="625"/>
        <v>-</v>
      </c>
      <c r="N1813" s="15">
        <f t="shared" si="626"/>
        <v>0.65500000000000003</v>
      </c>
      <c r="O1813" s="15" t="str">
        <f t="shared" si="627"/>
        <v>A50</v>
      </c>
      <c r="P1813" s="15" t="str">
        <f t="shared" si="628"/>
        <v>Rassilon Ltd.</v>
      </c>
      <c r="Q1813" s="15" t="str">
        <f t="shared" si="629"/>
        <v>82 Richard Mathews Road</v>
      </c>
      <c r="R1813" s="3">
        <f>OrdersTable!C1813</f>
        <v>44690</v>
      </c>
      <c r="S1813" s="15">
        <f>OrdersTable!E1813</f>
        <v>7</v>
      </c>
      <c r="T1813" s="15">
        <f t="shared" si="630"/>
        <v>13.11</v>
      </c>
      <c r="U1813" s="15">
        <f t="shared" si="631"/>
        <v>18.18</v>
      </c>
      <c r="V1813" s="15">
        <f t="shared" si="632"/>
        <v>21.24</v>
      </c>
      <c r="W1813" s="15">
        <f>IF(MarkupType="Store Markup",ROUND(V1813+V1813*StoreMarkup,2),IF(MarkupType="Supplier Markup",V1813+V1813*SupplierMarkup,"Error at finding value"))</f>
        <v>33.450000000000003</v>
      </c>
      <c r="X1813" s="32" t="str">
        <f t="shared" si="634"/>
        <v>0.00</v>
      </c>
      <c r="Y1813" s="15">
        <f t="shared" si="635"/>
        <v>148.68</v>
      </c>
      <c r="Z1813" s="15">
        <f t="shared" si="636"/>
        <v>234.15</v>
      </c>
      <c r="AA1813" s="15">
        <f>IF(FreightType="Lethbridge-Stewart Freight ",ROUND(2.99+IF(N1813&gt;0.75,(N1813-0.75)*2.25,0)*S1813,2),IF(MarkupType="Supplier Markup",V1813+V1813*SupplierMarkup,"Error at finding value"))</f>
        <v>2.99</v>
      </c>
      <c r="AB1813" s="15">
        <f t="shared" si="637"/>
        <v>0</v>
      </c>
    </row>
    <row r="1814" spans="1:28" x14ac:dyDescent="0.25">
      <c r="A1814" s="16">
        <f>OrdersTable!A1814</f>
        <v>328</v>
      </c>
      <c r="B1814" s="15" t="str">
        <f t="shared" si="617"/>
        <v>Dr</v>
      </c>
      <c r="C1814" s="15" t="str">
        <f t="shared" si="638"/>
        <v>Ward</v>
      </c>
      <c r="D1814" s="15" t="str">
        <f t="shared" si="618"/>
        <v>Keiren Nicholas</v>
      </c>
      <c r="E1814" s="15" t="str">
        <f t="shared" si="619"/>
        <v>13 Green Crescent</v>
      </c>
      <c r="F1814" s="15" t="str">
        <f t="shared" si="620"/>
        <v>Breakwater</v>
      </c>
      <c r="G1814" s="15" t="str">
        <f t="shared" si="621"/>
        <v>VIC</v>
      </c>
      <c r="H1814" s="15">
        <f t="shared" si="622"/>
        <v>3219</v>
      </c>
      <c r="I1814" s="15">
        <f t="shared" si="633"/>
        <v>1596</v>
      </c>
      <c r="J1814" s="15">
        <f>OrdersTable!B1814</f>
        <v>762</v>
      </c>
      <c r="K1814" s="15" t="str">
        <f t="shared" si="623"/>
        <v>Statues and Busts</v>
      </c>
      <c r="L1814" s="15" t="str">
        <f t="shared" si="624"/>
        <v>Doctor Who: Legends Forever Bust: Patrick Troughton</v>
      </c>
      <c r="M1814" s="15" t="str">
        <f t="shared" si="625"/>
        <v>-</v>
      </c>
      <c r="N1814" s="15">
        <f t="shared" si="626"/>
        <v>1.375</v>
      </c>
      <c r="O1814" s="15" t="str">
        <f t="shared" si="627"/>
        <v>A40</v>
      </c>
      <c r="P1814" s="15" t="str">
        <f t="shared" si="628"/>
        <v>Romana Imports</v>
      </c>
      <c r="Q1814" s="15" t="str">
        <f t="shared" si="629"/>
        <v>17 Lalla Ward Road</v>
      </c>
      <c r="R1814" s="3">
        <f>OrdersTable!C1814</f>
        <v>44690</v>
      </c>
      <c r="S1814" s="15">
        <f>OrdersTable!E1814</f>
        <v>1</v>
      </c>
      <c r="T1814" s="15">
        <f t="shared" si="630"/>
        <v>27.5</v>
      </c>
      <c r="U1814" s="15">
        <f t="shared" si="631"/>
        <v>37.799999999999997</v>
      </c>
      <c r="V1814" s="15">
        <f t="shared" si="632"/>
        <v>44.55</v>
      </c>
      <c r="W1814" s="15">
        <f>IF(MarkupType="Store Markup",ROUND(V1814+V1814*StoreMarkup,2),IF(MarkupType="Supplier Markup",V1814+V1814*SupplierMarkup,"Error at finding value"))</f>
        <v>70.17</v>
      </c>
      <c r="X1814" s="32" t="str">
        <f t="shared" si="634"/>
        <v>0.00</v>
      </c>
      <c r="Y1814" s="15">
        <f t="shared" si="635"/>
        <v>44.55</v>
      </c>
      <c r="Z1814" s="15">
        <f t="shared" si="636"/>
        <v>70.17</v>
      </c>
      <c r="AA1814" s="15">
        <f>IF(FreightType="Lethbridge-Stewart Freight ",ROUND(2.99+IF(N1814&gt;0.75,(N1814-0.75)*2.25,0)*S1814,2),IF(MarkupType="Supplier Markup",V1814+V1814*SupplierMarkup,"Error at finding value"))</f>
        <v>4.4000000000000004</v>
      </c>
      <c r="AB1814" s="15">
        <f t="shared" si="637"/>
        <v>0</v>
      </c>
    </row>
    <row r="1815" spans="1:28" x14ac:dyDescent="0.25">
      <c r="A1815" s="16">
        <f>OrdersTable!A1815</f>
        <v>500</v>
      </c>
      <c r="B1815" s="15" t="str">
        <f t="shared" si="617"/>
        <v>Ms</v>
      </c>
      <c r="C1815" s="15" t="str">
        <f t="shared" si="638"/>
        <v>Helmers</v>
      </c>
      <c r="D1815" s="15" t="str">
        <f t="shared" si="618"/>
        <v>Kristy-Lee</v>
      </c>
      <c r="E1815" s="15" t="str">
        <f t="shared" si="619"/>
        <v>43 Welthagen Court</v>
      </c>
      <c r="F1815" s="15" t="str">
        <f t="shared" si="620"/>
        <v>Areegra</v>
      </c>
      <c r="G1815" s="15" t="str">
        <f t="shared" si="621"/>
        <v>VIC</v>
      </c>
      <c r="H1815" s="15">
        <f t="shared" si="622"/>
        <v>3480</v>
      </c>
      <c r="I1815" s="15">
        <f t="shared" si="633"/>
        <v>1559</v>
      </c>
      <c r="J1815" s="15">
        <f>OrdersTable!B1815</f>
        <v>711</v>
      </c>
      <c r="K1815" s="15" t="str">
        <f t="shared" si="623"/>
        <v>Posters, Prints and Standees</v>
      </c>
      <c r="L1815" s="15" t="str">
        <f t="shared" si="624"/>
        <v>Doctor Who: Poster: TARDIS Door Poster</v>
      </c>
      <c r="M1815" s="15" t="str">
        <f t="shared" si="625"/>
        <v>-</v>
      </c>
      <c r="N1815" s="15">
        <f t="shared" si="626"/>
        <v>0.3</v>
      </c>
      <c r="O1815" s="15" t="str">
        <f t="shared" si="627"/>
        <v>A20</v>
      </c>
      <c r="P1815" s="15" t="str">
        <f t="shared" si="628"/>
        <v>Morbius Inc.</v>
      </c>
      <c r="Q1815" s="15" t="str">
        <f t="shared" si="629"/>
        <v>56 Michael Spice Hwy</v>
      </c>
      <c r="R1815" s="3">
        <f>OrdersTable!C1815</f>
        <v>44690</v>
      </c>
      <c r="S1815" s="15">
        <f>OrdersTable!E1815</f>
        <v>5</v>
      </c>
      <c r="T1815" s="15">
        <f t="shared" si="630"/>
        <v>5.99</v>
      </c>
      <c r="U1815" s="15">
        <f t="shared" si="631"/>
        <v>8.41</v>
      </c>
      <c r="V1815" s="15">
        <f t="shared" si="632"/>
        <v>9.6999999999999993</v>
      </c>
      <c r="W1815" s="15">
        <f>IF(MarkupType="Store Markup",ROUND(V1815+V1815*StoreMarkup,2),IF(MarkupType="Supplier Markup",V1815+V1815*SupplierMarkup,"Error at finding value"))</f>
        <v>15.28</v>
      </c>
      <c r="X1815" s="32" t="str">
        <f t="shared" si="634"/>
        <v>0.00</v>
      </c>
      <c r="Y1815" s="15">
        <f t="shared" si="635"/>
        <v>48.5</v>
      </c>
      <c r="Z1815" s="15">
        <f t="shared" si="636"/>
        <v>76.400000000000006</v>
      </c>
      <c r="AA1815" s="15">
        <f>IF(FreightType="Lethbridge-Stewart Freight ",ROUND(2.99+IF(N1815&gt;0.75,(N1815-0.75)*2.25,0)*S1815,2),IF(MarkupType="Supplier Markup",V1815+V1815*SupplierMarkup,"Error at finding value"))</f>
        <v>2.99</v>
      </c>
      <c r="AB1815" s="15">
        <f t="shared" si="637"/>
        <v>0</v>
      </c>
    </row>
    <row r="1816" spans="1:28" x14ac:dyDescent="0.25">
      <c r="A1816" s="16">
        <f>OrdersTable!A1816</f>
        <v>543</v>
      </c>
      <c r="B1816" s="15" t="str">
        <f t="shared" si="617"/>
        <v>Ms</v>
      </c>
      <c r="C1816" s="15" t="str">
        <f t="shared" si="638"/>
        <v>Mendezona</v>
      </c>
      <c r="D1816" s="15" t="str">
        <f t="shared" si="618"/>
        <v>Tara Colleen-Mary</v>
      </c>
      <c r="E1816" s="15" t="str">
        <f t="shared" si="619"/>
        <v>27 Picone Drive</v>
      </c>
      <c r="F1816" s="15" t="str">
        <f t="shared" si="620"/>
        <v>Aberfoyle</v>
      </c>
      <c r="G1816" s="15" t="str">
        <f t="shared" si="621"/>
        <v>NSW</v>
      </c>
      <c r="H1816" s="15">
        <f t="shared" si="622"/>
        <v>2350</v>
      </c>
      <c r="I1816" s="15">
        <f t="shared" si="633"/>
        <v>363</v>
      </c>
      <c r="J1816" s="15">
        <f>OrdersTable!B1816</f>
        <v>810</v>
      </c>
      <c r="K1816" s="15" t="str">
        <f t="shared" si="623"/>
        <v>Statues and Busts</v>
      </c>
      <c r="L1816" s="15" t="str">
        <f t="shared" si="624"/>
        <v>Doctor Who: Masterpiece Collection Maxi Bust: Amy Pond</v>
      </c>
      <c r="M1816" s="15" t="str">
        <f t="shared" si="625"/>
        <v>-</v>
      </c>
      <c r="N1816" s="15">
        <f t="shared" si="626"/>
        <v>2.5</v>
      </c>
      <c r="O1816" s="15" t="str">
        <f t="shared" si="627"/>
        <v>A50</v>
      </c>
      <c r="P1816" s="15" t="str">
        <f t="shared" si="628"/>
        <v>Rassilon Ltd.</v>
      </c>
      <c r="Q1816" s="15" t="str">
        <f t="shared" si="629"/>
        <v>82 Richard Mathews Road</v>
      </c>
      <c r="R1816" s="3">
        <f>OrdersTable!C1816</f>
        <v>44690</v>
      </c>
      <c r="S1816" s="15">
        <f>OrdersTable!E1816</f>
        <v>7</v>
      </c>
      <c r="T1816" s="15">
        <f t="shared" si="630"/>
        <v>49.99</v>
      </c>
      <c r="U1816" s="15">
        <f t="shared" si="631"/>
        <v>68.260000000000005</v>
      </c>
      <c r="V1816" s="15">
        <f t="shared" si="632"/>
        <v>80.98</v>
      </c>
      <c r="W1816" s="15">
        <f>IF(MarkupType="Store Markup",ROUND(V1816+V1816*StoreMarkup,2),IF(MarkupType="Supplier Markup",V1816+V1816*SupplierMarkup,"Error at finding value"))</f>
        <v>127.54</v>
      </c>
      <c r="X1816" s="32">
        <f t="shared" si="634"/>
        <v>9.09</v>
      </c>
      <c r="Y1816" s="15">
        <f t="shared" si="635"/>
        <v>566.86</v>
      </c>
      <c r="Z1816" s="15">
        <f t="shared" si="636"/>
        <v>829.15</v>
      </c>
      <c r="AA1816" s="15">
        <f>IF(FreightType="Lethbridge-Stewart Freight ",ROUND(2.99+IF(N1816&gt;0.75,(N1816-0.75)*2.25,0)*S1816,2),IF(MarkupType="Supplier Markup",V1816+V1816*SupplierMarkup,"Error at finding value"))</f>
        <v>30.55</v>
      </c>
      <c r="AB1816" s="15">
        <f t="shared" si="637"/>
        <v>63.63</v>
      </c>
    </row>
    <row r="1817" spans="1:28" x14ac:dyDescent="0.25">
      <c r="A1817" s="16">
        <f>OrdersTable!A1817</f>
        <v>546</v>
      </c>
      <c r="B1817" s="15" t="str">
        <f t="shared" si="617"/>
        <v>Ms</v>
      </c>
      <c r="C1817" s="15" t="str">
        <f t="shared" si="638"/>
        <v>Shortt</v>
      </c>
      <c r="D1817" s="15" t="str">
        <f t="shared" si="618"/>
        <v>Rickylee Sidonia</v>
      </c>
      <c r="E1817" s="15" t="str">
        <f t="shared" si="619"/>
        <v>4 Hughes Road</v>
      </c>
      <c r="F1817" s="15" t="str">
        <f t="shared" si="620"/>
        <v>Glenfern</v>
      </c>
      <c r="G1817" s="15" t="str">
        <f t="shared" si="621"/>
        <v>QLD</v>
      </c>
      <c r="H1817" s="15">
        <f t="shared" si="622"/>
        <v>4515</v>
      </c>
      <c r="I1817" s="15">
        <f t="shared" si="633"/>
        <v>128</v>
      </c>
      <c r="J1817" s="15">
        <f>OrdersTable!B1817</f>
        <v>801</v>
      </c>
      <c r="K1817" s="15" t="str">
        <f t="shared" si="623"/>
        <v>Statues and Busts</v>
      </c>
      <c r="L1817" s="15" t="str">
        <f t="shared" si="624"/>
        <v>Doctor Who: Masterpiece Collection Maxi Bust: 4th Doctor</v>
      </c>
      <c r="M1817" s="15" t="str">
        <f t="shared" si="625"/>
        <v>-</v>
      </c>
      <c r="N1817" s="15">
        <f t="shared" si="626"/>
        <v>2.5</v>
      </c>
      <c r="O1817" s="15" t="str">
        <f t="shared" si="627"/>
        <v>A30</v>
      </c>
      <c r="P1817" s="15" t="str">
        <f t="shared" si="628"/>
        <v>Chesterton Enterprises</v>
      </c>
      <c r="Q1817" s="15" t="str">
        <f t="shared" si="629"/>
        <v>41 William Russell Road</v>
      </c>
      <c r="R1817" s="3">
        <f>OrdersTable!C1817</f>
        <v>44690</v>
      </c>
      <c r="S1817" s="15">
        <f>OrdersTable!E1817</f>
        <v>7</v>
      </c>
      <c r="T1817" s="15">
        <f t="shared" si="630"/>
        <v>49.99</v>
      </c>
      <c r="U1817" s="15">
        <f t="shared" si="631"/>
        <v>68.180000000000007</v>
      </c>
      <c r="V1817" s="15">
        <f t="shared" si="632"/>
        <v>80.98</v>
      </c>
      <c r="W1817" s="15">
        <f>IF(MarkupType="Store Markup",ROUND(V1817+V1817*StoreMarkup,2),IF(MarkupType="Supplier Markup",V1817+V1817*SupplierMarkup,"Error at finding value"))</f>
        <v>127.54</v>
      </c>
      <c r="X1817" s="32">
        <f t="shared" si="634"/>
        <v>9.09</v>
      </c>
      <c r="Y1817" s="15">
        <f t="shared" si="635"/>
        <v>566.86</v>
      </c>
      <c r="Z1817" s="15">
        <f t="shared" si="636"/>
        <v>829.15</v>
      </c>
      <c r="AA1817" s="15">
        <f>IF(FreightType="Lethbridge-Stewart Freight ",ROUND(2.99+IF(N1817&gt;0.75,(N1817-0.75)*2.25,0)*S1817,2),IF(MarkupType="Supplier Markup",V1817+V1817*SupplierMarkup,"Error at finding value"))</f>
        <v>30.55</v>
      </c>
      <c r="AB1817" s="15">
        <f t="shared" si="637"/>
        <v>63.63</v>
      </c>
    </row>
    <row r="1818" spans="1:28" x14ac:dyDescent="0.25">
      <c r="A1818" s="16">
        <f>OrdersTable!A1818</f>
        <v>557</v>
      </c>
      <c r="B1818" s="15" t="str">
        <f t="shared" si="617"/>
        <v>Mrs</v>
      </c>
      <c r="C1818" s="15" t="str">
        <f t="shared" si="638"/>
        <v>Allen</v>
      </c>
      <c r="D1818" s="15" t="str">
        <f t="shared" si="618"/>
        <v>Morgan</v>
      </c>
      <c r="E1818" s="15" t="str">
        <f t="shared" si="619"/>
        <v>15 Winsor Street</v>
      </c>
      <c r="F1818" s="15" t="str">
        <f t="shared" si="620"/>
        <v>Appletree Flat</v>
      </c>
      <c r="G1818" s="15" t="str">
        <f t="shared" si="621"/>
        <v>NSW</v>
      </c>
      <c r="H1818" s="15">
        <f t="shared" si="622"/>
        <v>2330</v>
      </c>
      <c r="I1818" s="15">
        <f t="shared" si="633"/>
        <v>691</v>
      </c>
      <c r="J1818" s="15">
        <f>OrdersTable!B1818</f>
        <v>515</v>
      </c>
      <c r="K1818" s="15" t="str">
        <f t="shared" si="623"/>
        <v>Giftware</v>
      </c>
      <c r="L1818" s="15" t="str">
        <f t="shared" si="624"/>
        <v>Doctor Who: Keyring K9</v>
      </c>
      <c r="M1818" s="15" t="str">
        <f t="shared" si="625"/>
        <v>-</v>
      </c>
      <c r="N1818" s="15">
        <f t="shared" si="626"/>
        <v>0.25</v>
      </c>
      <c r="O1818" s="15" t="str">
        <f t="shared" si="627"/>
        <v>A50</v>
      </c>
      <c r="P1818" s="15" t="str">
        <f t="shared" si="628"/>
        <v>Rassilon Ltd.</v>
      </c>
      <c r="Q1818" s="15" t="str">
        <f t="shared" si="629"/>
        <v>82 Richard Mathews Road</v>
      </c>
      <c r="R1818" s="3">
        <f>OrdersTable!C1818</f>
        <v>44690</v>
      </c>
      <c r="S1818" s="15">
        <f>OrdersTable!E1818</f>
        <v>9</v>
      </c>
      <c r="T1818" s="15">
        <f t="shared" si="630"/>
        <v>4.99</v>
      </c>
      <c r="U1818" s="15">
        <f t="shared" si="631"/>
        <v>6.91</v>
      </c>
      <c r="V1818" s="15">
        <f t="shared" si="632"/>
        <v>8.08</v>
      </c>
      <c r="W1818" s="15">
        <f>IF(MarkupType="Store Markup",ROUND(V1818+V1818*StoreMarkup,2),IF(MarkupType="Supplier Markup",V1818+V1818*SupplierMarkup,"Error at finding value"))</f>
        <v>12.73</v>
      </c>
      <c r="X1818" s="32" t="str">
        <f t="shared" si="634"/>
        <v>0.00</v>
      </c>
      <c r="Y1818" s="15">
        <f t="shared" si="635"/>
        <v>72.72</v>
      </c>
      <c r="Z1818" s="15">
        <f t="shared" si="636"/>
        <v>114.57</v>
      </c>
      <c r="AA1818" s="15">
        <f>IF(FreightType="Lethbridge-Stewart Freight ",ROUND(2.99+IF(N1818&gt;0.75,(N1818-0.75)*2.25,0)*S1818,2),IF(MarkupType="Supplier Markup",V1818+V1818*SupplierMarkup,"Error at finding value"))</f>
        <v>2.99</v>
      </c>
      <c r="AB1818" s="15">
        <f t="shared" si="637"/>
        <v>0</v>
      </c>
    </row>
    <row r="1819" spans="1:28" x14ac:dyDescent="0.25">
      <c r="A1819" s="16">
        <f>OrdersTable!A1819</f>
        <v>602</v>
      </c>
      <c r="B1819" s="15" t="str">
        <f t="shared" si="617"/>
        <v>Mr</v>
      </c>
      <c r="C1819" s="15" t="str">
        <f t="shared" si="638"/>
        <v>Spinelli</v>
      </c>
      <c r="D1819" s="15" t="str">
        <f t="shared" si="618"/>
        <v>Paul Walter</v>
      </c>
      <c r="E1819" s="15" t="str">
        <f t="shared" si="619"/>
        <v>35 Azar Drive</v>
      </c>
      <c r="F1819" s="15" t="str">
        <f t="shared" si="620"/>
        <v>Bray Park</v>
      </c>
      <c r="G1819" s="15" t="str">
        <f t="shared" si="621"/>
        <v>QLD</v>
      </c>
      <c r="H1819" s="15">
        <f t="shared" si="622"/>
        <v>4500</v>
      </c>
      <c r="I1819" s="15">
        <f t="shared" si="633"/>
        <v>139</v>
      </c>
      <c r="J1819" s="15">
        <f>OrdersTable!B1819</f>
        <v>759</v>
      </c>
      <c r="K1819" s="15" t="str">
        <f t="shared" si="623"/>
        <v>Statues and Busts</v>
      </c>
      <c r="L1819" s="15" t="str">
        <f t="shared" si="624"/>
        <v>Doctor Who: Legends Forever Bust: Jon Pertwee</v>
      </c>
      <c r="M1819" s="15" t="str">
        <f t="shared" si="625"/>
        <v>-</v>
      </c>
      <c r="N1819" s="15">
        <f t="shared" si="626"/>
        <v>1.375</v>
      </c>
      <c r="O1819" s="15" t="str">
        <f t="shared" si="627"/>
        <v>A30</v>
      </c>
      <c r="P1819" s="15" t="str">
        <f t="shared" si="628"/>
        <v>Chesterton Enterprises</v>
      </c>
      <c r="Q1819" s="15" t="str">
        <f t="shared" si="629"/>
        <v>41 William Russell Road</v>
      </c>
      <c r="R1819" s="3">
        <f>OrdersTable!C1819</f>
        <v>44690</v>
      </c>
      <c r="S1819" s="15">
        <f>OrdersTable!E1819</f>
        <v>10</v>
      </c>
      <c r="T1819" s="15">
        <f t="shared" si="630"/>
        <v>27.5</v>
      </c>
      <c r="U1819" s="15">
        <f t="shared" si="631"/>
        <v>37.630000000000003</v>
      </c>
      <c r="V1819" s="15">
        <f t="shared" si="632"/>
        <v>44.55</v>
      </c>
      <c r="W1819" s="15">
        <f>IF(MarkupType="Store Markup",ROUND(V1819+V1819*StoreMarkup,2),IF(MarkupType="Supplier Markup",V1819+V1819*SupplierMarkup,"Error at finding value"))</f>
        <v>70.17</v>
      </c>
      <c r="X1819" s="32" t="str">
        <f t="shared" si="634"/>
        <v>0.00</v>
      </c>
      <c r="Y1819" s="15">
        <f t="shared" si="635"/>
        <v>445.5</v>
      </c>
      <c r="Z1819" s="15">
        <f t="shared" si="636"/>
        <v>701.7</v>
      </c>
      <c r="AA1819" s="15">
        <f>IF(FreightType="Lethbridge-Stewart Freight ",ROUND(2.99+IF(N1819&gt;0.75,(N1819-0.75)*2.25,0)*S1819,2),IF(MarkupType="Supplier Markup",V1819+V1819*SupplierMarkup,"Error at finding value"))</f>
        <v>17.05</v>
      </c>
      <c r="AB1819" s="15">
        <f t="shared" si="637"/>
        <v>0</v>
      </c>
    </row>
    <row r="1820" spans="1:28" x14ac:dyDescent="0.25">
      <c r="A1820" s="16">
        <f>OrdersTable!A1820</f>
        <v>611</v>
      </c>
      <c r="B1820" s="15" t="str">
        <f t="shared" si="617"/>
        <v>Mr</v>
      </c>
      <c r="C1820" s="15" t="str">
        <f t="shared" si="638"/>
        <v>Wittman</v>
      </c>
      <c r="D1820" s="15" t="str">
        <f t="shared" si="618"/>
        <v>Nicholas Jackson</v>
      </c>
      <c r="E1820" s="15" t="str">
        <f t="shared" si="619"/>
        <v>48 Sheppard-Kadel Way</v>
      </c>
      <c r="F1820" s="15" t="str">
        <f t="shared" si="620"/>
        <v>Nayook</v>
      </c>
      <c r="G1820" s="15" t="str">
        <f t="shared" si="621"/>
        <v>VIC</v>
      </c>
      <c r="H1820" s="15">
        <f t="shared" si="622"/>
        <v>3832</v>
      </c>
      <c r="I1820" s="15">
        <f t="shared" si="633"/>
        <v>1552</v>
      </c>
      <c r="J1820" s="15">
        <f>OrdersTable!B1820</f>
        <v>692</v>
      </c>
      <c r="K1820" s="15" t="str">
        <f t="shared" si="623"/>
        <v>Posters, Prints and Standees</v>
      </c>
      <c r="L1820" s="15" t="str">
        <f t="shared" si="624"/>
        <v>Doctor Who: 16'x12' Framed Print: Exploding TARDIS</v>
      </c>
      <c r="M1820" s="15" t="str">
        <f t="shared" si="625"/>
        <v>-</v>
      </c>
      <c r="N1820" s="15">
        <f t="shared" si="626"/>
        <v>0.75</v>
      </c>
      <c r="O1820" s="15" t="str">
        <f t="shared" si="627"/>
        <v>A30</v>
      </c>
      <c r="P1820" s="15" t="str">
        <f t="shared" si="628"/>
        <v>Chesterton Enterprises</v>
      </c>
      <c r="Q1820" s="15" t="str">
        <f t="shared" si="629"/>
        <v>41 William Russell Road</v>
      </c>
      <c r="R1820" s="3">
        <f>OrdersTable!C1820</f>
        <v>44690</v>
      </c>
      <c r="S1820" s="15">
        <f>OrdersTable!E1820</f>
        <v>3</v>
      </c>
      <c r="T1820" s="15">
        <f t="shared" si="630"/>
        <v>14.99</v>
      </c>
      <c r="U1820" s="15">
        <f t="shared" si="631"/>
        <v>20.54</v>
      </c>
      <c r="V1820" s="15">
        <f t="shared" si="632"/>
        <v>24.28</v>
      </c>
      <c r="W1820" s="15">
        <f>IF(MarkupType="Store Markup",ROUND(V1820+V1820*StoreMarkup,2),IF(MarkupType="Supplier Markup",V1820+V1820*SupplierMarkup,"Error at finding value"))</f>
        <v>38.24</v>
      </c>
      <c r="X1820" s="32" t="str">
        <f t="shared" si="634"/>
        <v>0.00</v>
      </c>
      <c r="Y1820" s="15">
        <f t="shared" si="635"/>
        <v>72.84</v>
      </c>
      <c r="Z1820" s="15">
        <f t="shared" si="636"/>
        <v>114.72</v>
      </c>
      <c r="AA1820" s="15">
        <f>IF(FreightType="Lethbridge-Stewart Freight ",ROUND(2.99+IF(N1820&gt;0.75,(N1820-0.75)*2.25,0)*S1820,2),IF(MarkupType="Supplier Markup",V1820+V1820*SupplierMarkup,"Error at finding value"))</f>
        <v>2.99</v>
      </c>
      <c r="AB1820" s="15">
        <f t="shared" si="637"/>
        <v>0</v>
      </c>
    </row>
    <row r="1821" spans="1:28" x14ac:dyDescent="0.25">
      <c r="A1821" s="16">
        <f>OrdersTable!A1821</f>
        <v>611</v>
      </c>
      <c r="B1821" s="15" t="str">
        <f t="shared" si="617"/>
        <v>Mr</v>
      </c>
      <c r="C1821" s="15" t="str">
        <f t="shared" si="638"/>
        <v>Wittman</v>
      </c>
      <c r="D1821" s="15" t="str">
        <f t="shared" si="618"/>
        <v>Nicholas Jackson</v>
      </c>
      <c r="E1821" s="15" t="str">
        <f t="shared" si="619"/>
        <v>48 Sheppard-Kadel Way</v>
      </c>
      <c r="F1821" s="15" t="str">
        <f t="shared" si="620"/>
        <v>Nayook</v>
      </c>
      <c r="G1821" s="15" t="str">
        <f t="shared" si="621"/>
        <v>VIC</v>
      </c>
      <c r="H1821" s="15">
        <f t="shared" si="622"/>
        <v>3832</v>
      </c>
      <c r="I1821" s="15">
        <f t="shared" si="633"/>
        <v>1552</v>
      </c>
      <c r="J1821" s="15">
        <f>OrdersTable!B1821</f>
        <v>810</v>
      </c>
      <c r="K1821" s="15" t="str">
        <f t="shared" si="623"/>
        <v>Statues and Busts</v>
      </c>
      <c r="L1821" s="15" t="str">
        <f t="shared" si="624"/>
        <v>Doctor Who: Masterpiece Collection Maxi Bust: Amy Pond</v>
      </c>
      <c r="M1821" s="15" t="str">
        <f t="shared" si="625"/>
        <v>-</v>
      </c>
      <c r="N1821" s="15">
        <f t="shared" si="626"/>
        <v>2.5</v>
      </c>
      <c r="O1821" s="15" t="str">
        <f t="shared" si="627"/>
        <v>A50</v>
      </c>
      <c r="P1821" s="15" t="str">
        <f t="shared" si="628"/>
        <v>Rassilon Ltd.</v>
      </c>
      <c r="Q1821" s="15" t="str">
        <f t="shared" si="629"/>
        <v>82 Richard Mathews Road</v>
      </c>
      <c r="R1821" s="3">
        <f>OrdersTable!C1821</f>
        <v>44690</v>
      </c>
      <c r="S1821" s="15">
        <f>OrdersTable!E1821</f>
        <v>6</v>
      </c>
      <c r="T1821" s="15">
        <f t="shared" si="630"/>
        <v>49.99</v>
      </c>
      <c r="U1821" s="15">
        <f t="shared" si="631"/>
        <v>68.260000000000005</v>
      </c>
      <c r="V1821" s="15">
        <f t="shared" si="632"/>
        <v>80.98</v>
      </c>
      <c r="W1821" s="15">
        <f>IF(MarkupType="Store Markup",ROUND(V1821+V1821*StoreMarkup,2),IF(MarkupType="Supplier Markup",V1821+V1821*SupplierMarkup,"Error at finding value"))</f>
        <v>127.54</v>
      </c>
      <c r="X1821" s="32">
        <f t="shared" si="634"/>
        <v>9.09</v>
      </c>
      <c r="Y1821" s="15">
        <f t="shared" si="635"/>
        <v>485.88</v>
      </c>
      <c r="Z1821" s="15">
        <f t="shared" si="636"/>
        <v>710.7</v>
      </c>
      <c r="AA1821" s="15">
        <f>IF(FreightType="Lethbridge-Stewart Freight ",ROUND(2.99+IF(N1821&gt;0.75,(N1821-0.75)*2.25,0)*S1821,2),IF(MarkupType="Supplier Markup",V1821+V1821*SupplierMarkup,"Error at finding value"))</f>
        <v>26.62</v>
      </c>
      <c r="AB1821" s="15">
        <f t="shared" si="637"/>
        <v>54.54</v>
      </c>
    </row>
    <row r="1822" spans="1:28" x14ac:dyDescent="0.25">
      <c r="A1822" s="16">
        <f>OrdersTable!A1822</f>
        <v>771</v>
      </c>
      <c r="B1822" s="15" t="str">
        <f t="shared" si="617"/>
        <v>Dr</v>
      </c>
      <c r="C1822" s="15" t="str">
        <f t="shared" si="638"/>
        <v>Virk</v>
      </c>
      <c r="D1822" s="15" t="str">
        <f t="shared" si="618"/>
        <v>Balraj Singh</v>
      </c>
      <c r="E1822" s="15" t="str">
        <f t="shared" si="619"/>
        <v>39 Napanje Drive</v>
      </c>
      <c r="F1822" s="15" t="str">
        <f t="shared" si="620"/>
        <v>Abington</v>
      </c>
      <c r="G1822" s="15" t="str">
        <f t="shared" si="621"/>
        <v>QLD</v>
      </c>
      <c r="H1822" s="15">
        <f t="shared" si="622"/>
        <v>4660</v>
      </c>
      <c r="I1822" s="15">
        <f t="shared" si="633"/>
        <v>336</v>
      </c>
      <c r="J1822" s="15">
        <f>OrdersTable!B1822</f>
        <v>667</v>
      </c>
      <c r="K1822" s="15" t="str">
        <f t="shared" si="623"/>
        <v>Mugs</v>
      </c>
      <c r="L1822" s="15" t="str">
        <f t="shared" si="624"/>
        <v>Doctor Who: Mug: Keep Calm And Don't Blink</v>
      </c>
      <c r="M1822" s="15" t="str">
        <f t="shared" si="625"/>
        <v>-</v>
      </c>
      <c r="N1822" s="15">
        <f t="shared" si="626"/>
        <v>0.35</v>
      </c>
      <c r="O1822" s="15" t="str">
        <f t="shared" si="627"/>
        <v>A10</v>
      </c>
      <c r="P1822" s="15" t="str">
        <f t="shared" si="628"/>
        <v>Gallifrey International</v>
      </c>
      <c r="Q1822" s="15" t="str">
        <f t="shared" si="629"/>
        <v>181 Arcadia Street</v>
      </c>
      <c r="R1822" s="3">
        <f>OrdersTable!C1822</f>
        <v>44690</v>
      </c>
      <c r="S1822" s="15">
        <f>OrdersTable!E1822</f>
        <v>6</v>
      </c>
      <c r="T1822" s="15">
        <f t="shared" si="630"/>
        <v>6.99</v>
      </c>
      <c r="U1822" s="15">
        <f t="shared" si="631"/>
        <v>9.84</v>
      </c>
      <c r="V1822" s="15">
        <f t="shared" si="632"/>
        <v>11.32</v>
      </c>
      <c r="W1822" s="15">
        <f>IF(MarkupType="Store Markup",ROUND(V1822+V1822*StoreMarkup,2),IF(MarkupType="Supplier Markup",V1822+V1822*SupplierMarkup,"Error at finding value"))</f>
        <v>17.829999999999998</v>
      </c>
      <c r="X1822" s="32" t="str">
        <f t="shared" si="634"/>
        <v>0.00</v>
      </c>
      <c r="Y1822" s="15">
        <f t="shared" si="635"/>
        <v>67.92</v>
      </c>
      <c r="Z1822" s="15">
        <f t="shared" si="636"/>
        <v>106.98</v>
      </c>
      <c r="AA1822" s="15">
        <f>IF(FreightType="Lethbridge-Stewart Freight ",ROUND(2.99+IF(N1822&gt;0.75,(N1822-0.75)*2.25,0)*S1822,2),IF(MarkupType="Supplier Markup",V1822+V1822*SupplierMarkup,"Error at finding value"))</f>
        <v>2.99</v>
      </c>
      <c r="AB1822" s="15">
        <f t="shared" si="637"/>
        <v>0</v>
      </c>
    </row>
    <row r="1823" spans="1:28" x14ac:dyDescent="0.25">
      <c r="A1823" s="16">
        <f>OrdersTable!A1823</f>
        <v>823</v>
      </c>
      <c r="B1823" s="15" t="str">
        <f t="shared" si="617"/>
        <v>Mrs</v>
      </c>
      <c r="C1823" s="15" t="str">
        <f t="shared" si="638"/>
        <v>Riordan</v>
      </c>
      <c r="D1823" s="15" t="str">
        <f t="shared" si="618"/>
        <v>Brianna Leigh</v>
      </c>
      <c r="E1823" s="15" t="str">
        <f t="shared" si="619"/>
        <v>7 Boyd Crescent</v>
      </c>
      <c r="F1823" s="15" t="str">
        <f t="shared" si="620"/>
        <v>Bamboo</v>
      </c>
      <c r="G1823" s="15" t="str">
        <f t="shared" si="621"/>
        <v>QLD</v>
      </c>
      <c r="H1823" s="15">
        <f t="shared" si="622"/>
        <v>4873</v>
      </c>
      <c r="I1823" s="15">
        <f t="shared" si="633"/>
        <v>1741</v>
      </c>
      <c r="J1823" s="15">
        <f>OrdersTable!B1823</f>
        <v>196</v>
      </c>
      <c r="K1823" s="15" t="str">
        <f t="shared" si="623"/>
        <v>Clothing and Apparel</v>
      </c>
      <c r="L1823" s="15" t="str">
        <f t="shared" si="624"/>
        <v>Doctor Who: 12 Foot Tom Baker Scarf</v>
      </c>
      <c r="M1823" s="15" t="str">
        <f t="shared" si="625"/>
        <v>-</v>
      </c>
      <c r="N1823" s="15">
        <f t="shared" si="626"/>
        <v>2.5</v>
      </c>
      <c r="O1823" s="15" t="str">
        <f t="shared" si="627"/>
        <v>A40</v>
      </c>
      <c r="P1823" s="15" t="str">
        <f t="shared" si="628"/>
        <v>Romana Imports</v>
      </c>
      <c r="Q1823" s="15" t="str">
        <f t="shared" si="629"/>
        <v>17 Lalla Ward Road</v>
      </c>
      <c r="R1823" s="3">
        <f>OrdersTable!C1823</f>
        <v>44690</v>
      </c>
      <c r="S1823" s="15">
        <f>OrdersTable!E1823</f>
        <v>6</v>
      </c>
      <c r="T1823" s="15">
        <f t="shared" si="630"/>
        <v>49.99</v>
      </c>
      <c r="U1823" s="15">
        <f t="shared" si="631"/>
        <v>68.28</v>
      </c>
      <c r="V1823" s="15">
        <f t="shared" si="632"/>
        <v>80.98</v>
      </c>
      <c r="W1823" s="15">
        <f>IF(MarkupType="Store Markup",ROUND(V1823+V1823*StoreMarkup,2),IF(MarkupType="Supplier Markup",V1823+V1823*SupplierMarkup,"Error at finding value"))</f>
        <v>127.54</v>
      </c>
      <c r="X1823" s="32">
        <f t="shared" si="634"/>
        <v>9.09</v>
      </c>
      <c r="Y1823" s="15">
        <f t="shared" si="635"/>
        <v>485.88</v>
      </c>
      <c r="Z1823" s="15">
        <f t="shared" si="636"/>
        <v>710.7</v>
      </c>
      <c r="AA1823" s="15">
        <f>IF(FreightType="Lethbridge-Stewart Freight ",ROUND(2.99+IF(N1823&gt;0.75,(N1823-0.75)*2.25,0)*S1823,2),IF(MarkupType="Supplier Markup",V1823+V1823*SupplierMarkup,"Error at finding value"))</f>
        <v>26.62</v>
      </c>
      <c r="AB1823" s="15">
        <f t="shared" si="637"/>
        <v>54.54</v>
      </c>
    </row>
    <row r="1824" spans="1:28" x14ac:dyDescent="0.25">
      <c r="A1824" s="16">
        <f>OrdersTable!A1824</f>
        <v>830</v>
      </c>
      <c r="B1824" s="15" t="str">
        <f t="shared" si="617"/>
        <v>Miss</v>
      </c>
      <c r="C1824" s="15" t="str">
        <f t="shared" si="638"/>
        <v>Blakeney</v>
      </c>
      <c r="D1824" s="15" t="str">
        <f t="shared" si="618"/>
        <v>Hannah</v>
      </c>
      <c r="E1824" s="15" t="str">
        <f t="shared" si="619"/>
        <v>31 Sproule Street</v>
      </c>
      <c r="F1824" s="15" t="str">
        <f t="shared" si="620"/>
        <v>Belford</v>
      </c>
      <c r="G1824" s="15" t="str">
        <f t="shared" si="621"/>
        <v>NSW</v>
      </c>
      <c r="H1824" s="15">
        <f t="shared" si="622"/>
        <v>2335</v>
      </c>
      <c r="I1824" s="15">
        <f t="shared" si="633"/>
        <v>716</v>
      </c>
      <c r="J1824" s="15">
        <f>OrdersTable!B1824</f>
        <v>701</v>
      </c>
      <c r="K1824" s="15" t="str">
        <f t="shared" si="623"/>
        <v>Posters, Prints and Standees</v>
      </c>
      <c r="L1824" s="15" t="str">
        <f t="shared" si="624"/>
        <v>Doctor Who: Half Sized Standee: The TARDIS</v>
      </c>
      <c r="M1824" s="15" t="str">
        <f t="shared" si="625"/>
        <v>-</v>
      </c>
      <c r="N1824" s="15">
        <f t="shared" si="626"/>
        <v>0.5</v>
      </c>
      <c r="O1824" s="15" t="str">
        <f t="shared" si="627"/>
        <v>A40</v>
      </c>
      <c r="P1824" s="15" t="str">
        <f t="shared" si="628"/>
        <v>Romana Imports</v>
      </c>
      <c r="Q1824" s="15" t="str">
        <f t="shared" si="629"/>
        <v>17 Lalla Ward Road</v>
      </c>
      <c r="R1824" s="3">
        <f>OrdersTable!C1824</f>
        <v>44690</v>
      </c>
      <c r="S1824" s="15">
        <f>OrdersTable!E1824</f>
        <v>2</v>
      </c>
      <c r="T1824" s="15">
        <f t="shared" si="630"/>
        <v>9.99</v>
      </c>
      <c r="U1824" s="15">
        <f t="shared" si="631"/>
        <v>13.83</v>
      </c>
      <c r="V1824" s="15">
        <f t="shared" si="632"/>
        <v>16.18</v>
      </c>
      <c r="W1824" s="15">
        <f>IF(MarkupType="Store Markup",ROUND(V1824+V1824*StoreMarkup,2),IF(MarkupType="Supplier Markup",V1824+V1824*SupplierMarkup,"Error at finding value"))</f>
        <v>25.48</v>
      </c>
      <c r="X1824" s="32" t="str">
        <f t="shared" si="634"/>
        <v>0.00</v>
      </c>
      <c r="Y1824" s="15">
        <f t="shared" si="635"/>
        <v>32.36</v>
      </c>
      <c r="Z1824" s="15">
        <f t="shared" si="636"/>
        <v>50.96</v>
      </c>
      <c r="AA1824" s="15">
        <f>IF(FreightType="Lethbridge-Stewart Freight ",ROUND(2.99+IF(N1824&gt;0.75,(N1824-0.75)*2.25,0)*S1824,2),IF(MarkupType="Supplier Markup",V1824+V1824*SupplierMarkup,"Error at finding value"))</f>
        <v>2.99</v>
      </c>
      <c r="AB1824" s="15">
        <f t="shared" si="637"/>
        <v>0</v>
      </c>
    </row>
    <row r="1825" spans="1:28" x14ac:dyDescent="0.25">
      <c r="A1825" s="16">
        <f>OrdersTable!A1825</f>
        <v>841</v>
      </c>
      <c r="B1825" s="15" t="str">
        <f t="shared" si="617"/>
        <v>Miss</v>
      </c>
      <c r="C1825" s="15" t="str">
        <f t="shared" si="638"/>
        <v>Donaghy</v>
      </c>
      <c r="D1825" s="15" t="str">
        <f t="shared" si="618"/>
        <v>Elizabeth Mathilde Jane</v>
      </c>
      <c r="E1825" s="15" t="str">
        <f t="shared" si="619"/>
        <v>31 Johnson Boulevard</v>
      </c>
      <c r="F1825" s="15" t="str">
        <f t="shared" si="620"/>
        <v>Belford</v>
      </c>
      <c r="G1825" s="15" t="str">
        <f t="shared" si="621"/>
        <v>NSW</v>
      </c>
      <c r="H1825" s="15">
        <f t="shared" si="622"/>
        <v>2335</v>
      </c>
      <c r="I1825" s="15">
        <f t="shared" si="633"/>
        <v>716</v>
      </c>
      <c r="J1825" s="15">
        <f>OrdersTable!B1825</f>
        <v>145</v>
      </c>
      <c r="K1825" s="15" t="str">
        <f t="shared" si="623"/>
        <v>Bobbleheads</v>
      </c>
      <c r="L1825" s="15" t="str">
        <f t="shared" si="624"/>
        <v>Doctor Who: Bobblehead: Eleventh Doctor</v>
      </c>
      <c r="M1825" s="15" t="str">
        <f t="shared" si="625"/>
        <v>-</v>
      </c>
      <c r="N1825" s="15">
        <f t="shared" si="626"/>
        <v>1</v>
      </c>
      <c r="O1825" s="15" t="str">
        <f t="shared" si="627"/>
        <v>A30</v>
      </c>
      <c r="P1825" s="15" t="str">
        <f t="shared" si="628"/>
        <v>Chesterton Enterprises</v>
      </c>
      <c r="Q1825" s="15" t="str">
        <f t="shared" si="629"/>
        <v>41 William Russell Road</v>
      </c>
      <c r="R1825" s="3">
        <f>OrdersTable!C1825</f>
        <v>44690</v>
      </c>
      <c r="S1825" s="15">
        <f>OrdersTable!E1825</f>
        <v>3</v>
      </c>
      <c r="T1825" s="15">
        <f t="shared" si="630"/>
        <v>19.989999999999998</v>
      </c>
      <c r="U1825" s="15">
        <f t="shared" si="631"/>
        <v>27.54</v>
      </c>
      <c r="V1825" s="15">
        <f t="shared" si="632"/>
        <v>32.380000000000003</v>
      </c>
      <c r="W1825" s="15">
        <f>IF(MarkupType="Store Markup",ROUND(V1825+V1825*StoreMarkup,2),IF(MarkupType="Supplier Markup",V1825+V1825*SupplierMarkup,"Error at finding value"))</f>
        <v>51</v>
      </c>
      <c r="X1825" s="32" t="str">
        <f t="shared" si="634"/>
        <v>0.00</v>
      </c>
      <c r="Y1825" s="15">
        <f t="shared" si="635"/>
        <v>97.14</v>
      </c>
      <c r="Z1825" s="15">
        <f t="shared" si="636"/>
        <v>153</v>
      </c>
      <c r="AA1825" s="15">
        <f>IF(FreightType="Lethbridge-Stewart Freight ",ROUND(2.99+IF(N1825&gt;0.75,(N1825-0.75)*2.25,0)*S1825,2),IF(MarkupType="Supplier Markup",V1825+V1825*SupplierMarkup,"Error at finding value"))</f>
        <v>4.68</v>
      </c>
      <c r="AB1825" s="15">
        <f t="shared" si="637"/>
        <v>0</v>
      </c>
    </row>
    <row r="1826" spans="1:28" x14ac:dyDescent="0.25">
      <c r="A1826" s="16">
        <f>OrdersTable!A1826</f>
        <v>81</v>
      </c>
      <c r="B1826" s="15" t="str">
        <f t="shared" si="617"/>
        <v>Ms</v>
      </c>
      <c r="C1826" s="15" t="str">
        <f t="shared" si="638"/>
        <v>Madsen</v>
      </c>
      <c r="D1826" s="15" t="str">
        <f t="shared" si="618"/>
        <v>Kim Marie</v>
      </c>
      <c r="E1826" s="15" t="str">
        <f t="shared" si="619"/>
        <v>42 Singh Drive</v>
      </c>
      <c r="F1826" s="15" t="str">
        <f t="shared" si="620"/>
        <v>Caliph</v>
      </c>
      <c r="G1826" s="15" t="str">
        <f t="shared" si="621"/>
        <v>SA</v>
      </c>
      <c r="H1826" s="15">
        <f t="shared" si="622"/>
        <v>5310</v>
      </c>
      <c r="I1826" s="15">
        <f t="shared" si="633"/>
        <v>1720</v>
      </c>
      <c r="J1826" s="15">
        <f>OrdersTable!B1826</f>
        <v>817</v>
      </c>
      <c r="K1826" s="15" t="str">
        <f t="shared" si="623"/>
        <v>Statues and Busts</v>
      </c>
      <c r="L1826" s="15" t="str">
        <f t="shared" si="624"/>
        <v>Doctor Who: Masterpiece Collection Maxi Bust: Torchwood Captain Jack Harkness</v>
      </c>
      <c r="M1826" s="15" t="str">
        <f t="shared" si="625"/>
        <v>-</v>
      </c>
      <c r="N1826" s="15">
        <f t="shared" si="626"/>
        <v>2.5</v>
      </c>
      <c r="O1826" s="15" t="str">
        <f t="shared" si="627"/>
        <v>A10</v>
      </c>
      <c r="P1826" s="15" t="str">
        <f t="shared" si="628"/>
        <v>Gallifrey International</v>
      </c>
      <c r="Q1826" s="15" t="str">
        <f t="shared" si="629"/>
        <v>181 Arcadia Street</v>
      </c>
      <c r="R1826" s="3">
        <f>OrdersTable!C1826</f>
        <v>44691</v>
      </c>
      <c r="S1826" s="15">
        <f>OrdersTable!E1826</f>
        <v>6</v>
      </c>
      <c r="T1826" s="15">
        <f t="shared" si="630"/>
        <v>49.99</v>
      </c>
      <c r="U1826" s="15">
        <f t="shared" si="631"/>
        <v>68.44</v>
      </c>
      <c r="V1826" s="15">
        <f t="shared" si="632"/>
        <v>80.98</v>
      </c>
      <c r="W1826" s="15">
        <f>IF(MarkupType="Store Markup",ROUND(V1826+V1826*StoreMarkup,2),IF(MarkupType="Supplier Markup",V1826+V1826*SupplierMarkup,"Error at finding value"))</f>
        <v>127.54</v>
      </c>
      <c r="X1826" s="32">
        <f t="shared" si="634"/>
        <v>9.09</v>
      </c>
      <c r="Y1826" s="15">
        <f t="shared" si="635"/>
        <v>485.88</v>
      </c>
      <c r="Z1826" s="15">
        <f t="shared" si="636"/>
        <v>710.7</v>
      </c>
      <c r="AA1826" s="15">
        <f>IF(FreightType="Lethbridge-Stewart Freight ",ROUND(2.99+IF(N1826&gt;0.75,(N1826-0.75)*2.25,0)*S1826,2),IF(MarkupType="Supplier Markup",V1826+V1826*SupplierMarkup,"Error at finding value"))</f>
        <v>26.62</v>
      </c>
      <c r="AB1826" s="15">
        <f t="shared" si="637"/>
        <v>54.54</v>
      </c>
    </row>
    <row r="1827" spans="1:28" x14ac:dyDescent="0.25">
      <c r="A1827" s="16">
        <f>OrdersTable!A1827</f>
        <v>112</v>
      </c>
      <c r="B1827" s="15" t="str">
        <f t="shared" si="617"/>
        <v>Mr</v>
      </c>
      <c r="C1827" s="15" t="str">
        <f t="shared" si="638"/>
        <v>Dahal</v>
      </c>
      <c r="D1827" s="15" t="str">
        <f t="shared" si="618"/>
        <v>Subash</v>
      </c>
      <c r="E1827" s="15" t="str">
        <f t="shared" si="619"/>
        <v>121-127 Railway Pde, Granville, NSW 2142</v>
      </c>
      <c r="F1827" s="15" t="str">
        <f t="shared" si="620"/>
        <v>Granville</v>
      </c>
      <c r="G1827" s="15" t="str">
        <f t="shared" si="621"/>
        <v>NSW</v>
      </c>
      <c r="H1827" s="15">
        <f t="shared" si="622"/>
        <v>2142</v>
      </c>
      <c r="I1827" s="15">
        <f t="shared" si="633"/>
        <v>907</v>
      </c>
      <c r="J1827" s="15">
        <f>OrdersTable!B1827</f>
        <v>479</v>
      </c>
      <c r="K1827" s="15" t="str">
        <f t="shared" si="623"/>
        <v>Giftware</v>
      </c>
      <c r="L1827" s="15" t="str">
        <f t="shared" si="624"/>
        <v>Doctor Who: Keyring Dalek</v>
      </c>
      <c r="M1827" s="15" t="str">
        <f t="shared" si="625"/>
        <v>-</v>
      </c>
      <c r="N1827" s="15">
        <f t="shared" si="626"/>
        <v>0.25</v>
      </c>
      <c r="O1827" s="15" t="str">
        <f t="shared" si="627"/>
        <v>A10</v>
      </c>
      <c r="P1827" s="15" t="str">
        <f t="shared" si="628"/>
        <v>Gallifrey International</v>
      </c>
      <c r="Q1827" s="15" t="str">
        <f t="shared" si="629"/>
        <v>181 Arcadia Street</v>
      </c>
      <c r="R1827" s="3">
        <f>OrdersTable!C1827</f>
        <v>44691</v>
      </c>
      <c r="S1827" s="15">
        <f>OrdersTable!E1827</f>
        <v>4</v>
      </c>
      <c r="T1827" s="15">
        <f t="shared" si="630"/>
        <v>4.99</v>
      </c>
      <c r="U1827" s="15">
        <f t="shared" si="631"/>
        <v>6.86</v>
      </c>
      <c r="V1827" s="15">
        <f t="shared" si="632"/>
        <v>8.08</v>
      </c>
      <c r="W1827" s="15">
        <f>IF(MarkupType="Store Markup",ROUND(V1827+V1827*StoreMarkup,2),IF(MarkupType="Supplier Markup",V1827+V1827*SupplierMarkup,"Error at finding value"))</f>
        <v>12.73</v>
      </c>
      <c r="X1827" s="32" t="str">
        <f t="shared" si="634"/>
        <v>0.00</v>
      </c>
      <c r="Y1827" s="15">
        <f t="shared" si="635"/>
        <v>32.32</v>
      </c>
      <c r="Z1827" s="15">
        <f t="shared" si="636"/>
        <v>50.92</v>
      </c>
      <c r="AA1827" s="15">
        <f>IF(FreightType="Lethbridge-Stewart Freight ",ROUND(2.99+IF(N1827&gt;0.75,(N1827-0.75)*2.25,0)*S1827,2),IF(MarkupType="Supplier Markup",V1827+V1827*SupplierMarkup,"Error at finding value"))</f>
        <v>2.99</v>
      </c>
      <c r="AB1827" s="15">
        <f t="shared" si="637"/>
        <v>0</v>
      </c>
    </row>
    <row r="1828" spans="1:28" x14ac:dyDescent="0.25">
      <c r="A1828" s="16">
        <f>OrdersTable!A1828</f>
        <v>141</v>
      </c>
      <c r="B1828" s="15" t="str">
        <f t="shared" si="617"/>
        <v>Mr</v>
      </c>
      <c r="C1828" s="15" t="str">
        <f t="shared" si="638"/>
        <v>Bergmann</v>
      </c>
      <c r="D1828" s="15" t="str">
        <f t="shared" si="618"/>
        <v>Beau Jay</v>
      </c>
      <c r="E1828" s="15" t="str">
        <f t="shared" si="619"/>
        <v>47 McCullough Circuit</v>
      </c>
      <c r="F1828" s="15" t="str">
        <f t="shared" si="620"/>
        <v>Breakwater</v>
      </c>
      <c r="G1828" s="15" t="str">
        <f t="shared" si="621"/>
        <v>VIC</v>
      </c>
      <c r="H1828" s="15">
        <f t="shared" si="622"/>
        <v>3219</v>
      </c>
      <c r="I1828" s="15">
        <f t="shared" si="633"/>
        <v>1596</v>
      </c>
      <c r="J1828" s="15">
        <f>OrdersTable!B1828</f>
        <v>801</v>
      </c>
      <c r="K1828" s="15" t="str">
        <f t="shared" si="623"/>
        <v>Statues and Busts</v>
      </c>
      <c r="L1828" s="15" t="str">
        <f t="shared" si="624"/>
        <v>Doctor Who: Masterpiece Collection Maxi Bust: 4th Doctor</v>
      </c>
      <c r="M1828" s="15" t="str">
        <f t="shared" si="625"/>
        <v>-</v>
      </c>
      <c r="N1828" s="15">
        <f t="shared" si="626"/>
        <v>2.5</v>
      </c>
      <c r="O1828" s="15" t="str">
        <f t="shared" si="627"/>
        <v>A30</v>
      </c>
      <c r="P1828" s="15" t="str">
        <f t="shared" si="628"/>
        <v>Chesterton Enterprises</v>
      </c>
      <c r="Q1828" s="15" t="str">
        <f t="shared" si="629"/>
        <v>41 William Russell Road</v>
      </c>
      <c r="R1828" s="3">
        <f>OrdersTable!C1828</f>
        <v>44691</v>
      </c>
      <c r="S1828" s="15">
        <f>OrdersTable!E1828</f>
        <v>9</v>
      </c>
      <c r="T1828" s="15">
        <f t="shared" si="630"/>
        <v>49.99</v>
      </c>
      <c r="U1828" s="15">
        <f t="shared" si="631"/>
        <v>68.180000000000007</v>
      </c>
      <c r="V1828" s="15">
        <f t="shared" si="632"/>
        <v>80.98</v>
      </c>
      <c r="W1828" s="15">
        <f>IF(MarkupType="Store Markup",ROUND(V1828+V1828*StoreMarkup,2),IF(MarkupType="Supplier Markup",V1828+V1828*SupplierMarkup,"Error at finding value"))</f>
        <v>127.54</v>
      </c>
      <c r="X1828" s="32">
        <f t="shared" si="634"/>
        <v>9.09</v>
      </c>
      <c r="Y1828" s="15">
        <f t="shared" si="635"/>
        <v>728.82</v>
      </c>
      <c r="Z1828" s="15">
        <f t="shared" si="636"/>
        <v>1066.05</v>
      </c>
      <c r="AA1828" s="15">
        <f>IF(FreightType="Lethbridge-Stewart Freight ",ROUND(2.99+IF(N1828&gt;0.75,(N1828-0.75)*2.25,0)*S1828,2),IF(MarkupType="Supplier Markup",V1828+V1828*SupplierMarkup,"Error at finding value"))</f>
        <v>38.43</v>
      </c>
      <c r="AB1828" s="15">
        <f t="shared" si="637"/>
        <v>81.81</v>
      </c>
    </row>
    <row r="1829" spans="1:28" x14ac:dyDescent="0.25">
      <c r="A1829" s="16">
        <f>OrdersTable!A1829</f>
        <v>224</v>
      </c>
      <c r="B1829" s="15" t="str">
        <f t="shared" si="617"/>
        <v>Miss</v>
      </c>
      <c r="C1829" s="15" t="str">
        <f t="shared" si="638"/>
        <v>Baruwal</v>
      </c>
      <c r="D1829" s="15" t="str">
        <f t="shared" si="618"/>
        <v>Pratikshya</v>
      </c>
      <c r="E1829" s="15" t="str">
        <f t="shared" si="619"/>
        <v>43 Gilloway Street</v>
      </c>
      <c r="F1829" s="15" t="str">
        <f t="shared" si="620"/>
        <v>Iluka</v>
      </c>
      <c r="G1829" s="15" t="str">
        <f t="shared" si="621"/>
        <v>NSW</v>
      </c>
      <c r="H1829" s="15">
        <f t="shared" si="622"/>
        <v>2466</v>
      </c>
      <c r="I1829" s="15">
        <f t="shared" si="633"/>
        <v>347</v>
      </c>
      <c r="J1829" s="15">
        <f>OrdersTable!B1829</f>
        <v>196</v>
      </c>
      <c r="K1829" s="15" t="str">
        <f t="shared" si="623"/>
        <v>Clothing and Apparel</v>
      </c>
      <c r="L1829" s="15" t="str">
        <f t="shared" si="624"/>
        <v>Doctor Who: 12 Foot Tom Baker Scarf</v>
      </c>
      <c r="M1829" s="15" t="str">
        <f t="shared" si="625"/>
        <v>-</v>
      </c>
      <c r="N1829" s="15">
        <f t="shared" si="626"/>
        <v>2.5</v>
      </c>
      <c r="O1829" s="15" t="str">
        <f t="shared" si="627"/>
        <v>A40</v>
      </c>
      <c r="P1829" s="15" t="str">
        <f t="shared" si="628"/>
        <v>Romana Imports</v>
      </c>
      <c r="Q1829" s="15" t="str">
        <f t="shared" si="629"/>
        <v>17 Lalla Ward Road</v>
      </c>
      <c r="R1829" s="3">
        <f>OrdersTable!C1829</f>
        <v>44691</v>
      </c>
      <c r="S1829" s="15">
        <f>OrdersTable!E1829</f>
        <v>8</v>
      </c>
      <c r="T1829" s="15">
        <f t="shared" si="630"/>
        <v>49.99</v>
      </c>
      <c r="U1829" s="15">
        <f t="shared" si="631"/>
        <v>68.28</v>
      </c>
      <c r="V1829" s="15">
        <f t="shared" si="632"/>
        <v>80.98</v>
      </c>
      <c r="W1829" s="15">
        <f>IF(MarkupType="Store Markup",ROUND(V1829+V1829*StoreMarkup,2),IF(MarkupType="Supplier Markup",V1829+V1829*SupplierMarkup,"Error at finding value"))</f>
        <v>127.54</v>
      </c>
      <c r="X1829" s="32">
        <f t="shared" si="634"/>
        <v>9.09</v>
      </c>
      <c r="Y1829" s="15">
        <f t="shared" si="635"/>
        <v>647.84</v>
      </c>
      <c r="Z1829" s="15">
        <f t="shared" si="636"/>
        <v>947.6</v>
      </c>
      <c r="AA1829" s="15">
        <f>IF(FreightType="Lethbridge-Stewart Freight ",ROUND(2.99+IF(N1829&gt;0.75,(N1829-0.75)*2.25,0)*S1829,2),IF(MarkupType="Supplier Markup",V1829+V1829*SupplierMarkup,"Error at finding value"))</f>
        <v>34.49</v>
      </c>
      <c r="AB1829" s="15">
        <f t="shared" si="637"/>
        <v>72.72</v>
      </c>
    </row>
    <row r="1830" spans="1:28" x14ac:dyDescent="0.25">
      <c r="A1830" s="16">
        <f>OrdersTable!A1830</f>
        <v>284</v>
      </c>
      <c r="B1830" s="15" t="str">
        <f t="shared" si="617"/>
        <v>Mr</v>
      </c>
      <c r="C1830" s="15" t="str">
        <f t="shared" si="638"/>
        <v>Aitcheson</v>
      </c>
      <c r="D1830" s="15" t="str">
        <f t="shared" si="618"/>
        <v>Ben James</v>
      </c>
      <c r="E1830" s="15" t="str">
        <f t="shared" si="619"/>
        <v>32 Evans Avenue</v>
      </c>
      <c r="F1830" s="15" t="str">
        <f t="shared" si="620"/>
        <v>Batlow</v>
      </c>
      <c r="G1830" s="15" t="str">
        <f t="shared" si="621"/>
        <v>NSW</v>
      </c>
      <c r="H1830" s="15">
        <f t="shared" si="622"/>
        <v>2730</v>
      </c>
      <c r="I1830" s="15">
        <f t="shared" si="633"/>
        <v>1138</v>
      </c>
      <c r="J1830" s="15">
        <f>OrdersTable!B1830</f>
        <v>464</v>
      </c>
      <c r="K1830" s="15" t="str">
        <f t="shared" si="623"/>
        <v>Giftware</v>
      </c>
      <c r="L1830" s="15" t="str">
        <f t="shared" si="624"/>
        <v>Doctor Who: Collectable License Plate: My Other Car Is A TARDIS</v>
      </c>
      <c r="M1830" s="15" t="str">
        <f t="shared" si="625"/>
        <v>-</v>
      </c>
      <c r="N1830" s="15">
        <f t="shared" si="626"/>
        <v>0.6</v>
      </c>
      <c r="O1830" s="15" t="str">
        <f t="shared" si="627"/>
        <v>A50</v>
      </c>
      <c r="P1830" s="15" t="str">
        <f t="shared" si="628"/>
        <v>Rassilon Ltd.</v>
      </c>
      <c r="Q1830" s="15" t="str">
        <f t="shared" si="629"/>
        <v>82 Richard Mathews Road</v>
      </c>
      <c r="R1830" s="3">
        <f>OrdersTable!C1830</f>
        <v>44691</v>
      </c>
      <c r="S1830" s="15">
        <f>OrdersTable!E1830</f>
        <v>4</v>
      </c>
      <c r="T1830" s="15">
        <f t="shared" si="630"/>
        <v>11.99</v>
      </c>
      <c r="U1830" s="15">
        <f t="shared" si="631"/>
        <v>16.579999999999998</v>
      </c>
      <c r="V1830" s="15">
        <f t="shared" si="632"/>
        <v>19.420000000000002</v>
      </c>
      <c r="W1830" s="15">
        <f>IF(MarkupType="Store Markup",ROUND(V1830+V1830*StoreMarkup,2),IF(MarkupType="Supplier Markup",V1830+V1830*SupplierMarkup,"Error at finding value"))</f>
        <v>30.59</v>
      </c>
      <c r="X1830" s="32" t="str">
        <f t="shared" si="634"/>
        <v>0.00</v>
      </c>
      <c r="Y1830" s="15">
        <f t="shared" si="635"/>
        <v>77.680000000000007</v>
      </c>
      <c r="Z1830" s="15">
        <f t="shared" si="636"/>
        <v>122.36</v>
      </c>
      <c r="AA1830" s="15">
        <f>IF(FreightType="Lethbridge-Stewart Freight ",ROUND(2.99+IF(N1830&gt;0.75,(N1830-0.75)*2.25,0)*S1830,2),IF(MarkupType="Supplier Markup",V1830+V1830*SupplierMarkup,"Error at finding value"))</f>
        <v>2.99</v>
      </c>
      <c r="AB1830" s="15">
        <f t="shared" si="637"/>
        <v>0</v>
      </c>
    </row>
    <row r="1831" spans="1:28" x14ac:dyDescent="0.25">
      <c r="A1831" s="16">
        <f>OrdersTable!A1831</f>
        <v>323</v>
      </c>
      <c r="B1831" s="15" t="str">
        <f t="shared" si="617"/>
        <v>Dr</v>
      </c>
      <c r="C1831" s="15" t="str">
        <f t="shared" si="638"/>
        <v>King</v>
      </c>
      <c r="D1831" s="15" t="str">
        <f t="shared" si="618"/>
        <v>Leith</v>
      </c>
      <c r="E1831" s="15" t="str">
        <f t="shared" si="619"/>
        <v>25 Carbone Court</v>
      </c>
      <c r="F1831" s="15" t="str">
        <f t="shared" si="620"/>
        <v>Nayook</v>
      </c>
      <c r="G1831" s="15" t="str">
        <f t="shared" si="621"/>
        <v>VIC</v>
      </c>
      <c r="H1831" s="15">
        <f t="shared" si="622"/>
        <v>3832</v>
      </c>
      <c r="I1831" s="15">
        <f t="shared" si="633"/>
        <v>1552</v>
      </c>
      <c r="J1831" s="15">
        <f>OrdersTable!B1831</f>
        <v>668</v>
      </c>
      <c r="K1831" s="15" t="str">
        <f t="shared" si="623"/>
        <v>Mugs</v>
      </c>
      <c r="L1831" s="15" t="str">
        <f t="shared" si="624"/>
        <v>Doctor Who: Mug: Silver TARDIS</v>
      </c>
      <c r="M1831" s="15" t="str">
        <f t="shared" si="625"/>
        <v>-</v>
      </c>
      <c r="N1831" s="15">
        <f t="shared" si="626"/>
        <v>1.1499999999999999</v>
      </c>
      <c r="O1831" s="15" t="str">
        <f t="shared" si="627"/>
        <v>A50</v>
      </c>
      <c r="P1831" s="15" t="str">
        <f t="shared" si="628"/>
        <v>Rassilon Ltd.</v>
      </c>
      <c r="Q1831" s="15" t="str">
        <f t="shared" si="629"/>
        <v>82 Richard Mathews Road</v>
      </c>
      <c r="R1831" s="3">
        <f>OrdersTable!C1831</f>
        <v>44691</v>
      </c>
      <c r="S1831" s="15">
        <f>OrdersTable!E1831</f>
        <v>9</v>
      </c>
      <c r="T1831" s="15">
        <f t="shared" si="630"/>
        <v>22.99</v>
      </c>
      <c r="U1831" s="15">
        <f t="shared" si="631"/>
        <v>31.53</v>
      </c>
      <c r="V1831" s="15">
        <f t="shared" si="632"/>
        <v>37.24</v>
      </c>
      <c r="W1831" s="15">
        <f>IF(MarkupType="Store Markup",ROUND(V1831+V1831*StoreMarkup,2),IF(MarkupType="Supplier Markup",V1831+V1831*SupplierMarkup,"Error at finding value"))</f>
        <v>58.65</v>
      </c>
      <c r="X1831" s="32" t="str">
        <f t="shared" si="634"/>
        <v>0.00</v>
      </c>
      <c r="Y1831" s="15">
        <f t="shared" si="635"/>
        <v>335.16</v>
      </c>
      <c r="Z1831" s="15">
        <f t="shared" si="636"/>
        <v>527.85</v>
      </c>
      <c r="AA1831" s="15">
        <f>IF(FreightType="Lethbridge-Stewart Freight ",ROUND(2.99+IF(N1831&gt;0.75,(N1831-0.75)*2.25,0)*S1831,2),IF(MarkupType="Supplier Markup",V1831+V1831*SupplierMarkup,"Error at finding value"))</f>
        <v>11.09</v>
      </c>
      <c r="AB1831" s="15">
        <f t="shared" si="637"/>
        <v>0</v>
      </c>
    </row>
    <row r="1832" spans="1:28" x14ac:dyDescent="0.25">
      <c r="A1832" s="16">
        <f>OrdersTable!A1832</f>
        <v>328</v>
      </c>
      <c r="B1832" s="15" t="str">
        <f t="shared" si="617"/>
        <v>Dr</v>
      </c>
      <c r="C1832" s="15" t="str">
        <f t="shared" si="638"/>
        <v>Ward</v>
      </c>
      <c r="D1832" s="15" t="str">
        <f t="shared" si="618"/>
        <v>Keiren Nicholas</v>
      </c>
      <c r="E1832" s="15" t="str">
        <f t="shared" si="619"/>
        <v>13 Green Crescent</v>
      </c>
      <c r="F1832" s="15" t="str">
        <f t="shared" si="620"/>
        <v>Breakwater</v>
      </c>
      <c r="G1832" s="15" t="str">
        <f t="shared" si="621"/>
        <v>VIC</v>
      </c>
      <c r="H1832" s="15">
        <f t="shared" si="622"/>
        <v>3219</v>
      </c>
      <c r="I1832" s="15">
        <f t="shared" si="633"/>
        <v>1596</v>
      </c>
      <c r="J1832" s="15">
        <f>OrdersTable!B1832</f>
        <v>671</v>
      </c>
      <c r="K1832" s="15" t="str">
        <f t="shared" si="623"/>
        <v>Mugs</v>
      </c>
      <c r="L1832" s="15" t="str">
        <f t="shared" si="624"/>
        <v>Doctor Who: Mug: TARDIS Inside</v>
      </c>
      <c r="M1832" s="15" t="str">
        <f t="shared" si="625"/>
        <v>-</v>
      </c>
      <c r="N1832" s="15">
        <f t="shared" si="626"/>
        <v>0.6</v>
      </c>
      <c r="O1832" s="15" t="str">
        <f t="shared" si="627"/>
        <v>A30</v>
      </c>
      <c r="P1832" s="15" t="str">
        <f t="shared" si="628"/>
        <v>Chesterton Enterprises</v>
      </c>
      <c r="Q1832" s="15" t="str">
        <f t="shared" si="629"/>
        <v>41 William Russell Road</v>
      </c>
      <c r="R1832" s="3">
        <f>OrdersTable!C1832</f>
        <v>44691</v>
      </c>
      <c r="S1832" s="15">
        <f>OrdersTable!E1832</f>
        <v>8</v>
      </c>
      <c r="T1832" s="15">
        <f t="shared" si="630"/>
        <v>11.99</v>
      </c>
      <c r="U1832" s="15">
        <f t="shared" si="631"/>
        <v>16.690000000000001</v>
      </c>
      <c r="V1832" s="15">
        <f t="shared" si="632"/>
        <v>19.420000000000002</v>
      </c>
      <c r="W1832" s="15">
        <f>IF(MarkupType="Store Markup",ROUND(V1832+V1832*StoreMarkup,2),IF(MarkupType="Supplier Markup",V1832+V1832*SupplierMarkup,"Error at finding value"))</f>
        <v>30.59</v>
      </c>
      <c r="X1832" s="32" t="str">
        <f t="shared" si="634"/>
        <v>0.00</v>
      </c>
      <c r="Y1832" s="15">
        <f t="shared" si="635"/>
        <v>155.36000000000001</v>
      </c>
      <c r="Z1832" s="15">
        <f t="shared" si="636"/>
        <v>244.72</v>
      </c>
      <c r="AA1832" s="15">
        <f>IF(FreightType="Lethbridge-Stewart Freight ",ROUND(2.99+IF(N1832&gt;0.75,(N1832-0.75)*2.25,0)*S1832,2),IF(MarkupType="Supplier Markup",V1832+V1832*SupplierMarkup,"Error at finding value"))</f>
        <v>2.99</v>
      </c>
      <c r="AB1832" s="15">
        <f t="shared" si="637"/>
        <v>0</v>
      </c>
    </row>
    <row r="1833" spans="1:28" x14ac:dyDescent="0.25">
      <c r="A1833" s="16">
        <f>OrdersTable!A1833</f>
        <v>330</v>
      </c>
      <c r="B1833" s="15" t="str">
        <f t="shared" si="617"/>
        <v>Mr</v>
      </c>
      <c r="C1833" s="15" t="str">
        <f t="shared" si="638"/>
        <v>Liesegang</v>
      </c>
      <c r="D1833" s="15" t="str">
        <f t="shared" si="618"/>
        <v>Darcey Michelle</v>
      </c>
      <c r="E1833" s="15" t="str">
        <f t="shared" si="619"/>
        <v>50 McCann Drive</v>
      </c>
      <c r="F1833" s="15" t="str">
        <f t="shared" si="620"/>
        <v>Binduli</v>
      </c>
      <c r="G1833" s="15" t="str">
        <f t="shared" si="621"/>
        <v>WA</v>
      </c>
      <c r="H1833" s="15">
        <f t="shared" si="622"/>
        <v>6430</v>
      </c>
      <c r="I1833" s="15">
        <f t="shared" si="633"/>
        <v>3543</v>
      </c>
      <c r="J1833" s="15">
        <f>OrdersTable!B1833</f>
        <v>676</v>
      </c>
      <c r="K1833" s="15" t="str">
        <f t="shared" si="623"/>
        <v>Mugs</v>
      </c>
      <c r="L1833" s="15" t="str">
        <f t="shared" si="624"/>
        <v>Doctor Who: Mug: The Eleventh Doctor</v>
      </c>
      <c r="M1833" s="15" t="str">
        <f t="shared" si="625"/>
        <v>-</v>
      </c>
      <c r="N1833" s="15">
        <f t="shared" si="626"/>
        <v>0.45</v>
      </c>
      <c r="O1833" s="15" t="str">
        <f t="shared" si="627"/>
        <v>A20</v>
      </c>
      <c r="P1833" s="15" t="str">
        <f t="shared" si="628"/>
        <v>Morbius Inc.</v>
      </c>
      <c r="Q1833" s="15" t="str">
        <f t="shared" si="629"/>
        <v>56 Michael Spice Hwy</v>
      </c>
      <c r="R1833" s="3">
        <f>OrdersTable!C1833</f>
        <v>44691</v>
      </c>
      <c r="S1833" s="15">
        <f>OrdersTable!E1833</f>
        <v>8</v>
      </c>
      <c r="T1833" s="15">
        <f t="shared" si="630"/>
        <v>8.99</v>
      </c>
      <c r="U1833" s="15">
        <f t="shared" si="631"/>
        <v>12.55</v>
      </c>
      <c r="V1833" s="15">
        <f t="shared" si="632"/>
        <v>14.56</v>
      </c>
      <c r="W1833" s="15">
        <f>IF(MarkupType="Store Markup",ROUND(V1833+V1833*StoreMarkup,2),IF(MarkupType="Supplier Markup",V1833+V1833*SupplierMarkup,"Error at finding value"))</f>
        <v>22.93</v>
      </c>
      <c r="X1833" s="32" t="str">
        <f t="shared" si="634"/>
        <v>0.00</v>
      </c>
      <c r="Y1833" s="15">
        <f t="shared" si="635"/>
        <v>116.48</v>
      </c>
      <c r="Z1833" s="15">
        <f t="shared" si="636"/>
        <v>183.44</v>
      </c>
      <c r="AA1833" s="15">
        <f>IF(FreightType="Lethbridge-Stewart Freight ",ROUND(2.99+IF(N1833&gt;0.75,(N1833-0.75)*2.25,0)*S1833,2),IF(MarkupType="Supplier Markup",V1833+V1833*SupplierMarkup,"Error at finding value"))</f>
        <v>2.99</v>
      </c>
      <c r="AB1833" s="15">
        <f t="shared" si="637"/>
        <v>0</v>
      </c>
    </row>
    <row r="1834" spans="1:28" x14ac:dyDescent="0.25">
      <c r="A1834" s="16">
        <f>OrdersTable!A1834</f>
        <v>333</v>
      </c>
      <c r="B1834" s="15" t="str">
        <f t="shared" si="617"/>
        <v>Mr</v>
      </c>
      <c r="C1834" s="15" t="str">
        <f t="shared" si="638"/>
        <v>Martin</v>
      </c>
      <c r="D1834" s="15" t="str">
        <f t="shared" si="618"/>
        <v>Damien Roger</v>
      </c>
      <c r="E1834" s="15" t="str">
        <f t="shared" si="619"/>
        <v>23 Quennell Way</v>
      </c>
      <c r="F1834" s="15" t="str">
        <f t="shared" si="620"/>
        <v>Aberfoyle</v>
      </c>
      <c r="G1834" s="15" t="str">
        <f t="shared" si="621"/>
        <v>NSW</v>
      </c>
      <c r="H1834" s="15">
        <f t="shared" si="622"/>
        <v>2350</v>
      </c>
      <c r="I1834" s="15">
        <f t="shared" si="633"/>
        <v>363</v>
      </c>
      <c r="J1834" s="15">
        <f>OrdersTable!B1834</f>
        <v>259</v>
      </c>
      <c r="K1834" s="15" t="str">
        <f t="shared" si="623"/>
        <v>Clothing and Apparel</v>
      </c>
      <c r="L1834" s="15" t="str">
        <f t="shared" si="624"/>
        <v>Doctor Who: Men's Winter Pyjamas</v>
      </c>
      <c r="M1834" s="15" t="str">
        <f t="shared" si="625"/>
        <v>XL</v>
      </c>
      <c r="N1834" s="15">
        <f t="shared" si="626"/>
        <v>1.5</v>
      </c>
      <c r="O1834" s="15" t="str">
        <f t="shared" si="627"/>
        <v>A50</v>
      </c>
      <c r="P1834" s="15" t="str">
        <f t="shared" si="628"/>
        <v>Rassilon Ltd.</v>
      </c>
      <c r="Q1834" s="15" t="str">
        <f t="shared" si="629"/>
        <v>82 Richard Mathews Road</v>
      </c>
      <c r="R1834" s="3">
        <f>OrdersTable!C1834</f>
        <v>44691</v>
      </c>
      <c r="S1834" s="15">
        <f>OrdersTable!E1834</f>
        <v>7</v>
      </c>
      <c r="T1834" s="15">
        <f t="shared" si="630"/>
        <v>29.99</v>
      </c>
      <c r="U1834" s="15">
        <f t="shared" si="631"/>
        <v>41.15</v>
      </c>
      <c r="V1834" s="15">
        <f t="shared" si="632"/>
        <v>48.58</v>
      </c>
      <c r="W1834" s="15">
        <f>IF(MarkupType="Store Markup",ROUND(V1834+V1834*StoreMarkup,2),IF(MarkupType="Supplier Markup",V1834+V1834*SupplierMarkup,"Error at finding value"))</f>
        <v>76.510000000000005</v>
      </c>
      <c r="X1834" s="32" t="str">
        <f t="shared" si="634"/>
        <v>0.00</v>
      </c>
      <c r="Y1834" s="15">
        <f t="shared" si="635"/>
        <v>340.06</v>
      </c>
      <c r="Z1834" s="15">
        <f t="shared" si="636"/>
        <v>535.57000000000005</v>
      </c>
      <c r="AA1834" s="15">
        <f>IF(FreightType="Lethbridge-Stewart Freight ",ROUND(2.99+IF(N1834&gt;0.75,(N1834-0.75)*2.25,0)*S1834,2),IF(MarkupType="Supplier Markup",V1834+V1834*SupplierMarkup,"Error at finding value"))</f>
        <v>14.8</v>
      </c>
      <c r="AB1834" s="15">
        <f t="shared" si="637"/>
        <v>0</v>
      </c>
    </row>
    <row r="1835" spans="1:28" x14ac:dyDescent="0.25">
      <c r="A1835" s="16">
        <f>OrdersTable!A1835</f>
        <v>362</v>
      </c>
      <c r="B1835" s="15" t="str">
        <f t="shared" si="617"/>
        <v>Mr</v>
      </c>
      <c r="C1835" s="15" t="str">
        <f t="shared" si="638"/>
        <v>Hurst</v>
      </c>
      <c r="D1835" s="15" t="str">
        <f t="shared" si="618"/>
        <v>Ralph Gregory</v>
      </c>
      <c r="E1835" s="15" t="str">
        <f t="shared" si="619"/>
        <v>45 Blakeney Road</v>
      </c>
      <c r="F1835" s="15" t="str">
        <f t="shared" si="620"/>
        <v>Iluka</v>
      </c>
      <c r="G1835" s="15" t="str">
        <f t="shared" si="621"/>
        <v>NSW</v>
      </c>
      <c r="H1835" s="15">
        <f t="shared" si="622"/>
        <v>2466</v>
      </c>
      <c r="I1835" s="15">
        <f t="shared" si="633"/>
        <v>347</v>
      </c>
      <c r="J1835" s="15">
        <f>OrdersTable!B1835</f>
        <v>758</v>
      </c>
      <c r="K1835" s="15" t="str">
        <f t="shared" si="623"/>
        <v>Statues and Busts</v>
      </c>
      <c r="L1835" s="15" t="str">
        <f t="shared" si="624"/>
        <v>Doctor Who: Helmet: Sontaran Officer Linx</v>
      </c>
      <c r="M1835" s="15" t="str">
        <f t="shared" si="625"/>
        <v>-</v>
      </c>
      <c r="N1835" s="15">
        <f t="shared" si="626"/>
        <v>1.75</v>
      </c>
      <c r="O1835" s="15" t="str">
        <f t="shared" si="627"/>
        <v>A50</v>
      </c>
      <c r="P1835" s="15" t="str">
        <f t="shared" si="628"/>
        <v>Rassilon Ltd.</v>
      </c>
      <c r="Q1835" s="15" t="str">
        <f t="shared" si="629"/>
        <v>82 Richard Mathews Road</v>
      </c>
      <c r="R1835" s="3">
        <f>OrdersTable!C1835</f>
        <v>44691</v>
      </c>
      <c r="S1835" s="15">
        <f>OrdersTable!E1835</f>
        <v>4</v>
      </c>
      <c r="T1835" s="15">
        <f t="shared" si="630"/>
        <v>34.99</v>
      </c>
      <c r="U1835" s="15">
        <f t="shared" si="631"/>
        <v>47.79</v>
      </c>
      <c r="V1835" s="15">
        <f t="shared" si="632"/>
        <v>56.68</v>
      </c>
      <c r="W1835" s="15">
        <f>IF(MarkupType="Store Markup",ROUND(V1835+V1835*StoreMarkup,2),IF(MarkupType="Supplier Markup",V1835+V1835*SupplierMarkup,"Error at finding value"))</f>
        <v>89.27</v>
      </c>
      <c r="X1835" s="32" t="str">
        <f t="shared" si="634"/>
        <v>0.00</v>
      </c>
      <c r="Y1835" s="15">
        <f t="shared" si="635"/>
        <v>226.72</v>
      </c>
      <c r="Z1835" s="15">
        <f t="shared" si="636"/>
        <v>357.08</v>
      </c>
      <c r="AA1835" s="15">
        <f>IF(FreightType="Lethbridge-Stewart Freight ",ROUND(2.99+IF(N1835&gt;0.75,(N1835-0.75)*2.25,0)*S1835,2),IF(MarkupType="Supplier Markup",V1835+V1835*SupplierMarkup,"Error at finding value"))</f>
        <v>11.99</v>
      </c>
      <c r="AB1835" s="15">
        <f t="shared" si="637"/>
        <v>0</v>
      </c>
    </row>
    <row r="1836" spans="1:28" x14ac:dyDescent="0.25">
      <c r="A1836" s="16">
        <f>OrdersTable!A1836</f>
        <v>158</v>
      </c>
      <c r="B1836" s="15" t="str">
        <f t="shared" si="617"/>
        <v>Mr</v>
      </c>
      <c r="C1836" s="15" t="str">
        <f t="shared" si="638"/>
        <v>Fowler</v>
      </c>
      <c r="D1836" s="15" t="str">
        <f t="shared" si="618"/>
        <v>James</v>
      </c>
      <c r="E1836" s="15" t="str">
        <f t="shared" si="619"/>
        <v>30 Virk Court</v>
      </c>
      <c r="F1836" s="15" t="str">
        <f t="shared" si="620"/>
        <v>Black Hills</v>
      </c>
      <c r="G1836" s="15" t="str">
        <f t="shared" si="621"/>
        <v>TAS</v>
      </c>
      <c r="H1836" s="15">
        <f t="shared" si="622"/>
        <v>7140</v>
      </c>
      <c r="I1836" s="15">
        <f t="shared" si="633"/>
        <v>2191</v>
      </c>
      <c r="J1836" s="15">
        <f>OrdersTable!B1836</f>
        <v>377</v>
      </c>
      <c r="K1836" s="15" t="str">
        <f t="shared" si="623"/>
        <v>Clothing and Apparel</v>
      </c>
      <c r="L1836" s="15" t="str">
        <f t="shared" si="624"/>
        <v xml:space="preserve">Doctor Who: T-Shirts: 7th Doctor Costume </v>
      </c>
      <c r="M1836" s="15" t="str">
        <f t="shared" si="625"/>
        <v>M</v>
      </c>
      <c r="N1836" s="15">
        <f t="shared" si="626"/>
        <v>0.8</v>
      </c>
      <c r="O1836" s="15" t="str">
        <f t="shared" si="627"/>
        <v>A40</v>
      </c>
      <c r="P1836" s="15" t="str">
        <f t="shared" si="628"/>
        <v>Romana Imports</v>
      </c>
      <c r="Q1836" s="15" t="str">
        <f t="shared" si="629"/>
        <v>17 Lalla Ward Road</v>
      </c>
      <c r="R1836" s="3">
        <f>OrdersTable!C1836</f>
        <v>44692</v>
      </c>
      <c r="S1836" s="15">
        <f>OrdersTable!E1836</f>
        <v>1</v>
      </c>
      <c r="T1836" s="15">
        <f t="shared" si="630"/>
        <v>15.99</v>
      </c>
      <c r="U1836" s="15">
        <f t="shared" si="631"/>
        <v>21.95</v>
      </c>
      <c r="V1836" s="15">
        <f t="shared" si="632"/>
        <v>25.9</v>
      </c>
      <c r="W1836" s="15">
        <f>IF(MarkupType="Store Markup",ROUND(V1836+V1836*StoreMarkup,2),IF(MarkupType="Supplier Markup",V1836+V1836*SupplierMarkup,"Error at finding value"))</f>
        <v>40.79</v>
      </c>
      <c r="X1836" s="32" t="str">
        <f t="shared" si="634"/>
        <v>0.00</v>
      </c>
      <c r="Y1836" s="15">
        <f t="shared" si="635"/>
        <v>25.9</v>
      </c>
      <c r="Z1836" s="15">
        <f t="shared" si="636"/>
        <v>40.79</v>
      </c>
      <c r="AA1836" s="15">
        <f>IF(FreightType="Lethbridge-Stewart Freight ",ROUND(2.99+IF(N1836&gt;0.75,(N1836-0.75)*2.25,0)*S1836,2),IF(MarkupType="Supplier Markup",V1836+V1836*SupplierMarkup,"Error at finding value"))</f>
        <v>3.1</v>
      </c>
      <c r="AB1836" s="15">
        <f t="shared" si="637"/>
        <v>0</v>
      </c>
    </row>
    <row r="1837" spans="1:28" x14ac:dyDescent="0.25">
      <c r="A1837" s="16">
        <f>OrdersTable!A1837</f>
        <v>158</v>
      </c>
      <c r="B1837" s="15" t="str">
        <f t="shared" si="617"/>
        <v>Mr</v>
      </c>
      <c r="C1837" s="15" t="str">
        <f t="shared" si="638"/>
        <v>Fowler</v>
      </c>
      <c r="D1837" s="15" t="str">
        <f t="shared" si="618"/>
        <v>James</v>
      </c>
      <c r="E1837" s="15" t="str">
        <f t="shared" si="619"/>
        <v>30 Virk Court</v>
      </c>
      <c r="F1837" s="15" t="str">
        <f t="shared" si="620"/>
        <v>Black Hills</v>
      </c>
      <c r="G1837" s="15" t="str">
        <f t="shared" si="621"/>
        <v>TAS</v>
      </c>
      <c r="H1837" s="15">
        <f t="shared" si="622"/>
        <v>7140</v>
      </c>
      <c r="I1837" s="15">
        <f t="shared" si="633"/>
        <v>2191</v>
      </c>
      <c r="J1837" s="15">
        <f>OrdersTable!B1837</f>
        <v>543</v>
      </c>
      <c r="K1837" s="15" t="str">
        <f t="shared" si="623"/>
        <v>Giftware</v>
      </c>
      <c r="L1837" s="15" t="str">
        <f t="shared" si="624"/>
        <v>Doctor Who: Sonic Screwdriver Pen</v>
      </c>
      <c r="M1837" s="15" t="str">
        <f t="shared" si="625"/>
        <v>-</v>
      </c>
      <c r="N1837" s="15">
        <f t="shared" si="626"/>
        <v>0.65</v>
      </c>
      <c r="O1837" s="15" t="str">
        <f t="shared" si="627"/>
        <v>A20</v>
      </c>
      <c r="P1837" s="15" t="str">
        <f t="shared" si="628"/>
        <v>Morbius Inc.</v>
      </c>
      <c r="Q1837" s="15" t="str">
        <f t="shared" si="629"/>
        <v>56 Michael Spice Hwy</v>
      </c>
      <c r="R1837" s="3">
        <f>OrdersTable!C1837</f>
        <v>44692</v>
      </c>
      <c r="S1837" s="15">
        <f>OrdersTable!E1837</f>
        <v>1</v>
      </c>
      <c r="T1837" s="15">
        <f t="shared" si="630"/>
        <v>12.99</v>
      </c>
      <c r="U1837" s="15">
        <f t="shared" si="631"/>
        <v>18.02</v>
      </c>
      <c r="V1837" s="15">
        <f t="shared" si="632"/>
        <v>21.04</v>
      </c>
      <c r="W1837" s="15">
        <f>IF(MarkupType="Store Markup",ROUND(V1837+V1837*StoreMarkup,2),IF(MarkupType="Supplier Markup",V1837+V1837*SupplierMarkup,"Error at finding value"))</f>
        <v>33.14</v>
      </c>
      <c r="X1837" s="32" t="str">
        <f t="shared" si="634"/>
        <v>0.00</v>
      </c>
      <c r="Y1837" s="15">
        <f t="shared" si="635"/>
        <v>21.04</v>
      </c>
      <c r="Z1837" s="15">
        <f t="shared" si="636"/>
        <v>33.14</v>
      </c>
      <c r="AA1837" s="15">
        <f>IF(FreightType="Lethbridge-Stewart Freight ",ROUND(2.99+IF(N1837&gt;0.75,(N1837-0.75)*2.25,0)*S1837,2),IF(MarkupType="Supplier Markup",V1837+V1837*SupplierMarkup,"Error at finding value"))</f>
        <v>2.99</v>
      </c>
      <c r="AB1837" s="15">
        <f t="shared" si="637"/>
        <v>0</v>
      </c>
    </row>
    <row r="1838" spans="1:28" x14ac:dyDescent="0.25">
      <c r="A1838" s="16">
        <f>OrdersTable!A1838</f>
        <v>329</v>
      </c>
      <c r="B1838" s="15" t="str">
        <f t="shared" si="617"/>
        <v>Ms</v>
      </c>
      <c r="C1838" s="15" t="str">
        <f t="shared" si="638"/>
        <v>Hubbard</v>
      </c>
      <c r="D1838" s="15" t="str">
        <f t="shared" si="618"/>
        <v>Sonya Marie</v>
      </c>
      <c r="E1838" s="15" t="str">
        <f t="shared" si="619"/>
        <v>42 Keable Crescent</v>
      </c>
      <c r="F1838" s="15" t="str">
        <f t="shared" si="620"/>
        <v>Boston</v>
      </c>
      <c r="G1838" s="15" t="str">
        <f t="shared" si="621"/>
        <v>SA</v>
      </c>
      <c r="H1838" s="15">
        <f t="shared" si="622"/>
        <v>5607</v>
      </c>
      <c r="I1838" s="15">
        <f t="shared" si="633"/>
        <v>2076</v>
      </c>
      <c r="J1838" s="15">
        <f>OrdersTable!B1838</f>
        <v>196</v>
      </c>
      <c r="K1838" s="15" t="str">
        <f t="shared" si="623"/>
        <v>Clothing and Apparel</v>
      </c>
      <c r="L1838" s="15" t="str">
        <f t="shared" si="624"/>
        <v>Doctor Who: 12 Foot Tom Baker Scarf</v>
      </c>
      <c r="M1838" s="15" t="str">
        <f t="shared" si="625"/>
        <v>-</v>
      </c>
      <c r="N1838" s="15">
        <f t="shared" si="626"/>
        <v>2.5</v>
      </c>
      <c r="O1838" s="15" t="str">
        <f t="shared" si="627"/>
        <v>A40</v>
      </c>
      <c r="P1838" s="15" t="str">
        <f t="shared" si="628"/>
        <v>Romana Imports</v>
      </c>
      <c r="Q1838" s="15" t="str">
        <f t="shared" si="629"/>
        <v>17 Lalla Ward Road</v>
      </c>
      <c r="R1838" s="3">
        <f>OrdersTable!C1838</f>
        <v>44692</v>
      </c>
      <c r="S1838" s="15">
        <f>OrdersTable!E1838</f>
        <v>9</v>
      </c>
      <c r="T1838" s="15">
        <f t="shared" si="630"/>
        <v>49.99</v>
      </c>
      <c r="U1838" s="15">
        <f t="shared" si="631"/>
        <v>68.28</v>
      </c>
      <c r="V1838" s="15">
        <f t="shared" si="632"/>
        <v>80.98</v>
      </c>
      <c r="W1838" s="15">
        <f>IF(MarkupType="Store Markup",ROUND(V1838+V1838*StoreMarkup,2),IF(MarkupType="Supplier Markup",V1838+V1838*SupplierMarkup,"Error at finding value"))</f>
        <v>127.54</v>
      </c>
      <c r="X1838" s="32">
        <f t="shared" si="634"/>
        <v>9.09</v>
      </c>
      <c r="Y1838" s="15">
        <f t="shared" si="635"/>
        <v>728.82</v>
      </c>
      <c r="Z1838" s="15">
        <f t="shared" si="636"/>
        <v>1066.05</v>
      </c>
      <c r="AA1838" s="15">
        <f>IF(FreightType="Lethbridge-Stewart Freight ",ROUND(2.99+IF(N1838&gt;0.75,(N1838-0.75)*2.25,0)*S1838,2),IF(MarkupType="Supplier Markup",V1838+V1838*SupplierMarkup,"Error at finding value"))</f>
        <v>38.43</v>
      </c>
      <c r="AB1838" s="15">
        <f t="shared" si="637"/>
        <v>81.81</v>
      </c>
    </row>
    <row r="1839" spans="1:28" x14ac:dyDescent="0.25">
      <c r="A1839" s="16">
        <f>OrdersTable!A1839</f>
        <v>364</v>
      </c>
      <c r="B1839" s="15" t="str">
        <f t="shared" si="617"/>
        <v>Dr</v>
      </c>
      <c r="C1839" s="15" t="str">
        <f t="shared" si="638"/>
        <v>Reibelt</v>
      </c>
      <c r="D1839" s="15" t="str">
        <f t="shared" si="618"/>
        <v>Corey James</v>
      </c>
      <c r="E1839" s="15" t="str">
        <f t="shared" si="619"/>
        <v>23 Burns Drive</v>
      </c>
      <c r="F1839" s="15" t="str">
        <f t="shared" si="620"/>
        <v>Caliph</v>
      </c>
      <c r="G1839" s="15" t="str">
        <f t="shared" si="621"/>
        <v>SA</v>
      </c>
      <c r="H1839" s="15">
        <f t="shared" si="622"/>
        <v>5310</v>
      </c>
      <c r="I1839" s="15">
        <f t="shared" si="633"/>
        <v>1720</v>
      </c>
      <c r="J1839" s="15">
        <f>OrdersTable!B1839</f>
        <v>676</v>
      </c>
      <c r="K1839" s="15" t="str">
        <f t="shared" si="623"/>
        <v>Mugs</v>
      </c>
      <c r="L1839" s="15" t="str">
        <f t="shared" si="624"/>
        <v>Doctor Who: Mug: The Eleventh Doctor</v>
      </c>
      <c r="M1839" s="15" t="str">
        <f t="shared" si="625"/>
        <v>-</v>
      </c>
      <c r="N1839" s="15">
        <f t="shared" si="626"/>
        <v>0.45</v>
      </c>
      <c r="O1839" s="15" t="str">
        <f t="shared" si="627"/>
        <v>A20</v>
      </c>
      <c r="P1839" s="15" t="str">
        <f t="shared" si="628"/>
        <v>Morbius Inc.</v>
      </c>
      <c r="Q1839" s="15" t="str">
        <f t="shared" si="629"/>
        <v>56 Michael Spice Hwy</v>
      </c>
      <c r="R1839" s="3">
        <f>OrdersTable!C1839</f>
        <v>44692</v>
      </c>
      <c r="S1839" s="15">
        <f>OrdersTable!E1839</f>
        <v>1</v>
      </c>
      <c r="T1839" s="15">
        <f t="shared" si="630"/>
        <v>8.99</v>
      </c>
      <c r="U1839" s="15">
        <f t="shared" si="631"/>
        <v>12.55</v>
      </c>
      <c r="V1839" s="15">
        <f t="shared" si="632"/>
        <v>14.56</v>
      </c>
      <c r="W1839" s="15">
        <f>IF(MarkupType="Store Markup",ROUND(V1839+V1839*StoreMarkup,2),IF(MarkupType="Supplier Markup",V1839+V1839*SupplierMarkup,"Error at finding value"))</f>
        <v>22.93</v>
      </c>
      <c r="X1839" s="32" t="str">
        <f t="shared" si="634"/>
        <v>0.00</v>
      </c>
      <c r="Y1839" s="15">
        <f t="shared" si="635"/>
        <v>14.56</v>
      </c>
      <c r="Z1839" s="15">
        <f t="shared" si="636"/>
        <v>22.93</v>
      </c>
      <c r="AA1839" s="15">
        <f>IF(FreightType="Lethbridge-Stewart Freight ",ROUND(2.99+IF(N1839&gt;0.75,(N1839-0.75)*2.25,0)*S1839,2),IF(MarkupType="Supplier Markup",V1839+V1839*SupplierMarkup,"Error at finding value"))</f>
        <v>2.99</v>
      </c>
      <c r="AB1839" s="15">
        <f t="shared" si="637"/>
        <v>0</v>
      </c>
    </row>
    <row r="1840" spans="1:28" x14ac:dyDescent="0.25">
      <c r="A1840" s="16">
        <f>OrdersTable!A1840</f>
        <v>370</v>
      </c>
      <c r="B1840" s="15" t="str">
        <f t="shared" si="617"/>
        <v>Mr</v>
      </c>
      <c r="C1840" s="15" t="str">
        <f t="shared" si="638"/>
        <v>Kennedy</v>
      </c>
      <c r="D1840" s="15" t="str">
        <f t="shared" si="618"/>
        <v>Joseph Dominic</v>
      </c>
      <c r="E1840" s="15" t="str">
        <f t="shared" si="619"/>
        <v>43 Barton Road</v>
      </c>
      <c r="F1840" s="15" t="str">
        <f t="shared" si="620"/>
        <v>Boston</v>
      </c>
      <c r="G1840" s="15" t="str">
        <f t="shared" si="621"/>
        <v>SA</v>
      </c>
      <c r="H1840" s="15">
        <f t="shared" si="622"/>
        <v>5607</v>
      </c>
      <c r="I1840" s="15">
        <f t="shared" si="633"/>
        <v>2076</v>
      </c>
      <c r="J1840" s="15">
        <f>OrdersTable!B1840</f>
        <v>259</v>
      </c>
      <c r="K1840" s="15" t="str">
        <f t="shared" si="623"/>
        <v>Clothing and Apparel</v>
      </c>
      <c r="L1840" s="15" t="str">
        <f t="shared" si="624"/>
        <v>Doctor Who: Men's Winter Pyjamas</v>
      </c>
      <c r="M1840" s="15" t="str">
        <f t="shared" si="625"/>
        <v>XL</v>
      </c>
      <c r="N1840" s="15">
        <f t="shared" si="626"/>
        <v>1.5</v>
      </c>
      <c r="O1840" s="15" t="str">
        <f t="shared" si="627"/>
        <v>A50</v>
      </c>
      <c r="P1840" s="15" t="str">
        <f t="shared" si="628"/>
        <v>Rassilon Ltd.</v>
      </c>
      <c r="Q1840" s="15" t="str">
        <f t="shared" si="629"/>
        <v>82 Richard Mathews Road</v>
      </c>
      <c r="R1840" s="3">
        <f>OrdersTable!C1840</f>
        <v>44692</v>
      </c>
      <c r="S1840" s="15">
        <f>OrdersTable!E1840</f>
        <v>5</v>
      </c>
      <c r="T1840" s="15">
        <f t="shared" si="630"/>
        <v>29.99</v>
      </c>
      <c r="U1840" s="15">
        <f t="shared" si="631"/>
        <v>41.15</v>
      </c>
      <c r="V1840" s="15">
        <f t="shared" si="632"/>
        <v>48.58</v>
      </c>
      <c r="W1840" s="15">
        <f>IF(MarkupType="Store Markup",ROUND(V1840+V1840*StoreMarkup,2),IF(MarkupType="Supplier Markup",V1840+V1840*SupplierMarkup,"Error at finding value"))</f>
        <v>76.510000000000005</v>
      </c>
      <c r="X1840" s="32" t="str">
        <f t="shared" si="634"/>
        <v>0.00</v>
      </c>
      <c r="Y1840" s="15">
        <f t="shared" si="635"/>
        <v>242.9</v>
      </c>
      <c r="Z1840" s="15">
        <f t="shared" si="636"/>
        <v>382.55</v>
      </c>
      <c r="AA1840" s="15">
        <f>IF(FreightType="Lethbridge-Stewart Freight ",ROUND(2.99+IF(N1840&gt;0.75,(N1840-0.75)*2.25,0)*S1840,2),IF(MarkupType="Supplier Markup",V1840+V1840*SupplierMarkup,"Error at finding value"))</f>
        <v>11.43</v>
      </c>
      <c r="AB1840" s="15">
        <f t="shared" si="637"/>
        <v>0</v>
      </c>
    </row>
    <row r="1841" spans="1:28" x14ac:dyDescent="0.25">
      <c r="A1841" s="16">
        <f>OrdersTable!A1841</f>
        <v>416</v>
      </c>
      <c r="B1841" s="15" t="str">
        <f t="shared" si="617"/>
        <v>Mr</v>
      </c>
      <c r="C1841" s="15" t="str">
        <f t="shared" si="638"/>
        <v>Mohammed</v>
      </c>
      <c r="D1841" s="15" t="str">
        <f t="shared" si="618"/>
        <v>Ahmed</v>
      </c>
      <c r="E1841" s="15" t="str">
        <f t="shared" si="619"/>
        <v>35 Ridley Avenue</v>
      </c>
      <c r="F1841" s="15" t="str">
        <f t="shared" si="620"/>
        <v>Iluka</v>
      </c>
      <c r="G1841" s="15" t="str">
        <f t="shared" si="621"/>
        <v>NSW</v>
      </c>
      <c r="H1841" s="15">
        <f t="shared" si="622"/>
        <v>2466</v>
      </c>
      <c r="I1841" s="15">
        <f t="shared" si="633"/>
        <v>347</v>
      </c>
      <c r="J1841" s="15">
        <f>OrdersTable!B1841</f>
        <v>563</v>
      </c>
      <c r="K1841" s="15" t="str">
        <f t="shared" si="623"/>
        <v>Giftware</v>
      </c>
      <c r="L1841" s="15" t="str">
        <f t="shared" si="624"/>
        <v>Doctor Who: TARDIS Jewellery Box</v>
      </c>
      <c r="M1841" s="15" t="str">
        <f t="shared" si="625"/>
        <v>-</v>
      </c>
      <c r="N1841" s="15">
        <f t="shared" si="626"/>
        <v>1.1499999999999999</v>
      </c>
      <c r="O1841" s="15" t="str">
        <f t="shared" si="627"/>
        <v>A50</v>
      </c>
      <c r="P1841" s="15" t="str">
        <f t="shared" si="628"/>
        <v>Rassilon Ltd.</v>
      </c>
      <c r="Q1841" s="15" t="str">
        <f t="shared" si="629"/>
        <v>82 Richard Mathews Road</v>
      </c>
      <c r="R1841" s="3">
        <f>OrdersTable!C1841</f>
        <v>44692</v>
      </c>
      <c r="S1841" s="15">
        <f>OrdersTable!E1841</f>
        <v>10</v>
      </c>
      <c r="T1841" s="15">
        <f t="shared" si="630"/>
        <v>22.99</v>
      </c>
      <c r="U1841" s="15">
        <f t="shared" si="631"/>
        <v>31.63</v>
      </c>
      <c r="V1841" s="15">
        <f t="shared" si="632"/>
        <v>37.24</v>
      </c>
      <c r="W1841" s="15">
        <f>IF(MarkupType="Store Markup",ROUND(V1841+V1841*StoreMarkup,2),IF(MarkupType="Supplier Markup",V1841+V1841*SupplierMarkup,"Error at finding value"))</f>
        <v>58.65</v>
      </c>
      <c r="X1841" s="32" t="str">
        <f t="shared" si="634"/>
        <v>0.00</v>
      </c>
      <c r="Y1841" s="15">
        <f t="shared" si="635"/>
        <v>372.4</v>
      </c>
      <c r="Z1841" s="15">
        <f t="shared" si="636"/>
        <v>586.5</v>
      </c>
      <c r="AA1841" s="15">
        <f>IF(FreightType="Lethbridge-Stewart Freight ",ROUND(2.99+IF(N1841&gt;0.75,(N1841-0.75)*2.25,0)*S1841,2),IF(MarkupType="Supplier Markup",V1841+V1841*SupplierMarkup,"Error at finding value"))</f>
        <v>11.99</v>
      </c>
      <c r="AB1841" s="15">
        <f t="shared" si="637"/>
        <v>0</v>
      </c>
    </row>
    <row r="1842" spans="1:28" x14ac:dyDescent="0.25">
      <c r="A1842" s="16">
        <f>OrdersTable!A1842</f>
        <v>467</v>
      </c>
      <c r="B1842" s="15" t="str">
        <f t="shared" si="617"/>
        <v>Mrs</v>
      </c>
      <c r="C1842" s="15" t="str">
        <f t="shared" si="638"/>
        <v>Daniell</v>
      </c>
      <c r="D1842" s="15" t="str">
        <f t="shared" si="618"/>
        <v>Bronte Eliza</v>
      </c>
      <c r="E1842" s="15" t="str">
        <f t="shared" si="619"/>
        <v>41 Wilson Boulevard</v>
      </c>
      <c r="F1842" s="15" t="str">
        <f t="shared" si="620"/>
        <v>Aberfoyle</v>
      </c>
      <c r="G1842" s="15" t="str">
        <f t="shared" si="621"/>
        <v>NSW</v>
      </c>
      <c r="H1842" s="15">
        <f t="shared" si="622"/>
        <v>2350</v>
      </c>
      <c r="I1842" s="15">
        <f t="shared" si="633"/>
        <v>363</v>
      </c>
      <c r="J1842" s="15">
        <f>OrdersTable!B1842</f>
        <v>418</v>
      </c>
      <c r="K1842" s="15" t="str">
        <f t="shared" si="623"/>
        <v>Clothing and Apparel</v>
      </c>
      <c r="L1842" s="15" t="str">
        <f t="shared" si="624"/>
        <v>Doctor Who: Women's Winter Pyjamas</v>
      </c>
      <c r="M1842" s="15" t="str">
        <f t="shared" si="625"/>
        <v>M</v>
      </c>
      <c r="N1842" s="15">
        <f t="shared" si="626"/>
        <v>1.5</v>
      </c>
      <c r="O1842" s="15" t="str">
        <f t="shared" si="627"/>
        <v>A30</v>
      </c>
      <c r="P1842" s="15" t="str">
        <f t="shared" si="628"/>
        <v>Chesterton Enterprises</v>
      </c>
      <c r="Q1842" s="15" t="str">
        <f t="shared" si="629"/>
        <v>41 William Russell Road</v>
      </c>
      <c r="R1842" s="3">
        <f>OrdersTable!C1842</f>
        <v>44692</v>
      </c>
      <c r="S1842" s="15">
        <f>OrdersTable!E1842</f>
        <v>5</v>
      </c>
      <c r="T1842" s="15">
        <f t="shared" si="630"/>
        <v>29.99</v>
      </c>
      <c r="U1842" s="15">
        <f t="shared" si="631"/>
        <v>40.96</v>
      </c>
      <c r="V1842" s="15">
        <f t="shared" si="632"/>
        <v>48.58</v>
      </c>
      <c r="W1842" s="15">
        <f>IF(MarkupType="Store Markup",ROUND(V1842+V1842*StoreMarkup,2),IF(MarkupType="Supplier Markup",V1842+V1842*SupplierMarkup,"Error at finding value"))</f>
        <v>76.510000000000005</v>
      </c>
      <c r="X1842" s="32" t="str">
        <f t="shared" si="634"/>
        <v>0.00</v>
      </c>
      <c r="Y1842" s="15">
        <f t="shared" si="635"/>
        <v>242.9</v>
      </c>
      <c r="Z1842" s="15">
        <f t="shared" si="636"/>
        <v>382.55</v>
      </c>
      <c r="AA1842" s="15">
        <f>IF(FreightType="Lethbridge-Stewart Freight ",ROUND(2.99+IF(N1842&gt;0.75,(N1842-0.75)*2.25,0)*S1842,2),IF(MarkupType="Supplier Markup",V1842+V1842*SupplierMarkup,"Error at finding value"))</f>
        <v>11.43</v>
      </c>
      <c r="AB1842" s="15">
        <f t="shared" si="637"/>
        <v>0</v>
      </c>
    </row>
    <row r="1843" spans="1:28" x14ac:dyDescent="0.25">
      <c r="A1843" s="16">
        <f>OrdersTable!A1843</f>
        <v>496</v>
      </c>
      <c r="B1843" s="15" t="str">
        <f t="shared" si="617"/>
        <v>Dr</v>
      </c>
      <c r="C1843" s="15" t="str">
        <f t="shared" si="638"/>
        <v>Johnston</v>
      </c>
      <c r="D1843" s="15" t="str">
        <f t="shared" si="618"/>
        <v>Karrina</v>
      </c>
      <c r="E1843" s="15" t="str">
        <f t="shared" si="619"/>
        <v>11 Bishop Drive</v>
      </c>
      <c r="F1843" s="15" t="str">
        <f t="shared" si="620"/>
        <v>Belford</v>
      </c>
      <c r="G1843" s="15" t="str">
        <f t="shared" si="621"/>
        <v>NSW</v>
      </c>
      <c r="H1843" s="15">
        <f t="shared" si="622"/>
        <v>2335</v>
      </c>
      <c r="I1843" s="15">
        <f t="shared" si="633"/>
        <v>716</v>
      </c>
      <c r="J1843" s="15">
        <f>OrdersTable!B1843</f>
        <v>316</v>
      </c>
      <c r="K1843" s="15" t="str">
        <f t="shared" si="623"/>
        <v>Clothing and Apparel</v>
      </c>
      <c r="L1843" s="15" t="str">
        <f t="shared" si="624"/>
        <v xml:space="preserve">Doctor Who: T-Shirts: 4th Doctor Costume </v>
      </c>
      <c r="M1843" s="15" t="str">
        <f t="shared" si="625"/>
        <v>S</v>
      </c>
      <c r="N1843" s="15">
        <f t="shared" si="626"/>
        <v>0.8</v>
      </c>
      <c r="O1843" s="15" t="str">
        <f t="shared" si="627"/>
        <v>A30</v>
      </c>
      <c r="P1843" s="15" t="str">
        <f t="shared" si="628"/>
        <v>Chesterton Enterprises</v>
      </c>
      <c r="Q1843" s="15" t="str">
        <f t="shared" si="629"/>
        <v>41 William Russell Road</v>
      </c>
      <c r="R1843" s="3">
        <f>OrdersTable!C1843</f>
        <v>44692</v>
      </c>
      <c r="S1843" s="15">
        <f>OrdersTable!E1843</f>
        <v>8</v>
      </c>
      <c r="T1843" s="15">
        <f t="shared" si="630"/>
        <v>15.99</v>
      </c>
      <c r="U1843" s="15">
        <f t="shared" si="631"/>
        <v>21.94</v>
      </c>
      <c r="V1843" s="15">
        <f t="shared" si="632"/>
        <v>25.9</v>
      </c>
      <c r="W1843" s="15">
        <f>IF(MarkupType="Store Markup",ROUND(V1843+V1843*StoreMarkup,2),IF(MarkupType="Supplier Markup",V1843+V1843*SupplierMarkup,"Error at finding value"))</f>
        <v>40.79</v>
      </c>
      <c r="X1843" s="32" t="str">
        <f t="shared" si="634"/>
        <v>0.00</v>
      </c>
      <c r="Y1843" s="15">
        <f t="shared" si="635"/>
        <v>207.2</v>
      </c>
      <c r="Z1843" s="15">
        <f t="shared" si="636"/>
        <v>326.32</v>
      </c>
      <c r="AA1843" s="15">
        <f>IF(FreightType="Lethbridge-Stewart Freight ",ROUND(2.99+IF(N1843&gt;0.75,(N1843-0.75)*2.25,0)*S1843,2),IF(MarkupType="Supplier Markup",V1843+V1843*SupplierMarkup,"Error at finding value"))</f>
        <v>3.89</v>
      </c>
      <c r="AB1843" s="15">
        <f t="shared" si="637"/>
        <v>0</v>
      </c>
    </row>
    <row r="1844" spans="1:28" x14ac:dyDescent="0.25">
      <c r="A1844" s="16">
        <f>OrdersTable!A1844</f>
        <v>585</v>
      </c>
      <c r="B1844" s="15" t="str">
        <f t="shared" si="617"/>
        <v>Miss</v>
      </c>
      <c r="C1844" s="15" t="str">
        <f t="shared" si="638"/>
        <v>Long</v>
      </c>
      <c r="D1844" s="15" t="str">
        <f t="shared" si="618"/>
        <v>Bellinda May</v>
      </c>
      <c r="E1844" s="15" t="str">
        <f t="shared" si="619"/>
        <v>5 Hutcheson Avenue</v>
      </c>
      <c r="F1844" s="15" t="str">
        <f t="shared" si="620"/>
        <v>Glenfern</v>
      </c>
      <c r="G1844" s="15" t="str">
        <f t="shared" si="621"/>
        <v>QLD</v>
      </c>
      <c r="H1844" s="15">
        <f t="shared" si="622"/>
        <v>4515</v>
      </c>
      <c r="I1844" s="15">
        <f t="shared" si="633"/>
        <v>128</v>
      </c>
      <c r="J1844" s="15">
        <f>OrdersTable!B1844</f>
        <v>582</v>
      </c>
      <c r="K1844" s="15" t="str">
        <f t="shared" si="623"/>
        <v>Giftware</v>
      </c>
      <c r="L1844" s="15" t="str">
        <f t="shared" si="624"/>
        <v>Doctor Who: Wallpaper: Classic TARDIS Roundels</v>
      </c>
      <c r="M1844" s="15" t="str">
        <f t="shared" si="625"/>
        <v>-</v>
      </c>
      <c r="N1844" s="15">
        <f t="shared" si="626"/>
        <v>1.75</v>
      </c>
      <c r="O1844" s="15" t="str">
        <f t="shared" si="627"/>
        <v>A40</v>
      </c>
      <c r="P1844" s="15" t="str">
        <f t="shared" si="628"/>
        <v>Romana Imports</v>
      </c>
      <c r="Q1844" s="15" t="str">
        <f t="shared" si="629"/>
        <v>17 Lalla Ward Road</v>
      </c>
      <c r="R1844" s="3">
        <f>OrdersTable!C1844</f>
        <v>44692</v>
      </c>
      <c r="S1844" s="15">
        <f>OrdersTable!E1844</f>
        <v>4</v>
      </c>
      <c r="T1844" s="15">
        <f t="shared" si="630"/>
        <v>34.99</v>
      </c>
      <c r="U1844" s="15">
        <f t="shared" si="631"/>
        <v>47.77</v>
      </c>
      <c r="V1844" s="15">
        <f t="shared" si="632"/>
        <v>56.68</v>
      </c>
      <c r="W1844" s="15">
        <f>IF(MarkupType="Store Markup",ROUND(V1844+V1844*StoreMarkup,2),IF(MarkupType="Supplier Markup",V1844+V1844*SupplierMarkup,"Error at finding value"))</f>
        <v>89.27</v>
      </c>
      <c r="X1844" s="32" t="str">
        <f t="shared" si="634"/>
        <v>0.00</v>
      </c>
      <c r="Y1844" s="15">
        <f t="shared" si="635"/>
        <v>226.72</v>
      </c>
      <c r="Z1844" s="15">
        <f t="shared" si="636"/>
        <v>357.08</v>
      </c>
      <c r="AA1844" s="15">
        <f>IF(FreightType="Lethbridge-Stewart Freight ",ROUND(2.99+IF(N1844&gt;0.75,(N1844-0.75)*2.25,0)*S1844,2),IF(MarkupType="Supplier Markup",V1844+V1844*SupplierMarkup,"Error at finding value"))</f>
        <v>11.99</v>
      </c>
      <c r="AB1844" s="15">
        <f t="shared" si="637"/>
        <v>0</v>
      </c>
    </row>
    <row r="1845" spans="1:28" x14ac:dyDescent="0.25">
      <c r="A1845" s="16">
        <f>OrdersTable!A1845</f>
        <v>610</v>
      </c>
      <c r="B1845" s="15" t="str">
        <f t="shared" si="617"/>
        <v>Ms</v>
      </c>
      <c r="C1845" s="15" t="str">
        <f t="shared" si="638"/>
        <v>Bichel</v>
      </c>
      <c r="D1845" s="15" t="str">
        <f t="shared" si="618"/>
        <v>Abbey Kate</v>
      </c>
      <c r="E1845" s="15" t="str">
        <f t="shared" si="619"/>
        <v>32 Rambau Avenue</v>
      </c>
      <c r="F1845" s="15" t="str">
        <f t="shared" si="620"/>
        <v>Bamboo</v>
      </c>
      <c r="G1845" s="15" t="str">
        <f t="shared" si="621"/>
        <v>QLD</v>
      </c>
      <c r="H1845" s="15">
        <f t="shared" si="622"/>
        <v>4873</v>
      </c>
      <c r="I1845" s="15">
        <f t="shared" si="633"/>
        <v>1741</v>
      </c>
      <c r="J1845" s="15">
        <f>OrdersTable!B1845</f>
        <v>395</v>
      </c>
      <c r="K1845" s="15" t="str">
        <f t="shared" si="623"/>
        <v>Clothing and Apparel</v>
      </c>
      <c r="L1845" s="15" t="str">
        <f t="shared" si="624"/>
        <v xml:space="preserve">Doctor Who: T-Shirts: 7th Doctor Costume </v>
      </c>
      <c r="M1845" s="15" t="str">
        <f t="shared" si="625"/>
        <v>L</v>
      </c>
      <c r="N1845" s="15">
        <f t="shared" si="626"/>
        <v>0.8</v>
      </c>
      <c r="O1845" s="15" t="str">
        <f t="shared" si="627"/>
        <v>A10</v>
      </c>
      <c r="P1845" s="15" t="str">
        <f t="shared" si="628"/>
        <v>Gallifrey International</v>
      </c>
      <c r="Q1845" s="15" t="str">
        <f t="shared" si="629"/>
        <v>181 Arcadia Street</v>
      </c>
      <c r="R1845" s="3">
        <f>OrdersTable!C1845</f>
        <v>44692</v>
      </c>
      <c r="S1845" s="15">
        <f>OrdersTable!E1845</f>
        <v>10</v>
      </c>
      <c r="T1845" s="15">
        <f t="shared" si="630"/>
        <v>15.99</v>
      </c>
      <c r="U1845" s="15">
        <f t="shared" si="631"/>
        <v>22.07</v>
      </c>
      <c r="V1845" s="15">
        <f t="shared" si="632"/>
        <v>25.9</v>
      </c>
      <c r="W1845" s="15">
        <f>IF(MarkupType="Store Markup",ROUND(V1845+V1845*StoreMarkup,2),IF(MarkupType="Supplier Markup",V1845+V1845*SupplierMarkup,"Error at finding value"))</f>
        <v>40.79</v>
      </c>
      <c r="X1845" s="32" t="str">
        <f t="shared" si="634"/>
        <v>0.00</v>
      </c>
      <c r="Y1845" s="15">
        <f t="shared" si="635"/>
        <v>259</v>
      </c>
      <c r="Z1845" s="15">
        <f t="shared" si="636"/>
        <v>407.9</v>
      </c>
      <c r="AA1845" s="15">
        <f>IF(FreightType="Lethbridge-Stewart Freight ",ROUND(2.99+IF(N1845&gt;0.75,(N1845-0.75)*2.25,0)*S1845,2),IF(MarkupType="Supplier Markup",V1845+V1845*SupplierMarkup,"Error at finding value"))</f>
        <v>4.12</v>
      </c>
      <c r="AB1845" s="15">
        <f t="shared" si="637"/>
        <v>0</v>
      </c>
    </row>
    <row r="1846" spans="1:28" x14ac:dyDescent="0.25">
      <c r="A1846" s="16">
        <f>OrdersTable!A1846</f>
        <v>747</v>
      </c>
      <c r="B1846" s="15" t="str">
        <f t="shared" si="617"/>
        <v>Miss</v>
      </c>
      <c r="C1846" s="15" t="str">
        <f t="shared" si="638"/>
        <v>Coom</v>
      </c>
      <c r="D1846" s="15" t="str">
        <f t="shared" si="618"/>
        <v>Mackenzie Megan</v>
      </c>
      <c r="E1846" s="15" t="str">
        <f t="shared" si="619"/>
        <v>2 Tsalikis Road</v>
      </c>
      <c r="F1846" s="15" t="str">
        <f t="shared" si="620"/>
        <v>Aberfoyle</v>
      </c>
      <c r="G1846" s="15" t="str">
        <f t="shared" si="621"/>
        <v>NSW</v>
      </c>
      <c r="H1846" s="15">
        <f t="shared" si="622"/>
        <v>2350</v>
      </c>
      <c r="I1846" s="15">
        <f t="shared" si="633"/>
        <v>363</v>
      </c>
      <c r="J1846" s="15">
        <f>OrdersTable!B1846</f>
        <v>702</v>
      </c>
      <c r="K1846" s="15" t="str">
        <f t="shared" si="623"/>
        <v>Posters, Prints and Standees</v>
      </c>
      <c r="L1846" s="15" t="str">
        <f t="shared" si="624"/>
        <v>Doctor Who: Poster: Daleks</v>
      </c>
      <c r="M1846" s="15" t="str">
        <f t="shared" si="625"/>
        <v>-</v>
      </c>
      <c r="N1846" s="15">
        <f t="shared" si="626"/>
        <v>0.2</v>
      </c>
      <c r="O1846" s="15" t="str">
        <f t="shared" si="627"/>
        <v>A50</v>
      </c>
      <c r="P1846" s="15" t="str">
        <f t="shared" si="628"/>
        <v>Rassilon Ltd.</v>
      </c>
      <c r="Q1846" s="15" t="str">
        <f t="shared" si="629"/>
        <v>82 Richard Mathews Road</v>
      </c>
      <c r="R1846" s="3">
        <f>OrdersTable!C1846</f>
        <v>44692</v>
      </c>
      <c r="S1846" s="15">
        <f>OrdersTable!E1846</f>
        <v>2</v>
      </c>
      <c r="T1846" s="15">
        <f t="shared" si="630"/>
        <v>3.99</v>
      </c>
      <c r="U1846" s="15">
        <f t="shared" si="631"/>
        <v>5.46</v>
      </c>
      <c r="V1846" s="15">
        <f t="shared" si="632"/>
        <v>6.46</v>
      </c>
      <c r="W1846" s="15">
        <f>IF(MarkupType="Store Markup",ROUND(V1846+V1846*StoreMarkup,2),IF(MarkupType="Supplier Markup",V1846+V1846*SupplierMarkup,"Error at finding value"))</f>
        <v>10.17</v>
      </c>
      <c r="X1846" s="32" t="str">
        <f t="shared" si="634"/>
        <v>0.00</v>
      </c>
      <c r="Y1846" s="15">
        <f t="shared" si="635"/>
        <v>12.92</v>
      </c>
      <c r="Z1846" s="15">
        <f t="shared" si="636"/>
        <v>20.34</v>
      </c>
      <c r="AA1846" s="15">
        <f>IF(FreightType="Lethbridge-Stewart Freight ",ROUND(2.99+IF(N1846&gt;0.75,(N1846-0.75)*2.25,0)*S1846,2),IF(MarkupType="Supplier Markup",V1846+V1846*SupplierMarkup,"Error at finding value"))</f>
        <v>2.99</v>
      </c>
      <c r="AB1846" s="15">
        <f t="shared" si="637"/>
        <v>0</v>
      </c>
    </row>
    <row r="1847" spans="1:28" x14ac:dyDescent="0.25">
      <c r="A1847" s="16">
        <f>OrdersTable!A1847</f>
        <v>302</v>
      </c>
      <c r="B1847" s="15" t="str">
        <f t="shared" si="617"/>
        <v>Ms</v>
      </c>
      <c r="C1847" s="15" t="str">
        <f t="shared" si="638"/>
        <v>Lamshed</v>
      </c>
      <c r="D1847" s="15" t="str">
        <f t="shared" si="618"/>
        <v>Laura Clare</v>
      </c>
      <c r="E1847" s="15" t="str">
        <f t="shared" si="619"/>
        <v>22 Edser Drive</v>
      </c>
      <c r="F1847" s="15" t="str">
        <f t="shared" si="620"/>
        <v>Caliph</v>
      </c>
      <c r="G1847" s="15" t="str">
        <f t="shared" si="621"/>
        <v>SA</v>
      </c>
      <c r="H1847" s="15">
        <f t="shared" si="622"/>
        <v>5310</v>
      </c>
      <c r="I1847" s="15">
        <f t="shared" si="633"/>
        <v>1720</v>
      </c>
      <c r="J1847" s="15">
        <f>OrdersTable!B1847</f>
        <v>769</v>
      </c>
      <c r="K1847" s="15" t="str">
        <f t="shared" si="623"/>
        <v>Statues and Busts</v>
      </c>
      <c r="L1847" s="15" t="str">
        <f t="shared" si="624"/>
        <v>Doctor Who: Legends Forever Bust: Tom Baker</v>
      </c>
      <c r="M1847" s="15" t="str">
        <f t="shared" si="625"/>
        <v>-</v>
      </c>
      <c r="N1847" s="15">
        <f t="shared" si="626"/>
        <v>1.375</v>
      </c>
      <c r="O1847" s="15" t="str">
        <f t="shared" si="627"/>
        <v>A30</v>
      </c>
      <c r="P1847" s="15" t="str">
        <f t="shared" si="628"/>
        <v>Chesterton Enterprises</v>
      </c>
      <c r="Q1847" s="15" t="str">
        <f t="shared" si="629"/>
        <v>41 William Russell Road</v>
      </c>
      <c r="R1847" s="3">
        <f>OrdersTable!C1847</f>
        <v>44693</v>
      </c>
      <c r="S1847" s="15">
        <f>OrdersTable!E1847</f>
        <v>8</v>
      </c>
      <c r="T1847" s="15">
        <f t="shared" si="630"/>
        <v>27.5</v>
      </c>
      <c r="U1847" s="15">
        <f t="shared" si="631"/>
        <v>37.76</v>
      </c>
      <c r="V1847" s="15">
        <f t="shared" si="632"/>
        <v>44.55</v>
      </c>
      <c r="W1847" s="15">
        <f>IF(MarkupType="Store Markup",ROUND(V1847+V1847*StoreMarkup,2),IF(MarkupType="Supplier Markup",V1847+V1847*SupplierMarkup,"Error at finding value"))</f>
        <v>70.17</v>
      </c>
      <c r="X1847" s="32" t="str">
        <f t="shared" si="634"/>
        <v>0.00</v>
      </c>
      <c r="Y1847" s="15">
        <f t="shared" si="635"/>
        <v>356.4</v>
      </c>
      <c r="Z1847" s="15">
        <f t="shared" si="636"/>
        <v>561.36</v>
      </c>
      <c r="AA1847" s="15">
        <f>IF(FreightType="Lethbridge-Stewart Freight ",ROUND(2.99+IF(N1847&gt;0.75,(N1847-0.75)*2.25,0)*S1847,2),IF(MarkupType="Supplier Markup",V1847+V1847*SupplierMarkup,"Error at finding value"))</f>
        <v>14.24</v>
      </c>
      <c r="AB1847" s="15">
        <f t="shared" si="637"/>
        <v>0</v>
      </c>
    </row>
    <row r="1848" spans="1:28" x14ac:dyDescent="0.25">
      <c r="A1848" s="16">
        <f>OrdersTable!A1848</f>
        <v>331</v>
      </c>
      <c r="B1848" s="15" t="str">
        <f t="shared" si="617"/>
        <v>Mrs</v>
      </c>
      <c r="C1848" s="15" t="str">
        <f t="shared" si="638"/>
        <v>McKenzie</v>
      </c>
      <c r="D1848" s="15" t="str">
        <f t="shared" si="618"/>
        <v>Melinda Kate</v>
      </c>
      <c r="E1848" s="15" t="str">
        <f t="shared" si="619"/>
        <v>49 McKay Way</v>
      </c>
      <c r="F1848" s="15" t="str">
        <f t="shared" si="620"/>
        <v>Black Hills</v>
      </c>
      <c r="G1848" s="15" t="str">
        <f t="shared" si="621"/>
        <v>TAS</v>
      </c>
      <c r="H1848" s="15">
        <f t="shared" si="622"/>
        <v>7140</v>
      </c>
      <c r="I1848" s="15">
        <f t="shared" si="633"/>
        <v>2191</v>
      </c>
      <c r="J1848" s="15">
        <f>OrdersTable!B1848</f>
        <v>698</v>
      </c>
      <c r="K1848" s="15" t="str">
        <f t="shared" si="623"/>
        <v>Posters, Prints and Standees</v>
      </c>
      <c r="L1848" s="15" t="str">
        <f t="shared" si="624"/>
        <v>Doctor Who: Art Print: My Mysterious Doctor</v>
      </c>
      <c r="M1848" s="15" t="str">
        <f t="shared" si="625"/>
        <v>-</v>
      </c>
      <c r="N1848" s="15">
        <f t="shared" si="626"/>
        <v>0.75</v>
      </c>
      <c r="O1848" s="15" t="str">
        <f t="shared" si="627"/>
        <v>A30</v>
      </c>
      <c r="P1848" s="15" t="str">
        <f t="shared" si="628"/>
        <v>Chesterton Enterprises</v>
      </c>
      <c r="Q1848" s="15" t="str">
        <f t="shared" si="629"/>
        <v>41 William Russell Road</v>
      </c>
      <c r="R1848" s="3">
        <f>OrdersTable!C1848</f>
        <v>44693</v>
      </c>
      <c r="S1848" s="15">
        <f>OrdersTable!E1848</f>
        <v>9</v>
      </c>
      <c r="T1848" s="15">
        <f t="shared" si="630"/>
        <v>14.99</v>
      </c>
      <c r="U1848" s="15">
        <f t="shared" si="631"/>
        <v>20.56</v>
      </c>
      <c r="V1848" s="15">
        <f t="shared" si="632"/>
        <v>24.28</v>
      </c>
      <c r="W1848" s="15">
        <f>IF(MarkupType="Store Markup",ROUND(V1848+V1848*StoreMarkup,2),IF(MarkupType="Supplier Markup",V1848+V1848*SupplierMarkup,"Error at finding value"))</f>
        <v>38.24</v>
      </c>
      <c r="X1848" s="32" t="str">
        <f t="shared" si="634"/>
        <v>0.00</v>
      </c>
      <c r="Y1848" s="15">
        <f t="shared" si="635"/>
        <v>218.52</v>
      </c>
      <c r="Z1848" s="15">
        <f t="shared" si="636"/>
        <v>344.16</v>
      </c>
      <c r="AA1848" s="15">
        <f>IF(FreightType="Lethbridge-Stewart Freight ",ROUND(2.99+IF(N1848&gt;0.75,(N1848-0.75)*2.25,0)*S1848,2),IF(MarkupType="Supplier Markup",V1848+V1848*SupplierMarkup,"Error at finding value"))</f>
        <v>2.99</v>
      </c>
      <c r="AB1848" s="15">
        <f t="shared" si="637"/>
        <v>0</v>
      </c>
    </row>
    <row r="1849" spans="1:28" x14ac:dyDescent="0.25">
      <c r="A1849" s="16">
        <f>OrdersTable!A1849</f>
        <v>331</v>
      </c>
      <c r="B1849" s="15" t="str">
        <f t="shared" si="617"/>
        <v>Mrs</v>
      </c>
      <c r="C1849" s="15" t="str">
        <f t="shared" si="638"/>
        <v>McKenzie</v>
      </c>
      <c r="D1849" s="15" t="str">
        <f t="shared" si="618"/>
        <v>Melinda Kate</v>
      </c>
      <c r="E1849" s="15" t="str">
        <f t="shared" si="619"/>
        <v>49 McKay Way</v>
      </c>
      <c r="F1849" s="15" t="str">
        <f t="shared" si="620"/>
        <v>Black Hills</v>
      </c>
      <c r="G1849" s="15" t="str">
        <f t="shared" si="621"/>
        <v>TAS</v>
      </c>
      <c r="H1849" s="15">
        <f t="shared" si="622"/>
        <v>7140</v>
      </c>
      <c r="I1849" s="15">
        <f t="shared" si="633"/>
        <v>2191</v>
      </c>
      <c r="J1849" s="15">
        <f>OrdersTable!B1849</f>
        <v>780</v>
      </c>
      <c r="K1849" s="15" t="str">
        <f t="shared" si="623"/>
        <v>Statues and Busts</v>
      </c>
      <c r="L1849" s="15" t="str">
        <f t="shared" si="624"/>
        <v>Doctor Who: Masterpiece Collection Dalek: Genesis Of The Daleks</v>
      </c>
      <c r="M1849" s="15" t="str">
        <f t="shared" si="625"/>
        <v>-</v>
      </c>
      <c r="N1849" s="15">
        <f t="shared" si="626"/>
        <v>2.5</v>
      </c>
      <c r="O1849" s="15" t="str">
        <f t="shared" si="627"/>
        <v>A30</v>
      </c>
      <c r="P1849" s="15" t="str">
        <f t="shared" si="628"/>
        <v>Chesterton Enterprises</v>
      </c>
      <c r="Q1849" s="15" t="str">
        <f t="shared" si="629"/>
        <v>41 William Russell Road</v>
      </c>
      <c r="R1849" s="3">
        <f>OrdersTable!C1849</f>
        <v>44693</v>
      </c>
      <c r="S1849" s="15">
        <f>OrdersTable!E1849</f>
        <v>9</v>
      </c>
      <c r="T1849" s="15">
        <f t="shared" si="630"/>
        <v>49.99</v>
      </c>
      <c r="U1849" s="15">
        <f t="shared" si="631"/>
        <v>68.23</v>
      </c>
      <c r="V1849" s="15">
        <f t="shared" si="632"/>
        <v>80.98</v>
      </c>
      <c r="W1849" s="15">
        <f>IF(MarkupType="Store Markup",ROUND(V1849+V1849*StoreMarkup,2),IF(MarkupType="Supplier Markup",V1849+V1849*SupplierMarkup,"Error at finding value"))</f>
        <v>127.54</v>
      </c>
      <c r="X1849" s="32">
        <f t="shared" si="634"/>
        <v>9.09</v>
      </c>
      <c r="Y1849" s="15">
        <f t="shared" si="635"/>
        <v>728.82</v>
      </c>
      <c r="Z1849" s="15">
        <f t="shared" si="636"/>
        <v>1066.05</v>
      </c>
      <c r="AA1849" s="15">
        <f>IF(FreightType="Lethbridge-Stewart Freight ",ROUND(2.99+IF(N1849&gt;0.75,(N1849-0.75)*2.25,0)*S1849,2),IF(MarkupType="Supplier Markup",V1849+V1849*SupplierMarkup,"Error at finding value"))</f>
        <v>38.43</v>
      </c>
      <c r="AB1849" s="15">
        <f t="shared" si="637"/>
        <v>81.81</v>
      </c>
    </row>
    <row r="1850" spans="1:28" x14ac:dyDescent="0.25">
      <c r="A1850" s="16">
        <f>OrdersTable!A1850</f>
        <v>334</v>
      </c>
      <c r="B1850" s="15" t="str">
        <f t="shared" si="617"/>
        <v>Mrs</v>
      </c>
      <c r="C1850" s="15" t="str">
        <f t="shared" si="638"/>
        <v>Wilson</v>
      </c>
      <c r="D1850" s="15" t="str">
        <f t="shared" si="618"/>
        <v>Hayley Lauren</v>
      </c>
      <c r="E1850" s="15" t="str">
        <f t="shared" si="619"/>
        <v>3 Ashley Crescent</v>
      </c>
      <c r="F1850" s="15" t="str">
        <f t="shared" si="620"/>
        <v>Black Hills</v>
      </c>
      <c r="G1850" s="15" t="str">
        <f t="shared" si="621"/>
        <v>TAS</v>
      </c>
      <c r="H1850" s="15">
        <f t="shared" si="622"/>
        <v>7140</v>
      </c>
      <c r="I1850" s="15">
        <f t="shared" si="633"/>
        <v>2191</v>
      </c>
      <c r="J1850" s="15">
        <f>OrdersTable!B1850</f>
        <v>316</v>
      </c>
      <c r="K1850" s="15" t="str">
        <f t="shared" si="623"/>
        <v>Clothing and Apparel</v>
      </c>
      <c r="L1850" s="15" t="str">
        <f t="shared" si="624"/>
        <v xml:space="preserve">Doctor Who: T-Shirts: 4th Doctor Costume </v>
      </c>
      <c r="M1850" s="15" t="str">
        <f t="shared" si="625"/>
        <v>S</v>
      </c>
      <c r="N1850" s="15">
        <f t="shared" si="626"/>
        <v>0.8</v>
      </c>
      <c r="O1850" s="15" t="str">
        <f t="shared" si="627"/>
        <v>A30</v>
      </c>
      <c r="P1850" s="15" t="str">
        <f t="shared" si="628"/>
        <v>Chesterton Enterprises</v>
      </c>
      <c r="Q1850" s="15" t="str">
        <f t="shared" si="629"/>
        <v>41 William Russell Road</v>
      </c>
      <c r="R1850" s="3">
        <f>OrdersTable!C1850</f>
        <v>44693</v>
      </c>
      <c r="S1850" s="15">
        <f>OrdersTable!E1850</f>
        <v>3</v>
      </c>
      <c r="T1850" s="15">
        <f t="shared" si="630"/>
        <v>15.99</v>
      </c>
      <c r="U1850" s="15">
        <f t="shared" si="631"/>
        <v>21.94</v>
      </c>
      <c r="V1850" s="15">
        <f t="shared" si="632"/>
        <v>25.9</v>
      </c>
      <c r="W1850" s="15">
        <f>IF(MarkupType="Store Markup",ROUND(V1850+V1850*StoreMarkup,2),IF(MarkupType="Supplier Markup",V1850+V1850*SupplierMarkup,"Error at finding value"))</f>
        <v>40.79</v>
      </c>
      <c r="X1850" s="32" t="str">
        <f t="shared" si="634"/>
        <v>0.00</v>
      </c>
      <c r="Y1850" s="15">
        <f t="shared" si="635"/>
        <v>77.7</v>
      </c>
      <c r="Z1850" s="15">
        <f t="shared" si="636"/>
        <v>122.37</v>
      </c>
      <c r="AA1850" s="15">
        <f>IF(FreightType="Lethbridge-Stewart Freight ",ROUND(2.99+IF(N1850&gt;0.75,(N1850-0.75)*2.25,0)*S1850,2),IF(MarkupType="Supplier Markup",V1850+V1850*SupplierMarkup,"Error at finding value"))</f>
        <v>3.33</v>
      </c>
      <c r="AB1850" s="15">
        <f t="shared" si="637"/>
        <v>0</v>
      </c>
    </row>
    <row r="1851" spans="1:28" x14ac:dyDescent="0.25">
      <c r="A1851" s="16">
        <f>OrdersTable!A1851</f>
        <v>491</v>
      </c>
      <c r="B1851" s="15" t="str">
        <f t="shared" si="617"/>
        <v>Miss</v>
      </c>
      <c r="C1851" s="15" t="str">
        <f t="shared" si="638"/>
        <v>Winks</v>
      </c>
      <c r="D1851" s="15" t="str">
        <f t="shared" si="618"/>
        <v>Lori-Ann</v>
      </c>
      <c r="E1851" s="15" t="str">
        <f t="shared" si="619"/>
        <v>40 Lyne Street</v>
      </c>
      <c r="F1851" s="15" t="str">
        <f t="shared" si="620"/>
        <v>Bray Park</v>
      </c>
      <c r="G1851" s="15" t="str">
        <f t="shared" si="621"/>
        <v>QLD</v>
      </c>
      <c r="H1851" s="15">
        <f t="shared" si="622"/>
        <v>4500</v>
      </c>
      <c r="I1851" s="15">
        <f t="shared" si="633"/>
        <v>139</v>
      </c>
      <c r="J1851" s="15">
        <f>OrdersTable!B1851</f>
        <v>704</v>
      </c>
      <c r="K1851" s="15" t="str">
        <f t="shared" si="623"/>
        <v>Posters, Prints and Standees</v>
      </c>
      <c r="L1851" s="15" t="str">
        <f t="shared" si="624"/>
        <v>Doctor Who: Poster: Doctor's Enemies</v>
      </c>
      <c r="M1851" s="15" t="str">
        <f t="shared" si="625"/>
        <v>-</v>
      </c>
      <c r="N1851" s="15">
        <f t="shared" si="626"/>
        <v>0.2</v>
      </c>
      <c r="O1851" s="15" t="str">
        <f t="shared" si="627"/>
        <v>A30</v>
      </c>
      <c r="P1851" s="15" t="str">
        <f t="shared" si="628"/>
        <v>Chesterton Enterprises</v>
      </c>
      <c r="Q1851" s="15" t="str">
        <f t="shared" si="629"/>
        <v>41 William Russell Road</v>
      </c>
      <c r="R1851" s="3">
        <f>OrdersTable!C1851</f>
        <v>44693</v>
      </c>
      <c r="S1851" s="15">
        <f>OrdersTable!E1851</f>
        <v>4</v>
      </c>
      <c r="T1851" s="15">
        <f t="shared" si="630"/>
        <v>3.99</v>
      </c>
      <c r="U1851" s="15">
        <f t="shared" si="631"/>
        <v>5.52</v>
      </c>
      <c r="V1851" s="15">
        <f t="shared" si="632"/>
        <v>6.46</v>
      </c>
      <c r="W1851" s="15">
        <f>IF(MarkupType="Store Markup",ROUND(V1851+V1851*StoreMarkup,2),IF(MarkupType="Supplier Markup",V1851+V1851*SupplierMarkup,"Error at finding value"))</f>
        <v>10.17</v>
      </c>
      <c r="X1851" s="32" t="str">
        <f t="shared" si="634"/>
        <v>0.00</v>
      </c>
      <c r="Y1851" s="15">
        <f t="shared" si="635"/>
        <v>25.84</v>
      </c>
      <c r="Z1851" s="15">
        <f t="shared" si="636"/>
        <v>40.68</v>
      </c>
      <c r="AA1851" s="15">
        <f>IF(FreightType="Lethbridge-Stewart Freight ",ROUND(2.99+IF(N1851&gt;0.75,(N1851-0.75)*2.25,0)*S1851,2),IF(MarkupType="Supplier Markup",V1851+V1851*SupplierMarkup,"Error at finding value"))</f>
        <v>2.99</v>
      </c>
      <c r="AB1851" s="15">
        <f t="shared" si="637"/>
        <v>0</v>
      </c>
    </row>
    <row r="1852" spans="1:28" x14ac:dyDescent="0.25">
      <c r="A1852" s="16">
        <f>OrdersTable!A1852</f>
        <v>501</v>
      </c>
      <c r="B1852" s="15" t="str">
        <f t="shared" si="617"/>
        <v>Miss</v>
      </c>
      <c r="C1852" s="15" t="str">
        <f t="shared" si="638"/>
        <v>Tharenou</v>
      </c>
      <c r="D1852" s="15" t="str">
        <f t="shared" si="618"/>
        <v>Kimberley Jacinta</v>
      </c>
      <c r="E1852" s="15" t="str">
        <f t="shared" si="619"/>
        <v>49 Moncada Circuit</v>
      </c>
      <c r="F1852" s="15" t="str">
        <f t="shared" si="620"/>
        <v>Belford</v>
      </c>
      <c r="G1852" s="15" t="str">
        <f t="shared" si="621"/>
        <v>NSW</v>
      </c>
      <c r="H1852" s="15">
        <f t="shared" si="622"/>
        <v>2335</v>
      </c>
      <c r="I1852" s="15">
        <f t="shared" si="633"/>
        <v>716</v>
      </c>
      <c r="J1852" s="15">
        <f>OrdersTable!B1852</f>
        <v>702</v>
      </c>
      <c r="K1852" s="15" t="str">
        <f t="shared" si="623"/>
        <v>Posters, Prints and Standees</v>
      </c>
      <c r="L1852" s="15" t="str">
        <f t="shared" si="624"/>
        <v>Doctor Who: Poster: Daleks</v>
      </c>
      <c r="M1852" s="15" t="str">
        <f t="shared" si="625"/>
        <v>-</v>
      </c>
      <c r="N1852" s="15">
        <f t="shared" si="626"/>
        <v>0.2</v>
      </c>
      <c r="O1852" s="15" t="str">
        <f t="shared" si="627"/>
        <v>A50</v>
      </c>
      <c r="P1852" s="15" t="str">
        <f t="shared" si="628"/>
        <v>Rassilon Ltd.</v>
      </c>
      <c r="Q1852" s="15" t="str">
        <f t="shared" si="629"/>
        <v>82 Richard Mathews Road</v>
      </c>
      <c r="R1852" s="3">
        <f>OrdersTable!C1852</f>
        <v>44693</v>
      </c>
      <c r="S1852" s="15">
        <f>OrdersTable!E1852</f>
        <v>3</v>
      </c>
      <c r="T1852" s="15">
        <f t="shared" si="630"/>
        <v>3.99</v>
      </c>
      <c r="U1852" s="15">
        <f t="shared" si="631"/>
        <v>5.46</v>
      </c>
      <c r="V1852" s="15">
        <f t="shared" si="632"/>
        <v>6.46</v>
      </c>
      <c r="W1852" s="15">
        <f>IF(MarkupType="Store Markup",ROUND(V1852+V1852*StoreMarkup,2),IF(MarkupType="Supplier Markup",V1852+V1852*SupplierMarkup,"Error at finding value"))</f>
        <v>10.17</v>
      </c>
      <c r="X1852" s="32" t="str">
        <f t="shared" si="634"/>
        <v>0.00</v>
      </c>
      <c r="Y1852" s="15">
        <f t="shared" si="635"/>
        <v>19.38</v>
      </c>
      <c r="Z1852" s="15">
        <f t="shared" si="636"/>
        <v>30.51</v>
      </c>
      <c r="AA1852" s="15">
        <f>IF(FreightType="Lethbridge-Stewart Freight ",ROUND(2.99+IF(N1852&gt;0.75,(N1852-0.75)*2.25,0)*S1852,2),IF(MarkupType="Supplier Markup",V1852+V1852*SupplierMarkup,"Error at finding value"))</f>
        <v>2.99</v>
      </c>
      <c r="AB1852" s="15">
        <f t="shared" si="637"/>
        <v>0</v>
      </c>
    </row>
    <row r="1853" spans="1:28" x14ac:dyDescent="0.25">
      <c r="A1853" s="16">
        <f>OrdersTable!A1853</f>
        <v>540</v>
      </c>
      <c r="B1853" s="15" t="str">
        <f t="shared" si="617"/>
        <v>Dr</v>
      </c>
      <c r="C1853" s="15" t="str">
        <f t="shared" si="638"/>
        <v>Hackett</v>
      </c>
      <c r="D1853" s="15" t="str">
        <f t="shared" si="618"/>
        <v>Patrick</v>
      </c>
      <c r="E1853" s="15" t="str">
        <f t="shared" si="619"/>
        <v>25 Sweet Drive</v>
      </c>
      <c r="F1853" s="15" t="str">
        <f t="shared" si="620"/>
        <v>Bridgewater</v>
      </c>
      <c r="G1853" s="15" t="str">
        <f t="shared" si="621"/>
        <v>VIC</v>
      </c>
      <c r="H1853" s="15">
        <f t="shared" si="622"/>
        <v>3516</v>
      </c>
      <c r="I1853" s="15">
        <f t="shared" si="633"/>
        <v>1486</v>
      </c>
      <c r="J1853" s="15">
        <f>OrdersTable!B1853</f>
        <v>201</v>
      </c>
      <c r="K1853" s="15" t="str">
        <f t="shared" si="623"/>
        <v>Clothing and Apparel</v>
      </c>
      <c r="L1853" s="15" t="str">
        <f t="shared" si="624"/>
        <v>Doctor Who: Dalek Beanie</v>
      </c>
      <c r="M1853" s="15" t="str">
        <f t="shared" si="625"/>
        <v>-</v>
      </c>
      <c r="N1853" s="15">
        <f t="shared" si="626"/>
        <v>1.1399999999999999</v>
      </c>
      <c r="O1853" s="15" t="str">
        <f t="shared" si="627"/>
        <v>A50</v>
      </c>
      <c r="P1853" s="15" t="str">
        <f t="shared" si="628"/>
        <v>Rassilon Ltd.</v>
      </c>
      <c r="Q1853" s="15" t="str">
        <f t="shared" si="629"/>
        <v>82 Richard Mathews Road</v>
      </c>
      <c r="R1853" s="3">
        <f>OrdersTable!C1853</f>
        <v>44693</v>
      </c>
      <c r="S1853" s="15">
        <f>OrdersTable!E1853</f>
        <v>2</v>
      </c>
      <c r="T1853" s="15">
        <f t="shared" si="630"/>
        <v>22.75</v>
      </c>
      <c r="U1853" s="15">
        <f t="shared" si="631"/>
        <v>31.26</v>
      </c>
      <c r="V1853" s="15">
        <f t="shared" si="632"/>
        <v>36.86</v>
      </c>
      <c r="W1853" s="15">
        <f>IF(MarkupType="Store Markup",ROUND(V1853+V1853*StoreMarkup,2),IF(MarkupType="Supplier Markup",V1853+V1853*SupplierMarkup,"Error at finding value"))</f>
        <v>58.05</v>
      </c>
      <c r="X1853" s="32" t="str">
        <f t="shared" si="634"/>
        <v>0.00</v>
      </c>
      <c r="Y1853" s="15">
        <f t="shared" si="635"/>
        <v>73.72</v>
      </c>
      <c r="Z1853" s="15">
        <f t="shared" si="636"/>
        <v>116.1</v>
      </c>
      <c r="AA1853" s="15">
        <f>IF(FreightType="Lethbridge-Stewart Freight ",ROUND(2.99+IF(N1853&gt;0.75,(N1853-0.75)*2.25,0)*S1853,2),IF(MarkupType="Supplier Markup",V1853+V1853*SupplierMarkup,"Error at finding value"))</f>
        <v>4.75</v>
      </c>
      <c r="AB1853" s="15">
        <f t="shared" si="637"/>
        <v>0</v>
      </c>
    </row>
    <row r="1854" spans="1:28" x14ac:dyDescent="0.25">
      <c r="A1854" s="16">
        <f>OrdersTable!A1854</f>
        <v>543</v>
      </c>
      <c r="B1854" s="15" t="str">
        <f t="shared" si="617"/>
        <v>Ms</v>
      </c>
      <c r="C1854" s="15" t="str">
        <f t="shared" si="638"/>
        <v>Mendezona</v>
      </c>
      <c r="D1854" s="15" t="str">
        <f t="shared" si="618"/>
        <v>Tara Colleen-Mary</v>
      </c>
      <c r="E1854" s="15" t="str">
        <f t="shared" si="619"/>
        <v>27 Picone Drive</v>
      </c>
      <c r="F1854" s="15" t="str">
        <f t="shared" si="620"/>
        <v>Aberfoyle</v>
      </c>
      <c r="G1854" s="15" t="str">
        <f t="shared" si="621"/>
        <v>NSW</v>
      </c>
      <c r="H1854" s="15">
        <f t="shared" si="622"/>
        <v>2350</v>
      </c>
      <c r="I1854" s="15">
        <f t="shared" si="633"/>
        <v>363</v>
      </c>
      <c r="J1854" s="15">
        <f>OrdersTable!B1854</f>
        <v>747</v>
      </c>
      <c r="K1854" s="15" t="str">
        <f t="shared" si="623"/>
        <v>Props and Replicas</v>
      </c>
      <c r="L1854" s="15" t="str">
        <f t="shared" si="624"/>
        <v>Doctor Who: The Master's Fob Watch</v>
      </c>
      <c r="M1854" s="15" t="str">
        <f t="shared" si="625"/>
        <v>-</v>
      </c>
      <c r="N1854" s="15">
        <f t="shared" si="626"/>
        <v>2.25</v>
      </c>
      <c r="O1854" s="15" t="str">
        <f t="shared" si="627"/>
        <v>A10</v>
      </c>
      <c r="P1854" s="15" t="str">
        <f t="shared" si="628"/>
        <v>Gallifrey International</v>
      </c>
      <c r="Q1854" s="15" t="str">
        <f t="shared" si="629"/>
        <v>181 Arcadia Street</v>
      </c>
      <c r="R1854" s="3">
        <f>OrdersTable!C1854</f>
        <v>44693</v>
      </c>
      <c r="S1854" s="15">
        <f>OrdersTable!E1854</f>
        <v>3</v>
      </c>
      <c r="T1854" s="15">
        <f t="shared" si="630"/>
        <v>44.99</v>
      </c>
      <c r="U1854" s="15">
        <f t="shared" si="631"/>
        <v>61.7</v>
      </c>
      <c r="V1854" s="15">
        <f t="shared" si="632"/>
        <v>72.88</v>
      </c>
      <c r="W1854" s="15">
        <f>IF(MarkupType="Store Markup",ROUND(V1854+V1854*StoreMarkup,2),IF(MarkupType="Supplier Markup",V1854+V1854*SupplierMarkup,"Error at finding value"))</f>
        <v>114.79</v>
      </c>
      <c r="X1854" s="32">
        <f t="shared" si="634"/>
        <v>8.18</v>
      </c>
      <c r="Y1854" s="15">
        <f t="shared" si="635"/>
        <v>218.64</v>
      </c>
      <c r="Z1854" s="15">
        <f t="shared" si="636"/>
        <v>319.83</v>
      </c>
      <c r="AA1854" s="15">
        <f>IF(FreightType="Lethbridge-Stewart Freight ",ROUND(2.99+IF(N1854&gt;0.75,(N1854-0.75)*2.25,0)*S1854,2),IF(MarkupType="Supplier Markup",V1854+V1854*SupplierMarkup,"Error at finding value"))</f>
        <v>13.12</v>
      </c>
      <c r="AB1854" s="15">
        <f t="shared" si="637"/>
        <v>24.54</v>
      </c>
    </row>
    <row r="1855" spans="1:28" x14ac:dyDescent="0.25">
      <c r="A1855" s="16">
        <f>OrdersTable!A1855</f>
        <v>557</v>
      </c>
      <c r="B1855" s="15" t="str">
        <f t="shared" si="617"/>
        <v>Mrs</v>
      </c>
      <c r="C1855" s="15" t="str">
        <f t="shared" si="638"/>
        <v>Allen</v>
      </c>
      <c r="D1855" s="15" t="str">
        <f t="shared" si="618"/>
        <v>Morgan</v>
      </c>
      <c r="E1855" s="15" t="str">
        <f t="shared" si="619"/>
        <v>15 Winsor Street</v>
      </c>
      <c r="F1855" s="15" t="str">
        <f t="shared" si="620"/>
        <v>Appletree Flat</v>
      </c>
      <c r="G1855" s="15" t="str">
        <f t="shared" si="621"/>
        <v>NSW</v>
      </c>
      <c r="H1855" s="15">
        <f t="shared" si="622"/>
        <v>2330</v>
      </c>
      <c r="I1855" s="15">
        <f t="shared" si="633"/>
        <v>691</v>
      </c>
      <c r="J1855" s="15">
        <f>OrdersTable!B1855</f>
        <v>358</v>
      </c>
      <c r="K1855" s="15" t="str">
        <f t="shared" si="623"/>
        <v>Clothing and Apparel</v>
      </c>
      <c r="L1855" s="15" t="str">
        <f t="shared" si="624"/>
        <v xml:space="preserve">Doctor Who: T-Shirts: 5th Doctor Costume </v>
      </c>
      <c r="M1855" s="15" t="str">
        <f t="shared" si="625"/>
        <v>M</v>
      </c>
      <c r="N1855" s="15">
        <f t="shared" si="626"/>
        <v>0.8</v>
      </c>
      <c r="O1855" s="15" t="str">
        <f t="shared" si="627"/>
        <v>A30</v>
      </c>
      <c r="P1855" s="15" t="str">
        <f t="shared" si="628"/>
        <v>Chesterton Enterprises</v>
      </c>
      <c r="Q1855" s="15" t="str">
        <f t="shared" si="629"/>
        <v>41 William Russell Road</v>
      </c>
      <c r="R1855" s="3">
        <f>OrdersTable!C1855</f>
        <v>44693</v>
      </c>
      <c r="S1855" s="15">
        <f>OrdersTable!E1855</f>
        <v>8</v>
      </c>
      <c r="T1855" s="15">
        <f t="shared" si="630"/>
        <v>15.99</v>
      </c>
      <c r="U1855" s="15">
        <f t="shared" si="631"/>
        <v>21.96</v>
      </c>
      <c r="V1855" s="15">
        <f t="shared" si="632"/>
        <v>25.9</v>
      </c>
      <c r="W1855" s="15">
        <f>IF(MarkupType="Store Markup",ROUND(V1855+V1855*StoreMarkup,2),IF(MarkupType="Supplier Markup",V1855+V1855*SupplierMarkup,"Error at finding value"))</f>
        <v>40.79</v>
      </c>
      <c r="X1855" s="32" t="str">
        <f t="shared" si="634"/>
        <v>0.00</v>
      </c>
      <c r="Y1855" s="15">
        <f t="shared" si="635"/>
        <v>207.2</v>
      </c>
      <c r="Z1855" s="15">
        <f t="shared" si="636"/>
        <v>326.32</v>
      </c>
      <c r="AA1855" s="15">
        <f>IF(FreightType="Lethbridge-Stewart Freight ",ROUND(2.99+IF(N1855&gt;0.75,(N1855-0.75)*2.25,0)*S1855,2),IF(MarkupType="Supplier Markup",V1855+V1855*SupplierMarkup,"Error at finding value"))</f>
        <v>3.89</v>
      </c>
      <c r="AB1855" s="15">
        <f t="shared" si="637"/>
        <v>0</v>
      </c>
    </row>
    <row r="1856" spans="1:28" x14ac:dyDescent="0.25">
      <c r="A1856" s="16">
        <f>OrdersTable!A1856</f>
        <v>600</v>
      </c>
      <c r="B1856" s="15" t="str">
        <f t="shared" si="617"/>
        <v>Dr</v>
      </c>
      <c r="C1856" s="15" t="str">
        <f t="shared" si="638"/>
        <v>McConnell</v>
      </c>
      <c r="D1856" s="15" t="str">
        <f t="shared" si="618"/>
        <v>Hannah Clair</v>
      </c>
      <c r="E1856" s="15" t="str">
        <f t="shared" si="619"/>
        <v>27 Mccarthy Circuit</v>
      </c>
      <c r="F1856" s="15" t="str">
        <f t="shared" si="620"/>
        <v>Ashford</v>
      </c>
      <c r="G1856" s="15" t="str">
        <f t="shared" si="621"/>
        <v>SA</v>
      </c>
      <c r="H1856" s="15">
        <f t="shared" si="622"/>
        <v>5035</v>
      </c>
      <c r="I1856" s="15">
        <f t="shared" si="633"/>
        <v>1877</v>
      </c>
      <c r="J1856" s="15">
        <f>OrdersTable!B1856</f>
        <v>164</v>
      </c>
      <c r="K1856" s="15" t="str">
        <f t="shared" si="623"/>
        <v>Bobbleheads</v>
      </c>
      <c r="L1856" s="15" t="str">
        <f t="shared" si="624"/>
        <v>Doctor Who: Bobblehead: Fourth Doctor</v>
      </c>
      <c r="M1856" s="15" t="str">
        <f t="shared" si="625"/>
        <v>-</v>
      </c>
      <c r="N1856" s="15">
        <f t="shared" si="626"/>
        <v>0.75</v>
      </c>
      <c r="O1856" s="15" t="str">
        <f t="shared" si="627"/>
        <v>A40</v>
      </c>
      <c r="P1856" s="15" t="str">
        <f t="shared" si="628"/>
        <v>Romana Imports</v>
      </c>
      <c r="Q1856" s="15" t="str">
        <f t="shared" si="629"/>
        <v>17 Lalla Ward Road</v>
      </c>
      <c r="R1856" s="3">
        <f>OrdersTable!C1856</f>
        <v>44693</v>
      </c>
      <c r="S1856" s="15">
        <f>OrdersTable!E1856</f>
        <v>9</v>
      </c>
      <c r="T1856" s="15">
        <f t="shared" si="630"/>
        <v>14.99</v>
      </c>
      <c r="U1856" s="15">
        <f t="shared" si="631"/>
        <v>20.53</v>
      </c>
      <c r="V1856" s="15">
        <f t="shared" si="632"/>
        <v>24.28</v>
      </c>
      <c r="W1856" s="15">
        <f>IF(MarkupType="Store Markup",ROUND(V1856+V1856*StoreMarkup,2),IF(MarkupType="Supplier Markup",V1856+V1856*SupplierMarkup,"Error at finding value"))</f>
        <v>38.24</v>
      </c>
      <c r="X1856" s="32" t="str">
        <f t="shared" si="634"/>
        <v>0.00</v>
      </c>
      <c r="Y1856" s="15">
        <f t="shared" si="635"/>
        <v>218.52</v>
      </c>
      <c r="Z1856" s="15">
        <f t="shared" si="636"/>
        <v>344.16</v>
      </c>
      <c r="AA1856" s="15">
        <f>IF(FreightType="Lethbridge-Stewart Freight ",ROUND(2.99+IF(N1856&gt;0.75,(N1856-0.75)*2.25,0)*S1856,2),IF(MarkupType="Supplier Markup",V1856+V1856*SupplierMarkup,"Error at finding value"))</f>
        <v>2.99</v>
      </c>
      <c r="AB1856" s="15">
        <f t="shared" si="637"/>
        <v>0</v>
      </c>
    </row>
    <row r="1857" spans="1:28" x14ac:dyDescent="0.25">
      <c r="A1857" s="16">
        <f>OrdersTable!A1857</f>
        <v>602</v>
      </c>
      <c r="B1857" s="15" t="str">
        <f t="shared" si="617"/>
        <v>Mr</v>
      </c>
      <c r="C1857" s="15" t="str">
        <f t="shared" si="638"/>
        <v>Spinelli</v>
      </c>
      <c r="D1857" s="15" t="str">
        <f t="shared" si="618"/>
        <v>Paul Walter</v>
      </c>
      <c r="E1857" s="15" t="str">
        <f t="shared" si="619"/>
        <v>35 Azar Drive</v>
      </c>
      <c r="F1857" s="15" t="str">
        <f t="shared" si="620"/>
        <v>Bray Park</v>
      </c>
      <c r="G1857" s="15" t="str">
        <f t="shared" si="621"/>
        <v>QLD</v>
      </c>
      <c r="H1857" s="15">
        <f t="shared" si="622"/>
        <v>4500</v>
      </c>
      <c r="I1857" s="15">
        <f t="shared" si="633"/>
        <v>139</v>
      </c>
      <c r="J1857" s="15">
        <f>OrdersTable!B1857</f>
        <v>330</v>
      </c>
      <c r="K1857" s="15" t="str">
        <f t="shared" si="623"/>
        <v>Clothing and Apparel</v>
      </c>
      <c r="L1857" s="15" t="str">
        <f t="shared" si="624"/>
        <v xml:space="preserve">Doctor Who: T-Shirts: 4th Doctor Costume </v>
      </c>
      <c r="M1857" s="15" t="str">
        <f t="shared" si="625"/>
        <v>M</v>
      </c>
      <c r="N1857" s="15">
        <f t="shared" si="626"/>
        <v>0.8</v>
      </c>
      <c r="O1857" s="15" t="str">
        <f t="shared" si="627"/>
        <v>A20</v>
      </c>
      <c r="P1857" s="15" t="str">
        <f t="shared" si="628"/>
        <v>Morbius Inc.</v>
      </c>
      <c r="Q1857" s="15" t="str">
        <f t="shared" si="629"/>
        <v>56 Michael Spice Hwy</v>
      </c>
      <c r="R1857" s="3">
        <f>OrdersTable!C1857</f>
        <v>44693</v>
      </c>
      <c r="S1857" s="15">
        <f>OrdersTable!E1857</f>
        <v>9</v>
      </c>
      <c r="T1857" s="15">
        <f t="shared" si="630"/>
        <v>15.99</v>
      </c>
      <c r="U1857" s="15">
        <f t="shared" si="631"/>
        <v>22.03</v>
      </c>
      <c r="V1857" s="15">
        <f t="shared" si="632"/>
        <v>25.9</v>
      </c>
      <c r="W1857" s="15">
        <f>IF(MarkupType="Store Markup",ROUND(V1857+V1857*StoreMarkup,2),IF(MarkupType="Supplier Markup",V1857+V1857*SupplierMarkup,"Error at finding value"))</f>
        <v>40.79</v>
      </c>
      <c r="X1857" s="32" t="str">
        <f t="shared" si="634"/>
        <v>0.00</v>
      </c>
      <c r="Y1857" s="15">
        <f t="shared" si="635"/>
        <v>233.1</v>
      </c>
      <c r="Z1857" s="15">
        <f t="shared" si="636"/>
        <v>367.11</v>
      </c>
      <c r="AA1857" s="15">
        <f>IF(FreightType="Lethbridge-Stewart Freight ",ROUND(2.99+IF(N1857&gt;0.75,(N1857-0.75)*2.25,0)*S1857,2),IF(MarkupType="Supplier Markup",V1857+V1857*SupplierMarkup,"Error at finding value"))</f>
        <v>4</v>
      </c>
      <c r="AB1857" s="15">
        <f t="shared" si="637"/>
        <v>0</v>
      </c>
    </row>
    <row r="1858" spans="1:28" x14ac:dyDescent="0.25">
      <c r="A1858" s="16">
        <f>OrdersTable!A1858</f>
        <v>602</v>
      </c>
      <c r="B1858" s="15" t="str">
        <f t="shared" si="617"/>
        <v>Mr</v>
      </c>
      <c r="C1858" s="15" t="str">
        <f t="shared" si="638"/>
        <v>Spinelli</v>
      </c>
      <c r="D1858" s="15" t="str">
        <f t="shared" si="618"/>
        <v>Paul Walter</v>
      </c>
      <c r="E1858" s="15" t="str">
        <f t="shared" si="619"/>
        <v>35 Azar Drive</v>
      </c>
      <c r="F1858" s="15" t="str">
        <f t="shared" si="620"/>
        <v>Bray Park</v>
      </c>
      <c r="G1858" s="15" t="str">
        <f t="shared" si="621"/>
        <v>QLD</v>
      </c>
      <c r="H1858" s="15">
        <f t="shared" si="622"/>
        <v>4500</v>
      </c>
      <c r="I1858" s="15">
        <f t="shared" si="633"/>
        <v>139</v>
      </c>
      <c r="J1858" s="15">
        <f>OrdersTable!B1858</f>
        <v>685</v>
      </c>
      <c r="K1858" s="15" t="str">
        <f t="shared" si="623"/>
        <v>Mugs</v>
      </c>
      <c r="L1858" s="15" t="str">
        <f t="shared" si="624"/>
        <v>Doctor Who: Teapot: Sliver TARDIS</v>
      </c>
      <c r="M1858" s="15" t="str">
        <f t="shared" si="625"/>
        <v>-</v>
      </c>
      <c r="N1858" s="15">
        <f t="shared" si="626"/>
        <v>1.35</v>
      </c>
      <c r="O1858" s="15" t="str">
        <f t="shared" si="627"/>
        <v>A30</v>
      </c>
      <c r="P1858" s="15" t="str">
        <f t="shared" si="628"/>
        <v>Chesterton Enterprises</v>
      </c>
      <c r="Q1858" s="15" t="str">
        <f t="shared" si="629"/>
        <v>41 William Russell Road</v>
      </c>
      <c r="R1858" s="3">
        <f>OrdersTable!C1858</f>
        <v>44693</v>
      </c>
      <c r="S1858" s="15">
        <f>OrdersTable!E1858</f>
        <v>3</v>
      </c>
      <c r="T1858" s="15">
        <f t="shared" si="630"/>
        <v>26.99</v>
      </c>
      <c r="U1858" s="15">
        <f t="shared" si="631"/>
        <v>36.869999999999997</v>
      </c>
      <c r="V1858" s="15">
        <f t="shared" si="632"/>
        <v>43.72</v>
      </c>
      <c r="W1858" s="15">
        <f>IF(MarkupType="Store Markup",ROUND(V1858+V1858*StoreMarkup,2),IF(MarkupType="Supplier Markup",V1858+V1858*SupplierMarkup,"Error at finding value"))</f>
        <v>68.86</v>
      </c>
      <c r="X1858" s="32" t="str">
        <f t="shared" si="634"/>
        <v>0.00</v>
      </c>
      <c r="Y1858" s="15">
        <f t="shared" si="635"/>
        <v>131.16</v>
      </c>
      <c r="Z1858" s="15">
        <f t="shared" si="636"/>
        <v>206.58</v>
      </c>
      <c r="AA1858" s="15">
        <f>IF(FreightType="Lethbridge-Stewart Freight ",ROUND(2.99+IF(N1858&gt;0.75,(N1858-0.75)*2.25,0)*S1858,2),IF(MarkupType="Supplier Markup",V1858+V1858*SupplierMarkup,"Error at finding value"))</f>
        <v>7.04</v>
      </c>
      <c r="AB1858" s="15">
        <f t="shared" si="637"/>
        <v>0</v>
      </c>
    </row>
    <row r="1859" spans="1:28" x14ac:dyDescent="0.25">
      <c r="A1859" s="16">
        <f>OrdersTable!A1859</f>
        <v>609</v>
      </c>
      <c r="B1859" s="15" t="str">
        <f t="shared" si="617"/>
        <v>Ms</v>
      </c>
      <c r="C1859" s="15" t="str">
        <f t="shared" si="638"/>
        <v>Ashley</v>
      </c>
      <c r="D1859" s="15" t="str">
        <f t="shared" si="618"/>
        <v>Matthew</v>
      </c>
      <c r="E1859" s="15" t="str">
        <f t="shared" si="619"/>
        <v>3 Wagener Crescent</v>
      </c>
      <c r="F1859" s="15" t="str">
        <f t="shared" si="620"/>
        <v>Aberfoyle</v>
      </c>
      <c r="G1859" s="15" t="str">
        <f t="shared" si="621"/>
        <v>NSW</v>
      </c>
      <c r="H1859" s="15">
        <f t="shared" si="622"/>
        <v>2350</v>
      </c>
      <c r="I1859" s="15">
        <f t="shared" si="633"/>
        <v>363</v>
      </c>
      <c r="J1859" s="15">
        <f>OrdersTable!B1859</f>
        <v>778</v>
      </c>
      <c r="K1859" s="15" t="str">
        <f t="shared" si="623"/>
        <v>Statues and Busts</v>
      </c>
      <c r="L1859" s="15" t="str">
        <f t="shared" si="624"/>
        <v>Doctor Who: Legends Forever Bust: William Hartnell</v>
      </c>
      <c r="M1859" s="15" t="str">
        <f t="shared" si="625"/>
        <v>-</v>
      </c>
      <c r="N1859" s="15">
        <f t="shared" si="626"/>
        <v>1.375</v>
      </c>
      <c r="O1859" s="15" t="str">
        <f t="shared" si="627"/>
        <v>A40</v>
      </c>
      <c r="P1859" s="15" t="str">
        <f t="shared" si="628"/>
        <v>Romana Imports</v>
      </c>
      <c r="Q1859" s="15" t="str">
        <f t="shared" si="629"/>
        <v>17 Lalla Ward Road</v>
      </c>
      <c r="R1859" s="3">
        <f>OrdersTable!C1859</f>
        <v>44693</v>
      </c>
      <c r="S1859" s="15">
        <f>OrdersTable!E1859</f>
        <v>9</v>
      </c>
      <c r="T1859" s="15">
        <f t="shared" si="630"/>
        <v>27.5</v>
      </c>
      <c r="U1859" s="15">
        <f t="shared" si="631"/>
        <v>37.520000000000003</v>
      </c>
      <c r="V1859" s="15">
        <f t="shared" si="632"/>
        <v>44.55</v>
      </c>
      <c r="W1859" s="15">
        <f>IF(MarkupType="Store Markup",ROUND(V1859+V1859*StoreMarkup,2),IF(MarkupType="Supplier Markup",V1859+V1859*SupplierMarkup,"Error at finding value"))</f>
        <v>70.17</v>
      </c>
      <c r="X1859" s="32" t="str">
        <f t="shared" si="634"/>
        <v>0.00</v>
      </c>
      <c r="Y1859" s="15">
        <f t="shared" si="635"/>
        <v>400.95</v>
      </c>
      <c r="Z1859" s="15">
        <f t="shared" si="636"/>
        <v>631.53</v>
      </c>
      <c r="AA1859" s="15">
        <f>IF(FreightType="Lethbridge-Stewart Freight ",ROUND(2.99+IF(N1859&gt;0.75,(N1859-0.75)*2.25,0)*S1859,2),IF(MarkupType="Supplier Markup",V1859+V1859*SupplierMarkup,"Error at finding value"))</f>
        <v>15.65</v>
      </c>
      <c r="AB1859" s="15">
        <f t="shared" si="637"/>
        <v>0</v>
      </c>
    </row>
    <row r="1860" spans="1:28" x14ac:dyDescent="0.25">
      <c r="A1860" s="16">
        <f>OrdersTable!A1860</f>
        <v>884</v>
      </c>
      <c r="B1860" s="15" t="str">
        <f t="shared" ref="B1860:B1923" si="639">VLOOKUP($A1860,Cust,2,0)</f>
        <v>Mr</v>
      </c>
      <c r="C1860" s="15" t="str">
        <f t="shared" si="638"/>
        <v>Smy</v>
      </c>
      <c r="D1860" s="15" t="str">
        <f t="shared" ref="D1860:D1923" si="640">VLOOKUP($A1860,Cust,4,0)</f>
        <v>Corey Alexander</v>
      </c>
      <c r="E1860" s="15" t="str">
        <f t="shared" ref="E1860:E1923" si="641">VLOOKUP($A1860,Cust,6,0)</f>
        <v>47 Lindsay Circuit</v>
      </c>
      <c r="F1860" s="15" t="str">
        <f t="shared" ref="F1860:F1923" si="642">VLOOKUP($A1860,Cust,7,0)</f>
        <v>Boston</v>
      </c>
      <c r="G1860" s="15" t="str">
        <f t="shared" ref="G1860:G1923" si="643">VLOOKUP($A1860,Cust,8,0)</f>
        <v>SA</v>
      </c>
      <c r="H1860" s="15">
        <f t="shared" ref="H1860:H1923" si="644">VLOOKUP($A1860,Cust,9,0)</f>
        <v>5607</v>
      </c>
      <c r="I1860" s="15">
        <f t="shared" si="633"/>
        <v>2076</v>
      </c>
      <c r="J1860" s="15">
        <f>OrdersTable!B1860</f>
        <v>685</v>
      </c>
      <c r="K1860" s="15" t="str">
        <f t="shared" ref="K1860:K1923" si="645">VLOOKUP($J1860,Itms,2,0)</f>
        <v>Mugs</v>
      </c>
      <c r="L1860" s="15" t="str">
        <f t="shared" ref="L1860:L1923" si="646">VLOOKUP($J1860,Itms,3,0)</f>
        <v>Doctor Who: Teapot: Sliver TARDIS</v>
      </c>
      <c r="M1860" s="15" t="str">
        <f t="shared" ref="M1860:M1923" si="647">VLOOKUP($J1860,Itms,4,0)</f>
        <v>-</v>
      </c>
      <c r="N1860" s="15">
        <f t="shared" ref="N1860:N1923" si="648">VLOOKUP($J1860,Itms,5,0)</f>
        <v>1.35</v>
      </c>
      <c r="O1860" s="15" t="str">
        <f t="shared" ref="O1860:O1923" si="649">VLOOKUP($J1860,Itms,6,0)</f>
        <v>A30</v>
      </c>
      <c r="P1860" s="15" t="str">
        <f t="shared" ref="P1860:P1923" si="650">VLOOKUP($O1860,Supp,2,0)</f>
        <v>Chesterton Enterprises</v>
      </c>
      <c r="Q1860" s="15" t="str">
        <f t="shared" ref="Q1860:Q1923" si="651">VLOOKUP($O1860,Supp,3,0)</f>
        <v>41 William Russell Road</v>
      </c>
      <c r="R1860" s="3">
        <f>OrdersTable!C1860</f>
        <v>44693</v>
      </c>
      <c r="S1860" s="15">
        <f>OrdersTable!E1860</f>
        <v>6</v>
      </c>
      <c r="T1860" s="15">
        <f t="shared" ref="T1860:T1923" si="652">VLOOKUP($J1860,Itms,9,0)</f>
        <v>26.99</v>
      </c>
      <c r="U1860" s="15">
        <f t="shared" ref="U1860:U1923" si="653">VLOOKUP($J1860,Itms,10,0)</f>
        <v>36.869999999999997</v>
      </c>
      <c r="V1860" s="15">
        <f t="shared" ref="V1860:V1923" si="654">IF(ExchRateType="IR",ROUND(T1860*ExchRateIR,2),IF(ExchRateType="CA",ROUND(U1860*ExchRateCA,2),"Error at finding value"))</f>
        <v>43.72</v>
      </c>
      <c r="W1860" s="15">
        <f>IF(MarkupType="Store Markup",ROUND(V1860+V1860*StoreMarkup,2),IF(MarkupType="Supplier Markup",V1860+V1860*SupplierMarkup,"Error at finding value"))</f>
        <v>68.86</v>
      </c>
      <c r="X1860" s="32" t="str">
        <f t="shared" si="634"/>
        <v>0.00</v>
      </c>
      <c r="Y1860" s="15">
        <f t="shared" si="635"/>
        <v>262.32</v>
      </c>
      <c r="Z1860" s="15">
        <f t="shared" si="636"/>
        <v>413.16</v>
      </c>
      <c r="AA1860" s="15">
        <f>IF(FreightType="Lethbridge-Stewart Freight ",ROUND(2.99+IF(N1860&gt;0.75,(N1860-0.75)*2.25,0)*S1860,2),IF(MarkupType="Supplier Markup",V1860+V1860*SupplierMarkup,"Error at finding value"))</f>
        <v>11.09</v>
      </c>
      <c r="AB1860" s="15">
        <f t="shared" si="637"/>
        <v>0</v>
      </c>
    </row>
    <row r="1861" spans="1:28" x14ac:dyDescent="0.25">
      <c r="A1861" s="16">
        <f>OrdersTable!A1861</f>
        <v>55</v>
      </c>
      <c r="B1861" s="15" t="str">
        <f t="shared" si="639"/>
        <v>Mr</v>
      </c>
      <c r="C1861" s="15" t="str">
        <f t="shared" si="638"/>
        <v>Myers</v>
      </c>
      <c r="D1861" s="15" t="str">
        <f t="shared" si="640"/>
        <v>Luke Charles</v>
      </c>
      <c r="E1861" s="15" t="str">
        <f t="shared" si="641"/>
        <v>25 Penrose Street</v>
      </c>
      <c r="F1861" s="15" t="str">
        <f t="shared" si="642"/>
        <v>Black Hills</v>
      </c>
      <c r="G1861" s="15" t="str">
        <f t="shared" si="643"/>
        <v>TAS</v>
      </c>
      <c r="H1861" s="15">
        <f t="shared" si="644"/>
        <v>7140</v>
      </c>
      <c r="I1861" s="15">
        <f t="shared" ref="I1861:I1924" si="655">VLOOKUP($A1861,Cust,10,0)</f>
        <v>2191</v>
      </c>
      <c r="J1861" s="15">
        <f>OrdersTable!B1861</f>
        <v>813</v>
      </c>
      <c r="K1861" s="15" t="str">
        <f t="shared" si="645"/>
        <v>Statues and Busts</v>
      </c>
      <c r="L1861" s="15" t="str">
        <f t="shared" si="646"/>
        <v>Doctor Who: Masterpiece Collection Maxi Bust: Leela</v>
      </c>
      <c r="M1861" s="15" t="str">
        <f t="shared" si="647"/>
        <v>-</v>
      </c>
      <c r="N1861" s="15">
        <f t="shared" si="648"/>
        <v>2.5</v>
      </c>
      <c r="O1861" s="15" t="str">
        <f t="shared" si="649"/>
        <v>A30</v>
      </c>
      <c r="P1861" s="15" t="str">
        <f t="shared" si="650"/>
        <v>Chesterton Enterprises</v>
      </c>
      <c r="Q1861" s="15" t="str">
        <f t="shared" si="651"/>
        <v>41 William Russell Road</v>
      </c>
      <c r="R1861" s="3">
        <f>OrdersTable!C1861</f>
        <v>44694</v>
      </c>
      <c r="S1861" s="15">
        <f>OrdersTable!E1861</f>
        <v>3</v>
      </c>
      <c r="T1861" s="15">
        <f t="shared" si="652"/>
        <v>49.99</v>
      </c>
      <c r="U1861" s="15">
        <f t="shared" si="653"/>
        <v>68.319999999999993</v>
      </c>
      <c r="V1861" s="15">
        <f t="shared" si="654"/>
        <v>80.98</v>
      </c>
      <c r="W1861" s="15">
        <f>IF(MarkupType="Store Markup",ROUND(V1861+V1861*StoreMarkup,2),IF(MarkupType="Supplier Markup",V1861+V1861*SupplierMarkup,"Error at finding value"))</f>
        <v>127.54</v>
      </c>
      <c r="X1861" s="32">
        <f t="shared" ref="X1861:X1924" si="656">IF(AND(W1861&gt;100,S1861&gt;=3),ROUND(0.07125*W1861,2),"0.00")</f>
        <v>9.09</v>
      </c>
      <c r="Y1861" s="15">
        <f t="shared" ref="Y1861:Y1924" si="657">ROUND(V1861*S1861,2)</f>
        <v>242.94</v>
      </c>
      <c r="Z1861" s="15">
        <f t="shared" ref="Z1861:Z1924" si="658">ROUND((W1861-X1861)*S1861,2)</f>
        <v>355.35</v>
      </c>
      <c r="AA1861" s="15">
        <f>IF(FreightType="Lethbridge-Stewart Freight ",ROUND(2.99+IF(N1861&gt;0.75,(N1861-0.75)*2.25,0)*S1861,2),IF(MarkupType="Supplier Markup",V1861+V1861*SupplierMarkup,"Error at finding value"))</f>
        <v>14.8</v>
      </c>
      <c r="AB1861" s="15">
        <f t="shared" ref="AB1861:AB1924" si="659">ROUND(X1861*S1861,2)</f>
        <v>27.27</v>
      </c>
    </row>
    <row r="1862" spans="1:28" x14ac:dyDescent="0.25">
      <c r="A1862" s="16">
        <f>OrdersTable!A1862</f>
        <v>66</v>
      </c>
      <c r="B1862" s="15" t="str">
        <f t="shared" si="639"/>
        <v>Mr</v>
      </c>
      <c r="C1862" s="15" t="str">
        <f t="shared" si="638"/>
        <v>Bachmann</v>
      </c>
      <c r="D1862" s="15" t="str">
        <f t="shared" si="640"/>
        <v>Aaron</v>
      </c>
      <c r="E1862" s="15" t="str">
        <f t="shared" si="641"/>
        <v>3 Csabai Avenue</v>
      </c>
      <c r="F1862" s="15" t="str">
        <f t="shared" si="642"/>
        <v>Bridgewater</v>
      </c>
      <c r="G1862" s="15" t="str">
        <f t="shared" si="643"/>
        <v>VIC</v>
      </c>
      <c r="H1862" s="15">
        <f t="shared" si="644"/>
        <v>3516</v>
      </c>
      <c r="I1862" s="15">
        <f t="shared" si="655"/>
        <v>1486</v>
      </c>
      <c r="J1862" s="15">
        <f>OrdersTable!B1862</f>
        <v>787</v>
      </c>
      <c r="K1862" s="15" t="str">
        <f t="shared" si="645"/>
        <v>Statues and Busts</v>
      </c>
      <c r="L1862" s="15" t="str">
        <f t="shared" si="646"/>
        <v>Doctor Who: Masterpiece Collection Maxi Bust: 1st Doctor</v>
      </c>
      <c r="M1862" s="15" t="str">
        <f t="shared" si="647"/>
        <v>-</v>
      </c>
      <c r="N1862" s="15">
        <f t="shared" si="648"/>
        <v>2.5</v>
      </c>
      <c r="O1862" s="15" t="str">
        <f t="shared" si="649"/>
        <v>A10</v>
      </c>
      <c r="P1862" s="15" t="str">
        <f t="shared" si="650"/>
        <v>Gallifrey International</v>
      </c>
      <c r="Q1862" s="15" t="str">
        <f t="shared" si="651"/>
        <v>181 Arcadia Street</v>
      </c>
      <c r="R1862" s="3">
        <f>OrdersTable!C1862</f>
        <v>44694</v>
      </c>
      <c r="S1862" s="15">
        <f>OrdersTable!E1862</f>
        <v>4</v>
      </c>
      <c r="T1862" s="15">
        <f t="shared" si="652"/>
        <v>49.99</v>
      </c>
      <c r="U1862" s="15">
        <f t="shared" si="653"/>
        <v>68.290000000000006</v>
      </c>
      <c r="V1862" s="15">
        <f t="shared" si="654"/>
        <v>80.98</v>
      </c>
      <c r="W1862" s="15">
        <f>IF(MarkupType="Store Markup",ROUND(V1862+V1862*StoreMarkup,2),IF(MarkupType="Supplier Markup",V1862+V1862*SupplierMarkup,"Error at finding value"))</f>
        <v>127.54</v>
      </c>
      <c r="X1862" s="32">
        <f t="shared" si="656"/>
        <v>9.09</v>
      </c>
      <c r="Y1862" s="15">
        <f t="shared" si="657"/>
        <v>323.92</v>
      </c>
      <c r="Z1862" s="15">
        <f t="shared" si="658"/>
        <v>473.8</v>
      </c>
      <c r="AA1862" s="15">
        <f>IF(FreightType="Lethbridge-Stewart Freight ",ROUND(2.99+IF(N1862&gt;0.75,(N1862-0.75)*2.25,0)*S1862,2),IF(MarkupType="Supplier Markup",V1862+V1862*SupplierMarkup,"Error at finding value"))</f>
        <v>18.739999999999998</v>
      </c>
      <c r="AB1862" s="15">
        <f t="shared" si="659"/>
        <v>36.36</v>
      </c>
    </row>
    <row r="1863" spans="1:28" x14ac:dyDescent="0.25">
      <c r="A1863" s="16">
        <f>OrdersTable!A1863</f>
        <v>141</v>
      </c>
      <c r="B1863" s="15" t="str">
        <f t="shared" si="639"/>
        <v>Mr</v>
      </c>
      <c r="C1863" s="15" t="str">
        <f t="shared" si="638"/>
        <v>Bergmann</v>
      </c>
      <c r="D1863" s="15" t="str">
        <f t="shared" si="640"/>
        <v>Beau Jay</v>
      </c>
      <c r="E1863" s="15" t="str">
        <f t="shared" si="641"/>
        <v>47 McCullough Circuit</v>
      </c>
      <c r="F1863" s="15" t="str">
        <f t="shared" si="642"/>
        <v>Breakwater</v>
      </c>
      <c r="G1863" s="15" t="str">
        <f t="shared" si="643"/>
        <v>VIC</v>
      </c>
      <c r="H1863" s="15">
        <f t="shared" si="644"/>
        <v>3219</v>
      </c>
      <c r="I1863" s="15">
        <f t="shared" si="655"/>
        <v>1596</v>
      </c>
      <c r="J1863" s="15">
        <f>OrdersTable!B1863</f>
        <v>782</v>
      </c>
      <c r="K1863" s="15" t="str">
        <f t="shared" si="645"/>
        <v>Statues and Busts</v>
      </c>
      <c r="L1863" s="15" t="str">
        <f t="shared" si="646"/>
        <v>Doctor Who: Masterpiece Collection Maxi Bust: 10th Doctor</v>
      </c>
      <c r="M1863" s="15" t="str">
        <f t="shared" si="647"/>
        <v>-</v>
      </c>
      <c r="N1863" s="15">
        <f t="shared" si="648"/>
        <v>2.5</v>
      </c>
      <c r="O1863" s="15" t="str">
        <f t="shared" si="649"/>
        <v>A30</v>
      </c>
      <c r="P1863" s="15" t="str">
        <f t="shared" si="650"/>
        <v>Chesterton Enterprises</v>
      </c>
      <c r="Q1863" s="15" t="str">
        <f t="shared" si="651"/>
        <v>41 William Russell Road</v>
      </c>
      <c r="R1863" s="3">
        <f>OrdersTable!C1863</f>
        <v>44694</v>
      </c>
      <c r="S1863" s="15">
        <f>OrdersTable!E1863</f>
        <v>5</v>
      </c>
      <c r="T1863" s="15">
        <f t="shared" si="652"/>
        <v>49.99</v>
      </c>
      <c r="U1863" s="15">
        <f t="shared" si="653"/>
        <v>68.5</v>
      </c>
      <c r="V1863" s="15">
        <f t="shared" si="654"/>
        <v>80.98</v>
      </c>
      <c r="W1863" s="15">
        <f>IF(MarkupType="Store Markup",ROUND(V1863+V1863*StoreMarkup,2),IF(MarkupType="Supplier Markup",V1863+V1863*SupplierMarkup,"Error at finding value"))</f>
        <v>127.54</v>
      </c>
      <c r="X1863" s="32">
        <f t="shared" si="656"/>
        <v>9.09</v>
      </c>
      <c r="Y1863" s="15">
        <f t="shared" si="657"/>
        <v>404.9</v>
      </c>
      <c r="Z1863" s="15">
        <f t="shared" si="658"/>
        <v>592.25</v>
      </c>
      <c r="AA1863" s="15">
        <f>IF(FreightType="Lethbridge-Stewart Freight ",ROUND(2.99+IF(N1863&gt;0.75,(N1863-0.75)*2.25,0)*S1863,2),IF(MarkupType="Supplier Markup",V1863+V1863*SupplierMarkup,"Error at finding value"))</f>
        <v>22.68</v>
      </c>
      <c r="AB1863" s="15">
        <f t="shared" si="659"/>
        <v>45.45</v>
      </c>
    </row>
    <row r="1864" spans="1:28" x14ac:dyDescent="0.25">
      <c r="A1864" s="16">
        <f>OrdersTable!A1864</f>
        <v>329</v>
      </c>
      <c r="B1864" s="15" t="str">
        <f t="shared" si="639"/>
        <v>Ms</v>
      </c>
      <c r="C1864" s="15" t="str">
        <f t="shared" si="638"/>
        <v>Hubbard</v>
      </c>
      <c r="D1864" s="15" t="str">
        <f t="shared" si="640"/>
        <v>Sonya Marie</v>
      </c>
      <c r="E1864" s="15" t="str">
        <f t="shared" si="641"/>
        <v>42 Keable Crescent</v>
      </c>
      <c r="F1864" s="15" t="str">
        <f t="shared" si="642"/>
        <v>Boston</v>
      </c>
      <c r="G1864" s="15" t="str">
        <f t="shared" si="643"/>
        <v>SA</v>
      </c>
      <c r="H1864" s="15">
        <f t="shared" si="644"/>
        <v>5607</v>
      </c>
      <c r="I1864" s="15">
        <f t="shared" si="655"/>
        <v>2076</v>
      </c>
      <c r="J1864" s="15">
        <f>OrdersTable!B1864</f>
        <v>817</v>
      </c>
      <c r="K1864" s="15" t="str">
        <f t="shared" si="645"/>
        <v>Statues and Busts</v>
      </c>
      <c r="L1864" s="15" t="str">
        <f t="shared" si="646"/>
        <v>Doctor Who: Masterpiece Collection Maxi Bust: Torchwood Captain Jack Harkness</v>
      </c>
      <c r="M1864" s="15" t="str">
        <f t="shared" si="647"/>
        <v>-</v>
      </c>
      <c r="N1864" s="15">
        <f t="shared" si="648"/>
        <v>2.5</v>
      </c>
      <c r="O1864" s="15" t="str">
        <f t="shared" si="649"/>
        <v>A10</v>
      </c>
      <c r="P1864" s="15" t="str">
        <f t="shared" si="650"/>
        <v>Gallifrey International</v>
      </c>
      <c r="Q1864" s="15" t="str">
        <f t="shared" si="651"/>
        <v>181 Arcadia Street</v>
      </c>
      <c r="R1864" s="3">
        <f>OrdersTable!C1864</f>
        <v>44694</v>
      </c>
      <c r="S1864" s="15">
        <f>OrdersTable!E1864</f>
        <v>3</v>
      </c>
      <c r="T1864" s="15">
        <f t="shared" si="652"/>
        <v>49.99</v>
      </c>
      <c r="U1864" s="15">
        <f t="shared" si="653"/>
        <v>68.44</v>
      </c>
      <c r="V1864" s="15">
        <f t="shared" si="654"/>
        <v>80.98</v>
      </c>
      <c r="W1864" s="15">
        <f>IF(MarkupType="Store Markup",ROUND(V1864+V1864*StoreMarkup,2),IF(MarkupType="Supplier Markup",V1864+V1864*SupplierMarkup,"Error at finding value"))</f>
        <v>127.54</v>
      </c>
      <c r="X1864" s="32">
        <f t="shared" si="656"/>
        <v>9.09</v>
      </c>
      <c r="Y1864" s="15">
        <f t="shared" si="657"/>
        <v>242.94</v>
      </c>
      <c r="Z1864" s="15">
        <f t="shared" si="658"/>
        <v>355.35</v>
      </c>
      <c r="AA1864" s="15">
        <f>IF(FreightType="Lethbridge-Stewart Freight ",ROUND(2.99+IF(N1864&gt;0.75,(N1864-0.75)*2.25,0)*S1864,2),IF(MarkupType="Supplier Markup",V1864+V1864*SupplierMarkup,"Error at finding value"))</f>
        <v>14.8</v>
      </c>
      <c r="AB1864" s="15">
        <f t="shared" si="659"/>
        <v>27.27</v>
      </c>
    </row>
    <row r="1865" spans="1:28" x14ac:dyDescent="0.25">
      <c r="A1865" s="16">
        <f>OrdersTable!A1865</f>
        <v>500</v>
      </c>
      <c r="B1865" s="15" t="str">
        <f t="shared" si="639"/>
        <v>Ms</v>
      </c>
      <c r="C1865" s="15" t="str">
        <f t="shared" si="638"/>
        <v>Helmers</v>
      </c>
      <c r="D1865" s="15" t="str">
        <f t="shared" si="640"/>
        <v>Kristy-Lee</v>
      </c>
      <c r="E1865" s="15" t="str">
        <f t="shared" si="641"/>
        <v>43 Welthagen Court</v>
      </c>
      <c r="F1865" s="15" t="str">
        <f t="shared" si="642"/>
        <v>Areegra</v>
      </c>
      <c r="G1865" s="15" t="str">
        <f t="shared" si="643"/>
        <v>VIC</v>
      </c>
      <c r="H1865" s="15">
        <f t="shared" si="644"/>
        <v>3480</v>
      </c>
      <c r="I1865" s="15">
        <f t="shared" si="655"/>
        <v>1559</v>
      </c>
      <c r="J1865" s="15">
        <f>OrdersTable!B1865</f>
        <v>620</v>
      </c>
      <c r="K1865" s="15" t="str">
        <f t="shared" si="645"/>
        <v>iPhone Skins</v>
      </c>
      <c r="L1865" s="15" t="str">
        <f t="shared" si="646"/>
        <v>Doctor Who: iPhone Skin: TARDIS Water Colour</v>
      </c>
      <c r="M1865" s="15" t="str">
        <f t="shared" si="647"/>
        <v>-</v>
      </c>
      <c r="N1865" s="15">
        <f t="shared" si="648"/>
        <v>0.5</v>
      </c>
      <c r="O1865" s="15" t="str">
        <f t="shared" si="649"/>
        <v>A30</v>
      </c>
      <c r="P1865" s="15" t="str">
        <f t="shared" si="650"/>
        <v>Chesterton Enterprises</v>
      </c>
      <c r="Q1865" s="15" t="str">
        <f t="shared" si="651"/>
        <v>41 William Russell Road</v>
      </c>
      <c r="R1865" s="3">
        <f>OrdersTable!C1865</f>
        <v>44694</v>
      </c>
      <c r="S1865" s="15">
        <f>OrdersTable!E1865</f>
        <v>1</v>
      </c>
      <c r="T1865" s="15">
        <f t="shared" si="652"/>
        <v>9.99</v>
      </c>
      <c r="U1865" s="15">
        <f t="shared" si="653"/>
        <v>13.81</v>
      </c>
      <c r="V1865" s="15">
        <f t="shared" si="654"/>
        <v>16.18</v>
      </c>
      <c r="W1865" s="15">
        <f>IF(MarkupType="Store Markup",ROUND(V1865+V1865*StoreMarkup,2),IF(MarkupType="Supplier Markup",V1865+V1865*SupplierMarkup,"Error at finding value"))</f>
        <v>25.48</v>
      </c>
      <c r="X1865" s="32" t="str">
        <f t="shared" si="656"/>
        <v>0.00</v>
      </c>
      <c r="Y1865" s="15">
        <f t="shared" si="657"/>
        <v>16.18</v>
      </c>
      <c r="Z1865" s="15">
        <f t="shared" si="658"/>
        <v>25.48</v>
      </c>
      <c r="AA1865" s="15">
        <f>IF(FreightType="Lethbridge-Stewart Freight ",ROUND(2.99+IF(N1865&gt;0.75,(N1865-0.75)*2.25,0)*S1865,2),IF(MarkupType="Supplier Markup",V1865+V1865*SupplierMarkup,"Error at finding value"))</f>
        <v>2.99</v>
      </c>
      <c r="AB1865" s="15">
        <f t="shared" si="659"/>
        <v>0</v>
      </c>
    </row>
    <row r="1866" spans="1:28" x14ac:dyDescent="0.25">
      <c r="A1866" s="16">
        <f>OrdersTable!A1866</f>
        <v>531</v>
      </c>
      <c r="B1866" s="15" t="str">
        <f t="shared" si="639"/>
        <v>Ms</v>
      </c>
      <c r="C1866" s="15" t="str">
        <f t="shared" si="638"/>
        <v>Stanton</v>
      </c>
      <c r="D1866" s="15" t="str">
        <f t="shared" si="640"/>
        <v>Sharaze</v>
      </c>
      <c r="E1866" s="15" t="str">
        <f t="shared" si="641"/>
        <v>1 Siddons Crescent</v>
      </c>
      <c r="F1866" s="15" t="str">
        <f t="shared" si="642"/>
        <v>Alfredtown</v>
      </c>
      <c r="G1866" s="15" t="str">
        <f t="shared" si="643"/>
        <v>NSW</v>
      </c>
      <c r="H1866" s="15">
        <f t="shared" si="644"/>
        <v>2650</v>
      </c>
      <c r="I1866" s="15">
        <f t="shared" si="655"/>
        <v>1124</v>
      </c>
      <c r="J1866" s="15">
        <f>OrdersTable!B1866</f>
        <v>694</v>
      </c>
      <c r="K1866" s="15" t="str">
        <f t="shared" si="645"/>
        <v>Posters, Prints and Standees</v>
      </c>
      <c r="L1866" s="15" t="str">
        <f t="shared" si="646"/>
        <v>Doctor Who: 16'x12' Framed Print: Hide</v>
      </c>
      <c r="M1866" s="15" t="str">
        <f t="shared" si="647"/>
        <v>-</v>
      </c>
      <c r="N1866" s="15">
        <f t="shared" si="648"/>
        <v>0.75</v>
      </c>
      <c r="O1866" s="15" t="str">
        <f t="shared" si="649"/>
        <v>A40</v>
      </c>
      <c r="P1866" s="15" t="str">
        <f t="shared" si="650"/>
        <v>Romana Imports</v>
      </c>
      <c r="Q1866" s="15" t="str">
        <f t="shared" si="651"/>
        <v>17 Lalla Ward Road</v>
      </c>
      <c r="R1866" s="3">
        <f>OrdersTable!C1866</f>
        <v>44694</v>
      </c>
      <c r="S1866" s="15">
        <f>OrdersTable!E1866</f>
        <v>4</v>
      </c>
      <c r="T1866" s="15">
        <f t="shared" si="652"/>
        <v>14.99</v>
      </c>
      <c r="U1866" s="15">
        <f t="shared" si="653"/>
        <v>20.49</v>
      </c>
      <c r="V1866" s="15">
        <f t="shared" si="654"/>
        <v>24.28</v>
      </c>
      <c r="W1866" s="15">
        <f>IF(MarkupType="Store Markup",ROUND(V1866+V1866*StoreMarkup,2),IF(MarkupType="Supplier Markup",V1866+V1866*SupplierMarkup,"Error at finding value"))</f>
        <v>38.24</v>
      </c>
      <c r="X1866" s="32" t="str">
        <f t="shared" si="656"/>
        <v>0.00</v>
      </c>
      <c r="Y1866" s="15">
        <f t="shared" si="657"/>
        <v>97.12</v>
      </c>
      <c r="Z1866" s="15">
        <f t="shared" si="658"/>
        <v>152.96</v>
      </c>
      <c r="AA1866" s="15">
        <f>IF(FreightType="Lethbridge-Stewart Freight ",ROUND(2.99+IF(N1866&gt;0.75,(N1866-0.75)*2.25,0)*S1866,2),IF(MarkupType="Supplier Markup",V1866+V1866*SupplierMarkup,"Error at finding value"))</f>
        <v>2.99</v>
      </c>
      <c r="AB1866" s="15">
        <f t="shared" si="659"/>
        <v>0</v>
      </c>
    </row>
    <row r="1867" spans="1:28" x14ac:dyDescent="0.25">
      <c r="A1867" s="16">
        <f>OrdersTable!A1867</f>
        <v>657</v>
      </c>
      <c r="B1867" s="15" t="str">
        <f t="shared" si="639"/>
        <v>Mr</v>
      </c>
      <c r="C1867" s="15" t="str">
        <f t="shared" ref="C1867:C1930" si="660">VLOOKUP($A1867,Cust,3,0)</f>
        <v>Poljak</v>
      </c>
      <c r="D1867" s="15" t="str">
        <f t="shared" si="640"/>
        <v>Anthony</v>
      </c>
      <c r="E1867" s="15" t="str">
        <f t="shared" si="641"/>
        <v>45 Robertson Boulevard</v>
      </c>
      <c r="F1867" s="15" t="str">
        <f t="shared" si="642"/>
        <v>Iluka</v>
      </c>
      <c r="G1867" s="15" t="str">
        <f t="shared" si="643"/>
        <v>NSW</v>
      </c>
      <c r="H1867" s="15">
        <f t="shared" si="644"/>
        <v>2466</v>
      </c>
      <c r="I1867" s="15">
        <f t="shared" si="655"/>
        <v>347</v>
      </c>
      <c r="J1867" s="15">
        <f>OrdersTable!B1867</f>
        <v>810</v>
      </c>
      <c r="K1867" s="15" t="str">
        <f t="shared" si="645"/>
        <v>Statues and Busts</v>
      </c>
      <c r="L1867" s="15" t="str">
        <f t="shared" si="646"/>
        <v>Doctor Who: Masterpiece Collection Maxi Bust: Amy Pond</v>
      </c>
      <c r="M1867" s="15" t="str">
        <f t="shared" si="647"/>
        <v>-</v>
      </c>
      <c r="N1867" s="15">
        <f t="shared" si="648"/>
        <v>2.5</v>
      </c>
      <c r="O1867" s="15" t="str">
        <f t="shared" si="649"/>
        <v>A50</v>
      </c>
      <c r="P1867" s="15" t="str">
        <f t="shared" si="650"/>
        <v>Rassilon Ltd.</v>
      </c>
      <c r="Q1867" s="15" t="str">
        <f t="shared" si="651"/>
        <v>82 Richard Mathews Road</v>
      </c>
      <c r="R1867" s="3">
        <f>OrdersTable!C1867</f>
        <v>44694</v>
      </c>
      <c r="S1867" s="15">
        <f>OrdersTable!E1867</f>
        <v>8</v>
      </c>
      <c r="T1867" s="15">
        <f t="shared" si="652"/>
        <v>49.99</v>
      </c>
      <c r="U1867" s="15">
        <f t="shared" si="653"/>
        <v>68.260000000000005</v>
      </c>
      <c r="V1867" s="15">
        <f t="shared" si="654"/>
        <v>80.98</v>
      </c>
      <c r="W1867" s="15">
        <f>IF(MarkupType="Store Markup",ROUND(V1867+V1867*StoreMarkup,2),IF(MarkupType="Supplier Markup",V1867+V1867*SupplierMarkup,"Error at finding value"))</f>
        <v>127.54</v>
      </c>
      <c r="X1867" s="32">
        <f t="shared" si="656"/>
        <v>9.09</v>
      </c>
      <c r="Y1867" s="15">
        <f t="shared" si="657"/>
        <v>647.84</v>
      </c>
      <c r="Z1867" s="15">
        <f t="shared" si="658"/>
        <v>947.6</v>
      </c>
      <c r="AA1867" s="15">
        <f>IF(FreightType="Lethbridge-Stewart Freight ",ROUND(2.99+IF(N1867&gt;0.75,(N1867-0.75)*2.25,0)*S1867,2),IF(MarkupType="Supplier Markup",V1867+V1867*SupplierMarkup,"Error at finding value"))</f>
        <v>34.49</v>
      </c>
      <c r="AB1867" s="15">
        <f t="shared" si="659"/>
        <v>72.72</v>
      </c>
    </row>
    <row r="1868" spans="1:28" x14ac:dyDescent="0.25">
      <c r="A1868" s="16">
        <f>OrdersTable!A1868</f>
        <v>730</v>
      </c>
      <c r="B1868" s="15" t="str">
        <f t="shared" si="639"/>
        <v>Mr</v>
      </c>
      <c r="C1868" s="15" t="str">
        <f t="shared" si="660"/>
        <v>Romer</v>
      </c>
      <c r="D1868" s="15" t="str">
        <f t="shared" si="640"/>
        <v>Leo Alexander</v>
      </c>
      <c r="E1868" s="15" t="str">
        <f t="shared" si="641"/>
        <v>47 Bennett Circuit</v>
      </c>
      <c r="F1868" s="15" t="str">
        <f t="shared" si="642"/>
        <v>Caliph</v>
      </c>
      <c r="G1868" s="15" t="str">
        <f t="shared" si="643"/>
        <v>SA</v>
      </c>
      <c r="H1868" s="15">
        <f t="shared" si="644"/>
        <v>5310</v>
      </c>
      <c r="I1868" s="15">
        <f t="shared" si="655"/>
        <v>1720</v>
      </c>
      <c r="J1868" s="15">
        <f>OrdersTable!B1868</f>
        <v>704</v>
      </c>
      <c r="K1868" s="15" t="str">
        <f t="shared" si="645"/>
        <v>Posters, Prints and Standees</v>
      </c>
      <c r="L1868" s="15" t="str">
        <f t="shared" si="646"/>
        <v>Doctor Who: Poster: Doctor's Enemies</v>
      </c>
      <c r="M1868" s="15" t="str">
        <f t="shared" si="647"/>
        <v>-</v>
      </c>
      <c r="N1868" s="15">
        <f t="shared" si="648"/>
        <v>0.2</v>
      </c>
      <c r="O1868" s="15" t="str">
        <f t="shared" si="649"/>
        <v>A30</v>
      </c>
      <c r="P1868" s="15" t="str">
        <f t="shared" si="650"/>
        <v>Chesterton Enterprises</v>
      </c>
      <c r="Q1868" s="15" t="str">
        <f t="shared" si="651"/>
        <v>41 William Russell Road</v>
      </c>
      <c r="R1868" s="3">
        <f>OrdersTable!C1868</f>
        <v>44694</v>
      </c>
      <c r="S1868" s="15">
        <f>OrdersTable!E1868</f>
        <v>10</v>
      </c>
      <c r="T1868" s="15">
        <f t="shared" si="652"/>
        <v>3.99</v>
      </c>
      <c r="U1868" s="15">
        <f t="shared" si="653"/>
        <v>5.52</v>
      </c>
      <c r="V1868" s="15">
        <f t="shared" si="654"/>
        <v>6.46</v>
      </c>
      <c r="W1868" s="15">
        <f>IF(MarkupType="Store Markup",ROUND(V1868+V1868*StoreMarkup,2),IF(MarkupType="Supplier Markup",V1868+V1868*SupplierMarkup,"Error at finding value"))</f>
        <v>10.17</v>
      </c>
      <c r="X1868" s="32" t="str">
        <f t="shared" si="656"/>
        <v>0.00</v>
      </c>
      <c r="Y1868" s="15">
        <f t="shared" si="657"/>
        <v>64.599999999999994</v>
      </c>
      <c r="Z1868" s="15">
        <f t="shared" si="658"/>
        <v>101.7</v>
      </c>
      <c r="AA1868" s="15">
        <f>IF(FreightType="Lethbridge-Stewart Freight ",ROUND(2.99+IF(N1868&gt;0.75,(N1868-0.75)*2.25,0)*S1868,2),IF(MarkupType="Supplier Markup",V1868+V1868*SupplierMarkup,"Error at finding value"))</f>
        <v>2.99</v>
      </c>
      <c r="AB1868" s="15">
        <f t="shared" si="659"/>
        <v>0</v>
      </c>
    </row>
    <row r="1869" spans="1:28" x14ac:dyDescent="0.25">
      <c r="A1869" s="16">
        <f>OrdersTable!A1869</f>
        <v>823</v>
      </c>
      <c r="B1869" s="15" t="str">
        <f t="shared" si="639"/>
        <v>Mrs</v>
      </c>
      <c r="C1869" s="15" t="str">
        <f t="shared" si="660"/>
        <v>Riordan</v>
      </c>
      <c r="D1869" s="15" t="str">
        <f t="shared" si="640"/>
        <v>Brianna Leigh</v>
      </c>
      <c r="E1869" s="15" t="str">
        <f t="shared" si="641"/>
        <v>7 Boyd Crescent</v>
      </c>
      <c r="F1869" s="15" t="str">
        <f t="shared" si="642"/>
        <v>Bamboo</v>
      </c>
      <c r="G1869" s="15" t="str">
        <f t="shared" si="643"/>
        <v>QLD</v>
      </c>
      <c r="H1869" s="15">
        <f t="shared" si="644"/>
        <v>4873</v>
      </c>
      <c r="I1869" s="15">
        <f t="shared" si="655"/>
        <v>1741</v>
      </c>
      <c r="J1869" s="15">
        <f>OrdersTable!B1869</f>
        <v>817</v>
      </c>
      <c r="K1869" s="15" t="str">
        <f t="shared" si="645"/>
        <v>Statues and Busts</v>
      </c>
      <c r="L1869" s="15" t="str">
        <f t="shared" si="646"/>
        <v>Doctor Who: Masterpiece Collection Maxi Bust: Torchwood Captain Jack Harkness</v>
      </c>
      <c r="M1869" s="15" t="str">
        <f t="shared" si="647"/>
        <v>-</v>
      </c>
      <c r="N1869" s="15">
        <f t="shared" si="648"/>
        <v>2.5</v>
      </c>
      <c r="O1869" s="15" t="str">
        <f t="shared" si="649"/>
        <v>A10</v>
      </c>
      <c r="P1869" s="15" t="str">
        <f t="shared" si="650"/>
        <v>Gallifrey International</v>
      </c>
      <c r="Q1869" s="15" t="str">
        <f t="shared" si="651"/>
        <v>181 Arcadia Street</v>
      </c>
      <c r="R1869" s="3">
        <f>OrdersTable!C1869</f>
        <v>44694</v>
      </c>
      <c r="S1869" s="15">
        <f>OrdersTable!E1869</f>
        <v>8</v>
      </c>
      <c r="T1869" s="15">
        <f t="shared" si="652"/>
        <v>49.99</v>
      </c>
      <c r="U1869" s="15">
        <f t="shared" si="653"/>
        <v>68.44</v>
      </c>
      <c r="V1869" s="15">
        <f t="shared" si="654"/>
        <v>80.98</v>
      </c>
      <c r="W1869" s="15">
        <f>IF(MarkupType="Store Markup",ROUND(V1869+V1869*StoreMarkup,2),IF(MarkupType="Supplier Markup",V1869+V1869*SupplierMarkup,"Error at finding value"))</f>
        <v>127.54</v>
      </c>
      <c r="X1869" s="32">
        <f t="shared" si="656"/>
        <v>9.09</v>
      </c>
      <c r="Y1869" s="15">
        <f t="shared" si="657"/>
        <v>647.84</v>
      </c>
      <c r="Z1869" s="15">
        <f t="shared" si="658"/>
        <v>947.6</v>
      </c>
      <c r="AA1869" s="15">
        <f>IF(FreightType="Lethbridge-Stewart Freight ",ROUND(2.99+IF(N1869&gt;0.75,(N1869-0.75)*2.25,0)*S1869,2),IF(MarkupType="Supplier Markup",V1869+V1869*SupplierMarkup,"Error at finding value"))</f>
        <v>34.49</v>
      </c>
      <c r="AB1869" s="15">
        <f t="shared" si="659"/>
        <v>72.72</v>
      </c>
    </row>
    <row r="1870" spans="1:28" x14ac:dyDescent="0.25">
      <c r="A1870" s="16">
        <f>OrdersTable!A1870</f>
        <v>827</v>
      </c>
      <c r="B1870" s="15" t="str">
        <f t="shared" si="639"/>
        <v>Ms</v>
      </c>
      <c r="C1870" s="15" t="str">
        <f t="shared" si="660"/>
        <v>Ottaway</v>
      </c>
      <c r="D1870" s="15" t="str">
        <f t="shared" si="640"/>
        <v>Katherine</v>
      </c>
      <c r="E1870" s="15" t="str">
        <f t="shared" si="641"/>
        <v>7 Morrison Street</v>
      </c>
      <c r="F1870" s="15" t="str">
        <f t="shared" si="642"/>
        <v>Glenfern</v>
      </c>
      <c r="G1870" s="15" t="str">
        <f t="shared" si="643"/>
        <v>QLD</v>
      </c>
      <c r="H1870" s="15">
        <f t="shared" si="644"/>
        <v>4515</v>
      </c>
      <c r="I1870" s="15">
        <f t="shared" si="655"/>
        <v>128</v>
      </c>
      <c r="J1870" s="15">
        <f>OrdersTable!B1870</f>
        <v>801</v>
      </c>
      <c r="K1870" s="15" t="str">
        <f t="shared" si="645"/>
        <v>Statues and Busts</v>
      </c>
      <c r="L1870" s="15" t="str">
        <f t="shared" si="646"/>
        <v>Doctor Who: Masterpiece Collection Maxi Bust: 4th Doctor</v>
      </c>
      <c r="M1870" s="15" t="str">
        <f t="shared" si="647"/>
        <v>-</v>
      </c>
      <c r="N1870" s="15">
        <f t="shared" si="648"/>
        <v>2.5</v>
      </c>
      <c r="O1870" s="15" t="str">
        <f t="shared" si="649"/>
        <v>A30</v>
      </c>
      <c r="P1870" s="15" t="str">
        <f t="shared" si="650"/>
        <v>Chesterton Enterprises</v>
      </c>
      <c r="Q1870" s="15" t="str">
        <f t="shared" si="651"/>
        <v>41 William Russell Road</v>
      </c>
      <c r="R1870" s="3">
        <f>OrdersTable!C1870</f>
        <v>44694</v>
      </c>
      <c r="S1870" s="15">
        <f>OrdersTable!E1870</f>
        <v>2</v>
      </c>
      <c r="T1870" s="15">
        <f t="shared" si="652"/>
        <v>49.99</v>
      </c>
      <c r="U1870" s="15">
        <f t="shared" si="653"/>
        <v>68.180000000000007</v>
      </c>
      <c r="V1870" s="15">
        <f t="shared" si="654"/>
        <v>80.98</v>
      </c>
      <c r="W1870" s="15">
        <f>IF(MarkupType="Store Markup",ROUND(V1870+V1870*StoreMarkup,2),IF(MarkupType="Supplier Markup",V1870+V1870*SupplierMarkup,"Error at finding value"))</f>
        <v>127.54</v>
      </c>
      <c r="X1870" s="32" t="str">
        <f t="shared" si="656"/>
        <v>0.00</v>
      </c>
      <c r="Y1870" s="15">
        <f t="shared" si="657"/>
        <v>161.96</v>
      </c>
      <c r="Z1870" s="15">
        <f t="shared" si="658"/>
        <v>255.08</v>
      </c>
      <c r="AA1870" s="15">
        <f>IF(FreightType="Lethbridge-Stewart Freight ",ROUND(2.99+IF(N1870&gt;0.75,(N1870-0.75)*2.25,0)*S1870,2),IF(MarkupType="Supplier Markup",V1870+V1870*SupplierMarkup,"Error at finding value"))</f>
        <v>10.87</v>
      </c>
      <c r="AB1870" s="15">
        <f t="shared" si="659"/>
        <v>0</v>
      </c>
    </row>
    <row r="1871" spans="1:28" x14ac:dyDescent="0.25">
      <c r="A1871" s="16">
        <f>OrdersTable!A1871</f>
        <v>884</v>
      </c>
      <c r="B1871" s="15" t="str">
        <f t="shared" si="639"/>
        <v>Mr</v>
      </c>
      <c r="C1871" s="15" t="str">
        <f t="shared" si="660"/>
        <v>Smy</v>
      </c>
      <c r="D1871" s="15" t="str">
        <f t="shared" si="640"/>
        <v>Corey Alexander</v>
      </c>
      <c r="E1871" s="15" t="str">
        <f t="shared" si="641"/>
        <v>47 Lindsay Circuit</v>
      </c>
      <c r="F1871" s="15" t="str">
        <f t="shared" si="642"/>
        <v>Boston</v>
      </c>
      <c r="G1871" s="15" t="str">
        <f t="shared" si="643"/>
        <v>SA</v>
      </c>
      <c r="H1871" s="15">
        <f t="shared" si="644"/>
        <v>5607</v>
      </c>
      <c r="I1871" s="15">
        <f t="shared" si="655"/>
        <v>2076</v>
      </c>
      <c r="J1871" s="15">
        <f>OrdersTable!B1871</f>
        <v>530</v>
      </c>
      <c r="K1871" s="15" t="str">
        <f t="shared" si="645"/>
        <v>Giftware</v>
      </c>
      <c r="L1871" s="15" t="str">
        <f t="shared" si="646"/>
        <v>Doctor Who: Keyring TARDIS</v>
      </c>
      <c r="M1871" s="15" t="str">
        <f t="shared" si="647"/>
        <v>-</v>
      </c>
      <c r="N1871" s="15">
        <f t="shared" si="648"/>
        <v>0.25</v>
      </c>
      <c r="O1871" s="15" t="str">
        <f t="shared" si="649"/>
        <v>A20</v>
      </c>
      <c r="P1871" s="15" t="str">
        <f t="shared" si="650"/>
        <v>Morbius Inc.</v>
      </c>
      <c r="Q1871" s="15" t="str">
        <f t="shared" si="651"/>
        <v>56 Michael Spice Hwy</v>
      </c>
      <c r="R1871" s="3">
        <f>OrdersTable!C1871</f>
        <v>44694</v>
      </c>
      <c r="S1871" s="15">
        <f>OrdersTable!E1871</f>
        <v>7</v>
      </c>
      <c r="T1871" s="15">
        <f t="shared" si="652"/>
        <v>4.99</v>
      </c>
      <c r="U1871" s="15">
        <f t="shared" si="653"/>
        <v>7.1</v>
      </c>
      <c r="V1871" s="15">
        <f t="shared" si="654"/>
        <v>8.08</v>
      </c>
      <c r="W1871" s="15">
        <f>IF(MarkupType="Store Markup",ROUND(V1871+V1871*StoreMarkup,2),IF(MarkupType="Supplier Markup",V1871+V1871*SupplierMarkup,"Error at finding value"))</f>
        <v>12.73</v>
      </c>
      <c r="X1871" s="32" t="str">
        <f t="shared" si="656"/>
        <v>0.00</v>
      </c>
      <c r="Y1871" s="15">
        <f t="shared" si="657"/>
        <v>56.56</v>
      </c>
      <c r="Z1871" s="15">
        <f t="shared" si="658"/>
        <v>89.11</v>
      </c>
      <c r="AA1871" s="15">
        <f>IF(FreightType="Lethbridge-Stewart Freight ",ROUND(2.99+IF(N1871&gt;0.75,(N1871-0.75)*2.25,0)*S1871,2),IF(MarkupType="Supplier Markup",V1871+V1871*SupplierMarkup,"Error at finding value"))</f>
        <v>2.99</v>
      </c>
      <c r="AB1871" s="15">
        <f t="shared" si="659"/>
        <v>0</v>
      </c>
    </row>
    <row r="1872" spans="1:28" x14ac:dyDescent="0.25">
      <c r="A1872" s="16">
        <f>OrdersTable!A1872</f>
        <v>112</v>
      </c>
      <c r="B1872" s="15" t="str">
        <f t="shared" si="639"/>
        <v>Mr</v>
      </c>
      <c r="C1872" s="15" t="str">
        <f t="shared" si="660"/>
        <v>Dahal</v>
      </c>
      <c r="D1872" s="15" t="str">
        <f t="shared" si="640"/>
        <v>Subash</v>
      </c>
      <c r="E1872" s="15" t="str">
        <f t="shared" si="641"/>
        <v>121-127 Railway Pde, Granville, NSW 2142</v>
      </c>
      <c r="F1872" s="15" t="str">
        <f t="shared" si="642"/>
        <v>Granville</v>
      </c>
      <c r="G1872" s="15" t="str">
        <f t="shared" si="643"/>
        <v>NSW</v>
      </c>
      <c r="H1872" s="15">
        <f t="shared" si="644"/>
        <v>2142</v>
      </c>
      <c r="I1872" s="15">
        <f t="shared" si="655"/>
        <v>907</v>
      </c>
      <c r="J1872" s="15">
        <f>OrdersTable!B1872</f>
        <v>373</v>
      </c>
      <c r="K1872" s="15" t="str">
        <f t="shared" si="645"/>
        <v>Clothing and Apparel</v>
      </c>
      <c r="L1872" s="15" t="str">
        <f t="shared" si="646"/>
        <v xml:space="preserve">Doctor Who: T-Shirts: 5th Doctor Costume </v>
      </c>
      <c r="M1872" s="15" t="str">
        <f t="shared" si="647"/>
        <v>L</v>
      </c>
      <c r="N1872" s="15">
        <f t="shared" si="648"/>
        <v>0.8</v>
      </c>
      <c r="O1872" s="15" t="str">
        <f t="shared" si="649"/>
        <v>A20</v>
      </c>
      <c r="P1872" s="15" t="str">
        <f t="shared" si="650"/>
        <v>Morbius Inc.</v>
      </c>
      <c r="Q1872" s="15" t="str">
        <f t="shared" si="651"/>
        <v>56 Michael Spice Hwy</v>
      </c>
      <c r="R1872" s="3">
        <f>OrdersTable!C1872</f>
        <v>44695</v>
      </c>
      <c r="S1872" s="15">
        <f>OrdersTable!E1872</f>
        <v>10</v>
      </c>
      <c r="T1872" s="15">
        <f t="shared" si="652"/>
        <v>15.99</v>
      </c>
      <c r="U1872" s="15">
        <f t="shared" si="653"/>
        <v>22.09</v>
      </c>
      <c r="V1872" s="15">
        <f t="shared" si="654"/>
        <v>25.9</v>
      </c>
      <c r="W1872" s="15">
        <f>IF(MarkupType="Store Markup",ROUND(V1872+V1872*StoreMarkup,2),IF(MarkupType="Supplier Markup",V1872+V1872*SupplierMarkup,"Error at finding value"))</f>
        <v>40.79</v>
      </c>
      <c r="X1872" s="32" t="str">
        <f t="shared" si="656"/>
        <v>0.00</v>
      </c>
      <c r="Y1872" s="15">
        <f t="shared" si="657"/>
        <v>259</v>
      </c>
      <c r="Z1872" s="15">
        <f t="shared" si="658"/>
        <v>407.9</v>
      </c>
      <c r="AA1872" s="15">
        <f>IF(FreightType="Lethbridge-Stewart Freight ",ROUND(2.99+IF(N1872&gt;0.75,(N1872-0.75)*2.25,0)*S1872,2),IF(MarkupType="Supplier Markup",V1872+V1872*SupplierMarkup,"Error at finding value"))</f>
        <v>4.12</v>
      </c>
      <c r="AB1872" s="15">
        <f t="shared" si="659"/>
        <v>0</v>
      </c>
    </row>
    <row r="1873" spans="1:28" x14ac:dyDescent="0.25">
      <c r="A1873" s="16">
        <f>OrdersTable!A1873</f>
        <v>180</v>
      </c>
      <c r="B1873" s="15" t="str">
        <f t="shared" si="639"/>
        <v>Mrs</v>
      </c>
      <c r="C1873" s="15" t="str">
        <f t="shared" si="660"/>
        <v>Feeney</v>
      </c>
      <c r="D1873" s="15" t="str">
        <f t="shared" si="640"/>
        <v>Jennifer Ruth</v>
      </c>
      <c r="E1873" s="15" t="str">
        <f t="shared" si="641"/>
        <v>18 Cook Avenue</v>
      </c>
      <c r="F1873" s="15" t="str">
        <f t="shared" si="642"/>
        <v>Nayook</v>
      </c>
      <c r="G1873" s="15" t="str">
        <f t="shared" si="643"/>
        <v>VIC</v>
      </c>
      <c r="H1873" s="15">
        <f t="shared" si="644"/>
        <v>3832</v>
      </c>
      <c r="I1873" s="15">
        <f t="shared" si="655"/>
        <v>1552</v>
      </c>
      <c r="J1873" s="15">
        <f>OrdersTable!B1873</f>
        <v>710</v>
      </c>
      <c r="K1873" s="15" t="str">
        <f t="shared" si="645"/>
        <v>Posters, Prints and Standees</v>
      </c>
      <c r="L1873" s="15" t="str">
        <f t="shared" si="646"/>
        <v>Doctor Who: Poster: Regenerate</v>
      </c>
      <c r="M1873" s="15" t="str">
        <f t="shared" si="647"/>
        <v>-</v>
      </c>
      <c r="N1873" s="15">
        <f t="shared" si="648"/>
        <v>0.2</v>
      </c>
      <c r="O1873" s="15" t="str">
        <f t="shared" si="649"/>
        <v>A40</v>
      </c>
      <c r="P1873" s="15" t="str">
        <f t="shared" si="650"/>
        <v>Romana Imports</v>
      </c>
      <c r="Q1873" s="15" t="str">
        <f t="shared" si="651"/>
        <v>17 Lalla Ward Road</v>
      </c>
      <c r="R1873" s="3">
        <f>OrdersTable!C1873</f>
        <v>44695</v>
      </c>
      <c r="S1873" s="15">
        <f>OrdersTable!E1873</f>
        <v>1</v>
      </c>
      <c r="T1873" s="15">
        <f t="shared" si="652"/>
        <v>3.99</v>
      </c>
      <c r="U1873" s="15">
        <f t="shared" si="653"/>
        <v>5.5</v>
      </c>
      <c r="V1873" s="15">
        <f t="shared" si="654"/>
        <v>6.46</v>
      </c>
      <c r="W1873" s="15">
        <f>IF(MarkupType="Store Markup",ROUND(V1873+V1873*StoreMarkup,2),IF(MarkupType="Supplier Markup",V1873+V1873*SupplierMarkup,"Error at finding value"))</f>
        <v>10.17</v>
      </c>
      <c r="X1873" s="32" t="str">
        <f t="shared" si="656"/>
        <v>0.00</v>
      </c>
      <c r="Y1873" s="15">
        <f t="shared" si="657"/>
        <v>6.46</v>
      </c>
      <c r="Z1873" s="15">
        <f t="shared" si="658"/>
        <v>10.17</v>
      </c>
      <c r="AA1873" s="15">
        <f>IF(FreightType="Lethbridge-Stewart Freight ",ROUND(2.99+IF(N1873&gt;0.75,(N1873-0.75)*2.25,0)*S1873,2),IF(MarkupType="Supplier Markup",V1873+V1873*SupplierMarkup,"Error at finding value"))</f>
        <v>2.99</v>
      </c>
      <c r="AB1873" s="15">
        <f t="shared" si="659"/>
        <v>0</v>
      </c>
    </row>
    <row r="1874" spans="1:28" x14ac:dyDescent="0.25">
      <c r="A1874" s="16">
        <f>OrdersTable!A1874</f>
        <v>249</v>
      </c>
      <c r="B1874" s="15" t="str">
        <f t="shared" si="639"/>
        <v>Mr</v>
      </c>
      <c r="C1874" s="15" t="str">
        <f t="shared" si="660"/>
        <v>Sinclair</v>
      </c>
      <c r="D1874" s="15" t="str">
        <f t="shared" si="640"/>
        <v>Travis James Foord</v>
      </c>
      <c r="E1874" s="15" t="str">
        <f t="shared" si="641"/>
        <v>25 Leunen Avenue</v>
      </c>
      <c r="F1874" s="15" t="str">
        <f t="shared" si="642"/>
        <v>Batlow</v>
      </c>
      <c r="G1874" s="15" t="str">
        <f t="shared" si="643"/>
        <v>NSW</v>
      </c>
      <c r="H1874" s="15">
        <f t="shared" si="644"/>
        <v>2730</v>
      </c>
      <c r="I1874" s="15">
        <f t="shared" si="655"/>
        <v>1138</v>
      </c>
      <c r="J1874" s="15">
        <f>OrdersTable!B1874</f>
        <v>692</v>
      </c>
      <c r="K1874" s="15" t="str">
        <f t="shared" si="645"/>
        <v>Posters, Prints and Standees</v>
      </c>
      <c r="L1874" s="15" t="str">
        <f t="shared" si="646"/>
        <v>Doctor Who: 16'x12' Framed Print: Exploding TARDIS</v>
      </c>
      <c r="M1874" s="15" t="str">
        <f t="shared" si="647"/>
        <v>-</v>
      </c>
      <c r="N1874" s="15">
        <f t="shared" si="648"/>
        <v>0.75</v>
      </c>
      <c r="O1874" s="15" t="str">
        <f t="shared" si="649"/>
        <v>A30</v>
      </c>
      <c r="P1874" s="15" t="str">
        <f t="shared" si="650"/>
        <v>Chesterton Enterprises</v>
      </c>
      <c r="Q1874" s="15" t="str">
        <f t="shared" si="651"/>
        <v>41 William Russell Road</v>
      </c>
      <c r="R1874" s="3">
        <f>OrdersTable!C1874</f>
        <v>44695</v>
      </c>
      <c r="S1874" s="15">
        <f>OrdersTable!E1874</f>
        <v>9</v>
      </c>
      <c r="T1874" s="15">
        <f t="shared" si="652"/>
        <v>14.99</v>
      </c>
      <c r="U1874" s="15">
        <f t="shared" si="653"/>
        <v>20.54</v>
      </c>
      <c r="V1874" s="15">
        <f t="shared" si="654"/>
        <v>24.28</v>
      </c>
      <c r="W1874" s="15">
        <f>IF(MarkupType="Store Markup",ROUND(V1874+V1874*StoreMarkup,2),IF(MarkupType="Supplier Markup",V1874+V1874*SupplierMarkup,"Error at finding value"))</f>
        <v>38.24</v>
      </c>
      <c r="X1874" s="32" t="str">
        <f t="shared" si="656"/>
        <v>0.00</v>
      </c>
      <c r="Y1874" s="15">
        <f t="shared" si="657"/>
        <v>218.52</v>
      </c>
      <c r="Z1874" s="15">
        <f t="shared" si="658"/>
        <v>344.16</v>
      </c>
      <c r="AA1874" s="15">
        <f>IF(FreightType="Lethbridge-Stewart Freight ",ROUND(2.99+IF(N1874&gt;0.75,(N1874-0.75)*2.25,0)*S1874,2),IF(MarkupType="Supplier Markup",V1874+V1874*SupplierMarkup,"Error at finding value"))</f>
        <v>2.99</v>
      </c>
      <c r="AB1874" s="15">
        <f t="shared" si="659"/>
        <v>0</v>
      </c>
    </row>
    <row r="1875" spans="1:28" x14ac:dyDescent="0.25">
      <c r="A1875" s="16">
        <f>OrdersTable!A1875</f>
        <v>332</v>
      </c>
      <c r="B1875" s="15" t="str">
        <f t="shared" si="639"/>
        <v>Mr</v>
      </c>
      <c r="C1875" s="15" t="str">
        <f t="shared" si="660"/>
        <v>Selman</v>
      </c>
      <c r="D1875" s="15" t="str">
        <f t="shared" si="640"/>
        <v>Jack Ryan</v>
      </c>
      <c r="E1875" s="15" t="str">
        <f t="shared" si="641"/>
        <v>17 Van Essen Street</v>
      </c>
      <c r="F1875" s="15" t="str">
        <f t="shared" si="642"/>
        <v>Airly</v>
      </c>
      <c r="G1875" s="15" t="str">
        <f t="shared" si="643"/>
        <v>VIC</v>
      </c>
      <c r="H1875" s="15">
        <f t="shared" si="644"/>
        <v>3851</v>
      </c>
      <c r="I1875" s="15">
        <f t="shared" si="655"/>
        <v>1583</v>
      </c>
      <c r="J1875" s="15">
        <f>OrdersTable!B1875</f>
        <v>849</v>
      </c>
      <c r="K1875" s="15" t="str">
        <f t="shared" si="645"/>
        <v>Statues and Busts</v>
      </c>
      <c r="L1875" s="15" t="str">
        <f t="shared" si="646"/>
        <v>Doctor Who: Statue: Cyber Controller</v>
      </c>
      <c r="M1875" s="15" t="str">
        <f t="shared" si="647"/>
        <v>-</v>
      </c>
      <c r="N1875" s="15">
        <f t="shared" si="648"/>
        <v>5</v>
      </c>
      <c r="O1875" s="15" t="str">
        <f t="shared" si="649"/>
        <v>A10</v>
      </c>
      <c r="P1875" s="15" t="str">
        <f t="shared" si="650"/>
        <v>Gallifrey International</v>
      </c>
      <c r="Q1875" s="15" t="str">
        <f t="shared" si="651"/>
        <v>181 Arcadia Street</v>
      </c>
      <c r="R1875" s="3">
        <f>OrdersTable!C1875</f>
        <v>44695</v>
      </c>
      <c r="S1875" s="15">
        <f>OrdersTable!E1875</f>
        <v>10</v>
      </c>
      <c r="T1875" s="15">
        <f t="shared" si="652"/>
        <v>99.99</v>
      </c>
      <c r="U1875" s="15">
        <f t="shared" si="653"/>
        <v>136.41</v>
      </c>
      <c r="V1875" s="15">
        <f t="shared" si="654"/>
        <v>161.97999999999999</v>
      </c>
      <c r="W1875" s="15">
        <f>IF(MarkupType="Store Markup",ROUND(V1875+V1875*StoreMarkup,2),IF(MarkupType="Supplier Markup",V1875+V1875*SupplierMarkup,"Error at finding value"))</f>
        <v>255.12</v>
      </c>
      <c r="X1875" s="32">
        <f t="shared" si="656"/>
        <v>18.18</v>
      </c>
      <c r="Y1875" s="15">
        <f t="shared" si="657"/>
        <v>1619.8</v>
      </c>
      <c r="Z1875" s="15">
        <f t="shared" si="658"/>
        <v>2369.4</v>
      </c>
      <c r="AA1875" s="15">
        <f>IF(FreightType="Lethbridge-Stewart Freight ",ROUND(2.99+IF(N1875&gt;0.75,(N1875-0.75)*2.25,0)*S1875,2),IF(MarkupType="Supplier Markup",V1875+V1875*SupplierMarkup,"Error at finding value"))</f>
        <v>98.62</v>
      </c>
      <c r="AB1875" s="15">
        <f t="shared" si="659"/>
        <v>181.8</v>
      </c>
    </row>
    <row r="1876" spans="1:28" x14ac:dyDescent="0.25">
      <c r="A1876" s="16">
        <f>OrdersTable!A1876</f>
        <v>416</v>
      </c>
      <c r="B1876" s="15" t="str">
        <f t="shared" si="639"/>
        <v>Mr</v>
      </c>
      <c r="C1876" s="15" t="str">
        <f t="shared" si="660"/>
        <v>Mohammed</v>
      </c>
      <c r="D1876" s="15" t="str">
        <f t="shared" si="640"/>
        <v>Ahmed</v>
      </c>
      <c r="E1876" s="15" t="str">
        <f t="shared" si="641"/>
        <v>35 Ridley Avenue</v>
      </c>
      <c r="F1876" s="15" t="str">
        <f t="shared" si="642"/>
        <v>Iluka</v>
      </c>
      <c r="G1876" s="15" t="str">
        <f t="shared" si="643"/>
        <v>NSW</v>
      </c>
      <c r="H1876" s="15">
        <f t="shared" si="644"/>
        <v>2466</v>
      </c>
      <c r="I1876" s="15">
        <f t="shared" si="655"/>
        <v>347</v>
      </c>
      <c r="J1876" s="15">
        <f>OrdersTable!B1876</f>
        <v>418</v>
      </c>
      <c r="K1876" s="15" t="str">
        <f t="shared" si="645"/>
        <v>Clothing and Apparel</v>
      </c>
      <c r="L1876" s="15" t="str">
        <f t="shared" si="646"/>
        <v>Doctor Who: Women's Winter Pyjamas</v>
      </c>
      <c r="M1876" s="15" t="str">
        <f t="shared" si="647"/>
        <v>M</v>
      </c>
      <c r="N1876" s="15">
        <f t="shared" si="648"/>
        <v>1.5</v>
      </c>
      <c r="O1876" s="15" t="str">
        <f t="shared" si="649"/>
        <v>A30</v>
      </c>
      <c r="P1876" s="15" t="str">
        <f t="shared" si="650"/>
        <v>Chesterton Enterprises</v>
      </c>
      <c r="Q1876" s="15" t="str">
        <f t="shared" si="651"/>
        <v>41 William Russell Road</v>
      </c>
      <c r="R1876" s="3">
        <f>OrdersTable!C1876</f>
        <v>44695</v>
      </c>
      <c r="S1876" s="15">
        <f>OrdersTable!E1876</f>
        <v>9</v>
      </c>
      <c r="T1876" s="15">
        <f t="shared" si="652"/>
        <v>29.99</v>
      </c>
      <c r="U1876" s="15">
        <f t="shared" si="653"/>
        <v>40.96</v>
      </c>
      <c r="V1876" s="15">
        <f t="shared" si="654"/>
        <v>48.58</v>
      </c>
      <c r="W1876" s="15">
        <f>IF(MarkupType="Store Markup",ROUND(V1876+V1876*StoreMarkup,2),IF(MarkupType="Supplier Markup",V1876+V1876*SupplierMarkup,"Error at finding value"))</f>
        <v>76.510000000000005</v>
      </c>
      <c r="X1876" s="32" t="str">
        <f t="shared" si="656"/>
        <v>0.00</v>
      </c>
      <c r="Y1876" s="15">
        <f t="shared" si="657"/>
        <v>437.22</v>
      </c>
      <c r="Z1876" s="15">
        <f t="shared" si="658"/>
        <v>688.59</v>
      </c>
      <c r="AA1876" s="15">
        <f>IF(FreightType="Lethbridge-Stewart Freight ",ROUND(2.99+IF(N1876&gt;0.75,(N1876-0.75)*2.25,0)*S1876,2),IF(MarkupType="Supplier Markup",V1876+V1876*SupplierMarkup,"Error at finding value"))</f>
        <v>18.18</v>
      </c>
      <c r="AB1876" s="15">
        <f t="shared" si="659"/>
        <v>0</v>
      </c>
    </row>
    <row r="1877" spans="1:28" x14ac:dyDescent="0.25">
      <c r="A1877" s="16">
        <f>OrdersTable!A1877</f>
        <v>526</v>
      </c>
      <c r="B1877" s="15" t="str">
        <f t="shared" si="639"/>
        <v>Mrs</v>
      </c>
      <c r="C1877" s="15" t="str">
        <f t="shared" si="660"/>
        <v>Bradford</v>
      </c>
      <c r="D1877" s="15" t="str">
        <f t="shared" si="640"/>
        <v>Haleigh Renae Ann</v>
      </c>
      <c r="E1877" s="15" t="str">
        <f t="shared" si="641"/>
        <v>31 Johnston Road</v>
      </c>
      <c r="F1877" s="15" t="str">
        <f t="shared" si="642"/>
        <v>Ashford</v>
      </c>
      <c r="G1877" s="15" t="str">
        <f t="shared" si="643"/>
        <v>SA</v>
      </c>
      <c r="H1877" s="15">
        <f t="shared" si="644"/>
        <v>5035</v>
      </c>
      <c r="I1877" s="15">
        <f t="shared" si="655"/>
        <v>1877</v>
      </c>
      <c r="J1877" s="15">
        <f>OrdersTable!B1877</f>
        <v>373</v>
      </c>
      <c r="K1877" s="15" t="str">
        <f t="shared" si="645"/>
        <v>Clothing and Apparel</v>
      </c>
      <c r="L1877" s="15" t="str">
        <f t="shared" si="646"/>
        <v xml:space="preserve">Doctor Who: T-Shirts: 5th Doctor Costume </v>
      </c>
      <c r="M1877" s="15" t="str">
        <f t="shared" si="647"/>
        <v>L</v>
      </c>
      <c r="N1877" s="15">
        <f t="shared" si="648"/>
        <v>0.8</v>
      </c>
      <c r="O1877" s="15" t="str">
        <f t="shared" si="649"/>
        <v>A20</v>
      </c>
      <c r="P1877" s="15" t="str">
        <f t="shared" si="650"/>
        <v>Morbius Inc.</v>
      </c>
      <c r="Q1877" s="15" t="str">
        <f t="shared" si="651"/>
        <v>56 Michael Spice Hwy</v>
      </c>
      <c r="R1877" s="3">
        <f>OrdersTable!C1877</f>
        <v>44695</v>
      </c>
      <c r="S1877" s="15">
        <f>OrdersTable!E1877</f>
        <v>6</v>
      </c>
      <c r="T1877" s="15">
        <f t="shared" si="652"/>
        <v>15.99</v>
      </c>
      <c r="U1877" s="15">
        <f t="shared" si="653"/>
        <v>22.09</v>
      </c>
      <c r="V1877" s="15">
        <f t="shared" si="654"/>
        <v>25.9</v>
      </c>
      <c r="W1877" s="15">
        <f>IF(MarkupType="Store Markup",ROUND(V1877+V1877*StoreMarkup,2),IF(MarkupType="Supplier Markup",V1877+V1877*SupplierMarkup,"Error at finding value"))</f>
        <v>40.79</v>
      </c>
      <c r="X1877" s="32" t="str">
        <f t="shared" si="656"/>
        <v>0.00</v>
      </c>
      <c r="Y1877" s="15">
        <f t="shared" si="657"/>
        <v>155.4</v>
      </c>
      <c r="Z1877" s="15">
        <f t="shared" si="658"/>
        <v>244.74</v>
      </c>
      <c r="AA1877" s="15">
        <f>IF(FreightType="Lethbridge-Stewart Freight ",ROUND(2.99+IF(N1877&gt;0.75,(N1877-0.75)*2.25,0)*S1877,2),IF(MarkupType="Supplier Markup",V1877+V1877*SupplierMarkup,"Error at finding value"))</f>
        <v>3.67</v>
      </c>
      <c r="AB1877" s="15">
        <f t="shared" si="659"/>
        <v>0</v>
      </c>
    </row>
    <row r="1878" spans="1:28" x14ac:dyDescent="0.25">
      <c r="A1878" s="16">
        <f>OrdersTable!A1878</f>
        <v>538</v>
      </c>
      <c r="B1878" s="15" t="str">
        <f t="shared" si="639"/>
        <v>Dr</v>
      </c>
      <c r="C1878" s="15" t="str">
        <f t="shared" si="660"/>
        <v>Radovic</v>
      </c>
      <c r="D1878" s="15" t="str">
        <f t="shared" si="640"/>
        <v>Harley Benjamin</v>
      </c>
      <c r="E1878" s="15" t="str">
        <f t="shared" si="641"/>
        <v>50 Hocking Way</v>
      </c>
      <c r="F1878" s="15" t="str">
        <f t="shared" si="642"/>
        <v>Bray Park</v>
      </c>
      <c r="G1878" s="15" t="str">
        <f t="shared" si="643"/>
        <v>QLD</v>
      </c>
      <c r="H1878" s="15">
        <f t="shared" si="644"/>
        <v>4500</v>
      </c>
      <c r="I1878" s="15">
        <f t="shared" si="655"/>
        <v>139</v>
      </c>
      <c r="J1878" s="15">
        <f>OrdersTable!B1878</f>
        <v>213</v>
      </c>
      <c r="K1878" s="15" t="str">
        <f t="shared" si="645"/>
        <v>Clothing and Apparel</v>
      </c>
      <c r="L1878" s="15" t="str">
        <f t="shared" si="646"/>
        <v>Doctor Who: Fez and Bow Tie</v>
      </c>
      <c r="M1878" s="15" t="str">
        <f t="shared" si="647"/>
        <v>-</v>
      </c>
      <c r="N1878" s="15">
        <f t="shared" si="648"/>
        <v>0.97499999999999998</v>
      </c>
      <c r="O1878" s="15" t="str">
        <f t="shared" si="649"/>
        <v>A50</v>
      </c>
      <c r="P1878" s="15" t="str">
        <f t="shared" si="650"/>
        <v>Rassilon Ltd.</v>
      </c>
      <c r="Q1878" s="15" t="str">
        <f t="shared" si="651"/>
        <v>82 Richard Mathews Road</v>
      </c>
      <c r="R1878" s="3">
        <f>OrdersTable!C1878</f>
        <v>44695</v>
      </c>
      <c r="S1878" s="15">
        <f>OrdersTable!E1878</f>
        <v>7</v>
      </c>
      <c r="T1878" s="15">
        <f t="shared" si="652"/>
        <v>19.5</v>
      </c>
      <c r="U1878" s="15">
        <f t="shared" si="653"/>
        <v>26.88</v>
      </c>
      <c r="V1878" s="15">
        <f t="shared" si="654"/>
        <v>31.59</v>
      </c>
      <c r="W1878" s="15">
        <f>IF(MarkupType="Store Markup",ROUND(V1878+V1878*StoreMarkup,2),IF(MarkupType="Supplier Markup",V1878+V1878*SupplierMarkup,"Error at finding value"))</f>
        <v>49.75</v>
      </c>
      <c r="X1878" s="32" t="str">
        <f t="shared" si="656"/>
        <v>0.00</v>
      </c>
      <c r="Y1878" s="15">
        <f t="shared" si="657"/>
        <v>221.13</v>
      </c>
      <c r="Z1878" s="15">
        <f t="shared" si="658"/>
        <v>348.25</v>
      </c>
      <c r="AA1878" s="15">
        <f>IF(FreightType="Lethbridge-Stewart Freight ",ROUND(2.99+IF(N1878&gt;0.75,(N1878-0.75)*2.25,0)*S1878,2),IF(MarkupType="Supplier Markup",V1878+V1878*SupplierMarkup,"Error at finding value"))</f>
        <v>6.53</v>
      </c>
      <c r="AB1878" s="15">
        <f t="shared" si="659"/>
        <v>0</v>
      </c>
    </row>
    <row r="1879" spans="1:28" x14ac:dyDescent="0.25">
      <c r="A1879" s="16">
        <f>OrdersTable!A1879</f>
        <v>540</v>
      </c>
      <c r="B1879" s="15" t="str">
        <f t="shared" si="639"/>
        <v>Dr</v>
      </c>
      <c r="C1879" s="15" t="str">
        <f t="shared" si="660"/>
        <v>Hackett</v>
      </c>
      <c r="D1879" s="15" t="str">
        <f t="shared" si="640"/>
        <v>Patrick</v>
      </c>
      <c r="E1879" s="15" t="str">
        <f t="shared" si="641"/>
        <v>25 Sweet Drive</v>
      </c>
      <c r="F1879" s="15" t="str">
        <f t="shared" si="642"/>
        <v>Bridgewater</v>
      </c>
      <c r="G1879" s="15" t="str">
        <f t="shared" si="643"/>
        <v>VIC</v>
      </c>
      <c r="H1879" s="15">
        <f t="shared" si="644"/>
        <v>3516</v>
      </c>
      <c r="I1879" s="15">
        <f t="shared" si="655"/>
        <v>1486</v>
      </c>
      <c r="J1879" s="15">
        <f>OrdersTable!B1879</f>
        <v>590</v>
      </c>
      <c r="K1879" s="15" t="str">
        <f t="shared" si="645"/>
        <v>iPhone Skins</v>
      </c>
      <c r="L1879" s="15" t="str">
        <f t="shared" si="646"/>
        <v>Doctor Who: iPhone Skin: Exploding TARDIS</v>
      </c>
      <c r="M1879" s="15" t="str">
        <f t="shared" si="647"/>
        <v>-</v>
      </c>
      <c r="N1879" s="15">
        <f t="shared" si="648"/>
        <v>0.5</v>
      </c>
      <c r="O1879" s="15" t="str">
        <f t="shared" si="649"/>
        <v>A20</v>
      </c>
      <c r="P1879" s="15" t="str">
        <f t="shared" si="650"/>
        <v>Morbius Inc.</v>
      </c>
      <c r="Q1879" s="15" t="str">
        <f t="shared" si="651"/>
        <v>56 Michael Spice Hwy</v>
      </c>
      <c r="R1879" s="3">
        <f>OrdersTable!C1879</f>
        <v>44695</v>
      </c>
      <c r="S1879" s="15">
        <f>OrdersTable!E1879</f>
        <v>9</v>
      </c>
      <c r="T1879" s="15">
        <f t="shared" si="652"/>
        <v>9.99</v>
      </c>
      <c r="U1879" s="15">
        <f t="shared" si="653"/>
        <v>13.86</v>
      </c>
      <c r="V1879" s="15">
        <f t="shared" si="654"/>
        <v>16.18</v>
      </c>
      <c r="W1879" s="15">
        <f>IF(MarkupType="Store Markup",ROUND(V1879+V1879*StoreMarkup,2),IF(MarkupType="Supplier Markup",V1879+V1879*SupplierMarkup,"Error at finding value"))</f>
        <v>25.48</v>
      </c>
      <c r="X1879" s="32" t="str">
        <f t="shared" si="656"/>
        <v>0.00</v>
      </c>
      <c r="Y1879" s="15">
        <f t="shared" si="657"/>
        <v>145.62</v>
      </c>
      <c r="Z1879" s="15">
        <f t="shared" si="658"/>
        <v>229.32</v>
      </c>
      <c r="AA1879" s="15">
        <f>IF(FreightType="Lethbridge-Stewart Freight ",ROUND(2.99+IF(N1879&gt;0.75,(N1879-0.75)*2.25,0)*S1879,2),IF(MarkupType="Supplier Markup",V1879+V1879*SupplierMarkup,"Error at finding value"))</f>
        <v>2.99</v>
      </c>
      <c r="AB1879" s="15">
        <f t="shared" si="659"/>
        <v>0</v>
      </c>
    </row>
    <row r="1880" spans="1:28" x14ac:dyDescent="0.25">
      <c r="A1880" s="16">
        <f>OrdersTable!A1880</f>
        <v>557</v>
      </c>
      <c r="B1880" s="15" t="str">
        <f t="shared" si="639"/>
        <v>Mrs</v>
      </c>
      <c r="C1880" s="15" t="str">
        <f t="shared" si="660"/>
        <v>Allen</v>
      </c>
      <c r="D1880" s="15" t="str">
        <f t="shared" si="640"/>
        <v>Morgan</v>
      </c>
      <c r="E1880" s="15" t="str">
        <f t="shared" si="641"/>
        <v>15 Winsor Street</v>
      </c>
      <c r="F1880" s="15" t="str">
        <f t="shared" si="642"/>
        <v>Appletree Flat</v>
      </c>
      <c r="G1880" s="15" t="str">
        <f t="shared" si="643"/>
        <v>NSW</v>
      </c>
      <c r="H1880" s="15">
        <f t="shared" si="644"/>
        <v>2330</v>
      </c>
      <c r="I1880" s="15">
        <f t="shared" si="655"/>
        <v>691</v>
      </c>
      <c r="J1880" s="15">
        <f>OrdersTable!B1880</f>
        <v>710</v>
      </c>
      <c r="K1880" s="15" t="str">
        <f t="shared" si="645"/>
        <v>Posters, Prints and Standees</v>
      </c>
      <c r="L1880" s="15" t="str">
        <f t="shared" si="646"/>
        <v>Doctor Who: Poster: Regenerate</v>
      </c>
      <c r="M1880" s="15" t="str">
        <f t="shared" si="647"/>
        <v>-</v>
      </c>
      <c r="N1880" s="15">
        <f t="shared" si="648"/>
        <v>0.2</v>
      </c>
      <c r="O1880" s="15" t="str">
        <f t="shared" si="649"/>
        <v>A40</v>
      </c>
      <c r="P1880" s="15" t="str">
        <f t="shared" si="650"/>
        <v>Romana Imports</v>
      </c>
      <c r="Q1880" s="15" t="str">
        <f t="shared" si="651"/>
        <v>17 Lalla Ward Road</v>
      </c>
      <c r="R1880" s="3">
        <f>OrdersTable!C1880</f>
        <v>44695</v>
      </c>
      <c r="S1880" s="15">
        <f>OrdersTable!E1880</f>
        <v>8</v>
      </c>
      <c r="T1880" s="15">
        <f t="shared" si="652"/>
        <v>3.99</v>
      </c>
      <c r="U1880" s="15">
        <f t="shared" si="653"/>
        <v>5.5</v>
      </c>
      <c r="V1880" s="15">
        <f t="shared" si="654"/>
        <v>6.46</v>
      </c>
      <c r="W1880" s="15">
        <f>IF(MarkupType="Store Markup",ROUND(V1880+V1880*StoreMarkup,2),IF(MarkupType="Supplier Markup",V1880+V1880*SupplierMarkup,"Error at finding value"))</f>
        <v>10.17</v>
      </c>
      <c r="X1880" s="32" t="str">
        <f t="shared" si="656"/>
        <v>0.00</v>
      </c>
      <c r="Y1880" s="15">
        <f t="shared" si="657"/>
        <v>51.68</v>
      </c>
      <c r="Z1880" s="15">
        <f t="shared" si="658"/>
        <v>81.36</v>
      </c>
      <c r="AA1880" s="15">
        <f>IF(FreightType="Lethbridge-Stewart Freight ",ROUND(2.99+IF(N1880&gt;0.75,(N1880-0.75)*2.25,0)*S1880,2),IF(MarkupType="Supplier Markup",V1880+V1880*SupplierMarkup,"Error at finding value"))</f>
        <v>2.99</v>
      </c>
      <c r="AB1880" s="15">
        <f t="shared" si="659"/>
        <v>0</v>
      </c>
    </row>
    <row r="1881" spans="1:28" x14ac:dyDescent="0.25">
      <c r="A1881" s="16">
        <f>OrdersTable!A1881</f>
        <v>568</v>
      </c>
      <c r="B1881" s="15" t="str">
        <f t="shared" si="639"/>
        <v>Mr</v>
      </c>
      <c r="C1881" s="15" t="str">
        <f t="shared" si="660"/>
        <v>Byrne</v>
      </c>
      <c r="D1881" s="15" t="str">
        <f t="shared" si="640"/>
        <v>Gregory James</v>
      </c>
      <c r="E1881" s="15" t="str">
        <f t="shared" si="641"/>
        <v>18 Doroshenko Crescent</v>
      </c>
      <c r="F1881" s="15" t="str">
        <f t="shared" si="642"/>
        <v>Abington</v>
      </c>
      <c r="G1881" s="15" t="str">
        <f t="shared" si="643"/>
        <v>QLD</v>
      </c>
      <c r="H1881" s="15">
        <f t="shared" si="644"/>
        <v>4660</v>
      </c>
      <c r="I1881" s="15">
        <f t="shared" si="655"/>
        <v>336</v>
      </c>
      <c r="J1881" s="15">
        <f>OrdersTable!B1881</f>
        <v>752</v>
      </c>
      <c r="K1881" s="15" t="str">
        <f t="shared" si="645"/>
        <v>Statues and Busts</v>
      </c>
      <c r="L1881" s="15" t="str">
        <f t="shared" si="646"/>
        <v>Doctor Who: Helmet: Cyberman Leader</v>
      </c>
      <c r="M1881" s="15" t="str">
        <f t="shared" si="647"/>
        <v>-</v>
      </c>
      <c r="N1881" s="15">
        <f t="shared" si="648"/>
        <v>2</v>
      </c>
      <c r="O1881" s="15" t="str">
        <f t="shared" si="649"/>
        <v>A30</v>
      </c>
      <c r="P1881" s="15" t="str">
        <f t="shared" si="650"/>
        <v>Chesterton Enterprises</v>
      </c>
      <c r="Q1881" s="15" t="str">
        <f t="shared" si="651"/>
        <v>41 William Russell Road</v>
      </c>
      <c r="R1881" s="3">
        <f>OrdersTable!C1881</f>
        <v>44695</v>
      </c>
      <c r="S1881" s="15">
        <f>OrdersTable!E1881</f>
        <v>8</v>
      </c>
      <c r="T1881" s="15">
        <f t="shared" si="652"/>
        <v>39.99</v>
      </c>
      <c r="U1881" s="15">
        <f t="shared" si="653"/>
        <v>54.85</v>
      </c>
      <c r="V1881" s="15">
        <f t="shared" si="654"/>
        <v>64.78</v>
      </c>
      <c r="W1881" s="15">
        <f>IF(MarkupType="Store Markup",ROUND(V1881+V1881*StoreMarkup,2),IF(MarkupType="Supplier Markup",V1881+V1881*SupplierMarkup,"Error at finding value"))</f>
        <v>102.03</v>
      </c>
      <c r="X1881" s="32">
        <f t="shared" si="656"/>
        <v>7.27</v>
      </c>
      <c r="Y1881" s="15">
        <f t="shared" si="657"/>
        <v>518.24</v>
      </c>
      <c r="Z1881" s="15">
        <f t="shared" si="658"/>
        <v>758.08</v>
      </c>
      <c r="AA1881" s="15">
        <f>IF(FreightType="Lethbridge-Stewart Freight ",ROUND(2.99+IF(N1881&gt;0.75,(N1881-0.75)*2.25,0)*S1881,2),IF(MarkupType="Supplier Markup",V1881+V1881*SupplierMarkup,"Error at finding value"))</f>
        <v>25.49</v>
      </c>
      <c r="AB1881" s="15">
        <f t="shared" si="659"/>
        <v>58.16</v>
      </c>
    </row>
    <row r="1882" spans="1:28" x14ac:dyDescent="0.25">
      <c r="A1882" s="16">
        <f>OrdersTable!A1882</f>
        <v>651</v>
      </c>
      <c r="B1882" s="15" t="str">
        <f t="shared" si="639"/>
        <v>Mr</v>
      </c>
      <c r="C1882" s="15" t="str">
        <f t="shared" si="660"/>
        <v>Wilkes</v>
      </c>
      <c r="D1882" s="15" t="str">
        <f t="shared" si="640"/>
        <v>Harley</v>
      </c>
      <c r="E1882" s="15" t="str">
        <f t="shared" si="641"/>
        <v>12 Locke Circuit</v>
      </c>
      <c r="F1882" s="15" t="str">
        <f t="shared" si="642"/>
        <v>Bray Park</v>
      </c>
      <c r="G1882" s="15" t="str">
        <f t="shared" si="643"/>
        <v>QLD</v>
      </c>
      <c r="H1882" s="15">
        <f t="shared" si="644"/>
        <v>4500</v>
      </c>
      <c r="I1882" s="15">
        <f t="shared" si="655"/>
        <v>139</v>
      </c>
      <c r="J1882" s="15">
        <f>OrdersTable!B1882</f>
        <v>643</v>
      </c>
      <c r="K1882" s="15" t="str">
        <f t="shared" si="645"/>
        <v>Mugs</v>
      </c>
      <c r="L1882" s="15" t="str">
        <f t="shared" si="646"/>
        <v>Doctor Who: Giant Mug: Logo</v>
      </c>
      <c r="M1882" s="15" t="str">
        <f t="shared" si="647"/>
        <v>-</v>
      </c>
      <c r="N1882" s="15">
        <f t="shared" si="648"/>
        <v>0.44500000000000001</v>
      </c>
      <c r="O1882" s="15" t="str">
        <f t="shared" si="649"/>
        <v>A10</v>
      </c>
      <c r="P1882" s="15" t="str">
        <f t="shared" si="650"/>
        <v>Gallifrey International</v>
      </c>
      <c r="Q1882" s="15" t="str">
        <f t="shared" si="651"/>
        <v>181 Arcadia Street</v>
      </c>
      <c r="R1882" s="3">
        <f>OrdersTable!C1882</f>
        <v>44695</v>
      </c>
      <c r="S1882" s="15">
        <f>OrdersTable!E1882</f>
        <v>8</v>
      </c>
      <c r="T1882" s="15">
        <f t="shared" si="652"/>
        <v>8.89</v>
      </c>
      <c r="U1882" s="15">
        <f t="shared" si="653"/>
        <v>12.19</v>
      </c>
      <c r="V1882" s="15">
        <f t="shared" si="654"/>
        <v>14.4</v>
      </c>
      <c r="W1882" s="15">
        <f>IF(MarkupType="Store Markup",ROUND(V1882+V1882*StoreMarkup,2),IF(MarkupType="Supplier Markup",V1882+V1882*SupplierMarkup,"Error at finding value"))</f>
        <v>22.68</v>
      </c>
      <c r="X1882" s="32" t="str">
        <f t="shared" si="656"/>
        <v>0.00</v>
      </c>
      <c r="Y1882" s="15">
        <f t="shared" si="657"/>
        <v>115.2</v>
      </c>
      <c r="Z1882" s="15">
        <f t="shared" si="658"/>
        <v>181.44</v>
      </c>
      <c r="AA1882" s="15">
        <f>IF(FreightType="Lethbridge-Stewart Freight ",ROUND(2.99+IF(N1882&gt;0.75,(N1882-0.75)*2.25,0)*S1882,2),IF(MarkupType="Supplier Markup",V1882+V1882*SupplierMarkup,"Error at finding value"))</f>
        <v>2.99</v>
      </c>
      <c r="AB1882" s="15">
        <f t="shared" si="659"/>
        <v>0</v>
      </c>
    </row>
    <row r="1883" spans="1:28" x14ac:dyDescent="0.25">
      <c r="A1883" s="16">
        <f>OrdersTable!A1883</f>
        <v>784</v>
      </c>
      <c r="B1883" s="15" t="str">
        <f t="shared" si="639"/>
        <v>Ms</v>
      </c>
      <c r="C1883" s="15" t="str">
        <f t="shared" si="660"/>
        <v>Hansen</v>
      </c>
      <c r="D1883" s="15" t="str">
        <f t="shared" si="640"/>
        <v>Courtney Michelle</v>
      </c>
      <c r="E1883" s="15" t="str">
        <f t="shared" si="641"/>
        <v>22 Elliot Crescent</v>
      </c>
      <c r="F1883" s="15" t="str">
        <f t="shared" si="642"/>
        <v>Alfredtown</v>
      </c>
      <c r="G1883" s="15" t="str">
        <f t="shared" si="643"/>
        <v>NSW</v>
      </c>
      <c r="H1883" s="15">
        <f t="shared" si="644"/>
        <v>2650</v>
      </c>
      <c r="I1883" s="15">
        <f t="shared" si="655"/>
        <v>1124</v>
      </c>
      <c r="J1883" s="15">
        <f>OrdersTable!B1883</f>
        <v>563</v>
      </c>
      <c r="K1883" s="15" t="str">
        <f t="shared" si="645"/>
        <v>Giftware</v>
      </c>
      <c r="L1883" s="15" t="str">
        <f t="shared" si="646"/>
        <v>Doctor Who: TARDIS Jewellery Box</v>
      </c>
      <c r="M1883" s="15" t="str">
        <f t="shared" si="647"/>
        <v>-</v>
      </c>
      <c r="N1883" s="15">
        <f t="shared" si="648"/>
        <v>1.1499999999999999</v>
      </c>
      <c r="O1883" s="15" t="str">
        <f t="shared" si="649"/>
        <v>A50</v>
      </c>
      <c r="P1883" s="15" t="str">
        <f t="shared" si="650"/>
        <v>Rassilon Ltd.</v>
      </c>
      <c r="Q1883" s="15" t="str">
        <f t="shared" si="651"/>
        <v>82 Richard Mathews Road</v>
      </c>
      <c r="R1883" s="3">
        <f>OrdersTable!C1883</f>
        <v>44695</v>
      </c>
      <c r="S1883" s="15">
        <f>OrdersTable!E1883</f>
        <v>3</v>
      </c>
      <c r="T1883" s="15">
        <f t="shared" si="652"/>
        <v>22.99</v>
      </c>
      <c r="U1883" s="15">
        <f t="shared" si="653"/>
        <v>31.63</v>
      </c>
      <c r="V1883" s="15">
        <f t="shared" si="654"/>
        <v>37.24</v>
      </c>
      <c r="W1883" s="15">
        <f>IF(MarkupType="Store Markup",ROUND(V1883+V1883*StoreMarkup,2),IF(MarkupType="Supplier Markup",V1883+V1883*SupplierMarkup,"Error at finding value"))</f>
        <v>58.65</v>
      </c>
      <c r="X1883" s="32" t="str">
        <f t="shared" si="656"/>
        <v>0.00</v>
      </c>
      <c r="Y1883" s="15">
        <f t="shared" si="657"/>
        <v>111.72</v>
      </c>
      <c r="Z1883" s="15">
        <f t="shared" si="658"/>
        <v>175.95</v>
      </c>
      <c r="AA1883" s="15">
        <f>IF(FreightType="Lethbridge-Stewart Freight ",ROUND(2.99+IF(N1883&gt;0.75,(N1883-0.75)*2.25,0)*S1883,2),IF(MarkupType="Supplier Markup",V1883+V1883*SupplierMarkup,"Error at finding value"))</f>
        <v>5.69</v>
      </c>
      <c r="AB1883" s="15">
        <f t="shared" si="659"/>
        <v>0</v>
      </c>
    </row>
    <row r="1884" spans="1:28" x14ac:dyDescent="0.25">
      <c r="A1884" s="16">
        <f>OrdersTable!A1884</f>
        <v>843</v>
      </c>
      <c r="B1884" s="15" t="str">
        <f t="shared" si="639"/>
        <v>Mr</v>
      </c>
      <c r="C1884" s="15" t="str">
        <f t="shared" si="660"/>
        <v>Goodwin</v>
      </c>
      <c r="D1884" s="15" t="str">
        <f t="shared" si="640"/>
        <v>Damon Joel</v>
      </c>
      <c r="E1884" s="15" t="str">
        <f t="shared" si="641"/>
        <v>40 Powell Boulevard</v>
      </c>
      <c r="F1884" s="15" t="str">
        <f t="shared" si="642"/>
        <v>Abington</v>
      </c>
      <c r="G1884" s="15" t="str">
        <f t="shared" si="643"/>
        <v>QLD</v>
      </c>
      <c r="H1884" s="15">
        <f t="shared" si="644"/>
        <v>4660</v>
      </c>
      <c r="I1884" s="15">
        <f t="shared" si="655"/>
        <v>336</v>
      </c>
      <c r="J1884" s="15">
        <f>OrdersTable!B1884</f>
        <v>395</v>
      </c>
      <c r="K1884" s="15" t="str">
        <f t="shared" si="645"/>
        <v>Clothing and Apparel</v>
      </c>
      <c r="L1884" s="15" t="str">
        <f t="shared" si="646"/>
        <v xml:space="preserve">Doctor Who: T-Shirts: 7th Doctor Costume </v>
      </c>
      <c r="M1884" s="15" t="str">
        <f t="shared" si="647"/>
        <v>L</v>
      </c>
      <c r="N1884" s="15">
        <f t="shared" si="648"/>
        <v>0.8</v>
      </c>
      <c r="O1884" s="15" t="str">
        <f t="shared" si="649"/>
        <v>A10</v>
      </c>
      <c r="P1884" s="15" t="str">
        <f t="shared" si="650"/>
        <v>Gallifrey International</v>
      </c>
      <c r="Q1884" s="15" t="str">
        <f t="shared" si="651"/>
        <v>181 Arcadia Street</v>
      </c>
      <c r="R1884" s="3">
        <f>OrdersTable!C1884</f>
        <v>44695</v>
      </c>
      <c r="S1884" s="15">
        <f>OrdersTable!E1884</f>
        <v>4</v>
      </c>
      <c r="T1884" s="15">
        <f t="shared" si="652"/>
        <v>15.99</v>
      </c>
      <c r="U1884" s="15">
        <f t="shared" si="653"/>
        <v>22.07</v>
      </c>
      <c r="V1884" s="15">
        <f t="shared" si="654"/>
        <v>25.9</v>
      </c>
      <c r="W1884" s="15">
        <f>IF(MarkupType="Store Markup",ROUND(V1884+V1884*StoreMarkup,2),IF(MarkupType="Supplier Markup",V1884+V1884*SupplierMarkup,"Error at finding value"))</f>
        <v>40.79</v>
      </c>
      <c r="X1884" s="32" t="str">
        <f t="shared" si="656"/>
        <v>0.00</v>
      </c>
      <c r="Y1884" s="15">
        <f t="shared" si="657"/>
        <v>103.6</v>
      </c>
      <c r="Z1884" s="15">
        <f t="shared" si="658"/>
        <v>163.16</v>
      </c>
      <c r="AA1884" s="15">
        <f>IF(FreightType="Lethbridge-Stewart Freight ",ROUND(2.99+IF(N1884&gt;0.75,(N1884-0.75)*2.25,0)*S1884,2),IF(MarkupType="Supplier Markup",V1884+V1884*SupplierMarkup,"Error at finding value"))</f>
        <v>3.44</v>
      </c>
      <c r="AB1884" s="15">
        <f t="shared" si="659"/>
        <v>0</v>
      </c>
    </row>
    <row r="1885" spans="1:28" x14ac:dyDescent="0.25">
      <c r="A1885" s="16">
        <f>OrdersTable!A1885</f>
        <v>843</v>
      </c>
      <c r="B1885" s="15" t="str">
        <f t="shared" si="639"/>
        <v>Mr</v>
      </c>
      <c r="C1885" s="15" t="str">
        <f t="shared" si="660"/>
        <v>Goodwin</v>
      </c>
      <c r="D1885" s="15" t="str">
        <f t="shared" si="640"/>
        <v>Damon Joel</v>
      </c>
      <c r="E1885" s="15" t="str">
        <f t="shared" si="641"/>
        <v>40 Powell Boulevard</v>
      </c>
      <c r="F1885" s="15" t="str">
        <f t="shared" si="642"/>
        <v>Abington</v>
      </c>
      <c r="G1885" s="15" t="str">
        <f t="shared" si="643"/>
        <v>QLD</v>
      </c>
      <c r="H1885" s="15">
        <f t="shared" si="644"/>
        <v>4660</v>
      </c>
      <c r="I1885" s="15">
        <f t="shared" si="655"/>
        <v>336</v>
      </c>
      <c r="J1885" s="15">
        <f>OrdersTable!B1885</f>
        <v>710</v>
      </c>
      <c r="K1885" s="15" t="str">
        <f t="shared" si="645"/>
        <v>Posters, Prints and Standees</v>
      </c>
      <c r="L1885" s="15" t="str">
        <f t="shared" si="646"/>
        <v>Doctor Who: Poster: Regenerate</v>
      </c>
      <c r="M1885" s="15" t="str">
        <f t="shared" si="647"/>
        <v>-</v>
      </c>
      <c r="N1885" s="15">
        <f t="shared" si="648"/>
        <v>0.2</v>
      </c>
      <c r="O1885" s="15" t="str">
        <f t="shared" si="649"/>
        <v>A40</v>
      </c>
      <c r="P1885" s="15" t="str">
        <f t="shared" si="650"/>
        <v>Romana Imports</v>
      </c>
      <c r="Q1885" s="15" t="str">
        <f t="shared" si="651"/>
        <v>17 Lalla Ward Road</v>
      </c>
      <c r="R1885" s="3">
        <f>OrdersTable!C1885</f>
        <v>44695</v>
      </c>
      <c r="S1885" s="15">
        <f>OrdersTable!E1885</f>
        <v>6</v>
      </c>
      <c r="T1885" s="15">
        <f t="shared" si="652"/>
        <v>3.99</v>
      </c>
      <c r="U1885" s="15">
        <f t="shared" si="653"/>
        <v>5.5</v>
      </c>
      <c r="V1885" s="15">
        <f t="shared" si="654"/>
        <v>6.46</v>
      </c>
      <c r="W1885" s="15">
        <f>IF(MarkupType="Store Markup",ROUND(V1885+V1885*StoreMarkup,2),IF(MarkupType="Supplier Markup",V1885+V1885*SupplierMarkup,"Error at finding value"))</f>
        <v>10.17</v>
      </c>
      <c r="X1885" s="32" t="str">
        <f t="shared" si="656"/>
        <v>0.00</v>
      </c>
      <c r="Y1885" s="15">
        <f t="shared" si="657"/>
        <v>38.76</v>
      </c>
      <c r="Z1885" s="15">
        <f t="shared" si="658"/>
        <v>61.02</v>
      </c>
      <c r="AA1885" s="15">
        <f>IF(FreightType="Lethbridge-Stewart Freight ",ROUND(2.99+IF(N1885&gt;0.75,(N1885-0.75)*2.25,0)*S1885,2),IF(MarkupType="Supplier Markup",V1885+V1885*SupplierMarkup,"Error at finding value"))</f>
        <v>2.99</v>
      </c>
      <c r="AB1885" s="15">
        <f t="shared" si="659"/>
        <v>0</v>
      </c>
    </row>
    <row r="1886" spans="1:28" x14ac:dyDescent="0.25">
      <c r="A1886" s="16">
        <f>OrdersTable!A1886</f>
        <v>282</v>
      </c>
      <c r="B1886" s="15" t="str">
        <f t="shared" si="639"/>
        <v>Dr</v>
      </c>
      <c r="C1886" s="15" t="str">
        <f t="shared" si="660"/>
        <v>Johnson</v>
      </c>
      <c r="D1886" s="15" t="str">
        <f t="shared" si="640"/>
        <v>Samantha Emily Louise</v>
      </c>
      <c r="E1886" s="15" t="str">
        <f t="shared" si="641"/>
        <v>2 Wiggan Avenue</v>
      </c>
      <c r="F1886" s="15" t="str">
        <f t="shared" si="642"/>
        <v>Boston</v>
      </c>
      <c r="G1886" s="15" t="str">
        <f t="shared" si="643"/>
        <v>SA</v>
      </c>
      <c r="H1886" s="15">
        <f t="shared" si="644"/>
        <v>5607</v>
      </c>
      <c r="I1886" s="15">
        <f t="shared" si="655"/>
        <v>2076</v>
      </c>
      <c r="J1886" s="15">
        <f>OrdersTable!B1886</f>
        <v>543</v>
      </c>
      <c r="K1886" s="15" t="str">
        <f t="shared" si="645"/>
        <v>Giftware</v>
      </c>
      <c r="L1886" s="15" t="str">
        <f t="shared" si="646"/>
        <v>Doctor Who: Sonic Screwdriver Pen</v>
      </c>
      <c r="M1886" s="15" t="str">
        <f t="shared" si="647"/>
        <v>-</v>
      </c>
      <c r="N1886" s="15">
        <f t="shared" si="648"/>
        <v>0.65</v>
      </c>
      <c r="O1886" s="15" t="str">
        <f t="shared" si="649"/>
        <v>A20</v>
      </c>
      <c r="P1886" s="15" t="str">
        <f t="shared" si="650"/>
        <v>Morbius Inc.</v>
      </c>
      <c r="Q1886" s="15" t="str">
        <f t="shared" si="651"/>
        <v>56 Michael Spice Hwy</v>
      </c>
      <c r="R1886" s="3">
        <f>OrdersTable!C1886</f>
        <v>44696</v>
      </c>
      <c r="S1886" s="15">
        <f>OrdersTable!E1886</f>
        <v>4</v>
      </c>
      <c r="T1886" s="15">
        <f t="shared" si="652"/>
        <v>12.99</v>
      </c>
      <c r="U1886" s="15">
        <f t="shared" si="653"/>
        <v>18.02</v>
      </c>
      <c r="V1886" s="15">
        <f t="shared" si="654"/>
        <v>21.04</v>
      </c>
      <c r="W1886" s="15">
        <f>IF(MarkupType="Store Markup",ROUND(V1886+V1886*StoreMarkup,2),IF(MarkupType="Supplier Markup",V1886+V1886*SupplierMarkup,"Error at finding value"))</f>
        <v>33.14</v>
      </c>
      <c r="X1886" s="32" t="str">
        <f t="shared" si="656"/>
        <v>0.00</v>
      </c>
      <c r="Y1886" s="15">
        <f t="shared" si="657"/>
        <v>84.16</v>
      </c>
      <c r="Z1886" s="15">
        <f t="shared" si="658"/>
        <v>132.56</v>
      </c>
      <c r="AA1886" s="15">
        <f>IF(FreightType="Lethbridge-Stewart Freight ",ROUND(2.99+IF(N1886&gt;0.75,(N1886-0.75)*2.25,0)*S1886,2),IF(MarkupType="Supplier Markup",V1886+V1886*SupplierMarkup,"Error at finding value"))</f>
        <v>2.99</v>
      </c>
      <c r="AB1886" s="15">
        <f t="shared" si="659"/>
        <v>0</v>
      </c>
    </row>
    <row r="1887" spans="1:28" x14ac:dyDescent="0.25">
      <c r="A1887" s="16">
        <f>OrdersTable!A1887</f>
        <v>302</v>
      </c>
      <c r="B1887" s="15" t="str">
        <f t="shared" si="639"/>
        <v>Ms</v>
      </c>
      <c r="C1887" s="15" t="str">
        <f t="shared" si="660"/>
        <v>Lamshed</v>
      </c>
      <c r="D1887" s="15" t="str">
        <f t="shared" si="640"/>
        <v>Laura Clare</v>
      </c>
      <c r="E1887" s="15" t="str">
        <f t="shared" si="641"/>
        <v>22 Edser Drive</v>
      </c>
      <c r="F1887" s="15" t="str">
        <f t="shared" si="642"/>
        <v>Caliph</v>
      </c>
      <c r="G1887" s="15" t="str">
        <f t="shared" si="643"/>
        <v>SA</v>
      </c>
      <c r="H1887" s="15">
        <f t="shared" si="644"/>
        <v>5310</v>
      </c>
      <c r="I1887" s="15">
        <f t="shared" si="655"/>
        <v>1720</v>
      </c>
      <c r="J1887" s="15">
        <f>OrdersTable!B1887</f>
        <v>395</v>
      </c>
      <c r="K1887" s="15" t="str">
        <f t="shared" si="645"/>
        <v>Clothing and Apparel</v>
      </c>
      <c r="L1887" s="15" t="str">
        <f t="shared" si="646"/>
        <v xml:space="preserve">Doctor Who: T-Shirts: 7th Doctor Costume </v>
      </c>
      <c r="M1887" s="15" t="str">
        <f t="shared" si="647"/>
        <v>L</v>
      </c>
      <c r="N1887" s="15">
        <f t="shared" si="648"/>
        <v>0.8</v>
      </c>
      <c r="O1887" s="15" t="str">
        <f t="shared" si="649"/>
        <v>A10</v>
      </c>
      <c r="P1887" s="15" t="str">
        <f t="shared" si="650"/>
        <v>Gallifrey International</v>
      </c>
      <c r="Q1887" s="15" t="str">
        <f t="shared" si="651"/>
        <v>181 Arcadia Street</v>
      </c>
      <c r="R1887" s="3">
        <f>OrdersTable!C1887</f>
        <v>44696</v>
      </c>
      <c r="S1887" s="15">
        <f>OrdersTable!E1887</f>
        <v>5</v>
      </c>
      <c r="T1887" s="15">
        <f t="shared" si="652"/>
        <v>15.99</v>
      </c>
      <c r="U1887" s="15">
        <f t="shared" si="653"/>
        <v>22.07</v>
      </c>
      <c r="V1887" s="15">
        <f t="shared" si="654"/>
        <v>25.9</v>
      </c>
      <c r="W1887" s="15">
        <f>IF(MarkupType="Store Markup",ROUND(V1887+V1887*StoreMarkup,2),IF(MarkupType="Supplier Markup",V1887+V1887*SupplierMarkup,"Error at finding value"))</f>
        <v>40.79</v>
      </c>
      <c r="X1887" s="32" t="str">
        <f t="shared" si="656"/>
        <v>0.00</v>
      </c>
      <c r="Y1887" s="15">
        <f t="shared" si="657"/>
        <v>129.5</v>
      </c>
      <c r="Z1887" s="15">
        <f t="shared" si="658"/>
        <v>203.95</v>
      </c>
      <c r="AA1887" s="15">
        <f>IF(FreightType="Lethbridge-Stewart Freight ",ROUND(2.99+IF(N1887&gt;0.75,(N1887-0.75)*2.25,0)*S1887,2),IF(MarkupType="Supplier Markup",V1887+V1887*SupplierMarkup,"Error at finding value"))</f>
        <v>3.55</v>
      </c>
      <c r="AB1887" s="15">
        <f t="shared" si="659"/>
        <v>0</v>
      </c>
    </row>
    <row r="1888" spans="1:28" x14ac:dyDescent="0.25">
      <c r="A1888" s="16">
        <f>OrdersTable!A1888</f>
        <v>328</v>
      </c>
      <c r="B1888" s="15" t="str">
        <f t="shared" si="639"/>
        <v>Dr</v>
      </c>
      <c r="C1888" s="15" t="str">
        <f t="shared" si="660"/>
        <v>Ward</v>
      </c>
      <c r="D1888" s="15" t="str">
        <f t="shared" si="640"/>
        <v>Keiren Nicholas</v>
      </c>
      <c r="E1888" s="15" t="str">
        <f t="shared" si="641"/>
        <v>13 Green Crescent</v>
      </c>
      <c r="F1888" s="15" t="str">
        <f t="shared" si="642"/>
        <v>Breakwater</v>
      </c>
      <c r="G1888" s="15" t="str">
        <f t="shared" si="643"/>
        <v>VIC</v>
      </c>
      <c r="H1888" s="15">
        <f t="shared" si="644"/>
        <v>3219</v>
      </c>
      <c r="I1888" s="15">
        <f t="shared" si="655"/>
        <v>1596</v>
      </c>
      <c r="J1888" s="15">
        <f>OrdersTable!B1888</f>
        <v>282</v>
      </c>
      <c r="K1888" s="15" t="str">
        <f t="shared" si="645"/>
        <v>Clothing and Apparel</v>
      </c>
      <c r="L1888" s="15" t="str">
        <f t="shared" si="646"/>
        <v>Doctor Who: Tardis Laplander Hat</v>
      </c>
      <c r="M1888" s="15" t="str">
        <f t="shared" si="647"/>
        <v>-</v>
      </c>
      <c r="N1888" s="15">
        <f t="shared" si="648"/>
        <v>0.97499999999999998</v>
      </c>
      <c r="O1888" s="15" t="str">
        <f t="shared" si="649"/>
        <v>A10</v>
      </c>
      <c r="P1888" s="15" t="str">
        <f t="shared" si="650"/>
        <v>Gallifrey International</v>
      </c>
      <c r="Q1888" s="15" t="str">
        <f t="shared" si="651"/>
        <v>181 Arcadia Street</v>
      </c>
      <c r="R1888" s="3">
        <f>OrdersTable!C1888</f>
        <v>44696</v>
      </c>
      <c r="S1888" s="15">
        <f>OrdersTable!E1888</f>
        <v>2</v>
      </c>
      <c r="T1888" s="15">
        <f t="shared" si="652"/>
        <v>19.5</v>
      </c>
      <c r="U1888" s="15">
        <f t="shared" si="653"/>
        <v>26.93</v>
      </c>
      <c r="V1888" s="15">
        <f t="shared" si="654"/>
        <v>31.59</v>
      </c>
      <c r="W1888" s="15">
        <f>IF(MarkupType="Store Markup",ROUND(V1888+V1888*StoreMarkup,2),IF(MarkupType="Supplier Markup",V1888+V1888*SupplierMarkup,"Error at finding value"))</f>
        <v>49.75</v>
      </c>
      <c r="X1888" s="32" t="str">
        <f t="shared" si="656"/>
        <v>0.00</v>
      </c>
      <c r="Y1888" s="15">
        <f t="shared" si="657"/>
        <v>63.18</v>
      </c>
      <c r="Z1888" s="15">
        <f t="shared" si="658"/>
        <v>99.5</v>
      </c>
      <c r="AA1888" s="15">
        <f>IF(FreightType="Lethbridge-Stewart Freight ",ROUND(2.99+IF(N1888&gt;0.75,(N1888-0.75)*2.25,0)*S1888,2),IF(MarkupType="Supplier Markup",V1888+V1888*SupplierMarkup,"Error at finding value"))</f>
        <v>4</v>
      </c>
      <c r="AB1888" s="15">
        <f t="shared" si="659"/>
        <v>0</v>
      </c>
    </row>
    <row r="1889" spans="1:28" x14ac:dyDescent="0.25">
      <c r="A1889" s="16">
        <f>OrdersTable!A1889</f>
        <v>330</v>
      </c>
      <c r="B1889" s="15" t="str">
        <f t="shared" si="639"/>
        <v>Mr</v>
      </c>
      <c r="C1889" s="15" t="str">
        <f t="shared" si="660"/>
        <v>Liesegang</v>
      </c>
      <c r="D1889" s="15" t="str">
        <f t="shared" si="640"/>
        <v>Darcey Michelle</v>
      </c>
      <c r="E1889" s="15" t="str">
        <f t="shared" si="641"/>
        <v>50 McCann Drive</v>
      </c>
      <c r="F1889" s="15" t="str">
        <f t="shared" si="642"/>
        <v>Binduli</v>
      </c>
      <c r="G1889" s="15" t="str">
        <f t="shared" si="643"/>
        <v>WA</v>
      </c>
      <c r="H1889" s="15">
        <f t="shared" si="644"/>
        <v>6430</v>
      </c>
      <c r="I1889" s="15">
        <f t="shared" si="655"/>
        <v>3543</v>
      </c>
      <c r="J1889" s="15">
        <f>OrdersTable!B1889</f>
        <v>395</v>
      </c>
      <c r="K1889" s="15" t="str">
        <f t="shared" si="645"/>
        <v>Clothing and Apparel</v>
      </c>
      <c r="L1889" s="15" t="str">
        <f t="shared" si="646"/>
        <v xml:space="preserve">Doctor Who: T-Shirts: 7th Doctor Costume </v>
      </c>
      <c r="M1889" s="15" t="str">
        <f t="shared" si="647"/>
        <v>L</v>
      </c>
      <c r="N1889" s="15">
        <f t="shared" si="648"/>
        <v>0.8</v>
      </c>
      <c r="O1889" s="15" t="str">
        <f t="shared" si="649"/>
        <v>A10</v>
      </c>
      <c r="P1889" s="15" t="str">
        <f t="shared" si="650"/>
        <v>Gallifrey International</v>
      </c>
      <c r="Q1889" s="15" t="str">
        <f t="shared" si="651"/>
        <v>181 Arcadia Street</v>
      </c>
      <c r="R1889" s="3">
        <f>OrdersTable!C1889</f>
        <v>44696</v>
      </c>
      <c r="S1889" s="15">
        <f>OrdersTable!E1889</f>
        <v>10</v>
      </c>
      <c r="T1889" s="15">
        <f t="shared" si="652"/>
        <v>15.99</v>
      </c>
      <c r="U1889" s="15">
        <f t="shared" si="653"/>
        <v>22.07</v>
      </c>
      <c r="V1889" s="15">
        <f t="shared" si="654"/>
        <v>25.9</v>
      </c>
      <c r="W1889" s="15">
        <f>IF(MarkupType="Store Markup",ROUND(V1889+V1889*StoreMarkup,2),IF(MarkupType="Supplier Markup",V1889+V1889*SupplierMarkup,"Error at finding value"))</f>
        <v>40.79</v>
      </c>
      <c r="X1889" s="32" t="str">
        <f t="shared" si="656"/>
        <v>0.00</v>
      </c>
      <c r="Y1889" s="15">
        <f t="shared" si="657"/>
        <v>259</v>
      </c>
      <c r="Z1889" s="15">
        <f t="shared" si="658"/>
        <v>407.9</v>
      </c>
      <c r="AA1889" s="15">
        <f>IF(FreightType="Lethbridge-Stewart Freight ",ROUND(2.99+IF(N1889&gt;0.75,(N1889-0.75)*2.25,0)*S1889,2),IF(MarkupType="Supplier Markup",V1889+V1889*SupplierMarkup,"Error at finding value"))</f>
        <v>4.12</v>
      </c>
      <c r="AB1889" s="15">
        <f t="shared" si="659"/>
        <v>0</v>
      </c>
    </row>
    <row r="1890" spans="1:28" x14ac:dyDescent="0.25">
      <c r="A1890" s="16">
        <f>OrdersTable!A1890</f>
        <v>330</v>
      </c>
      <c r="B1890" s="15" t="str">
        <f t="shared" si="639"/>
        <v>Mr</v>
      </c>
      <c r="C1890" s="15" t="str">
        <f t="shared" si="660"/>
        <v>Liesegang</v>
      </c>
      <c r="D1890" s="15" t="str">
        <f t="shared" si="640"/>
        <v>Darcey Michelle</v>
      </c>
      <c r="E1890" s="15" t="str">
        <f t="shared" si="641"/>
        <v>50 McCann Drive</v>
      </c>
      <c r="F1890" s="15" t="str">
        <f t="shared" si="642"/>
        <v>Binduli</v>
      </c>
      <c r="G1890" s="15" t="str">
        <f t="shared" si="643"/>
        <v>WA</v>
      </c>
      <c r="H1890" s="15">
        <f t="shared" si="644"/>
        <v>6430</v>
      </c>
      <c r="I1890" s="15">
        <f t="shared" si="655"/>
        <v>3543</v>
      </c>
      <c r="J1890" s="15">
        <f>OrdersTable!B1890</f>
        <v>683</v>
      </c>
      <c r="K1890" s="15" t="str">
        <f t="shared" si="645"/>
        <v>Mugs</v>
      </c>
      <c r="L1890" s="15" t="str">
        <f t="shared" si="646"/>
        <v>Doctor Who: Mug: The Tenth Doctor</v>
      </c>
      <c r="M1890" s="15" t="str">
        <f t="shared" si="647"/>
        <v>-</v>
      </c>
      <c r="N1890" s="15">
        <f t="shared" si="648"/>
        <v>0.45</v>
      </c>
      <c r="O1890" s="15" t="str">
        <f t="shared" si="649"/>
        <v>A20</v>
      </c>
      <c r="P1890" s="15" t="str">
        <f t="shared" si="650"/>
        <v>Morbius Inc.</v>
      </c>
      <c r="Q1890" s="15" t="str">
        <f t="shared" si="651"/>
        <v>56 Michael Spice Hwy</v>
      </c>
      <c r="R1890" s="3">
        <f>OrdersTable!C1890</f>
        <v>44696</v>
      </c>
      <c r="S1890" s="15">
        <f>OrdersTable!E1890</f>
        <v>2</v>
      </c>
      <c r="T1890" s="15">
        <f t="shared" si="652"/>
        <v>8.99</v>
      </c>
      <c r="U1890" s="15">
        <f t="shared" si="653"/>
        <v>12.54</v>
      </c>
      <c r="V1890" s="15">
        <f t="shared" si="654"/>
        <v>14.56</v>
      </c>
      <c r="W1890" s="15">
        <f>IF(MarkupType="Store Markup",ROUND(V1890+V1890*StoreMarkup,2),IF(MarkupType="Supplier Markup",V1890+V1890*SupplierMarkup,"Error at finding value"))</f>
        <v>22.93</v>
      </c>
      <c r="X1890" s="32" t="str">
        <f t="shared" si="656"/>
        <v>0.00</v>
      </c>
      <c r="Y1890" s="15">
        <f t="shared" si="657"/>
        <v>29.12</v>
      </c>
      <c r="Z1890" s="15">
        <f t="shared" si="658"/>
        <v>45.86</v>
      </c>
      <c r="AA1890" s="15">
        <f>IF(FreightType="Lethbridge-Stewart Freight ",ROUND(2.99+IF(N1890&gt;0.75,(N1890-0.75)*2.25,0)*S1890,2),IF(MarkupType="Supplier Markup",V1890+V1890*SupplierMarkup,"Error at finding value"))</f>
        <v>2.99</v>
      </c>
      <c r="AB1890" s="15">
        <f t="shared" si="659"/>
        <v>0</v>
      </c>
    </row>
    <row r="1891" spans="1:28" x14ac:dyDescent="0.25">
      <c r="A1891" s="16">
        <f>OrdersTable!A1891</f>
        <v>390</v>
      </c>
      <c r="B1891" s="15" t="str">
        <f t="shared" si="639"/>
        <v>Ms</v>
      </c>
      <c r="C1891" s="15" t="str">
        <f t="shared" si="660"/>
        <v>Queen</v>
      </c>
      <c r="D1891" s="15" t="str">
        <f t="shared" si="640"/>
        <v>Joanne</v>
      </c>
      <c r="E1891" s="15" t="str">
        <f t="shared" si="641"/>
        <v>30 Hall Drive</v>
      </c>
      <c r="F1891" s="15" t="str">
        <f t="shared" si="642"/>
        <v>Belconnen</v>
      </c>
      <c r="G1891" s="15" t="str">
        <f t="shared" si="643"/>
        <v>ACT</v>
      </c>
      <c r="H1891" s="15">
        <f t="shared" si="644"/>
        <v>2617</v>
      </c>
      <c r="I1891" s="15">
        <f t="shared" si="655"/>
        <v>1194</v>
      </c>
      <c r="J1891" s="15">
        <f>OrdersTable!B1891</f>
        <v>762</v>
      </c>
      <c r="K1891" s="15" t="str">
        <f t="shared" si="645"/>
        <v>Statues and Busts</v>
      </c>
      <c r="L1891" s="15" t="str">
        <f t="shared" si="646"/>
        <v>Doctor Who: Legends Forever Bust: Patrick Troughton</v>
      </c>
      <c r="M1891" s="15" t="str">
        <f t="shared" si="647"/>
        <v>-</v>
      </c>
      <c r="N1891" s="15">
        <f t="shared" si="648"/>
        <v>1.375</v>
      </c>
      <c r="O1891" s="15" t="str">
        <f t="shared" si="649"/>
        <v>A40</v>
      </c>
      <c r="P1891" s="15" t="str">
        <f t="shared" si="650"/>
        <v>Romana Imports</v>
      </c>
      <c r="Q1891" s="15" t="str">
        <f t="shared" si="651"/>
        <v>17 Lalla Ward Road</v>
      </c>
      <c r="R1891" s="3">
        <f>OrdersTable!C1891</f>
        <v>44696</v>
      </c>
      <c r="S1891" s="15">
        <f>OrdersTable!E1891</f>
        <v>8</v>
      </c>
      <c r="T1891" s="15">
        <f t="shared" si="652"/>
        <v>27.5</v>
      </c>
      <c r="U1891" s="15">
        <f t="shared" si="653"/>
        <v>37.799999999999997</v>
      </c>
      <c r="V1891" s="15">
        <f t="shared" si="654"/>
        <v>44.55</v>
      </c>
      <c r="W1891" s="15">
        <f>IF(MarkupType="Store Markup",ROUND(V1891+V1891*StoreMarkup,2),IF(MarkupType="Supplier Markup",V1891+V1891*SupplierMarkup,"Error at finding value"))</f>
        <v>70.17</v>
      </c>
      <c r="X1891" s="32" t="str">
        <f t="shared" si="656"/>
        <v>0.00</v>
      </c>
      <c r="Y1891" s="15">
        <f t="shared" si="657"/>
        <v>356.4</v>
      </c>
      <c r="Z1891" s="15">
        <f t="shared" si="658"/>
        <v>561.36</v>
      </c>
      <c r="AA1891" s="15">
        <f>IF(FreightType="Lethbridge-Stewart Freight ",ROUND(2.99+IF(N1891&gt;0.75,(N1891-0.75)*2.25,0)*S1891,2),IF(MarkupType="Supplier Markup",V1891+V1891*SupplierMarkup,"Error at finding value"))</f>
        <v>14.24</v>
      </c>
      <c r="AB1891" s="15">
        <f t="shared" si="659"/>
        <v>0</v>
      </c>
    </row>
    <row r="1892" spans="1:28" x14ac:dyDescent="0.25">
      <c r="A1892" s="16">
        <f>OrdersTable!A1892</f>
        <v>568</v>
      </c>
      <c r="B1892" s="15" t="str">
        <f t="shared" si="639"/>
        <v>Mr</v>
      </c>
      <c r="C1892" s="15" t="str">
        <f t="shared" si="660"/>
        <v>Byrne</v>
      </c>
      <c r="D1892" s="15" t="str">
        <f t="shared" si="640"/>
        <v>Gregory James</v>
      </c>
      <c r="E1892" s="15" t="str">
        <f t="shared" si="641"/>
        <v>18 Doroshenko Crescent</v>
      </c>
      <c r="F1892" s="15" t="str">
        <f t="shared" si="642"/>
        <v>Abington</v>
      </c>
      <c r="G1892" s="15" t="str">
        <f t="shared" si="643"/>
        <v>QLD</v>
      </c>
      <c r="H1892" s="15">
        <f t="shared" si="644"/>
        <v>4660</v>
      </c>
      <c r="I1892" s="15">
        <f t="shared" si="655"/>
        <v>336</v>
      </c>
      <c r="J1892" s="15">
        <f>OrdersTable!B1892</f>
        <v>679</v>
      </c>
      <c r="K1892" s="15" t="str">
        <f t="shared" si="645"/>
        <v>Mugs</v>
      </c>
      <c r="L1892" s="15" t="str">
        <f t="shared" si="646"/>
        <v>Doctor Who: Mug: The Fifth Doctor</v>
      </c>
      <c r="M1892" s="15" t="str">
        <f t="shared" si="647"/>
        <v>-</v>
      </c>
      <c r="N1892" s="15">
        <f t="shared" si="648"/>
        <v>0.45</v>
      </c>
      <c r="O1892" s="15" t="str">
        <f t="shared" si="649"/>
        <v>A40</v>
      </c>
      <c r="P1892" s="15" t="str">
        <f t="shared" si="650"/>
        <v>Romana Imports</v>
      </c>
      <c r="Q1892" s="15" t="str">
        <f t="shared" si="651"/>
        <v>17 Lalla Ward Road</v>
      </c>
      <c r="R1892" s="3">
        <f>OrdersTable!C1892</f>
        <v>44696</v>
      </c>
      <c r="S1892" s="15">
        <f>OrdersTable!E1892</f>
        <v>2</v>
      </c>
      <c r="T1892" s="15">
        <f t="shared" si="652"/>
        <v>8.99</v>
      </c>
      <c r="U1892" s="15">
        <f t="shared" si="653"/>
        <v>12.28</v>
      </c>
      <c r="V1892" s="15">
        <f t="shared" si="654"/>
        <v>14.56</v>
      </c>
      <c r="W1892" s="15">
        <f>IF(MarkupType="Store Markup",ROUND(V1892+V1892*StoreMarkup,2),IF(MarkupType="Supplier Markup",V1892+V1892*SupplierMarkup,"Error at finding value"))</f>
        <v>22.93</v>
      </c>
      <c r="X1892" s="32" t="str">
        <f t="shared" si="656"/>
        <v>0.00</v>
      </c>
      <c r="Y1892" s="15">
        <f t="shared" si="657"/>
        <v>29.12</v>
      </c>
      <c r="Z1892" s="15">
        <f t="shared" si="658"/>
        <v>45.86</v>
      </c>
      <c r="AA1892" s="15">
        <f>IF(FreightType="Lethbridge-Stewart Freight ",ROUND(2.99+IF(N1892&gt;0.75,(N1892-0.75)*2.25,0)*S1892,2),IF(MarkupType="Supplier Markup",V1892+V1892*SupplierMarkup,"Error at finding value"))</f>
        <v>2.99</v>
      </c>
      <c r="AB1892" s="15">
        <f t="shared" si="659"/>
        <v>0</v>
      </c>
    </row>
    <row r="1893" spans="1:28" x14ac:dyDescent="0.25">
      <c r="A1893" s="16">
        <f>OrdersTable!A1893</f>
        <v>570</v>
      </c>
      <c r="B1893" s="15" t="str">
        <f t="shared" si="639"/>
        <v>Mr</v>
      </c>
      <c r="C1893" s="15" t="str">
        <f t="shared" si="660"/>
        <v>Adams</v>
      </c>
      <c r="D1893" s="15" t="str">
        <f t="shared" si="640"/>
        <v>Matthew</v>
      </c>
      <c r="E1893" s="15" t="str">
        <f t="shared" si="641"/>
        <v>36 Fenech Avenue</v>
      </c>
      <c r="F1893" s="15" t="str">
        <f t="shared" si="642"/>
        <v>Bray Park</v>
      </c>
      <c r="G1893" s="15" t="str">
        <f t="shared" si="643"/>
        <v>QLD</v>
      </c>
      <c r="H1893" s="15">
        <f t="shared" si="644"/>
        <v>4500</v>
      </c>
      <c r="I1893" s="15">
        <f t="shared" si="655"/>
        <v>139</v>
      </c>
      <c r="J1893" s="15">
        <f>OrdersTable!B1893</f>
        <v>810</v>
      </c>
      <c r="K1893" s="15" t="str">
        <f t="shared" si="645"/>
        <v>Statues and Busts</v>
      </c>
      <c r="L1893" s="15" t="str">
        <f t="shared" si="646"/>
        <v>Doctor Who: Masterpiece Collection Maxi Bust: Amy Pond</v>
      </c>
      <c r="M1893" s="15" t="str">
        <f t="shared" si="647"/>
        <v>-</v>
      </c>
      <c r="N1893" s="15">
        <f t="shared" si="648"/>
        <v>2.5</v>
      </c>
      <c r="O1893" s="15" t="str">
        <f t="shared" si="649"/>
        <v>A50</v>
      </c>
      <c r="P1893" s="15" t="str">
        <f t="shared" si="650"/>
        <v>Rassilon Ltd.</v>
      </c>
      <c r="Q1893" s="15" t="str">
        <f t="shared" si="651"/>
        <v>82 Richard Mathews Road</v>
      </c>
      <c r="R1893" s="3">
        <f>OrdersTable!C1893</f>
        <v>44696</v>
      </c>
      <c r="S1893" s="15">
        <f>OrdersTable!E1893</f>
        <v>6</v>
      </c>
      <c r="T1893" s="15">
        <f t="shared" si="652"/>
        <v>49.99</v>
      </c>
      <c r="U1893" s="15">
        <f t="shared" si="653"/>
        <v>68.260000000000005</v>
      </c>
      <c r="V1893" s="15">
        <f t="shared" si="654"/>
        <v>80.98</v>
      </c>
      <c r="W1893" s="15">
        <f>IF(MarkupType="Store Markup",ROUND(V1893+V1893*StoreMarkup,2),IF(MarkupType="Supplier Markup",V1893+V1893*SupplierMarkup,"Error at finding value"))</f>
        <v>127.54</v>
      </c>
      <c r="X1893" s="32">
        <f t="shared" si="656"/>
        <v>9.09</v>
      </c>
      <c r="Y1893" s="15">
        <f t="shared" si="657"/>
        <v>485.88</v>
      </c>
      <c r="Z1893" s="15">
        <f t="shared" si="658"/>
        <v>710.7</v>
      </c>
      <c r="AA1893" s="15">
        <f>IF(FreightType="Lethbridge-Stewart Freight ",ROUND(2.99+IF(N1893&gt;0.75,(N1893-0.75)*2.25,0)*S1893,2),IF(MarkupType="Supplier Markup",V1893+V1893*SupplierMarkup,"Error at finding value"))</f>
        <v>26.62</v>
      </c>
      <c r="AB1893" s="15">
        <f t="shared" si="659"/>
        <v>54.54</v>
      </c>
    </row>
    <row r="1894" spans="1:28" x14ac:dyDescent="0.25">
      <c r="A1894" s="16">
        <f>OrdersTable!A1894</f>
        <v>585</v>
      </c>
      <c r="B1894" s="15" t="str">
        <f t="shared" si="639"/>
        <v>Miss</v>
      </c>
      <c r="C1894" s="15" t="str">
        <f t="shared" si="660"/>
        <v>Long</v>
      </c>
      <c r="D1894" s="15" t="str">
        <f t="shared" si="640"/>
        <v>Bellinda May</v>
      </c>
      <c r="E1894" s="15" t="str">
        <f t="shared" si="641"/>
        <v>5 Hutcheson Avenue</v>
      </c>
      <c r="F1894" s="15" t="str">
        <f t="shared" si="642"/>
        <v>Glenfern</v>
      </c>
      <c r="G1894" s="15" t="str">
        <f t="shared" si="643"/>
        <v>QLD</v>
      </c>
      <c r="H1894" s="15">
        <f t="shared" si="644"/>
        <v>4515</v>
      </c>
      <c r="I1894" s="15">
        <f t="shared" si="655"/>
        <v>128</v>
      </c>
      <c r="J1894" s="15">
        <f>OrdersTable!B1894</f>
        <v>769</v>
      </c>
      <c r="K1894" s="15" t="str">
        <f t="shared" si="645"/>
        <v>Statues and Busts</v>
      </c>
      <c r="L1894" s="15" t="str">
        <f t="shared" si="646"/>
        <v>Doctor Who: Legends Forever Bust: Tom Baker</v>
      </c>
      <c r="M1894" s="15" t="str">
        <f t="shared" si="647"/>
        <v>-</v>
      </c>
      <c r="N1894" s="15">
        <f t="shared" si="648"/>
        <v>1.375</v>
      </c>
      <c r="O1894" s="15" t="str">
        <f t="shared" si="649"/>
        <v>A30</v>
      </c>
      <c r="P1894" s="15" t="str">
        <f t="shared" si="650"/>
        <v>Chesterton Enterprises</v>
      </c>
      <c r="Q1894" s="15" t="str">
        <f t="shared" si="651"/>
        <v>41 William Russell Road</v>
      </c>
      <c r="R1894" s="3">
        <f>OrdersTable!C1894</f>
        <v>44696</v>
      </c>
      <c r="S1894" s="15">
        <f>OrdersTable!E1894</f>
        <v>8</v>
      </c>
      <c r="T1894" s="15">
        <f t="shared" si="652"/>
        <v>27.5</v>
      </c>
      <c r="U1894" s="15">
        <f t="shared" si="653"/>
        <v>37.76</v>
      </c>
      <c r="V1894" s="15">
        <f t="shared" si="654"/>
        <v>44.55</v>
      </c>
      <c r="W1894" s="15">
        <f>IF(MarkupType="Store Markup",ROUND(V1894+V1894*StoreMarkup,2),IF(MarkupType="Supplier Markup",V1894+V1894*SupplierMarkup,"Error at finding value"))</f>
        <v>70.17</v>
      </c>
      <c r="X1894" s="32" t="str">
        <f t="shared" si="656"/>
        <v>0.00</v>
      </c>
      <c r="Y1894" s="15">
        <f t="shared" si="657"/>
        <v>356.4</v>
      </c>
      <c r="Z1894" s="15">
        <f t="shared" si="658"/>
        <v>561.36</v>
      </c>
      <c r="AA1894" s="15">
        <f>IF(FreightType="Lethbridge-Stewart Freight ",ROUND(2.99+IF(N1894&gt;0.75,(N1894-0.75)*2.25,0)*S1894,2),IF(MarkupType="Supplier Markup",V1894+V1894*SupplierMarkup,"Error at finding value"))</f>
        <v>14.24</v>
      </c>
      <c r="AB1894" s="15">
        <f t="shared" si="659"/>
        <v>0</v>
      </c>
    </row>
    <row r="1895" spans="1:28" x14ac:dyDescent="0.25">
      <c r="A1895" s="16">
        <f>OrdersTable!A1895</f>
        <v>657</v>
      </c>
      <c r="B1895" s="15" t="str">
        <f t="shared" si="639"/>
        <v>Mr</v>
      </c>
      <c r="C1895" s="15" t="str">
        <f t="shared" si="660"/>
        <v>Poljak</v>
      </c>
      <c r="D1895" s="15" t="str">
        <f t="shared" si="640"/>
        <v>Anthony</v>
      </c>
      <c r="E1895" s="15" t="str">
        <f t="shared" si="641"/>
        <v>45 Robertson Boulevard</v>
      </c>
      <c r="F1895" s="15" t="str">
        <f t="shared" si="642"/>
        <v>Iluka</v>
      </c>
      <c r="G1895" s="15" t="str">
        <f t="shared" si="643"/>
        <v>NSW</v>
      </c>
      <c r="H1895" s="15">
        <f t="shared" si="644"/>
        <v>2466</v>
      </c>
      <c r="I1895" s="15">
        <f t="shared" si="655"/>
        <v>347</v>
      </c>
      <c r="J1895" s="15">
        <f>OrdersTable!B1895</f>
        <v>834</v>
      </c>
      <c r="K1895" s="15" t="str">
        <f t="shared" si="645"/>
        <v>Statues and Busts</v>
      </c>
      <c r="L1895" s="15" t="str">
        <f t="shared" si="646"/>
        <v>Doctor Who: Signature Edition Statue: Gallifrey Edition: Matt Smith</v>
      </c>
      <c r="M1895" s="15" t="str">
        <f t="shared" si="647"/>
        <v>-</v>
      </c>
      <c r="N1895" s="15">
        <f t="shared" si="648"/>
        <v>2.5</v>
      </c>
      <c r="O1895" s="15" t="str">
        <f t="shared" si="649"/>
        <v>A30</v>
      </c>
      <c r="P1895" s="15" t="str">
        <f t="shared" si="650"/>
        <v>Chesterton Enterprises</v>
      </c>
      <c r="Q1895" s="15" t="str">
        <f t="shared" si="651"/>
        <v>41 William Russell Road</v>
      </c>
      <c r="R1895" s="3">
        <f>OrdersTable!C1895</f>
        <v>44696</v>
      </c>
      <c r="S1895" s="15">
        <f>OrdersTable!E1895</f>
        <v>10</v>
      </c>
      <c r="T1895" s="15">
        <f t="shared" si="652"/>
        <v>49.99</v>
      </c>
      <c r="U1895" s="15">
        <f t="shared" si="653"/>
        <v>68.52</v>
      </c>
      <c r="V1895" s="15">
        <f t="shared" si="654"/>
        <v>80.98</v>
      </c>
      <c r="W1895" s="15">
        <f>IF(MarkupType="Store Markup",ROUND(V1895+V1895*StoreMarkup,2),IF(MarkupType="Supplier Markup",V1895+V1895*SupplierMarkup,"Error at finding value"))</f>
        <v>127.54</v>
      </c>
      <c r="X1895" s="32">
        <f t="shared" si="656"/>
        <v>9.09</v>
      </c>
      <c r="Y1895" s="15">
        <f t="shared" si="657"/>
        <v>809.8</v>
      </c>
      <c r="Z1895" s="15">
        <f t="shared" si="658"/>
        <v>1184.5</v>
      </c>
      <c r="AA1895" s="15">
        <f>IF(FreightType="Lethbridge-Stewart Freight ",ROUND(2.99+IF(N1895&gt;0.75,(N1895-0.75)*2.25,0)*S1895,2),IF(MarkupType="Supplier Markup",V1895+V1895*SupplierMarkup,"Error at finding value"))</f>
        <v>42.37</v>
      </c>
      <c r="AB1895" s="15">
        <f t="shared" si="659"/>
        <v>90.9</v>
      </c>
    </row>
    <row r="1896" spans="1:28" x14ac:dyDescent="0.25">
      <c r="A1896" s="16">
        <f>OrdersTable!A1896</f>
        <v>761</v>
      </c>
      <c r="B1896" s="15" t="str">
        <f t="shared" si="639"/>
        <v>Miss</v>
      </c>
      <c r="C1896" s="15" t="str">
        <f t="shared" si="660"/>
        <v>Randall</v>
      </c>
      <c r="D1896" s="15" t="str">
        <f t="shared" si="640"/>
        <v>Kylee</v>
      </c>
      <c r="E1896" s="15" t="str">
        <f t="shared" si="641"/>
        <v>45 Cremasco Avenue</v>
      </c>
      <c r="F1896" s="15" t="str">
        <f t="shared" si="642"/>
        <v>Breakwater</v>
      </c>
      <c r="G1896" s="15" t="str">
        <f t="shared" si="643"/>
        <v>VIC</v>
      </c>
      <c r="H1896" s="15">
        <f t="shared" si="644"/>
        <v>3219</v>
      </c>
      <c r="I1896" s="15">
        <f t="shared" si="655"/>
        <v>1596</v>
      </c>
      <c r="J1896" s="15">
        <f>OrdersTable!B1896</f>
        <v>330</v>
      </c>
      <c r="K1896" s="15" t="str">
        <f t="shared" si="645"/>
        <v>Clothing and Apparel</v>
      </c>
      <c r="L1896" s="15" t="str">
        <f t="shared" si="646"/>
        <v xml:space="preserve">Doctor Who: T-Shirts: 4th Doctor Costume </v>
      </c>
      <c r="M1896" s="15" t="str">
        <f t="shared" si="647"/>
        <v>M</v>
      </c>
      <c r="N1896" s="15">
        <f t="shared" si="648"/>
        <v>0.8</v>
      </c>
      <c r="O1896" s="15" t="str">
        <f t="shared" si="649"/>
        <v>A20</v>
      </c>
      <c r="P1896" s="15" t="str">
        <f t="shared" si="650"/>
        <v>Morbius Inc.</v>
      </c>
      <c r="Q1896" s="15" t="str">
        <f t="shared" si="651"/>
        <v>56 Michael Spice Hwy</v>
      </c>
      <c r="R1896" s="3">
        <f>OrdersTable!C1896</f>
        <v>44696</v>
      </c>
      <c r="S1896" s="15">
        <f>OrdersTable!E1896</f>
        <v>4</v>
      </c>
      <c r="T1896" s="15">
        <f t="shared" si="652"/>
        <v>15.99</v>
      </c>
      <c r="U1896" s="15">
        <f t="shared" si="653"/>
        <v>22.03</v>
      </c>
      <c r="V1896" s="15">
        <f t="shared" si="654"/>
        <v>25.9</v>
      </c>
      <c r="W1896" s="15">
        <f>IF(MarkupType="Store Markup",ROUND(V1896+V1896*StoreMarkup,2),IF(MarkupType="Supplier Markup",V1896+V1896*SupplierMarkup,"Error at finding value"))</f>
        <v>40.79</v>
      </c>
      <c r="X1896" s="32" t="str">
        <f t="shared" si="656"/>
        <v>0.00</v>
      </c>
      <c r="Y1896" s="15">
        <f t="shared" si="657"/>
        <v>103.6</v>
      </c>
      <c r="Z1896" s="15">
        <f t="shared" si="658"/>
        <v>163.16</v>
      </c>
      <c r="AA1896" s="15">
        <f>IF(FreightType="Lethbridge-Stewart Freight ",ROUND(2.99+IF(N1896&gt;0.75,(N1896-0.75)*2.25,0)*S1896,2),IF(MarkupType="Supplier Markup",V1896+V1896*SupplierMarkup,"Error at finding value"))</f>
        <v>3.44</v>
      </c>
      <c r="AB1896" s="15">
        <f t="shared" si="659"/>
        <v>0</v>
      </c>
    </row>
    <row r="1897" spans="1:28" x14ac:dyDescent="0.25">
      <c r="A1897" s="16">
        <f>OrdersTable!A1897</f>
        <v>823</v>
      </c>
      <c r="B1897" s="15" t="str">
        <f t="shared" si="639"/>
        <v>Mrs</v>
      </c>
      <c r="C1897" s="15" t="str">
        <f t="shared" si="660"/>
        <v>Riordan</v>
      </c>
      <c r="D1897" s="15" t="str">
        <f t="shared" si="640"/>
        <v>Brianna Leigh</v>
      </c>
      <c r="E1897" s="15" t="str">
        <f t="shared" si="641"/>
        <v>7 Boyd Crescent</v>
      </c>
      <c r="F1897" s="15" t="str">
        <f t="shared" si="642"/>
        <v>Bamboo</v>
      </c>
      <c r="G1897" s="15" t="str">
        <f t="shared" si="643"/>
        <v>QLD</v>
      </c>
      <c r="H1897" s="15">
        <f t="shared" si="644"/>
        <v>4873</v>
      </c>
      <c r="I1897" s="15">
        <f t="shared" si="655"/>
        <v>1741</v>
      </c>
      <c r="J1897" s="15">
        <f>OrdersTable!B1897</f>
        <v>186</v>
      </c>
      <c r="K1897" s="15" t="str">
        <f t="shared" si="645"/>
        <v>Bobbleheads</v>
      </c>
      <c r="L1897" s="15" t="str">
        <f t="shared" si="646"/>
        <v>Doctor Who: Monitor Mate: 50th Anniversary Original TARDIS</v>
      </c>
      <c r="M1897" s="15" t="str">
        <f t="shared" si="647"/>
        <v>-</v>
      </c>
      <c r="N1897" s="15">
        <f t="shared" si="648"/>
        <v>0.45</v>
      </c>
      <c r="O1897" s="15" t="str">
        <f t="shared" si="649"/>
        <v>A20</v>
      </c>
      <c r="P1897" s="15" t="str">
        <f t="shared" si="650"/>
        <v>Morbius Inc.</v>
      </c>
      <c r="Q1897" s="15" t="str">
        <f t="shared" si="651"/>
        <v>56 Michael Spice Hwy</v>
      </c>
      <c r="R1897" s="3">
        <f>OrdersTable!C1897</f>
        <v>44696</v>
      </c>
      <c r="S1897" s="15">
        <f>OrdersTable!E1897</f>
        <v>7</v>
      </c>
      <c r="T1897" s="15">
        <f t="shared" si="652"/>
        <v>8.99</v>
      </c>
      <c r="U1897" s="15">
        <f t="shared" si="653"/>
        <v>12.46</v>
      </c>
      <c r="V1897" s="15">
        <f t="shared" si="654"/>
        <v>14.56</v>
      </c>
      <c r="W1897" s="15">
        <f>IF(MarkupType="Store Markup",ROUND(V1897+V1897*StoreMarkup,2),IF(MarkupType="Supplier Markup",V1897+V1897*SupplierMarkup,"Error at finding value"))</f>
        <v>22.93</v>
      </c>
      <c r="X1897" s="32" t="str">
        <f t="shared" si="656"/>
        <v>0.00</v>
      </c>
      <c r="Y1897" s="15">
        <f t="shared" si="657"/>
        <v>101.92</v>
      </c>
      <c r="Z1897" s="15">
        <f t="shared" si="658"/>
        <v>160.51</v>
      </c>
      <c r="AA1897" s="15">
        <f>IF(FreightType="Lethbridge-Stewart Freight ",ROUND(2.99+IF(N1897&gt;0.75,(N1897-0.75)*2.25,0)*S1897,2),IF(MarkupType="Supplier Markup",V1897+V1897*SupplierMarkup,"Error at finding value"))</f>
        <v>2.99</v>
      </c>
      <c r="AB1897" s="15">
        <f t="shared" si="659"/>
        <v>0</v>
      </c>
    </row>
    <row r="1898" spans="1:28" x14ac:dyDescent="0.25">
      <c r="A1898" s="16">
        <f>OrdersTable!A1898</f>
        <v>823</v>
      </c>
      <c r="B1898" s="15" t="str">
        <f t="shared" si="639"/>
        <v>Mrs</v>
      </c>
      <c r="C1898" s="15" t="str">
        <f t="shared" si="660"/>
        <v>Riordan</v>
      </c>
      <c r="D1898" s="15" t="str">
        <f t="shared" si="640"/>
        <v>Brianna Leigh</v>
      </c>
      <c r="E1898" s="15" t="str">
        <f t="shared" si="641"/>
        <v>7 Boyd Crescent</v>
      </c>
      <c r="F1898" s="15" t="str">
        <f t="shared" si="642"/>
        <v>Bamboo</v>
      </c>
      <c r="G1898" s="15" t="str">
        <f t="shared" si="643"/>
        <v>QLD</v>
      </c>
      <c r="H1898" s="15">
        <f t="shared" si="644"/>
        <v>4873</v>
      </c>
      <c r="I1898" s="15">
        <f t="shared" si="655"/>
        <v>1741</v>
      </c>
      <c r="J1898" s="15">
        <f>OrdersTable!B1898</f>
        <v>219</v>
      </c>
      <c r="K1898" s="15" t="str">
        <f t="shared" si="645"/>
        <v>Clothing and Apparel</v>
      </c>
      <c r="L1898" s="15" t="str">
        <f t="shared" si="646"/>
        <v>Doctor Who: Men's Winter Pyjamas</v>
      </c>
      <c r="M1898" s="15" t="str">
        <f t="shared" si="647"/>
        <v>M</v>
      </c>
      <c r="N1898" s="15">
        <f t="shared" si="648"/>
        <v>1.5</v>
      </c>
      <c r="O1898" s="15" t="str">
        <f t="shared" si="649"/>
        <v>A40</v>
      </c>
      <c r="P1898" s="15" t="str">
        <f t="shared" si="650"/>
        <v>Romana Imports</v>
      </c>
      <c r="Q1898" s="15" t="str">
        <f t="shared" si="651"/>
        <v>17 Lalla Ward Road</v>
      </c>
      <c r="R1898" s="3">
        <f>OrdersTable!C1898</f>
        <v>44696</v>
      </c>
      <c r="S1898" s="15">
        <f>OrdersTable!E1898</f>
        <v>6</v>
      </c>
      <c r="T1898" s="15">
        <f t="shared" si="652"/>
        <v>29.99</v>
      </c>
      <c r="U1898" s="15">
        <f t="shared" si="653"/>
        <v>41.24</v>
      </c>
      <c r="V1898" s="15">
        <f t="shared" si="654"/>
        <v>48.58</v>
      </c>
      <c r="W1898" s="15">
        <f>IF(MarkupType="Store Markup",ROUND(V1898+V1898*StoreMarkup,2),IF(MarkupType="Supplier Markup",V1898+V1898*SupplierMarkup,"Error at finding value"))</f>
        <v>76.510000000000005</v>
      </c>
      <c r="X1898" s="32" t="str">
        <f t="shared" si="656"/>
        <v>0.00</v>
      </c>
      <c r="Y1898" s="15">
        <f t="shared" si="657"/>
        <v>291.48</v>
      </c>
      <c r="Z1898" s="15">
        <f t="shared" si="658"/>
        <v>459.06</v>
      </c>
      <c r="AA1898" s="15">
        <f>IF(FreightType="Lethbridge-Stewart Freight ",ROUND(2.99+IF(N1898&gt;0.75,(N1898-0.75)*2.25,0)*S1898,2),IF(MarkupType="Supplier Markup",V1898+V1898*SupplierMarkup,"Error at finding value"))</f>
        <v>13.12</v>
      </c>
      <c r="AB1898" s="15">
        <f t="shared" si="659"/>
        <v>0</v>
      </c>
    </row>
    <row r="1899" spans="1:28" x14ac:dyDescent="0.25">
      <c r="A1899" s="16">
        <f>OrdersTable!A1899</f>
        <v>884</v>
      </c>
      <c r="B1899" s="15" t="str">
        <f t="shared" si="639"/>
        <v>Mr</v>
      </c>
      <c r="C1899" s="15" t="str">
        <f t="shared" si="660"/>
        <v>Smy</v>
      </c>
      <c r="D1899" s="15" t="str">
        <f t="shared" si="640"/>
        <v>Corey Alexander</v>
      </c>
      <c r="E1899" s="15" t="str">
        <f t="shared" si="641"/>
        <v>47 Lindsay Circuit</v>
      </c>
      <c r="F1899" s="15" t="str">
        <f t="shared" si="642"/>
        <v>Boston</v>
      </c>
      <c r="G1899" s="15" t="str">
        <f t="shared" si="643"/>
        <v>SA</v>
      </c>
      <c r="H1899" s="15">
        <f t="shared" si="644"/>
        <v>5607</v>
      </c>
      <c r="I1899" s="15">
        <f t="shared" si="655"/>
        <v>2076</v>
      </c>
      <c r="J1899" s="15">
        <f>OrdersTable!B1899</f>
        <v>186</v>
      </c>
      <c r="K1899" s="15" t="str">
        <f t="shared" si="645"/>
        <v>Bobbleheads</v>
      </c>
      <c r="L1899" s="15" t="str">
        <f t="shared" si="646"/>
        <v>Doctor Who: Monitor Mate: 50th Anniversary Original TARDIS</v>
      </c>
      <c r="M1899" s="15" t="str">
        <f t="shared" si="647"/>
        <v>-</v>
      </c>
      <c r="N1899" s="15">
        <f t="shared" si="648"/>
        <v>0.45</v>
      </c>
      <c r="O1899" s="15" t="str">
        <f t="shared" si="649"/>
        <v>A20</v>
      </c>
      <c r="P1899" s="15" t="str">
        <f t="shared" si="650"/>
        <v>Morbius Inc.</v>
      </c>
      <c r="Q1899" s="15" t="str">
        <f t="shared" si="651"/>
        <v>56 Michael Spice Hwy</v>
      </c>
      <c r="R1899" s="3">
        <f>OrdersTable!C1899</f>
        <v>44696</v>
      </c>
      <c r="S1899" s="15">
        <f>OrdersTable!E1899</f>
        <v>4</v>
      </c>
      <c r="T1899" s="15">
        <f t="shared" si="652"/>
        <v>8.99</v>
      </c>
      <c r="U1899" s="15">
        <f t="shared" si="653"/>
        <v>12.46</v>
      </c>
      <c r="V1899" s="15">
        <f t="shared" si="654"/>
        <v>14.56</v>
      </c>
      <c r="W1899" s="15">
        <f>IF(MarkupType="Store Markup",ROUND(V1899+V1899*StoreMarkup,2),IF(MarkupType="Supplier Markup",V1899+V1899*SupplierMarkup,"Error at finding value"))</f>
        <v>22.93</v>
      </c>
      <c r="X1899" s="32" t="str">
        <f t="shared" si="656"/>
        <v>0.00</v>
      </c>
      <c r="Y1899" s="15">
        <f t="shared" si="657"/>
        <v>58.24</v>
      </c>
      <c r="Z1899" s="15">
        <f t="shared" si="658"/>
        <v>91.72</v>
      </c>
      <c r="AA1899" s="15">
        <f>IF(FreightType="Lethbridge-Stewart Freight ",ROUND(2.99+IF(N1899&gt;0.75,(N1899-0.75)*2.25,0)*S1899,2),IF(MarkupType="Supplier Markup",V1899+V1899*SupplierMarkup,"Error at finding value"))</f>
        <v>2.99</v>
      </c>
      <c r="AB1899" s="15">
        <f t="shared" si="659"/>
        <v>0</v>
      </c>
    </row>
    <row r="1900" spans="1:28" x14ac:dyDescent="0.25">
      <c r="A1900" s="16">
        <f>OrdersTable!A1900</f>
        <v>254</v>
      </c>
      <c r="B1900" s="15" t="str">
        <f t="shared" si="639"/>
        <v>Miss</v>
      </c>
      <c r="C1900" s="15" t="str">
        <f t="shared" si="660"/>
        <v>Hoolihan</v>
      </c>
      <c r="D1900" s="15" t="str">
        <f t="shared" si="640"/>
        <v>Crystal Claire Grace</v>
      </c>
      <c r="E1900" s="15" t="str">
        <f t="shared" si="641"/>
        <v>7 Van Riet Avenue</v>
      </c>
      <c r="F1900" s="15" t="str">
        <f t="shared" si="642"/>
        <v>Aberfoyle</v>
      </c>
      <c r="G1900" s="15" t="str">
        <f t="shared" si="643"/>
        <v>NSW</v>
      </c>
      <c r="H1900" s="15">
        <f t="shared" si="644"/>
        <v>2350</v>
      </c>
      <c r="I1900" s="15">
        <f t="shared" si="655"/>
        <v>363</v>
      </c>
      <c r="J1900" s="15">
        <f>OrdersTable!B1900</f>
        <v>671</v>
      </c>
      <c r="K1900" s="15" t="str">
        <f t="shared" si="645"/>
        <v>Mugs</v>
      </c>
      <c r="L1900" s="15" t="str">
        <f t="shared" si="646"/>
        <v>Doctor Who: Mug: TARDIS Inside</v>
      </c>
      <c r="M1900" s="15" t="str">
        <f t="shared" si="647"/>
        <v>-</v>
      </c>
      <c r="N1900" s="15">
        <f t="shared" si="648"/>
        <v>0.6</v>
      </c>
      <c r="O1900" s="15" t="str">
        <f t="shared" si="649"/>
        <v>A30</v>
      </c>
      <c r="P1900" s="15" t="str">
        <f t="shared" si="650"/>
        <v>Chesterton Enterprises</v>
      </c>
      <c r="Q1900" s="15" t="str">
        <f t="shared" si="651"/>
        <v>41 William Russell Road</v>
      </c>
      <c r="R1900" s="3">
        <f>OrdersTable!C1900</f>
        <v>44697</v>
      </c>
      <c r="S1900" s="15">
        <f>OrdersTable!E1900</f>
        <v>4</v>
      </c>
      <c r="T1900" s="15">
        <f t="shared" si="652"/>
        <v>11.99</v>
      </c>
      <c r="U1900" s="15">
        <f t="shared" si="653"/>
        <v>16.690000000000001</v>
      </c>
      <c r="V1900" s="15">
        <f t="shared" si="654"/>
        <v>19.420000000000002</v>
      </c>
      <c r="W1900" s="15">
        <f>IF(MarkupType="Store Markup",ROUND(V1900+V1900*StoreMarkup,2),IF(MarkupType="Supplier Markup",V1900+V1900*SupplierMarkup,"Error at finding value"))</f>
        <v>30.59</v>
      </c>
      <c r="X1900" s="32" t="str">
        <f t="shared" si="656"/>
        <v>0.00</v>
      </c>
      <c r="Y1900" s="15">
        <f t="shared" si="657"/>
        <v>77.680000000000007</v>
      </c>
      <c r="Z1900" s="15">
        <f t="shared" si="658"/>
        <v>122.36</v>
      </c>
      <c r="AA1900" s="15">
        <f>IF(FreightType="Lethbridge-Stewart Freight ",ROUND(2.99+IF(N1900&gt;0.75,(N1900-0.75)*2.25,0)*S1900,2),IF(MarkupType="Supplier Markup",V1900+V1900*SupplierMarkup,"Error at finding value"))</f>
        <v>2.99</v>
      </c>
      <c r="AB1900" s="15">
        <f t="shared" si="659"/>
        <v>0</v>
      </c>
    </row>
    <row r="1901" spans="1:28" x14ac:dyDescent="0.25">
      <c r="A1901" s="16">
        <f>OrdersTable!A1901</f>
        <v>328</v>
      </c>
      <c r="B1901" s="15" t="str">
        <f t="shared" si="639"/>
        <v>Dr</v>
      </c>
      <c r="C1901" s="15" t="str">
        <f t="shared" si="660"/>
        <v>Ward</v>
      </c>
      <c r="D1901" s="15" t="str">
        <f t="shared" si="640"/>
        <v>Keiren Nicholas</v>
      </c>
      <c r="E1901" s="15" t="str">
        <f t="shared" si="641"/>
        <v>13 Green Crescent</v>
      </c>
      <c r="F1901" s="15" t="str">
        <f t="shared" si="642"/>
        <v>Breakwater</v>
      </c>
      <c r="G1901" s="15" t="str">
        <f t="shared" si="643"/>
        <v>VIC</v>
      </c>
      <c r="H1901" s="15">
        <f t="shared" si="644"/>
        <v>3219</v>
      </c>
      <c r="I1901" s="15">
        <f t="shared" si="655"/>
        <v>1596</v>
      </c>
      <c r="J1901" s="15">
        <f>OrdersTable!B1901</f>
        <v>826</v>
      </c>
      <c r="K1901" s="15" t="str">
        <f t="shared" si="645"/>
        <v>Statues and Busts</v>
      </c>
      <c r="L1901" s="15" t="str">
        <f t="shared" si="646"/>
        <v>Doctor Who: Mini Bust: Cyberman</v>
      </c>
      <c r="M1901" s="15" t="str">
        <f t="shared" si="647"/>
        <v>-</v>
      </c>
      <c r="N1901" s="15">
        <f t="shared" si="648"/>
        <v>1.8</v>
      </c>
      <c r="O1901" s="15" t="str">
        <f t="shared" si="649"/>
        <v>A40</v>
      </c>
      <c r="P1901" s="15" t="str">
        <f t="shared" si="650"/>
        <v>Romana Imports</v>
      </c>
      <c r="Q1901" s="15" t="str">
        <f t="shared" si="651"/>
        <v>17 Lalla Ward Road</v>
      </c>
      <c r="R1901" s="3">
        <f>OrdersTable!C1901</f>
        <v>44697</v>
      </c>
      <c r="S1901" s="15">
        <f>OrdersTable!E1901</f>
        <v>2</v>
      </c>
      <c r="T1901" s="15">
        <f t="shared" si="652"/>
        <v>35.99</v>
      </c>
      <c r="U1901" s="15">
        <f t="shared" si="653"/>
        <v>49.13</v>
      </c>
      <c r="V1901" s="15">
        <f t="shared" si="654"/>
        <v>58.3</v>
      </c>
      <c r="W1901" s="15">
        <f>IF(MarkupType="Store Markup",ROUND(V1901+V1901*StoreMarkup,2),IF(MarkupType="Supplier Markup",V1901+V1901*SupplierMarkup,"Error at finding value"))</f>
        <v>91.82</v>
      </c>
      <c r="X1901" s="32" t="str">
        <f t="shared" si="656"/>
        <v>0.00</v>
      </c>
      <c r="Y1901" s="15">
        <f t="shared" si="657"/>
        <v>116.6</v>
      </c>
      <c r="Z1901" s="15">
        <f t="shared" si="658"/>
        <v>183.64</v>
      </c>
      <c r="AA1901" s="15">
        <f>IF(FreightType="Lethbridge-Stewart Freight ",ROUND(2.99+IF(N1901&gt;0.75,(N1901-0.75)*2.25,0)*S1901,2),IF(MarkupType="Supplier Markup",V1901+V1901*SupplierMarkup,"Error at finding value"))</f>
        <v>7.72</v>
      </c>
      <c r="AB1901" s="15">
        <f t="shared" si="659"/>
        <v>0</v>
      </c>
    </row>
    <row r="1902" spans="1:28" x14ac:dyDescent="0.25">
      <c r="A1902" s="16">
        <f>OrdersTable!A1902</f>
        <v>390</v>
      </c>
      <c r="B1902" s="15" t="str">
        <f t="shared" si="639"/>
        <v>Ms</v>
      </c>
      <c r="C1902" s="15" t="str">
        <f t="shared" si="660"/>
        <v>Queen</v>
      </c>
      <c r="D1902" s="15" t="str">
        <f t="shared" si="640"/>
        <v>Joanne</v>
      </c>
      <c r="E1902" s="15" t="str">
        <f t="shared" si="641"/>
        <v>30 Hall Drive</v>
      </c>
      <c r="F1902" s="15" t="str">
        <f t="shared" si="642"/>
        <v>Belconnen</v>
      </c>
      <c r="G1902" s="15" t="str">
        <f t="shared" si="643"/>
        <v>ACT</v>
      </c>
      <c r="H1902" s="15">
        <f t="shared" si="644"/>
        <v>2617</v>
      </c>
      <c r="I1902" s="15">
        <f t="shared" si="655"/>
        <v>1194</v>
      </c>
      <c r="J1902" s="15">
        <f>OrdersTable!B1902</f>
        <v>563</v>
      </c>
      <c r="K1902" s="15" t="str">
        <f t="shared" si="645"/>
        <v>Giftware</v>
      </c>
      <c r="L1902" s="15" t="str">
        <f t="shared" si="646"/>
        <v>Doctor Who: TARDIS Jewellery Box</v>
      </c>
      <c r="M1902" s="15" t="str">
        <f t="shared" si="647"/>
        <v>-</v>
      </c>
      <c r="N1902" s="15">
        <f t="shared" si="648"/>
        <v>1.1499999999999999</v>
      </c>
      <c r="O1902" s="15" t="str">
        <f t="shared" si="649"/>
        <v>A50</v>
      </c>
      <c r="P1902" s="15" t="str">
        <f t="shared" si="650"/>
        <v>Rassilon Ltd.</v>
      </c>
      <c r="Q1902" s="15" t="str">
        <f t="shared" si="651"/>
        <v>82 Richard Mathews Road</v>
      </c>
      <c r="R1902" s="3">
        <f>OrdersTable!C1902</f>
        <v>44697</v>
      </c>
      <c r="S1902" s="15">
        <f>OrdersTable!E1902</f>
        <v>7</v>
      </c>
      <c r="T1902" s="15">
        <f t="shared" si="652"/>
        <v>22.99</v>
      </c>
      <c r="U1902" s="15">
        <f t="shared" si="653"/>
        <v>31.63</v>
      </c>
      <c r="V1902" s="15">
        <f t="shared" si="654"/>
        <v>37.24</v>
      </c>
      <c r="W1902" s="15">
        <f>IF(MarkupType="Store Markup",ROUND(V1902+V1902*StoreMarkup,2),IF(MarkupType="Supplier Markup",V1902+V1902*SupplierMarkup,"Error at finding value"))</f>
        <v>58.65</v>
      </c>
      <c r="X1902" s="32" t="str">
        <f t="shared" si="656"/>
        <v>0.00</v>
      </c>
      <c r="Y1902" s="15">
        <f t="shared" si="657"/>
        <v>260.68</v>
      </c>
      <c r="Z1902" s="15">
        <f t="shared" si="658"/>
        <v>410.55</v>
      </c>
      <c r="AA1902" s="15">
        <f>IF(FreightType="Lethbridge-Stewart Freight ",ROUND(2.99+IF(N1902&gt;0.75,(N1902-0.75)*2.25,0)*S1902,2),IF(MarkupType="Supplier Markup",V1902+V1902*SupplierMarkup,"Error at finding value"))</f>
        <v>9.2899999999999991</v>
      </c>
      <c r="AB1902" s="15">
        <f t="shared" si="659"/>
        <v>0</v>
      </c>
    </row>
    <row r="1903" spans="1:28" x14ac:dyDescent="0.25">
      <c r="A1903" s="16">
        <f>OrdersTable!A1903</f>
        <v>531</v>
      </c>
      <c r="B1903" s="15" t="str">
        <f t="shared" si="639"/>
        <v>Ms</v>
      </c>
      <c r="C1903" s="15" t="str">
        <f t="shared" si="660"/>
        <v>Stanton</v>
      </c>
      <c r="D1903" s="15" t="str">
        <f t="shared" si="640"/>
        <v>Sharaze</v>
      </c>
      <c r="E1903" s="15" t="str">
        <f t="shared" si="641"/>
        <v>1 Siddons Crescent</v>
      </c>
      <c r="F1903" s="15" t="str">
        <f t="shared" si="642"/>
        <v>Alfredtown</v>
      </c>
      <c r="G1903" s="15" t="str">
        <f t="shared" si="643"/>
        <v>NSW</v>
      </c>
      <c r="H1903" s="15">
        <f t="shared" si="644"/>
        <v>2650</v>
      </c>
      <c r="I1903" s="15">
        <f t="shared" si="655"/>
        <v>1124</v>
      </c>
      <c r="J1903" s="15">
        <f>OrdersTable!B1903</f>
        <v>530</v>
      </c>
      <c r="K1903" s="15" t="str">
        <f t="shared" si="645"/>
        <v>Giftware</v>
      </c>
      <c r="L1903" s="15" t="str">
        <f t="shared" si="646"/>
        <v>Doctor Who: Keyring TARDIS</v>
      </c>
      <c r="M1903" s="15" t="str">
        <f t="shared" si="647"/>
        <v>-</v>
      </c>
      <c r="N1903" s="15">
        <f t="shared" si="648"/>
        <v>0.25</v>
      </c>
      <c r="O1903" s="15" t="str">
        <f t="shared" si="649"/>
        <v>A20</v>
      </c>
      <c r="P1903" s="15" t="str">
        <f t="shared" si="650"/>
        <v>Morbius Inc.</v>
      </c>
      <c r="Q1903" s="15" t="str">
        <f t="shared" si="651"/>
        <v>56 Michael Spice Hwy</v>
      </c>
      <c r="R1903" s="3">
        <f>OrdersTable!C1903</f>
        <v>44697</v>
      </c>
      <c r="S1903" s="15">
        <f>OrdersTable!E1903</f>
        <v>5</v>
      </c>
      <c r="T1903" s="15">
        <f t="shared" si="652"/>
        <v>4.99</v>
      </c>
      <c r="U1903" s="15">
        <f t="shared" si="653"/>
        <v>7.1</v>
      </c>
      <c r="V1903" s="15">
        <f t="shared" si="654"/>
        <v>8.08</v>
      </c>
      <c r="W1903" s="15">
        <f>IF(MarkupType="Store Markup",ROUND(V1903+V1903*StoreMarkup,2),IF(MarkupType="Supplier Markup",V1903+V1903*SupplierMarkup,"Error at finding value"))</f>
        <v>12.73</v>
      </c>
      <c r="X1903" s="32" t="str">
        <f t="shared" si="656"/>
        <v>0.00</v>
      </c>
      <c r="Y1903" s="15">
        <f t="shared" si="657"/>
        <v>40.4</v>
      </c>
      <c r="Z1903" s="15">
        <f t="shared" si="658"/>
        <v>63.65</v>
      </c>
      <c r="AA1903" s="15">
        <f>IF(FreightType="Lethbridge-Stewart Freight ",ROUND(2.99+IF(N1903&gt;0.75,(N1903-0.75)*2.25,0)*S1903,2),IF(MarkupType="Supplier Markup",V1903+V1903*SupplierMarkup,"Error at finding value"))</f>
        <v>2.99</v>
      </c>
      <c r="AB1903" s="15">
        <f t="shared" si="659"/>
        <v>0</v>
      </c>
    </row>
    <row r="1904" spans="1:28" x14ac:dyDescent="0.25">
      <c r="A1904" s="16">
        <f>OrdersTable!A1904</f>
        <v>573</v>
      </c>
      <c r="B1904" s="15" t="str">
        <f t="shared" si="639"/>
        <v>Mrs</v>
      </c>
      <c r="C1904" s="15" t="str">
        <f t="shared" si="660"/>
        <v>Hollonds</v>
      </c>
      <c r="D1904" s="15" t="str">
        <f t="shared" si="640"/>
        <v>Suzan</v>
      </c>
      <c r="E1904" s="15" t="str">
        <f t="shared" si="641"/>
        <v>49 Patel Way</v>
      </c>
      <c r="F1904" s="15" t="str">
        <f t="shared" si="642"/>
        <v>Belconnen</v>
      </c>
      <c r="G1904" s="15" t="str">
        <f t="shared" si="643"/>
        <v>ACT</v>
      </c>
      <c r="H1904" s="15">
        <f t="shared" si="644"/>
        <v>2617</v>
      </c>
      <c r="I1904" s="15">
        <f t="shared" si="655"/>
        <v>1194</v>
      </c>
      <c r="J1904" s="15">
        <f>OrdersTable!B1904</f>
        <v>583</v>
      </c>
      <c r="K1904" s="15" t="str">
        <f t="shared" si="645"/>
        <v>iPhone Skins</v>
      </c>
      <c r="L1904" s="15" t="str">
        <f t="shared" si="646"/>
        <v>Doctor Who: iPhone Skin: Cyberman Delete</v>
      </c>
      <c r="M1904" s="15" t="str">
        <f t="shared" si="647"/>
        <v>-</v>
      </c>
      <c r="N1904" s="15">
        <f t="shared" si="648"/>
        <v>0.3</v>
      </c>
      <c r="O1904" s="15" t="str">
        <f t="shared" si="649"/>
        <v>A50</v>
      </c>
      <c r="P1904" s="15" t="str">
        <f t="shared" si="650"/>
        <v>Rassilon Ltd.</v>
      </c>
      <c r="Q1904" s="15" t="str">
        <f t="shared" si="651"/>
        <v>82 Richard Mathews Road</v>
      </c>
      <c r="R1904" s="3">
        <f>OrdersTable!C1904</f>
        <v>44697</v>
      </c>
      <c r="S1904" s="15">
        <f>OrdersTable!E1904</f>
        <v>6</v>
      </c>
      <c r="T1904" s="15">
        <f t="shared" si="652"/>
        <v>5.99</v>
      </c>
      <c r="U1904" s="15">
        <f t="shared" si="653"/>
        <v>8.23</v>
      </c>
      <c r="V1904" s="15">
        <f t="shared" si="654"/>
        <v>9.6999999999999993</v>
      </c>
      <c r="W1904" s="15">
        <f>IF(MarkupType="Store Markup",ROUND(V1904+V1904*StoreMarkup,2),IF(MarkupType="Supplier Markup",V1904+V1904*SupplierMarkup,"Error at finding value"))</f>
        <v>15.28</v>
      </c>
      <c r="X1904" s="32" t="str">
        <f t="shared" si="656"/>
        <v>0.00</v>
      </c>
      <c r="Y1904" s="15">
        <f t="shared" si="657"/>
        <v>58.2</v>
      </c>
      <c r="Z1904" s="15">
        <f t="shared" si="658"/>
        <v>91.68</v>
      </c>
      <c r="AA1904" s="15">
        <f>IF(FreightType="Lethbridge-Stewart Freight ",ROUND(2.99+IF(N1904&gt;0.75,(N1904-0.75)*2.25,0)*S1904,2),IF(MarkupType="Supplier Markup",V1904+V1904*SupplierMarkup,"Error at finding value"))</f>
        <v>2.99</v>
      </c>
      <c r="AB1904" s="15">
        <f t="shared" si="659"/>
        <v>0</v>
      </c>
    </row>
    <row r="1905" spans="1:28" x14ac:dyDescent="0.25">
      <c r="A1905" s="16">
        <f>OrdersTable!A1905</f>
        <v>669</v>
      </c>
      <c r="B1905" s="15" t="str">
        <f t="shared" si="639"/>
        <v>Dr</v>
      </c>
      <c r="C1905" s="15" t="str">
        <f t="shared" si="660"/>
        <v>Ferjani</v>
      </c>
      <c r="D1905" s="15" t="str">
        <f t="shared" si="640"/>
        <v>Rabah</v>
      </c>
      <c r="E1905" s="15" t="str">
        <f t="shared" si="641"/>
        <v>2 Codrington Street</v>
      </c>
      <c r="F1905" s="15" t="str">
        <f t="shared" si="642"/>
        <v>Belford</v>
      </c>
      <c r="G1905" s="15" t="str">
        <f t="shared" si="643"/>
        <v>NSW</v>
      </c>
      <c r="H1905" s="15">
        <f t="shared" si="644"/>
        <v>2335</v>
      </c>
      <c r="I1905" s="15">
        <f t="shared" si="655"/>
        <v>716</v>
      </c>
      <c r="J1905" s="15">
        <f>OrdersTable!B1905</f>
        <v>652</v>
      </c>
      <c r="K1905" s="15" t="str">
        <f t="shared" si="645"/>
        <v>Mugs</v>
      </c>
      <c r="L1905" s="15" t="str">
        <f t="shared" si="646"/>
        <v>Doctor Who: Mug: Dalek 2D</v>
      </c>
      <c r="M1905" s="15" t="str">
        <f t="shared" si="647"/>
        <v>-</v>
      </c>
      <c r="N1905" s="15">
        <f t="shared" si="648"/>
        <v>0.35</v>
      </c>
      <c r="O1905" s="15" t="str">
        <f t="shared" si="649"/>
        <v>A10</v>
      </c>
      <c r="P1905" s="15" t="str">
        <f t="shared" si="650"/>
        <v>Gallifrey International</v>
      </c>
      <c r="Q1905" s="15" t="str">
        <f t="shared" si="651"/>
        <v>181 Arcadia Street</v>
      </c>
      <c r="R1905" s="3">
        <f>OrdersTable!C1905</f>
        <v>44697</v>
      </c>
      <c r="S1905" s="15">
        <f>OrdersTable!E1905</f>
        <v>9</v>
      </c>
      <c r="T1905" s="15">
        <f t="shared" si="652"/>
        <v>6.99</v>
      </c>
      <c r="U1905" s="15">
        <f t="shared" si="653"/>
        <v>9.8800000000000008</v>
      </c>
      <c r="V1905" s="15">
        <f t="shared" si="654"/>
        <v>11.32</v>
      </c>
      <c r="W1905" s="15">
        <f>IF(MarkupType="Store Markup",ROUND(V1905+V1905*StoreMarkup,2),IF(MarkupType="Supplier Markup",V1905+V1905*SupplierMarkup,"Error at finding value"))</f>
        <v>17.829999999999998</v>
      </c>
      <c r="X1905" s="32" t="str">
        <f t="shared" si="656"/>
        <v>0.00</v>
      </c>
      <c r="Y1905" s="15">
        <f t="shared" si="657"/>
        <v>101.88</v>
      </c>
      <c r="Z1905" s="15">
        <f t="shared" si="658"/>
        <v>160.47</v>
      </c>
      <c r="AA1905" s="15">
        <f>IF(FreightType="Lethbridge-Stewart Freight ",ROUND(2.99+IF(N1905&gt;0.75,(N1905-0.75)*2.25,0)*S1905,2),IF(MarkupType="Supplier Markup",V1905+V1905*SupplierMarkup,"Error at finding value"))</f>
        <v>2.99</v>
      </c>
      <c r="AB1905" s="15">
        <f t="shared" si="659"/>
        <v>0</v>
      </c>
    </row>
    <row r="1906" spans="1:28" x14ac:dyDescent="0.25">
      <c r="A1906" s="16">
        <f>OrdersTable!A1906</f>
        <v>730</v>
      </c>
      <c r="B1906" s="15" t="str">
        <f t="shared" si="639"/>
        <v>Mr</v>
      </c>
      <c r="C1906" s="15" t="str">
        <f t="shared" si="660"/>
        <v>Romer</v>
      </c>
      <c r="D1906" s="15" t="str">
        <f t="shared" si="640"/>
        <v>Leo Alexander</v>
      </c>
      <c r="E1906" s="15" t="str">
        <f t="shared" si="641"/>
        <v>47 Bennett Circuit</v>
      </c>
      <c r="F1906" s="15" t="str">
        <f t="shared" si="642"/>
        <v>Caliph</v>
      </c>
      <c r="G1906" s="15" t="str">
        <f t="shared" si="643"/>
        <v>SA</v>
      </c>
      <c r="H1906" s="15">
        <f t="shared" si="644"/>
        <v>5310</v>
      </c>
      <c r="I1906" s="15">
        <f t="shared" si="655"/>
        <v>1720</v>
      </c>
      <c r="J1906" s="15">
        <f>OrdersTable!B1906</f>
        <v>331</v>
      </c>
      <c r="K1906" s="15" t="str">
        <f t="shared" si="645"/>
        <v>Clothing and Apparel</v>
      </c>
      <c r="L1906" s="15" t="str">
        <f t="shared" si="646"/>
        <v xml:space="preserve">Doctor Who: T-Shirts: 4th Doctor Costume </v>
      </c>
      <c r="M1906" s="15" t="str">
        <f t="shared" si="647"/>
        <v>L</v>
      </c>
      <c r="N1906" s="15">
        <f t="shared" si="648"/>
        <v>0.8</v>
      </c>
      <c r="O1906" s="15" t="str">
        <f t="shared" si="649"/>
        <v>A20</v>
      </c>
      <c r="P1906" s="15" t="str">
        <f t="shared" si="650"/>
        <v>Morbius Inc.</v>
      </c>
      <c r="Q1906" s="15" t="str">
        <f t="shared" si="651"/>
        <v>56 Michael Spice Hwy</v>
      </c>
      <c r="R1906" s="3">
        <f>OrdersTable!C1906</f>
        <v>44697</v>
      </c>
      <c r="S1906" s="15">
        <f>OrdersTable!E1906</f>
        <v>5</v>
      </c>
      <c r="T1906" s="15">
        <f t="shared" si="652"/>
        <v>15.99</v>
      </c>
      <c r="U1906" s="15">
        <f t="shared" si="653"/>
        <v>22.08</v>
      </c>
      <c r="V1906" s="15">
        <f t="shared" si="654"/>
        <v>25.9</v>
      </c>
      <c r="W1906" s="15">
        <f>IF(MarkupType="Store Markup",ROUND(V1906+V1906*StoreMarkup,2),IF(MarkupType="Supplier Markup",V1906+V1906*SupplierMarkup,"Error at finding value"))</f>
        <v>40.79</v>
      </c>
      <c r="X1906" s="32" t="str">
        <f t="shared" si="656"/>
        <v>0.00</v>
      </c>
      <c r="Y1906" s="15">
        <f t="shared" si="657"/>
        <v>129.5</v>
      </c>
      <c r="Z1906" s="15">
        <f t="shared" si="658"/>
        <v>203.95</v>
      </c>
      <c r="AA1906" s="15">
        <f>IF(FreightType="Lethbridge-Stewart Freight ",ROUND(2.99+IF(N1906&gt;0.75,(N1906-0.75)*2.25,0)*S1906,2),IF(MarkupType="Supplier Markup",V1906+V1906*SupplierMarkup,"Error at finding value"))</f>
        <v>3.55</v>
      </c>
      <c r="AB1906" s="15">
        <f t="shared" si="659"/>
        <v>0</v>
      </c>
    </row>
    <row r="1907" spans="1:28" x14ac:dyDescent="0.25">
      <c r="A1907" s="16">
        <f>OrdersTable!A1907</f>
        <v>771</v>
      </c>
      <c r="B1907" s="15" t="str">
        <f t="shared" si="639"/>
        <v>Dr</v>
      </c>
      <c r="C1907" s="15" t="str">
        <f t="shared" si="660"/>
        <v>Virk</v>
      </c>
      <c r="D1907" s="15" t="str">
        <f t="shared" si="640"/>
        <v>Balraj Singh</v>
      </c>
      <c r="E1907" s="15" t="str">
        <f t="shared" si="641"/>
        <v>39 Napanje Drive</v>
      </c>
      <c r="F1907" s="15" t="str">
        <f t="shared" si="642"/>
        <v>Abington</v>
      </c>
      <c r="G1907" s="15" t="str">
        <f t="shared" si="643"/>
        <v>QLD</v>
      </c>
      <c r="H1907" s="15">
        <f t="shared" si="644"/>
        <v>4660</v>
      </c>
      <c r="I1907" s="15">
        <f t="shared" si="655"/>
        <v>336</v>
      </c>
      <c r="J1907" s="15">
        <f>OrdersTable!B1907</f>
        <v>780</v>
      </c>
      <c r="K1907" s="15" t="str">
        <f t="shared" si="645"/>
        <v>Statues and Busts</v>
      </c>
      <c r="L1907" s="15" t="str">
        <f t="shared" si="646"/>
        <v>Doctor Who: Masterpiece Collection Dalek: Genesis Of The Daleks</v>
      </c>
      <c r="M1907" s="15" t="str">
        <f t="shared" si="647"/>
        <v>-</v>
      </c>
      <c r="N1907" s="15">
        <f t="shared" si="648"/>
        <v>2.5</v>
      </c>
      <c r="O1907" s="15" t="str">
        <f t="shared" si="649"/>
        <v>A30</v>
      </c>
      <c r="P1907" s="15" t="str">
        <f t="shared" si="650"/>
        <v>Chesterton Enterprises</v>
      </c>
      <c r="Q1907" s="15" t="str">
        <f t="shared" si="651"/>
        <v>41 William Russell Road</v>
      </c>
      <c r="R1907" s="3">
        <f>OrdersTable!C1907</f>
        <v>44697</v>
      </c>
      <c r="S1907" s="15">
        <f>OrdersTable!E1907</f>
        <v>4</v>
      </c>
      <c r="T1907" s="15">
        <f t="shared" si="652"/>
        <v>49.99</v>
      </c>
      <c r="U1907" s="15">
        <f t="shared" si="653"/>
        <v>68.23</v>
      </c>
      <c r="V1907" s="15">
        <f t="shared" si="654"/>
        <v>80.98</v>
      </c>
      <c r="W1907" s="15">
        <f>IF(MarkupType="Store Markup",ROUND(V1907+V1907*StoreMarkup,2),IF(MarkupType="Supplier Markup",V1907+V1907*SupplierMarkup,"Error at finding value"))</f>
        <v>127.54</v>
      </c>
      <c r="X1907" s="32">
        <f t="shared" si="656"/>
        <v>9.09</v>
      </c>
      <c r="Y1907" s="15">
        <f t="shared" si="657"/>
        <v>323.92</v>
      </c>
      <c r="Z1907" s="15">
        <f t="shared" si="658"/>
        <v>473.8</v>
      </c>
      <c r="AA1907" s="15">
        <f>IF(FreightType="Lethbridge-Stewart Freight ",ROUND(2.99+IF(N1907&gt;0.75,(N1907-0.75)*2.25,0)*S1907,2),IF(MarkupType="Supplier Markup",V1907+V1907*SupplierMarkup,"Error at finding value"))</f>
        <v>18.739999999999998</v>
      </c>
      <c r="AB1907" s="15">
        <f t="shared" si="659"/>
        <v>36.36</v>
      </c>
    </row>
    <row r="1908" spans="1:28" x14ac:dyDescent="0.25">
      <c r="A1908" s="16">
        <f>OrdersTable!A1908</f>
        <v>823</v>
      </c>
      <c r="B1908" s="15" t="str">
        <f t="shared" si="639"/>
        <v>Mrs</v>
      </c>
      <c r="C1908" s="15" t="str">
        <f t="shared" si="660"/>
        <v>Riordan</v>
      </c>
      <c r="D1908" s="15" t="str">
        <f t="shared" si="640"/>
        <v>Brianna Leigh</v>
      </c>
      <c r="E1908" s="15" t="str">
        <f t="shared" si="641"/>
        <v>7 Boyd Crescent</v>
      </c>
      <c r="F1908" s="15" t="str">
        <f t="shared" si="642"/>
        <v>Bamboo</v>
      </c>
      <c r="G1908" s="15" t="str">
        <f t="shared" si="643"/>
        <v>QLD</v>
      </c>
      <c r="H1908" s="15">
        <f t="shared" si="644"/>
        <v>4873</v>
      </c>
      <c r="I1908" s="15">
        <f t="shared" si="655"/>
        <v>1741</v>
      </c>
      <c r="J1908" s="15">
        <f>OrdersTable!B1908</f>
        <v>330</v>
      </c>
      <c r="K1908" s="15" t="str">
        <f t="shared" si="645"/>
        <v>Clothing and Apparel</v>
      </c>
      <c r="L1908" s="15" t="str">
        <f t="shared" si="646"/>
        <v xml:space="preserve">Doctor Who: T-Shirts: 4th Doctor Costume </v>
      </c>
      <c r="M1908" s="15" t="str">
        <f t="shared" si="647"/>
        <v>M</v>
      </c>
      <c r="N1908" s="15">
        <f t="shared" si="648"/>
        <v>0.8</v>
      </c>
      <c r="O1908" s="15" t="str">
        <f t="shared" si="649"/>
        <v>A20</v>
      </c>
      <c r="P1908" s="15" t="str">
        <f t="shared" si="650"/>
        <v>Morbius Inc.</v>
      </c>
      <c r="Q1908" s="15" t="str">
        <f t="shared" si="651"/>
        <v>56 Michael Spice Hwy</v>
      </c>
      <c r="R1908" s="3">
        <f>OrdersTable!C1908</f>
        <v>44697</v>
      </c>
      <c r="S1908" s="15">
        <f>OrdersTable!E1908</f>
        <v>7</v>
      </c>
      <c r="T1908" s="15">
        <f t="shared" si="652"/>
        <v>15.99</v>
      </c>
      <c r="U1908" s="15">
        <f t="shared" si="653"/>
        <v>22.03</v>
      </c>
      <c r="V1908" s="15">
        <f t="shared" si="654"/>
        <v>25.9</v>
      </c>
      <c r="W1908" s="15">
        <f>IF(MarkupType="Store Markup",ROUND(V1908+V1908*StoreMarkup,2),IF(MarkupType="Supplier Markup",V1908+V1908*SupplierMarkup,"Error at finding value"))</f>
        <v>40.79</v>
      </c>
      <c r="X1908" s="32" t="str">
        <f t="shared" si="656"/>
        <v>0.00</v>
      </c>
      <c r="Y1908" s="15">
        <f t="shared" si="657"/>
        <v>181.3</v>
      </c>
      <c r="Z1908" s="15">
        <f t="shared" si="658"/>
        <v>285.52999999999997</v>
      </c>
      <c r="AA1908" s="15">
        <f>IF(FreightType="Lethbridge-Stewart Freight ",ROUND(2.99+IF(N1908&gt;0.75,(N1908-0.75)*2.25,0)*S1908,2),IF(MarkupType="Supplier Markup",V1908+V1908*SupplierMarkup,"Error at finding value"))</f>
        <v>3.78</v>
      </c>
      <c r="AB1908" s="15">
        <f t="shared" si="659"/>
        <v>0</v>
      </c>
    </row>
    <row r="1909" spans="1:28" x14ac:dyDescent="0.25">
      <c r="A1909" s="16">
        <f>OrdersTable!A1909</f>
        <v>884</v>
      </c>
      <c r="B1909" s="15" t="str">
        <f t="shared" si="639"/>
        <v>Mr</v>
      </c>
      <c r="C1909" s="15" t="str">
        <f t="shared" si="660"/>
        <v>Smy</v>
      </c>
      <c r="D1909" s="15" t="str">
        <f t="shared" si="640"/>
        <v>Corey Alexander</v>
      </c>
      <c r="E1909" s="15" t="str">
        <f t="shared" si="641"/>
        <v>47 Lindsay Circuit</v>
      </c>
      <c r="F1909" s="15" t="str">
        <f t="shared" si="642"/>
        <v>Boston</v>
      </c>
      <c r="G1909" s="15" t="str">
        <f t="shared" si="643"/>
        <v>SA</v>
      </c>
      <c r="H1909" s="15">
        <f t="shared" si="644"/>
        <v>5607</v>
      </c>
      <c r="I1909" s="15">
        <f t="shared" si="655"/>
        <v>2076</v>
      </c>
      <c r="J1909" s="15">
        <f>OrdersTable!B1909</f>
        <v>643</v>
      </c>
      <c r="K1909" s="15" t="str">
        <f t="shared" si="645"/>
        <v>Mugs</v>
      </c>
      <c r="L1909" s="15" t="str">
        <f t="shared" si="646"/>
        <v>Doctor Who: Giant Mug: Logo</v>
      </c>
      <c r="M1909" s="15" t="str">
        <f t="shared" si="647"/>
        <v>-</v>
      </c>
      <c r="N1909" s="15">
        <f t="shared" si="648"/>
        <v>0.44500000000000001</v>
      </c>
      <c r="O1909" s="15" t="str">
        <f t="shared" si="649"/>
        <v>A10</v>
      </c>
      <c r="P1909" s="15" t="str">
        <f t="shared" si="650"/>
        <v>Gallifrey International</v>
      </c>
      <c r="Q1909" s="15" t="str">
        <f t="shared" si="651"/>
        <v>181 Arcadia Street</v>
      </c>
      <c r="R1909" s="3">
        <f>OrdersTable!C1909</f>
        <v>44697</v>
      </c>
      <c r="S1909" s="15">
        <f>OrdersTable!E1909</f>
        <v>7</v>
      </c>
      <c r="T1909" s="15">
        <f t="shared" si="652"/>
        <v>8.89</v>
      </c>
      <c r="U1909" s="15">
        <f t="shared" si="653"/>
        <v>12.19</v>
      </c>
      <c r="V1909" s="15">
        <f t="shared" si="654"/>
        <v>14.4</v>
      </c>
      <c r="W1909" s="15">
        <f>IF(MarkupType="Store Markup",ROUND(V1909+V1909*StoreMarkup,2),IF(MarkupType="Supplier Markup",V1909+V1909*SupplierMarkup,"Error at finding value"))</f>
        <v>22.68</v>
      </c>
      <c r="X1909" s="32" t="str">
        <f t="shared" si="656"/>
        <v>0.00</v>
      </c>
      <c r="Y1909" s="15">
        <f t="shared" si="657"/>
        <v>100.8</v>
      </c>
      <c r="Z1909" s="15">
        <f t="shared" si="658"/>
        <v>158.76</v>
      </c>
      <c r="AA1909" s="15">
        <f>IF(FreightType="Lethbridge-Stewart Freight ",ROUND(2.99+IF(N1909&gt;0.75,(N1909-0.75)*2.25,0)*S1909,2),IF(MarkupType="Supplier Markup",V1909+V1909*SupplierMarkup,"Error at finding value"))</f>
        <v>2.99</v>
      </c>
      <c r="AB1909" s="15">
        <f t="shared" si="659"/>
        <v>0</v>
      </c>
    </row>
    <row r="1910" spans="1:28" x14ac:dyDescent="0.25">
      <c r="A1910" s="16">
        <f>OrdersTable!A1910</f>
        <v>884</v>
      </c>
      <c r="B1910" s="15" t="str">
        <f t="shared" si="639"/>
        <v>Mr</v>
      </c>
      <c r="C1910" s="15" t="str">
        <f t="shared" si="660"/>
        <v>Smy</v>
      </c>
      <c r="D1910" s="15" t="str">
        <f t="shared" si="640"/>
        <v>Corey Alexander</v>
      </c>
      <c r="E1910" s="15" t="str">
        <f t="shared" si="641"/>
        <v>47 Lindsay Circuit</v>
      </c>
      <c r="F1910" s="15" t="str">
        <f t="shared" si="642"/>
        <v>Boston</v>
      </c>
      <c r="G1910" s="15" t="str">
        <f t="shared" si="643"/>
        <v>SA</v>
      </c>
      <c r="H1910" s="15">
        <f t="shared" si="644"/>
        <v>5607</v>
      </c>
      <c r="I1910" s="15">
        <f t="shared" si="655"/>
        <v>2076</v>
      </c>
      <c r="J1910" s="15">
        <f>OrdersTable!B1910</f>
        <v>757</v>
      </c>
      <c r="K1910" s="15" t="str">
        <f t="shared" si="645"/>
        <v>Statues and Busts</v>
      </c>
      <c r="L1910" s="15" t="str">
        <f t="shared" si="646"/>
        <v>Doctor Who: Helmet: Ice Warrior</v>
      </c>
      <c r="M1910" s="15" t="str">
        <f t="shared" si="647"/>
        <v>-</v>
      </c>
      <c r="N1910" s="15">
        <f t="shared" si="648"/>
        <v>1.75</v>
      </c>
      <c r="O1910" s="15" t="str">
        <f t="shared" si="649"/>
        <v>A20</v>
      </c>
      <c r="P1910" s="15" t="str">
        <f t="shared" si="650"/>
        <v>Morbius Inc.</v>
      </c>
      <c r="Q1910" s="15" t="str">
        <f t="shared" si="651"/>
        <v>56 Michael Spice Hwy</v>
      </c>
      <c r="R1910" s="3">
        <f>OrdersTable!C1910</f>
        <v>44697</v>
      </c>
      <c r="S1910" s="15">
        <f>OrdersTable!E1910</f>
        <v>7</v>
      </c>
      <c r="T1910" s="15">
        <f t="shared" si="652"/>
        <v>34.99</v>
      </c>
      <c r="U1910" s="15">
        <f t="shared" si="653"/>
        <v>47.88</v>
      </c>
      <c r="V1910" s="15">
        <f t="shared" si="654"/>
        <v>56.68</v>
      </c>
      <c r="W1910" s="15">
        <f>IF(MarkupType="Store Markup",ROUND(V1910+V1910*StoreMarkup,2),IF(MarkupType="Supplier Markup",V1910+V1910*SupplierMarkup,"Error at finding value"))</f>
        <v>89.27</v>
      </c>
      <c r="X1910" s="32" t="str">
        <f t="shared" si="656"/>
        <v>0.00</v>
      </c>
      <c r="Y1910" s="15">
        <f t="shared" si="657"/>
        <v>396.76</v>
      </c>
      <c r="Z1910" s="15">
        <f t="shared" si="658"/>
        <v>624.89</v>
      </c>
      <c r="AA1910" s="15">
        <f>IF(FreightType="Lethbridge-Stewart Freight ",ROUND(2.99+IF(N1910&gt;0.75,(N1910-0.75)*2.25,0)*S1910,2),IF(MarkupType="Supplier Markup",V1910+V1910*SupplierMarkup,"Error at finding value"))</f>
        <v>18.739999999999998</v>
      </c>
      <c r="AB1910" s="15">
        <f t="shared" si="659"/>
        <v>0</v>
      </c>
    </row>
    <row r="1911" spans="1:28" x14ac:dyDescent="0.25">
      <c r="A1911" s="16">
        <f>OrdersTable!A1911</f>
        <v>47</v>
      </c>
      <c r="B1911" s="15" t="str">
        <f t="shared" si="639"/>
        <v>Dr</v>
      </c>
      <c r="C1911" s="15" t="str">
        <f t="shared" si="660"/>
        <v>Kaur</v>
      </c>
      <c r="D1911" s="15" t="str">
        <f t="shared" si="640"/>
        <v>Jasleen</v>
      </c>
      <c r="E1911" s="15" t="str">
        <f t="shared" si="641"/>
        <v>7 Hong Road</v>
      </c>
      <c r="F1911" s="15" t="str">
        <f t="shared" si="642"/>
        <v>Belconnen</v>
      </c>
      <c r="G1911" s="15" t="str">
        <f t="shared" si="643"/>
        <v>ACT</v>
      </c>
      <c r="H1911" s="15">
        <f t="shared" si="644"/>
        <v>2617</v>
      </c>
      <c r="I1911" s="15">
        <f t="shared" si="655"/>
        <v>1194</v>
      </c>
      <c r="J1911" s="15">
        <f>OrdersTable!B1911</f>
        <v>849</v>
      </c>
      <c r="K1911" s="15" t="str">
        <f t="shared" si="645"/>
        <v>Statues and Busts</v>
      </c>
      <c r="L1911" s="15" t="str">
        <f t="shared" si="646"/>
        <v>Doctor Who: Statue: Cyber Controller</v>
      </c>
      <c r="M1911" s="15" t="str">
        <f t="shared" si="647"/>
        <v>-</v>
      </c>
      <c r="N1911" s="15">
        <f t="shared" si="648"/>
        <v>5</v>
      </c>
      <c r="O1911" s="15" t="str">
        <f t="shared" si="649"/>
        <v>A10</v>
      </c>
      <c r="P1911" s="15" t="str">
        <f t="shared" si="650"/>
        <v>Gallifrey International</v>
      </c>
      <c r="Q1911" s="15" t="str">
        <f t="shared" si="651"/>
        <v>181 Arcadia Street</v>
      </c>
      <c r="R1911" s="3">
        <f>OrdersTable!C1911</f>
        <v>44698</v>
      </c>
      <c r="S1911" s="15">
        <f>OrdersTable!E1911</f>
        <v>5</v>
      </c>
      <c r="T1911" s="15">
        <f t="shared" si="652"/>
        <v>99.99</v>
      </c>
      <c r="U1911" s="15">
        <f t="shared" si="653"/>
        <v>136.41</v>
      </c>
      <c r="V1911" s="15">
        <f t="shared" si="654"/>
        <v>161.97999999999999</v>
      </c>
      <c r="W1911" s="15">
        <f>IF(MarkupType="Store Markup",ROUND(V1911+V1911*StoreMarkup,2),IF(MarkupType="Supplier Markup",V1911+V1911*SupplierMarkup,"Error at finding value"))</f>
        <v>255.12</v>
      </c>
      <c r="X1911" s="32">
        <f t="shared" si="656"/>
        <v>18.18</v>
      </c>
      <c r="Y1911" s="15">
        <f t="shared" si="657"/>
        <v>809.9</v>
      </c>
      <c r="Z1911" s="15">
        <f t="shared" si="658"/>
        <v>1184.7</v>
      </c>
      <c r="AA1911" s="15">
        <f>IF(FreightType="Lethbridge-Stewart Freight ",ROUND(2.99+IF(N1911&gt;0.75,(N1911-0.75)*2.25,0)*S1911,2),IF(MarkupType="Supplier Markup",V1911+V1911*SupplierMarkup,"Error at finding value"))</f>
        <v>50.8</v>
      </c>
      <c r="AB1911" s="15">
        <f t="shared" si="659"/>
        <v>90.9</v>
      </c>
    </row>
    <row r="1912" spans="1:28" x14ac:dyDescent="0.25">
      <c r="A1912" s="16">
        <f>OrdersTable!A1912</f>
        <v>81</v>
      </c>
      <c r="B1912" s="15" t="str">
        <f t="shared" si="639"/>
        <v>Ms</v>
      </c>
      <c r="C1912" s="15" t="str">
        <f t="shared" si="660"/>
        <v>Madsen</v>
      </c>
      <c r="D1912" s="15" t="str">
        <f t="shared" si="640"/>
        <v>Kim Marie</v>
      </c>
      <c r="E1912" s="15" t="str">
        <f t="shared" si="641"/>
        <v>42 Singh Drive</v>
      </c>
      <c r="F1912" s="15" t="str">
        <f t="shared" si="642"/>
        <v>Caliph</v>
      </c>
      <c r="G1912" s="15" t="str">
        <f t="shared" si="643"/>
        <v>SA</v>
      </c>
      <c r="H1912" s="15">
        <f t="shared" si="644"/>
        <v>5310</v>
      </c>
      <c r="I1912" s="15">
        <f t="shared" si="655"/>
        <v>1720</v>
      </c>
      <c r="J1912" s="15">
        <f>OrdersTable!B1912</f>
        <v>331</v>
      </c>
      <c r="K1912" s="15" t="str">
        <f t="shared" si="645"/>
        <v>Clothing and Apparel</v>
      </c>
      <c r="L1912" s="15" t="str">
        <f t="shared" si="646"/>
        <v xml:space="preserve">Doctor Who: T-Shirts: 4th Doctor Costume </v>
      </c>
      <c r="M1912" s="15" t="str">
        <f t="shared" si="647"/>
        <v>L</v>
      </c>
      <c r="N1912" s="15">
        <f t="shared" si="648"/>
        <v>0.8</v>
      </c>
      <c r="O1912" s="15" t="str">
        <f t="shared" si="649"/>
        <v>A20</v>
      </c>
      <c r="P1912" s="15" t="str">
        <f t="shared" si="650"/>
        <v>Morbius Inc.</v>
      </c>
      <c r="Q1912" s="15" t="str">
        <f t="shared" si="651"/>
        <v>56 Michael Spice Hwy</v>
      </c>
      <c r="R1912" s="3">
        <f>OrdersTable!C1912</f>
        <v>44698</v>
      </c>
      <c r="S1912" s="15">
        <f>OrdersTable!E1912</f>
        <v>7</v>
      </c>
      <c r="T1912" s="15">
        <f t="shared" si="652"/>
        <v>15.99</v>
      </c>
      <c r="U1912" s="15">
        <f t="shared" si="653"/>
        <v>22.08</v>
      </c>
      <c r="V1912" s="15">
        <f t="shared" si="654"/>
        <v>25.9</v>
      </c>
      <c r="W1912" s="15">
        <f>IF(MarkupType="Store Markup",ROUND(V1912+V1912*StoreMarkup,2),IF(MarkupType="Supplier Markup",V1912+V1912*SupplierMarkup,"Error at finding value"))</f>
        <v>40.79</v>
      </c>
      <c r="X1912" s="32" t="str">
        <f t="shared" si="656"/>
        <v>0.00</v>
      </c>
      <c r="Y1912" s="15">
        <f t="shared" si="657"/>
        <v>181.3</v>
      </c>
      <c r="Z1912" s="15">
        <f t="shared" si="658"/>
        <v>285.52999999999997</v>
      </c>
      <c r="AA1912" s="15">
        <f>IF(FreightType="Lethbridge-Stewart Freight ",ROUND(2.99+IF(N1912&gt;0.75,(N1912-0.75)*2.25,0)*S1912,2),IF(MarkupType="Supplier Markup",V1912+V1912*SupplierMarkup,"Error at finding value"))</f>
        <v>3.78</v>
      </c>
      <c r="AB1912" s="15">
        <f t="shared" si="659"/>
        <v>0</v>
      </c>
    </row>
    <row r="1913" spans="1:28" x14ac:dyDescent="0.25">
      <c r="A1913" s="16">
        <f>OrdersTable!A1913</f>
        <v>531</v>
      </c>
      <c r="B1913" s="15" t="str">
        <f t="shared" si="639"/>
        <v>Ms</v>
      </c>
      <c r="C1913" s="15" t="str">
        <f t="shared" si="660"/>
        <v>Stanton</v>
      </c>
      <c r="D1913" s="15" t="str">
        <f t="shared" si="640"/>
        <v>Sharaze</v>
      </c>
      <c r="E1913" s="15" t="str">
        <f t="shared" si="641"/>
        <v>1 Siddons Crescent</v>
      </c>
      <c r="F1913" s="15" t="str">
        <f t="shared" si="642"/>
        <v>Alfredtown</v>
      </c>
      <c r="G1913" s="15" t="str">
        <f t="shared" si="643"/>
        <v>NSW</v>
      </c>
      <c r="H1913" s="15">
        <f t="shared" si="644"/>
        <v>2650</v>
      </c>
      <c r="I1913" s="15">
        <f t="shared" si="655"/>
        <v>1124</v>
      </c>
      <c r="J1913" s="15">
        <f>OrdersTable!B1913</f>
        <v>696</v>
      </c>
      <c r="K1913" s="15" t="str">
        <f t="shared" si="645"/>
        <v>Posters, Prints and Standees</v>
      </c>
      <c r="L1913" s="15" t="str">
        <f t="shared" si="646"/>
        <v xml:space="preserve">Doctor Who: 50th Anniversary: Poster: To Victory </v>
      </c>
      <c r="M1913" s="15" t="str">
        <f t="shared" si="647"/>
        <v>-</v>
      </c>
      <c r="N1913" s="15">
        <f t="shared" si="648"/>
        <v>0.2</v>
      </c>
      <c r="O1913" s="15" t="str">
        <f t="shared" si="649"/>
        <v>A40</v>
      </c>
      <c r="P1913" s="15" t="str">
        <f t="shared" si="650"/>
        <v>Romana Imports</v>
      </c>
      <c r="Q1913" s="15" t="str">
        <f t="shared" si="651"/>
        <v>17 Lalla Ward Road</v>
      </c>
      <c r="R1913" s="3">
        <f>OrdersTable!C1913</f>
        <v>44698</v>
      </c>
      <c r="S1913" s="15">
        <f>OrdersTable!E1913</f>
        <v>5</v>
      </c>
      <c r="T1913" s="15">
        <f t="shared" si="652"/>
        <v>3.99</v>
      </c>
      <c r="U1913" s="15">
        <f t="shared" si="653"/>
        <v>5.6</v>
      </c>
      <c r="V1913" s="15">
        <f t="shared" si="654"/>
        <v>6.46</v>
      </c>
      <c r="W1913" s="15">
        <f>IF(MarkupType="Store Markup",ROUND(V1913+V1913*StoreMarkup,2),IF(MarkupType="Supplier Markup",V1913+V1913*SupplierMarkup,"Error at finding value"))</f>
        <v>10.17</v>
      </c>
      <c r="X1913" s="32" t="str">
        <f t="shared" si="656"/>
        <v>0.00</v>
      </c>
      <c r="Y1913" s="15">
        <f t="shared" si="657"/>
        <v>32.299999999999997</v>
      </c>
      <c r="Z1913" s="15">
        <f t="shared" si="658"/>
        <v>50.85</v>
      </c>
      <c r="AA1913" s="15">
        <f>IF(FreightType="Lethbridge-Stewart Freight ",ROUND(2.99+IF(N1913&gt;0.75,(N1913-0.75)*2.25,0)*S1913,2),IF(MarkupType="Supplier Markup",V1913+V1913*SupplierMarkup,"Error at finding value"))</f>
        <v>2.99</v>
      </c>
      <c r="AB1913" s="15">
        <f t="shared" si="659"/>
        <v>0</v>
      </c>
    </row>
    <row r="1914" spans="1:28" x14ac:dyDescent="0.25">
      <c r="A1914" s="16">
        <f>OrdersTable!A1914</f>
        <v>540</v>
      </c>
      <c r="B1914" s="15" t="str">
        <f t="shared" si="639"/>
        <v>Dr</v>
      </c>
      <c r="C1914" s="15" t="str">
        <f t="shared" si="660"/>
        <v>Hackett</v>
      </c>
      <c r="D1914" s="15" t="str">
        <f t="shared" si="640"/>
        <v>Patrick</v>
      </c>
      <c r="E1914" s="15" t="str">
        <f t="shared" si="641"/>
        <v>25 Sweet Drive</v>
      </c>
      <c r="F1914" s="15" t="str">
        <f t="shared" si="642"/>
        <v>Bridgewater</v>
      </c>
      <c r="G1914" s="15" t="str">
        <f t="shared" si="643"/>
        <v>VIC</v>
      </c>
      <c r="H1914" s="15">
        <f t="shared" si="644"/>
        <v>3516</v>
      </c>
      <c r="I1914" s="15">
        <f t="shared" si="655"/>
        <v>1486</v>
      </c>
      <c r="J1914" s="15">
        <f>OrdersTable!B1914</f>
        <v>867</v>
      </c>
      <c r="K1914" s="15" t="str">
        <f t="shared" si="645"/>
        <v>Statues and Busts</v>
      </c>
      <c r="L1914" s="15" t="str">
        <f t="shared" si="646"/>
        <v>Doctor Who: TITANS: The 11th Doctor</v>
      </c>
      <c r="M1914" s="15" t="str">
        <f t="shared" si="647"/>
        <v>-</v>
      </c>
      <c r="N1914" s="15">
        <f t="shared" si="648"/>
        <v>0.4</v>
      </c>
      <c r="O1914" s="15" t="str">
        <f t="shared" si="649"/>
        <v>A20</v>
      </c>
      <c r="P1914" s="15" t="str">
        <f t="shared" si="650"/>
        <v>Morbius Inc.</v>
      </c>
      <c r="Q1914" s="15" t="str">
        <f t="shared" si="651"/>
        <v>56 Michael Spice Hwy</v>
      </c>
      <c r="R1914" s="3">
        <f>OrdersTable!C1914</f>
        <v>44698</v>
      </c>
      <c r="S1914" s="15">
        <f>OrdersTable!E1914</f>
        <v>1</v>
      </c>
      <c r="T1914" s="15">
        <f t="shared" si="652"/>
        <v>7.99</v>
      </c>
      <c r="U1914" s="15">
        <f t="shared" si="653"/>
        <v>11.1</v>
      </c>
      <c r="V1914" s="15">
        <f t="shared" si="654"/>
        <v>12.94</v>
      </c>
      <c r="W1914" s="15">
        <f>IF(MarkupType="Store Markup",ROUND(V1914+V1914*StoreMarkup,2),IF(MarkupType="Supplier Markup",V1914+V1914*SupplierMarkup,"Error at finding value"))</f>
        <v>20.38</v>
      </c>
      <c r="X1914" s="32" t="str">
        <f t="shared" si="656"/>
        <v>0.00</v>
      </c>
      <c r="Y1914" s="15">
        <f t="shared" si="657"/>
        <v>12.94</v>
      </c>
      <c r="Z1914" s="15">
        <f t="shared" si="658"/>
        <v>20.38</v>
      </c>
      <c r="AA1914" s="15">
        <f>IF(FreightType="Lethbridge-Stewart Freight ",ROUND(2.99+IF(N1914&gt;0.75,(N1914-0.75)*2.25,0)*S1914,2),IF(MarkupType="Supplier Markup",V1914+V1914*SupplierMarkup,"Error at finding value"))</f>
        <v>2.99</v>
      </c>
      <c r="AB1914" s="15">
        <f t="shared" si="659"/>
        <v>0</v>
      </c>
    </row>
    <row r="1915" spans="1:28" x14ac:dyDescent="0.25">
      <c r="A1915" s="16">
        <f>OrdersTable!A1915</f>
        <v>594</v>
      </c>
      <c r="B1915" s="15" t="str">
        <f t="shared" si="639"/>
        <v>Mrs</v>
      </c>
      <c r="C1915" s="15" t="str">
        <f t="shared" si="660"/>
        <v>Entriken</v>
      </c>
      <c r="D1915" s="15" t="str">
        <f t="shared" si="640"/>
        <v>Gwenda Dawn</v>
      </c>
      <c r="E1915" s="15" t="str">
        <f t="shared" si="641"/>
        <v>8 Miljkovic Drive</v>
      </c>
      <c r="F1915" s="15" t="str">
        <f t="shared" si="642"/>
        <v>Nayook</v>
      </c>
      <c r="G1915" s="15" t="str">
        <f t="shared" si="643"/>
        <v>VIC</v>
      </c>
      <c r="H1915" s="15">
        <f t="shared" si="644"/>
        <v>3832</v>
      </c>
      <c r="I1915" s="15">
        <f t="shared" si="655"/>
        <v>1552</v>
      </c>
      <c r="J1915" s="15">
        <f>OrdersTable!B1915</f>
        <v>186</v>
      </c>
      <c r="K1915" s="15" t="str">
        <f t="shared" si="645"/>
        <v>Bobbleheads</v>
      </c>
      <c r="L1915" s="15" t="str">
        <f t="shared" si="646"/>
        <v>Doctor Who: Monitor Mate: 50th Anniversary Original TARDIS</v>
      </c>
      <c r="M1915" s="15" t="str">
        <f t="shared" si="647"/>
        <v>-</v>
      </c>
      <c r="N1915" s="15">
        <f t="shared" si="648"/>
        <v>0.45</v>
      </c>
      <c r="O1915" s="15" t="str">
        <f t="shared" si="649"/>
        <v>A20</v>
      </c>
      <c r="P1915" s="15" t="str">
        <f t="shared" si="650"/>
        <v>Morbius Inc.</v>
      </c>
      <c r="Q1915" s="15" t="str">
        <f t="shared" si="651"/>
        <v>56 Michael Spice Hwy</v>
      </c>
      <c r="R1915" s="3">
        <f>OrdersTable!C1915</f>
        <v>44698</v>
      </c>
      <c r="S1915" s="15">
        <f>OrdersTable!E1915</f>
        <v>10</v>
      </c>
      <c r="T1915" s="15">
        <f t="shared" si="652"/>
        <v>8.99</v>
      </c>
      <c r="U1915" s="15">
        <f t="shared" si="653"/>
        <v>12.46</v>
      </c>
      <c r="V1915" s="15">
        <f t="shared" si="654"/>
        <v>14.56</v>
      </c>
      <c r="W1915" s="15">
        <f>IF(MarkupType="Store Markup",ROUND(V1915+V1915*StoreMarkup,2),IF(MarkupType="Supplier Markup",V1915+V1915*SupplierMarkup,"Error at finding value"))</f>
        <v>22.93</v>
      </c>
      <c r="X1915" s="32" t="str">
        <f t="shared" si="656"/>
        <v>0.00</v>
      </c>
      <c r="Y1915" s="15">
        <f t="shared" si="657"/>
        <v>145.6</v>
      </c>
      <c r="Z1915" s="15">
        <f t="shared" si="658"/>
        <v>229.3</v>
      </c>
      <c r="AA1915" s="15">
        <f>IF(FreightType="Lethbridge-Stewart Freight ",ROUND(2.99+IF(N1915&gt;0.75,(N1915-0.75)*2.25,0)*S1915,2),IF(MarkupType="Supplier Markup",V1915+V1915*SupplierMarkup,"Error at finding value"))</f>
        <v>2.99</v>
      </c>
      <c r="AB1915" s="15">
        <f t="shared" si="659"/>
        <v>0</v>
      </c>
    </row>
    <row r="1916" spans="1:28" x14ac:dyDescent="0.25">
      <c r="A1916" s="16">
        <f>OrdersTable!A1916</f>
        <v>750</v>
      </c>
      <c r="B1916" s="15" t="str">
        <f t="shared" si="639"/>
        <v>Ms</v>
      </c>
      <c r="C1916" s="15" t="str">
        <f t="shared" si="660"/>
        <v>Talbot</v>
      </c>
      <c r="D1916" s="15" t="str">
        <f t="shared" si="640"/>
        <v>Carlie Wenderly</v>
      </c>
      <c r="E1916" s="15" t="str">
        <f t="shared" si="641"/>
        <v>31 Somerville Way</v>
      </c>
      <c r="F1916" s="15" t="str">
        <f t="shared" si="642"/>
        <v>Boston</v>
      </c>
      <c r="G1916" s="15" t="str">
        <f t="shared" si="643"/>
        <v>SA</v>
      </c>
      <c r="H1916" s="15">
        <f t="shared" si="644"/>
        <v>5607</v>
      </c>
      <c r="I1916" s="15">
        <f t="shared" si="655"/>
        <v>2076</v>
      </c>
      <c r="J1916" s="15">
        <f>OrdersTable!B1916</f>
        <v>239</v>
      </c>
      <c r="K1916" s="15" t="str">
        <f t="shared" si="645"/>
        <v>Clothing and Apparel</v>
      </c>
      <c r="L1916" s="15" t="str">
        <f t="shared" si="646"/>
        <v>Doctor Who: Men's Winter Pyjamas</v>
      </c>
      <c r="M1916" s="15" t="str">
        <f t="shared" si="647"/>
        <v>L</v>
      </c>
      <c r="N1916" s="15">
        <f t="shared" si="648"/>
        <v>1.5</v>
      </c>
      <c r="O1916" s="15" t="str">
        <f t="shared" si="649"/>
        <v>A10</v>
      </c>
      <c r="P1916" s="15" t="str">
        <f t="shared" si="650"/>
        <v>Gallifrey International</v>
      </c>
      <c r="Q1916" s="15" t="str">
        <f t="shared" si="651"/>
        <v>181 Arcadia Street</v>
      </c>
      <c r="R1916" s="3">
        <f>OrdersTable!C1916</f>
        <v>44698</v>
      </c>
      <c r="S1916" s="15">
        <f>OrdersTable!E1916</f>
        <v>5</v>
      </c>
      <c r="T1916" s="15">
        <f t="shared" si="652"/>
        <v>29.99</v>
      </c>
      <c r="U1916" s="15">
        <f t="shared" si="653"/>
        <v>41.23</v>
      </c>
      <c r="V1916" s="15">
        <f t="shared" si="654"/>
        <v>48.58</v>
      </c>
      <c r="W1916" s="15">
        <f>IF(MarkupType="Store Markup",ROUND(V1916+V1916*StoreMarkup,2),IF(MarkupType="Supplier Markup",V1916+V1916*SupplierMarkup,"Error at finding value"))</f>
        <v>76.510000000000005</v>
      </c>
      <c r="X1916" s="32" t="str">
        <f t="shared" si="656"/>
        <v>0.00</v>
      </c>
      <c r="Y1916" s="15">
        <f t="shared" si="657"/>
        <v>242.9</v>
      </c>
      <c r="Z1916" s="15">
        <f t="shared" si="658"/>
        <v>382.55</v>
      </c>
      <c r="AA1916" s="15">
        <f>IF(FreightType="Lethbridge-Stewart Freight ",ROUND(2.99+IF(N1916&gt;0.75,(N1916-0.75)*2.25,0)*S1916,2),IF(MarkupType="Supplier Markup",V1916+V1916*SupplierMarkup,"Error at finding value"))</f>
        <v>11.43</v>
      </c>
      <c r="AB1916" s="15">
        <f t="shared" si="659"/>
        <v>0</v>
      </c>
    </row>
    <row r="1917" spans="1:28" x14ac:dyDescent="0.25">
      <c r="A1917" s="16">
        <f>OrdersTable!A1917</f>
        <v>750</v>
      </c>
      <c r="B1917" s="15" t="str">
        <f t="shared" si="639"/>
        <v>Ms</v>
      </c>
      <c r="C1917" s="15" t="str">
        <f t="shared" si="660"/>
        <v>Talbot</v>
      </c>
      <c r="D1917" s="15" t="str">
        <f t="shared" si="640"/>
        <v>Carlie Wenderly</v>
      </c>
      <c r="E1917" s="15" t="str">
        <f t="shared" si="641"/>
        <v>31 Somerville Way</v>
      </c>
      <c r="F1917" s="15" t="str">
        <f t="shared" si="642"/>
        <v>Boston</v>
      </c>
      <c r="G1917" s="15" t="str">
        <f t="shared" si="643"/>
        <v>SA</v>
      </c>
      <c r="H1917" s="15">
        <f t="shared" si="644"/>
        <v>5607</v>
      </c>
      <c r="I1917" s="15">
        <f t="shared" si="655"/>
        <v>2076</v>
      </c>
      <c r="J1917" s="15">
        <f>OrdersTable!B1917</f>
        <v>805</v>
      </c>
      <c r="K1917" s="15" t="str">
        <f t="shared" si="645"/>
        <v>Statues and Busts</v>
      </c>
      <c r="L1917" s="15" t="str">
        <f t="shared" si="646"/>
        <v>Doctor Who: Masterpiece Collection Maxi Bust: 5th Doctor</v>
      </c>
      <c r="M1917" s="15" t="str">
        <f t="shared" si="647"/>
        <v>-</v>
      </c>
      <c r="N1917" s="15">
        <f t="shared" si="648"/>
        <v>2.5</v>
      </c>
      <c r="O1917" s="15" t="str">
        <f t="shared" si="649"/>
        <v>A20</v>
      </c>
      <c r="P1917" s="15" t="str">
        <f t="shared" si="650"/>
        <v>Morbius Inc.</v>
      </c>
      <c r="Q1917" s="15" t="str">
        <f t="shared" si="651"/>
        <v>56 Michael Spice Hwy</v>
      </c>
      <c r="R1917" s="3">
        <f>OrdersTable!C1917</f>
        <v>44698</v>
      </c>
      <c r="S1917" s="15">
        <f>OrdersTable!E1917</f>
        <v>1</v>
      </c>
      <c r="T1917" s="15">
        <f t="shared" si="652"/>
        <v>49.99</v>
      </c>
      <c r="U1917" s="15">
        <f t="shared" si="653"/>
        <v>68.42</v>
      </c>
      <c r="V1917" s="15">
        <f t="shared" si="654"/>
        <v>80.98</v>
      </c>
      <c r="W1917" s="15">
        <f>IF(MarkupType="Store Markup",ROUND(V1917+V1917*StoreMarkup,2),IF(MarkupType="Supplier Markup",V1917+V1917*SupplierMarkup,"Error at finding value"))</f>
        <v>127.54</v>
      </c>
      <c r="X1917" s="32" t="str">
        <f t="shared" si="656"/>
        <v>0.00</v>
      </c>
      <c r="Y1917" s="15">
        <f t="shared" si="657"/>
        <v>80.98</v>
      </c>
      <c r="Z1917" s="15">
        <f t="shared" si="658"/>
        <v>127.54</v>
      </c>
      <c r="AA1917" s="15">
        <f>IF(FreightType="Lethbridge-Stewart Freight ",ROUND(2.99+IF(N1917&gt;0.75,(N1917-0.75)*2.25,0)*S1917,2),IF(MarkupType="Supplier Markup",V1917+V1917*SupplierMarkup,"Error at finding value"))</f>
        <v>6.93</v>
      </c>
      <c r="AB1917" s="15">
        <f t="shared" si="659"/>
        <v>0</v>
      </c>
    </row>
    <row r="1918" spans="1:28" x14ac:dyDescent="0.25">
      <c r="A1918" s="16">
        <f>OrdersTable!A1918</f>
        <v>758</v>
      </c>
      <c r="B1918" s="15" t="str">
        <f t="shared" si="639"/>
        <v>Mr</v>
      </c>
      <c r="C1918" s="15" t="str">
        <f t="shared" si="660"/>
        <v>Whitehorn</v>
      </c>
      <c r="D1918" s="15" t="str">
        <f t="shared" si="640"/>
        <v>James</v>
      </c>
      <c r="E1918" s="15" t="str">
        <f t="shared" si="641"/>
        <v>32 Raubenheimer Circuit</v>
      </c>
      <c r="F1918" s="15" t="str">
        <f t="shared" si="642"/>
        <v>Belconnen</v>
      </c>
      <c r="G1918" s="15" t="str">
        <f t="shared" si="643"/>
        <v>ACT</v>
      </c>
      <c r="H1918" s="15">
        <f t="shared" si="644"/>
        <v>2617</v>
      </c>
      <c r="I1918" s="15">
        <f t="shared" si="655"/>
        <v>1194</v>
      </c>
      <c r="J1918" s="15">
        <f>OrdersTable!B1918</f>
        <v>862</v>
      </c>
      <c r="K1918" s="15" t="str">
        <f t="shared" si="645"/>
        <v>Statues and Busts</v>
      </c>
      <c r="L1918" s="15" t="str">
        <f t="shared" si="646"/>
        <v>Doctor Who: TITANS: The 10th Doctor</v>
      </c>
      <c r="M1918" s="15" t="str">
        <f t="shared" si="647"/>
        <v>-</v>
      </c>
      <c r="N1918" s="15">
        <f t="shared" si="648"/>
        <v>0.4</v>
      </c>
      <c r="O1918" s="15" t="str">
        <f t="shared" si="649"/>
        <v>A40</v>
      </c>
      <c r="P1918" s="15" t="str">
        <f t="shared" si="650"/>
        <v>Romana Imports</v>
      </c>
      <c r="Q1918" s="15" t="str">
        <f t="shared" si="651"/>
        <v>17 Lalla Ward Road</v>
      </c>
      <c r="R1918" s="3">
        <f>OrdersTable!C1918</f>
        <v>44698</v>
      </c>
      <c r="S1918" s="15">
        <f>OrdersTable!E1918</f>
        <v>3</v>
      </c>
      <c r="T1918" s="15">
        <f t="shared" si="652"/>
        <v>7.99</v>
      </c>
      <c r="U1918" s="15">
        <f t="shared" si="653"/>
        <v>11.01</v>
      </c>
      <c r="V1918" s="15">
        <f t="shared" si="654"/>
        <v>12.94</v>
      </c>
      <c r="W1918" s="15">
        <f>IF(MarkupType="Store Markup",ROUND(V1918+V1918*StoreMarkup,2),IF(MarkupType="Supplier Markup",V1918+V1918*SupplierMarkup,"Error at finding value"))</f>
        <v>20.38</v>
      </c>
      <c r="X1918" s="32" t="str">
        <f t="shared" si="656"/>
        <v>0.00</v>
      </c>
      <c r="Y1918" s="15">
        <f t="shared" si="657"/>
        <v>38.82</v>
      </c>
      <c r="Z1918" s="15">
        <f t="shared" si="658"/>
        <v>61.14</v>
      </c>
      <c r="AA1918" s="15">
        <f>IF(FreightType="Lethbridge-Stewart Freight ",ROUND(2.99+IF(N1918&gt;0.75,(N1918-0.75)*2.25,0)*S1918,2),IF(MarkupType="Supplier Markup",V1918+V1918*SupplierMarkup,"Error at finding value"))</f>
        <v>2.99</v>
      </c>
      <c r="AB1918" s="15">
        <f t="shared" si="659"/>
        <v>0</v>
      </c>
    </row>
    <row r="1919" spans="1:28" x14ac:dyDescent="0.25">
      <c r="A1919" s="16">
        <f>OrdersTable!A1919</f>
        <v>771</v>
      </c>
      <c r="B1919" s="15" t="str">
        <f t="shared" si="639"/>
        <v>Dr</v>
      </c>
      <c r="C1919" s="15" t="str">
        <f t="shared" si="660"/>
        <v>Virk</v>
      </c>
      <c r="D1919" s="15" t="str">
        <f t="shared" si="640"/>
        <v>Balraj Singh</v>
      </c>
      <c r="E1919" s="15" t="str">
        <f t="shared" si="641"/>
        <v>39 Napanje Drive</v>
      </c>
      <c r="F1919" s="15" t="str">
        <f t="shared" si="642"/>
        <v>Abington</v>
      </c>
      <c r="G1919" s="15" t="str">
        <f t="shared" si="643"/>
        <v>QLD</v>
      </c>
      <c r="H1919" s="15">
        <f t="shared" si="644"/>
        <v>4660</v>
      </c>
      <c r="I1919" s="15">
        <f t="shared" si="655"/>
        <v>336</v>
      </c>
      <c r="J1919" s="15">
        <f>OrdersTable!B1919</f>
        <v>543</v>
      </c>
      <c r="K1919" s="15" t="str">
        <f t="shared" si="645"/>
        <v>Giftware</v>
      </c>
      <c r="L1919" s="15" t="str">
        <f t="shared" si="646"/>
        <v>Doctor Who: Sonic Screwdriver Pen</v>
      </c>
      <c r="M1919" s="15" t="str">
        <f t="shared" si="647"/>
        <v>-</v>
      </c>
      <c r="N1919" s="15">
        <f t="shared" si="648"/>
        <v>0.65</v>
      </c>
      <c r="O1919" s="15" t="str">
        <f t="shared" si="649"/>
        <v>A20</v>
      </c>
      <c r="P1919" s="15" t="str">
        <f t="shared" si="650"/>
        <v>Morbius Inc.</v>
      </c>
      <c r="Q1919" s="15" t="str">
        <f t="shared" si="651"/>
        <v>56 Michael Spice Hwy</v>
      </c>
      <c r="R1919" s="3">
        <f>OrdersTable!C1919</f>
        <v>44698</v>
      </c>
      <c r="S1919" s="15">
        <f>OrdersTable!E1919</f>
        <v>5</v>
      </c>
      <c r="T1919" s="15">
        <f t="shared" si="652"/>
        <v>12.99</v>
      </c>
      <c r="U1919" s="15">
        <f t="shared" si="653"/>
        <v>18.02</v>
      </c>
      <c r="V1919" s="15">
        <f t="shared" si="654"/>
        <v>21.04</v>
      </c>
      <c r="W1919" s="15">
        <f>IF(MarkupType="Store Markup",ROUND(V1919+V1919*StoreMarkup,2),IF(MarkupType="Supplier Markup",V1919+V1919*SupplierMarkup,"Error at finding value"))</f>
        <v>33.14</v>
      </c>
      <c r="X1919" s="32" t="str">
        <f t="shared" si="656"/>
        <v>0.00</v>
      </c>
      <c r="Y1919" s="15">
        <f t="shared" si="657"/>
        <v>105.2</v>
      </c>
      <c r="Z1919" s="15">
        <f t="shared" si="658"/>
        <v>165.7</v>
      </c>
      <c r="AA1919" s="15">
        <f>IF(FreightType="Lethbridge-Stewart Freight ",ROUND(2.99+IF(N1919&gt;0.75,(N1919-0.75)*2.25,0)*S1919,2),IF(MarkupType="Supplier Markup",V1919+V1919*SupplierMarkup,"Error at finding value"))</f>
        <v>2.99</v>
      </c>
      <c r="AB1919" s="15">
        <f t="shared" si="659"/>
        <v>0</v>
      </c>
    </row>
    <row r="1920" spans="1:28" x14ac:dyDescent="0.25">
      <c r="A1920" s="16">
        <f>OrdersTable!A1920</f>
        <v>802</v>
      </c>
      <c r="B1920" s="15" t="str">
        <f t="shared" si="639"/>
        <v>Mr</v>
      </c>
      <c r="C1920" s="15" t="str">
        <f t="shared" si="660"/>
        <v>Carlton</v>
      </c>
      <c r="D1920" s="15" t="str">
        <f t="shared" si="640"/>
        <v>Lawrence</v>
      </c>
      <c r="E1920" s="15" t="str">
        <f t="shared" si="641"/>
        <v>39 Walsh Way</v>
      </c>
      <c r="F1920" s="15" t="str">
        <f t="shared" si="642"/>
        <v>Breakwater</v>
      </c>
      <c r="G1920" s="15" t="str">
        <f t="shared" si="643"/>
        <v>VIC</v>
      </c>
      <c r="H1920" s="15">
        <f t="shared" si="644"/>
        <v>3219</v>
      </c>
      <c r="I1920" s="15">
        <f t="shared" si="655"/>
        <v>1596</v>
      </c>
      <c r="J1920" s="15">
        <f>OrdersTable!B1920</f>
        <v>282</v>
      </c>
      <c r="K1920" s="15" t="str">
        <f t="shared" si="645"/>
        <v>Clothing and Apparel</v>
      </c>
      <c r="L1920" s="15" t="str">
        <f t="shared" si="646"/>
        <v>Doctor Who: Tardis Laplander Hat</v>
      </c>
      <c r="M1920" s="15" t="str">
        <f t="shared" si="647"/>
        <v>-</v>
      </c>
      <c r="N1920" s="15">
        <f t="shared" si="648"/>
        <v>0.97499999999999998</v>
      </c>
      <c r="O1920" s="15" t="str">
        <f t="shared" si="649"/>
        <v>A10</v>
      </c>
      <c r="P1920" s="15" t="str">
        <f t="shared" si="650"/>
        <v>Gallifrey International</v>
      </c>
      <c r="Q1920" s="15" t="str">
        <f t="shared" si="651"/>
        <v>181 Arcadia Street</v>
      </c>
      <c r="R1920" s="3">
        <f>OrdersTable!C1920</f>
        <v>44698</v>
      </c>
      <c r="S1920" s="15">
        <f>OrdersTable!E1920</f>
        <v>5</v>
      </c>
      <c r="T1920" s="15">
        <f t="shared" si="652"/>
        <v>19.5</v>
      </c>
      <c r="U1920" s="15">
        <f t="shared" si="653"/>
        <v>26.93</v>
      </c>
      <c r="V1920" s="15">
        <f t="shared" si="654"/>
        <v>31.59</v>
      </c>
      <c r="W1920" s="15">
        <f>IF(MarkupType="Store Markup",ROUND(V1920+V1920*StoreMarkup,2),IF(MarkupType="Supplier Markup",V1920+V1920*SupplierMarkup,"Error at finding value"))</f>
        <v>49.75</v>
      </c>
      <c r="X1920" s="32" t="str">
        <f t="shared" si="656"/>
        <v>0.00</v>
      </c>
      <c r="Y1920" s="15">
        <f t="shared" si="657"/>
        <v>157.94999999999999</v>
      </c>
      <c r="Z1920" s="15">
        <f t="shared" si="658"/>
        <v>248.75</v>
      </c>
      <c r="AA1920" s="15">
        <f>IF(FreightType="Lethbridge-Stewart Freight ",ROUND(2.99+IF(N1920&gt;0.75,(N1920-0.75)*2.25,0)*S1920,2),IF(MarkupType="Supplier Markup",V1920+V1920*SupplierMarkup,"Error at finding value"))</f>
        <v>5.52</v>
      </c>
      <c r="AB1920" s="15">
        <f t="shared" si="659"/>
        <v>0</v>
      </c>
    </row>
    <row r="1921" spans="1:28" x14ac:dyDescent="0.25">
      <c r="A1921" s="16">
        <f>OrdersTable!A1921</f>
        <v>849</v>
      </c>
      <c r="B1921" s="15" t="str">
        <f t="shared" si="639"/>
        <v>Dr</v>
      </c>
      <c r="C1921" s="15" t="str">
        <f t="shared" si="660"/>
        <v>Blair</v>
      </c>
      <c r="D1921" s="15" t="str">
        <f t="shared" si="640"/>
        <v>Taylor Ashleigh</v>
      </c>
      <c r="E1921" s="15" t="str">
        <f t="shared" si="641"/>
        <v>42 Ward Avenue</v>
      </c>
      <c r="F1921" s="15" t="str">
        <f t="shared" si="642"/>
        <v>Airly</v>
      </c>
      <c r="G1921" s="15" t="str">
        <f t="shared" si="643"/>
        <v>VIC</v>
      </c>
      <c r="H1921" s="15">
        <f t="shared" si="644"/>
        <v>3851</v>
      </c>
      <c r="I1921" s="15">
        <f t="shared" si="655"/>
        <v>1583</v>
      </c>
      <c r="J1921" s="15">
        <f>OrdersTable!B1921</f>
        <v>704</v>
      </c>
      <c r="K1921" s="15" t="str">
        <f t="shared" si="645"/>
        <v>Posters, Prints and Standees</v>
      </c>
      <c r="L1921" s="15" t="str">
        <f t="shared" si="646"/>
        <v>Doctor Who: Poster: Doctor's Enemies</v>
      </c>
      <c r="M1921" s="15" t="str">
        <f t="shared" si="647"/>
        <v>-</v>
      </c>
      <c r="N1921" s="15">
        <f t="shared" si="648"/>
        <v>0.2</v>
      </c>
      <c r="O1921" s="15" t="str">
        <f t="shared" si="649"/>
        <v>A30</v>
      </c>
      <c r="P1921" s="15" t="str">
        <f t="shared" si="650"/>
        <v>Chesterton Enterprises</v>
      </c>
      <c r="Q1921" s="15" t="str">
        <f t="shared" si="651"/>
        <v>41 William Russell Road</v>
      </c>
      <c r="R1921" s="3">
        <f>OrdersTable!C1921</f>
        <v>44698</v>
      </c>
      <c r="S1921" s="15">
        <f>OrdersTable!E1921</f>
        <v>6</v>
      </c>
      <c r="T1921" s="15">
        <f t="shared" si="652"/>
        <v>3.99</v>
      </c>
      <c r="U1921" s="15">
        <f t="shared" si="653"/>
        <v>5.52</v>
      </c>
      <c r="V1921" s="15">
        <f t="shared" si="654"/>
        <v>6.46</v>
      </c>
      <c r="W1921" s="15">
        <f>IF(MarkupType="Store Markup",ROUND(V1921+V1921*StoreMarkup,2),IF(MarkupType="Supplier Markup",V1921+V1921*SupplierMarkup,"Error at finding value"))</f>
        <v>10.17</v>
      </c>
      <c r="X1921" s="32" t="str">
        <f t="shared" si="656"/>
        <v>0.00</v>
      </c>
      <c r="Y1921" s="15">
        <f t="shared" si="657"/>
        <v>38.76</v>
      </c>
      <c r="Z1921" s="15">
        <f t="shared" si="658"/>
        <v>61.02</v>
      </c>
      <c r="AA1921" s="15">
        <f>IF(FreightType="Lethbridge-Stewart Freight ",ROUND(2.99+IF(N1921&gt;0.75,(N1921-0.75)*2.25,0)*S1921,2),IF(MarkupType="Supplier Markup",V1921+V1921*SupplierMarkup,"Error at finding value"))</f>
        <v>2.99</v>
      </c>
      <c r="AB1921" s="15">
        <f t="shared" si="659"/>
        <v>0</v>
      </c>
    </row>
    <row r="1922" spans="1:28" x14ac:dyDescent="0.25">
      <c r="A1922" s="16">
        <f>OrdersTable!A1922</f>
        <v>146</v>
      </c>
      <c r="B1922" s="15" t="str">
        <f t="shared" si="639"/>
        <v>Miss</v>
      </c>
      <c r="C1922" s="15" t="str">
        <f t="shared" si="660"/>
        <v>Brown</v>
      </c>
      <c r="D1922" s="15" t="str">
        <f t="shared" si="640"/>
        <v>Sarah Danielle</v>
      </c>
      <c r="E1922" s="15" t="str">
        <f t="shared" si="641"/>
        <v>50 Brieschke Court</v>
      </c>
      <c r="F1922" s="15" t="str">
        <f t="shared" si="642"/>
        <v>Bray Park</v>
      </c>
      <c r="G1922" s="15" t="str">
        <f t="shared" si="643"/>
        <v>QLD</v>
      </c>
      <c r="H1922" s="15">
        <f t="shared" si="644"/>
        <v>4500</v>
      </c>
      <c r="I1922" s="15">
        <f t="shared" si="655"/>
        <v>139</v>
      </c>
      <c r="J1922" s="15">
        <f>OrdersTable!B1922</f>
        <v>778</v>
      </c>
      <c r="K1922" s="15" t="str">
        <f t="shared" si="645"/>
        <v>Statues and Busts</v>
      </c>
      <c r="L1922" s="15" t="str">
        <f t="shared" si="646"/>
        <v>Doctor Who: Legends Forever Bust: William Hartnell</v>
      </c>
      <c r="M1922" s="15" t="str">
        <f t="shared" si="647"/>
        <v>-</v>
      </c>
      <c r="N1922" s="15">
        <f t="shared" si="648"/>
        <v>1.375</v>
      </c>
      <c r="O1922" s="15" t="str">
        <f t="shared" si="649"/>
        <v>A40</v>
      </c>
      <c r="P1922" s="15" t="str">
        <f t="shared" si="650"/>
        <v>Romana Imports</v>
      </c>
      <c r="Q1922" s="15" t="str">
        <f t="shared" si="651"/>
        <v>17 Lalla Ward Road</v>
      </c>
      <c r="R1922" s="3">
        <f>OrdersTable!C1922</f>
        <v>44699</v>
      </c>
      <c r="S1922" s="15">
        <f>OrdersTable!E1922</f>
        <v>4</v>
      </c>
      <c r="T1922" s="15">
        <f t="shared" si="652"/>
        <v>27.5</v>
      </c>
      <c r="U1922" s="15">
        <f t="shared" si="653"/>
        <v>37.520000000000003</v>
      </c>
      <c r="V1922" s="15">
        <f t="shared" si="654"/>
        <v>44.55</v>
      </c>
      <c r="W1922" s="15">
        <f>IF(MarkupType="Store Markup",ROUND(V1922+V1922*StoreMarkup,2),IF(MarkupType="Supplier Markup",V1922+V1922*SupplierMarkup,"Error at finding value"))</f>
        <v>70.17</v>
      </c>
      <c r="X1922" s="32" t="str">
        <f t="shared" si="656"/>
        <v>0.00</v>
      </c>
      <c r="Y1922" s="15">
        <f t="shared" si="657"/>
        <v>178.2</v>
      </c>
      <c r="Z1922" s="15">
        <f t="shared" si="658"/>
        <v>280.68</v>
      </c>
      <c r="AA1922" s="15">
        <f>IF(FreightType="Lethbridge-Stewart Freight ",ROUND(2.99+IF(N1922&gt;0.75,(N1922-0.75)*2.25,0)*S1922,2),IF(MarkupType="Supplier Markup",V1922+V1922*SupplierMarkup,"Error at finding value"))</f>
        <v>8.6199999999999992</v>
      </c>
      <c r="AB1922" s="15">
        <f t="shared" si="659"/>
        <v>0</v>
      </c>
    </row>
    <row r="1923" spans="1:28" x14ac:dyDescent="0.25">
      <c r="A1923" s="16">
        <f>OrdersTable!A1923</f>
        <v>200</v>
      </c>
      <c r="B1923" s="15" t="str">
        <f t="shared" si="639"/>
        <v>Ms</v>
      </c>
      <c r="C1923" s="15" t="str">
        <f t="shared" si="660"/>
        <v>Barton</v>
      </c>
      <c r="D1923" s="15" t="str">
        <f t="shared" si="640"/>
        <v>Kimberley</v>
      </c>
      <c r="E1923" s="15" t="str">
        <f t="shared" si="641"/>
        <v>9 Decuyper Road</v>
      </c>
      <c r="F1923" s="15" t="str">
        <f t="shared" si="642"/>
        <v>Ashford</v>
      </c>
      <c r="G1923" s="15" t="str">
        <f t="shared" si="643"/>
        <v>SA</v>
      </c>
      <c r="H1923" s="15">
        <f t="shared" si="644"/>
        <v>5035</v>
      </c>
      <c r="I1923" s="15">
        <f t="shared" si="655"/>
        <v>1877</v>
      </c>
      <c r="J1923" s="15">
        <f>OrdersTable!B1923</f>
        <v>787</v>
      </c>
      <c r="K1923" s="15" t="str">
        <f t="shared" si="645"/>
        <v>Statues and Busts</v>
      </c>
      <c r="L1923" s="15" t="str">
        <f t="shared" si="646"/>
        <v>Doctor Who: Masterpiece Collection Maxi Bust: 1st Doctor</v>
      </c>
      <c r="M1923" s="15" t="str">
        <f t="shared" si="647"/>
        <v>-</v>
      </c>
      <c r="N1923" s="15">
        <f t="shared" si="648"/>
        <v>2.5</v>
      </c>
      <c r="O1923" s="15" t="str">
        <f t="shared" si="649"/>
        <v>A10</v>
      </c>
      <c r="P1923" s="15" t="str">
        <f t="shared" si="650"/>
        <v>Gallifrey International</v>
      </c>
      <c r="Q1923" s="15" t="str">
        <f t="shared" si="651"/>
        <v>181 Arcadia Street</v>
      </c>
      <c r="R1923" s="3">
        <f>OrdersTable!C1923</f>
        <v>44699</v>
      </c>
      <c r="S1923" s="15">
        <f>OrdersTable!E1923</f>
        <v>9</v>
      </c>
      <c r="T1923" s="15">
        <f t="shared" si="652"/>
        <v>49.99</v>
      </c>
      <c r="U1923" s="15">
        <f t="shared" si="653"/>
        <v>68.290000000000006</v>
      </c>
      <c r="V1923" s="15">
        <f t="shared" si="654"/>
        <v>80.98</v>
      </c>
      <c r="W1923" s="15">
        <f>IF(MarkupType="Store Markup",ROUND(V1923+V1923*StoreMarkup,2),IF(MarkupType="Supplier Markup",V1923+V1923*SupplierMarkup,"Error at finding value"))</f>
        <v>127.54</v>
      </c>
      <c r="X1923" s="32">
        <f t="shared" si="656"/>
        <v>9.09</v>
      </c>
      <c r="Y1923" s="15">
        <f t="shared" si="657"/>
        <v>728.82</v>
      </c>
      <c r="Z1923" s="15">
        <f t="shared" si="658"/>
        <v>1066.05</v>
      </c>
      <c r="AA1923" s="15">
        <f>IF(FreightType="Lethbridge-Stewart Freight ",ROUND(2.99+IF(N1923&gt;0.75,(N1923-0.75)*2.25,0)*S1923,2),IF(MarkupType="Supplier Markup",V1923+V1923*SupplierMarkup,"Error at finding value"))</f>
        <v>38.43</v>
      </c>
      <c r="AB1923" s="15">
        <f t="shared" si="659"/>
        <v>81.81</v>
      </c>
    </row>
    <row r="1924" spans="1:28" x14ac:dyDescent="0.25">
      <c r="A1924" s="16">
        <f>OrdersTable!A1924</f>
        <v>200</v>
      </c>
      <c r="B1924" s="15" t="str">
        <f t="shared" ref="B1924:B1987" si="661">VLOOKUP($A1924,Cust,2,0)</f>
        <v>Ms</v>
      </c>
      <c r="C1924" s="15" t="str">
        <f t="shared" si="660"/>
        <v>Barton</v>
      </c>
      <c r="D1924" s="15" t="str">
        <f t="shared" ref="D1924:D1987" si="662">VLOOKUP($A1924,Cust,4,0)</f>
        <v>Kimberley</v>
      </c>
      <c r="E1924" s="15" t="str">
        <f t="shared" ref="E1924:E1987" si="663">VLOOKUP($A1924,Cust,6,0)</f>
        <v>9 Decuyper Road</v>
      </c>
      <c r="F1924" s="15" t="str">
        <f t="shared" ref="F1924:F1987" si="664">VLOOKUP($A1924,Cust,7,0)</f>
        <v>Ashford</v>
      </c>
      <c r="G1924" s="15" t="str">
        <f t="shared" ref="G1924:G1987" si="665">VLOOKUP($A1924,Cust,8,0)</f>
        <v>SA</v>
      </c>
      <c r="H1924" s="15">
        <f t="shared" ref="H1924:H1987" si="666">VLOOKUP($A1924,Cust,9,0)</f>
        <v>5035</v>
      </c>
      <c r="I1924" s="15">
        <f t="shared" si="655"/>
        <v>1877</v>
      </c>
      <c r="J1924" s="15">
        <f>OrdersTable!B1924</f>
        <v>801</v>
      </c>
      <c r="K1924" s="15" t="str">
        <f t="shared" ref="K1924:K1987" si="667">VLOOKUP($J1924,Itms,2,0)</f>
        <v>Statues and Busts</v>
      </c>
      <c r="L1924" s="15" t="str">
        <f t="shared" ref="L1924:L1987" si="668">VLOOKUP($J1924,Itms,3,0)</f>
        <v>Doctor Who: Masterpiece Collection Maxi Bust: 4th Doctor</v>
      </c>
      <c r="M1924" s="15" t="str">
        <f t="shared" ref="M1924:M1987" si="669">VLOOKUP($J1924,Itms,4,0)</f>
        <v>-</v>
      </c>
      <c r="N1924" s="15">
        <f t="shared" ref="N1924:N1987" si="670">VLOOKUP($J1924,Itms,5,0)</f>
        <v>2.5</v>
      </c>
      <c r="O1924" s="15" t="str">
        <f t="shared" ref="O1924:O1987" si="671">VLOOKUP($J1924,Itms,6,0)</f>
        <v>A30</v>
      </c>
      <c r="P1924" s="15" t="str">
        <f t="shared" ref="P1924:P1987" si="672">VLOOKUP($O1924,Supp,2,0)</f>
        <v>Chesterton Enterprises</v>
      </c>
      <c r="Q1924" s="15" t="str">
        <f t="shared" ref="Q1924:Q1987" si="673">VLOOKUP($O1924,Supp,3,0)</f>
        <v>41 William Russell Road</v>
      </c>
      <c r="R1924" s="3">
        <f>OrdersTable!C1924</f>
        <v>44699</v>
      </c>
      <c r="S1924" s="15">
        <f>OrdersTable!E1924</f>
        <v>8</v>
      </c>
      <c r="T1924" s="15">
        <f t="shared" ref="T1924:T1987" si="674">VLOOKUP($J1924,Itms,9,0)</f>
        <v>49.99</v>
      </c>
      <c r="U1924" s="15">
        <f t="shared" ref="U1924:U1987" si="675">VLOOKUP($J1924,Itms,10,0)</f>
        <v>68.180000000000007</v>
      </c>
      <c r="V1924" s="15">
        <f t="shared" ref="V1924:V1987" si="676">IF(ExchRateType="IR",ROUND(T1924*ExchRateIR,2),IF(ExchRateType="CA",ROUND(U1924*ExchRateCA,2),"Error at finding value"))</f>
        <v>80.98</v>
      </c>
      <c r="W1924" s="15">
        <f>IF(MarkupType="Store Markup",ROUND(V1924+V1924*StoreMarkup,2),IF(MarkupType="Supplier Markup",V1924+V1924*SupplierMarkup,"Error at finding value"))</f>
        <v>127.54</v>
      </c>
      <c r="X1924" s="32">
        <f t="shared" si="656"/>
        <v>9.09</v>
      </c>
      <c r="Y1924" s="15">
        <f t="shared" si="657"/>
        <v>647.84</v>
      </c>
      <c r="Z1924" s="15">
        <f t="shared" si="658"/>
        <v>947.6</v>
      </c>
      <c r="AA1924" s="15">
        <f>IF(FreightType="Lethbridge-Stewart Freight ",ROUND(2.99+IF(N1924&gt;0.75,(N1924-0.75)*2.25,0)*S1924,2),IF(MarkupType="Supplier Markup",V1924+V1924*SupplierMarkup,"Error at finding value"))</f>
        <v>34.49</v>
      </c>
      <c r="AB1924" s="15">
        <f t="shared" si="659"/>
        <v>72.72</v>
      </c>
    </row>
    <row r="1925" spans="1:28" x14ac:dyDescent="0.25">
      <c r="A1925" s="16">
        <f>OrdersTable!A1925</f>
        <v>224</v>
      </c>
      <c r="B1925" s="15" t="str">
        <f t="shared" si="661"/>
        <v>Miss</v>
      </c>
      <c r="C1925" s="15" t="str">
        <f t="shared" si="660"/>
        <v>Baruwal</v>
      </c>
      <c r="D1925" s="15" t="str">
        <f t="shared" si="662"/>
        <v>Pratikshya</v>
      </c>
      <c r="E1925" s="15" t="str">
        <f t="shared" si="663"/>
        <v>43 Gilloway Street</v>
      </c>
      <c r="F1925" s="15" t="str">
        <f t="shared" si="664"/>
        <v>Iluka</v>
      </c>
      <c r="G1925" s="15" t="str">
        <f t="shared" si="665"/>
        <v>NSW</v>
      </c>
      <c r="H1925" s="15">
        <f t="shared" si="666"/>
        <v>2466</v>
      </c>
      <c r="I1925" s="15">
        <f t="shared" ref="I1925:I1988" si="677">VLOOKUP($A1925,Cust,10,0)</f>
        <v>347</v>
      </c>
      <c r="J1925" s="15">
        <f>OrdersTable!B1925</f>
        <v>145</v>
      </c>
      <c r="K1925" s="15" t="str">
        <f t="shared" si="667"/>
        <v>Bobbleheads</v>
      </c>
      <c r="L1925" s="15" t="str">
        <f t="shared" si="668"/>
        <v>Doctor Who: Bobblehead: Eleventh Doctor</v>
      </c>
      <c r="M1925" s="15" t="str">
        <f t="shared" si="669"/>
        <v>-</v>
      </c>
      <c r="N1925" s="15">
        <f t="shared" si="670"/>
        <v>1</v>
      </c>
      <c r="O1925" s="15" t="str">
        <f t="shared" si="671"/>
        <v>A30</v>
      </c>
      <c r="P1925" s="15" t="str">
        <f t="shared" si="672"/>
        <v>Chesterton Enterprises</v>
      </c>
      <c r="Q1925" s="15" t="str">
        <f t="shared" si="673"/>
        <v>41 William Russell Road</v>
      </c>
      <c r="R1925" s="3">
        <f>OrdersTable!C1925</f>
        <v>44699</v>
      </c>
      <c r="S1925" s="15">
        <f>OrdersTable!E1925</f>
        <v>1</v>
      </c>
      <c r="T1925" s="15">
        <f t="shared" si="674"/>
        <v>19.989999999999998</v>
      </c>
      <c r="U1925" s="15">
        <f t="shared" si="675"/>
        <v>27.54</v>
      </c>
      <c r="V1925" s="15">
        <f t="shared" si="676"/>
        <v>32.380000000000003</v>
      </c>
      <c r="W1925" s="15">
        <f>IF(MarkupType="Store Markup",ROUND(V1925+V1925*StoreMarkup,2),IF(MarkupType="Supplier Markup",V1925+V1925*SupplierMarkup,"Error at finding value"))</f>
        <v>51</v>
      </c>
      <c r="X1925" s="32" t="str">
        <f t="shared" ref="X1925:X1988" si="678">IF(AND(W1925&gt;100,S1925&gt;=3),ROUND(0.07125*W1925,2),"0.00")</f>
        <v>0.00</v>
      </c>
      <c r="Y1925" s="15">
        <f t="shared" ref="Y1925:Y1988" si="679">ROUND(V1925*S1925,2)</f>
        <v>32.380000000000003</v>
      </c>
      <c r="Z1925" s="15">
        <f t="shared" ref="Z1925:Z1988" si="680">ROUND((W1925-X1925)*S1925,2)</f>
        <v>51</v>
      </c>
      <c r="AA1925" s="15">
        <f>IF(FreightType="Lethbridge-Stewart Freight ",ROUND(2.99+IF(N1925&gt;0.75,(N1925-0.75)*2.25,0)*S1925,2),IF(MarkupType="Supplier Markup",V1925+V1925*SupplierMarkup,"Error at finding value"))</f>
        <v>3.55</v>
      </c>
      <c r="AB1925" s="15">
        <f t="shared" ref="AB1925:AB1988" si="681">ROUND(X1925*S1925,2)</f>
        <v>0</v>
      </c>
    </row>
    <row r="1926" spans="1:28" x14ac:dyDescent="0.25">
      <c r="A1926" s="16">
        <f>OrdersTable!A1926</f>
        <v>224</v>
      </c>
      <c r="B1926" s="15" t="str">
        <f t="shared" si="661"/>
        <v>Miss</v>
      </c>
      <c r="C1926" s="15" t="str">
        <f t="shared" si="660"/>
        <v>Baruwal</v>
      </c>
      <c r="D1926" s="15" t="str">
        <f t="shared" si="662"/>
        <v>Pratikshya</v>
      </c>
      <c r="E1926" s="15" t="str">
        <f t="shared" si="663"/>
        <v>43 Gilloway Street</v>
      </c>
      <c r="F1926" s="15" t="str">
        <f t="shared" si="664"/>
        <v>Iluka</v>
      </c>
      <c r="G1926" s="15" t="str">
        <f t="shared" si="665"/>
        <v>NSW</v>
      </c>
      <c r="H1926" s="15">
        <f t="shared" si="666"/>
        <v>2466</v>
      </c>
      <c r="I1926" s="15">
        <f t="shared" si="677"/>
        <v>347</v>
      </c>
      <c r="J1926" s="15">
        <f>OrdersTable!B1926</f>
        <v>239</v>
      </c>
      <c r="K1926" s="15" t="str">
        <f t="shared" si="667"/>
        <v>Clothing and Apparel</v>
      </c>
      <c r="L1926" s="15" t="str">
        <f t="shared" si="668"/>
        <v>Doctor Who: Men's Winter Pyjamas</v>
      </c>
      <c r="M1926" s="15" t="str">
        <f t="shared" si="669"/>
        <v>L</v>
      </c>
      <c r="N1926" s="15">
        <f t="shared" si="670"/>
        <v>1.5</v>
      </c>
      <c r="O1926" s="15" t="str">
        <f t="shared" si="671"/>
        <v>A10</v>
      </c>
      <c r="P1926" s="15" t="str">
        <f t="shared" si="672"/>
        <v>Gallifrey International</v>
      </c>
      <c r="Q1926" s="15" t="str">
        <f t="shared" si="673"/>
        <v>181 Arcadia Street</v>
      </c>
      <c r="R1926" s="3">
        <f>OrdersTable!C1926</f>
        <v>44699</v>
      </c>
      <c r="S1926" s="15">
        <f>OrdersTable!E1926</f>
        <v>7</v>
      </c>
      <c r="T1926" s="15">
        <f t="shared" si="674"/>
        <v>29.99</v>
      </c>
      <c r="U1926" s="15">
        <f t="shared" si="675"/>
        <v>41.23</v>
      </c>
      <c r="V1926" s="15">
        <f t="shared" si="676"/>
        <v>48.58</v>
      </c>
      <c r="W1926" s="15">
        <f>IF(MarkupType="Store Markup",ROUND(V1926+V1926*StoreMarkup,2),IF(MarkupType="Supplier Markup",V1926+V1926*SupplierMarkup,"Error at finding value"))</f>
        <v>76.510000000000005</v>
      </c>
      <c r="X1926" s="32" t="str">
        <f t="shared" si="678"/>
        <v>0.00</v>
      </c>
      <c r="Y1926" s="15">
        <f t="shared" si="679"/>
        <v>340.06</v>
      </c>
      <c r="Z1926" s="15">
        <f t="shared" si="680"/>
        <v>535.57000000000005</v>
      </c>
      <c r="AA1926" s="15">
        <f>IF(FreightType="Lethbridge-Stewart Freight ",ROUND(2.99+IF(N1926&gt;0.75,(N1926-0.75)*2.25,0)*S1926,2),IF(MarkupType="Supplier Markup",V1926+V1926*SupplierMarkup,"Error at finding value"))</f>
        <v>14.8</v>
      </c>
      <c r="AB1926" s="15">
        <f t="shared" si="681"/>
        <v>0</v>
      </c>
    </row>
    <row r="1927" spans="1:28" x14ac:dyDescent="0.25">
      <c r="A1927" s="16">
        <f>OrdersTable!A1927</f>
        <v>302</v>
      </c>
      <c r="B1927" s="15" t="str">
        <f t="shared" si="661"/>
        <v>Ms</v>
      </c>
      <c r="C1927" s="15" t="str">
        <f t="shared" si="660"/>
        <v>Lamshed</v>
      </c>
      <c r="D1927" s="15" t="str">
        <f t="shared" si="662"/>
        <v>Laura Clare</v>
      </c>
      <c r="E1927" s="15" t="str">
        <f t="shared" si="663"/>
        <v>22 Edser Drive</v>
      </c>
      <c r="F1927" s="15" t="str">
        <f t="shared" si="664"/>
        <v>Caliph</v>
      </c>
      <c r="G1927" s="15" t="str">
        <f t="shared" si="665"/>
        <v>SA</v>
      </c>
      <c r="H1927" s="15">
        <f t="shared" si="666"/>
        <v>5310</v>
      </c>
      <c r="I1927" s="15">
        <f t="shared" si="677"/>
        <v>1720</v>
      </c>
      <c r="J1927" s="15">
        <f>OrdersTable!B1927</f>
        <v>692</v>
      </c>
      <c r="K1927" s="15" t="str">
        <f t="shared" si="667"/>
        <v>Posters, Prints and Standees</v>
      </c>
      <c r="L1927" s="15" t="str">
        <f t="shared" si="668"/>
        <v>Doctor Who: 16'x12' Framed Print: Exploding TARDIS</v>
      </c>
      <c r="M1927" s="15" t="str">
        <f t="shared" si="669"/>
        <v>-</v>
      </c>
      <c r="N1927" s="15">
        <f t="shared" si="670"/>
        <v>0.75</v>
      </c>
      <c r="O1927" s="15" t="str">
        <f t="shared" si="671"/>
        <v>A30</v>
      </c>
      <c r="P1927" s="15" t="str">
        <f t="shared" si="672"/>
        <v>Chesterton Enterprises</v>
      </c>
      <c r="Q1927" s="15" t="str">
        <f t="shared" si="673"/>
        <v>41 William Russell Road</v>
      </c>
      <c r="R1927" s="3">
        <f>OrdersTable!C1927</f>
        <v>44699</v>
      </c>
      <c r="S1927" s="15">
        <f>OrdersTable!E1927</f>
        <v>9</v>
      </c>
      <c r="T1927" s="15">
        <f t="shared" si="674"/>
        <v>14.99</v>
      </c>
      <c r="U1927" s="15">
        <f t="shared" si="675"/>
        <v>20.54</v>
      </c>
      <c r="V1927" s="15">
        <f t="shared" si="676"/>
        <v>24.28</v>
      </c>
      <c r="W1927" s="15">
        <f>IF(MarkupType="Store Markup",ROUND(V1927+V1927*StoreMarkup,2),IF(MarkupType="Supplier Markup",V1927+V1927*SupplierMarkup,"Error at finding value"))</f>
        <v>38.24</v>
      </c>
      <c r="X1927" s="32" t="str">
        <f t="shared" si="678"/>
        <v>0.00</v>
      </c>
      <c r="Y1927" s="15">
        <f t="shared" si="679"/>
        <v>218.52</v>
      </c>
      <c r="Z1927" s="15">
        <f t="shared" si="680"/>
        <v>344.16</v>
      </c>
      <c r="AA1927" s="15">
        <f>IF(FreightType="Lethbridge-Stewart Freight ",ROUND(2.99+IF(N1927&gt;0.75,(N1927-0.75)*2.25,0)*S1927,2),IF(MarkupType="Supplier Markup",V1927+V1927*SupplierMarkup,"Error at finding value"))</f>
        <v>2.99</v>
      </c>
      <c r="AB1927" s="15">
        <f t="shared" si="681"/>
        <v>0</v>
      </c>
    </row>
    <row r="1928" spans="1:28" x14ac:dyDescent="0.25">
      <c r="A1928" s="16">
        <f>OrdersTable!A1928</f>
        <v>323</v>
      </c>
      <c r="B1928" s="15" t="str">
        <f t="shared" si="661"/>
        <v>Dr</v>
      </c>
      <c r="C1928" s="15" t="str">
        <f t="shared" si="660"/>
        <v>King</v>
      </c>
      <c r="D1928" s="15" t="str">
        <f t="shared" si="662"/>
        <v>Leith</v>
      </c>
      <c r="E1928" s="15" t="str">
        <f t="shared" si="663"/>
        <v>25 Carbone Court</v>
      </c>
      <c r="F1928" s="15" t="str">
        <f t="shared" si="664"/>
        <v>Nayook</v>
      </c>
      <c r="G1928" s="15" t="str">
        <f t="shared" si="665"/>
        <v>VIC</v>
      </c>
      <c r="H1928" s="15">
        <f t="shared" si="666"/>
        <v>3832</v>
      </c>
      <c r="I1928" s="15">
        <f t="shared" si="677"/>
        <v>1552</v>
      </c>
      <c r="J1928" s="15">
        <f>OrdersTable!B1928</f>
        <v>594</v>
      </c>
      <c r="K1928" s="15" t="str">
        <f t="shared" si="667"/>
        <v>iPhone Skins</v>
      </c>
      <c r="L1928" s="15" t="str">
        <f t="shared" si="668"/>
        <v>Doctor Who: iPhone Skin: Keep Calm And Don't Blink</v>
      </c>
      <c r="M1928" s="15" t="str">
        <f t="shared" si="669"/>
        <v>-</v>
      </c>
      <c r="N1928" s="15">
        <f t="shared" si="670"/>
        <v>0.5</v>
      </c>
      <c r="O1928" s="15" t="str">
        <f t="shared" si="671"/>
        <v>A20</v>
      </c>
      <c r="P1928" s="15" t="str">
        <f t="shared" si="672"/>
        <v>Morbius Inc.</v>
      </c>
      <c r="Q1928" s="15" t="str">
        <f t="shared" si="673"/>
        <v>56 Michael Spice Hwy</v>
      </c>
      <c r="R1928" s="3">
        <f>OrdersTable!C1928</f>
        <v>44699</v>
      </c>
      <c r="S1928" s="15">
        <f>OrdersTable!E1928</f>
        <v>3</v>
      </c>
      <c r="T1928" s="15">
        <f t="shared" si="674"/>
        <v>9.99</v>
      </c>
      <c r="U1928" s="15">
        <f t="shared" si="675"/>
        <v>13.88</v>
      </c>
      <c r="V1928" s="15">
        <f t="shared" si="676"/>
        <v>16.18</v>
      </c>
      <c r="W1928" s="15">
        <f>IF(MarkupType="Store Markup",ROUND(V1928+V1928*StoreMarkup,2),IF(MarkupType="Supplier Markup",V1928+V1928*SupplierMarkup,"Error at finding value"))</f>
        <v>25.48</v>
      </c>
      <c r="X1928" s="32" t="str">
        <f t="shared" si="678"/>
        <v>0.00</v>
      </c>
      <c r="Y1928" s="15">
        <f t="shared" si="679"/>
        <v>48.54</v>
      </c>
      <c r="Z1928" s="15">
        <f t="shared" si="680"/>
        <v>76.44</v>
      </c>
      <c r="AA1928" s="15">
        <f>IF(FreightType="Lethbridge-Stewart Freight ",ROUND(2.99+IF(N1928&gt;0.75,(N1928-0.75)*2.25,0)*S1928,2),IF(MarkupType="Supplier Markup",V1928+V1928*SupplierMarkup,"Error at finding value"))</f>
        <v>2.99</v>
      </c>
      <c r="AB1928" s="15">
        <f t="shared" si="681"/>
        <v>0</v>
      </c>
    </row>
    <row r="1929" spans="1:28" x14ac:dyDescent="0.25">
      <c r="A1929" s="16">
        <f>OrdersTable!A1929</f>
        <v>360</v>
      </c>
      <c r="B1929" s="15" t="str">
        <f t="shared" si="661"/>
        <v>Ms</v>
      </c>
      <c r="C1929" s="15" t="str">
        <f t="shared" si="660"/>
        <v>Bobonica</v>
      </c>
      <c r="D1929" s="15" t="str">
        <f t="shared" si="662"/>
        <v>Claudia</v>
      </c>
      <c r="E1929" s="15" t="str">
        <f t="shared" si="663"/>
        <v>47 Klein Way</v>
      </c>
      <c r="F1929" s="15" t="str">
        <f t="shared" si="664"/>
        <v>Avon Plains</v>
      </c>
      <c r="G1929" s="15" t="str">
        <f t="shared" si="665"/>
        <v>VIC</v>
      </c>
      <c r="H1929" s="15">
        <f t="shared" si="666"/>
        <v>3477</v>
      </c>
      <c r="I1929" s="15">
        <f t="shared" si="677"/>
        <v>1565</v>
      </c>
      <c r="J1929" s="15">
        <f>OrdersTable!B1929</f>
        <v>685</v>
      </c>
      <c r="K1929" s="15" t="str">
        <f t="shared" si="667"/>
        <v>Mugs</v>
      </c>
      <c r="L1929" s="15" t="str">
        <f t="shared" si="668"/>
        <v>Doctor Who: Teapot: Sliver TARDIS</v>
      </c>
      <c r="M1929" s="15" t="str">
        <f t="shared" si="669"/>
        <v>-</v>
      </c>
      <c r="N1929" s="15">
        <f t="shared" si="670"/>
        <v>1.35</v>
      </c>
      <c r="O1929" s="15" t="str">
        <f t="shared" si="671"/>
        <v>A30</v>
      </c>
      <c r="P1929" s="15" t="str">
        <f t="shared" si="672"/>
        <v>Chesterton Enterprises</v>
      </c>
      <c r="Q1929" s="15" t="str">
        <f t="shared" si="673"/>
        <v>41 William Russell Road</v>
      </c>
      <c r="R1929" s="3">
        <f>OrdersTable!C1929</f>
        <v>44699</v>
      </c>
      <c r="S1929" s="15">
        <f>OrdersTable!E1929</f>
        <v>2</v>
      </c>
      <c r="T1929" s="15">
        <f t="shared" si="674"/>
        <v>26.99</v>
      </c>
      <c r="U1929" s="15">
        <f t="shared" si="675"/>
        <v>36.869999999999997</v>
      </c>
      <c r="V1929" s="15">
        <f t="shared" si="676"/>
        <v>43.72</v>
      </c>
      <c r="W1929" s="15">
        <f>IF(MarkupType="Store Markup",ROUND(V1929+V1929*StoreMarkup,2),IF(MarkupType="Supplier Markup",V1929+V1929*SupplierMarkup,"Error at finding value"))</f>
        <v>68.86</v>
      </c>
      <c r="X1929" s="32" t="str">
        <f t="shared" si="678"/>
        <v>0.00</v>
      </c>
      <c r="Y1929" s="15">
        <f t="shared" si="679"/>
        <v>87.44</v>
      </c>
      <c r="Z1929" s="15">
        <f t="shared" si="680"/>
        <v>137.72</v>
      </c>
      <c r="AA1929" s="15">
        <f>IF(FreightType="Lethbridge-Stewart Freight ",ROUND(2.99+IF(N1929&gt;0.75,(N1929-0.75)*2.25,0)*S1929,2),IF(MarkupType="Supplier Markup",V1929+V1929*SupplierMarkup,"Error at finding value"))</f>
        <v>5.69</v>
      </c>
      <c r="AB1929" s="15">
        <f t="shared" si="681"/>
        <v>0</v>
      </c>
    </row>
    <row r="1930" spans="1:28" x14ac:dyDescent="0.25">
      <c r="A1930" s="16">
        <f>OrdersTable!A1930</f>
        <v>491</v>
      </c>
      <c r="B1930" s="15" t="str">
        <f t="shared" si="661"/>
        <v>Miss</v>
      </c>
      <c r="C1930" s="15" t="str">
        <f t="shared" si="660"/>
        <v>Winks</v>
      </c>
      <c r="D1930" s="15" t="str">
        <f t="shared" si="662"/>
        <v>Lori-Ann</v>
      </c>
      <c r="E1930" s="15" t="str">
        <f t="shared" si="663"/>
        <v>40 Lyne Street</v>
      </c>
      <c r="F1930" s="15" t="str">
        <f t="shared" si="664"/>
        <v>Bray Park</v>
      </c>
      <c r="G1930" s="15" t="str">
        <f t="shared" si="665"/>
        <v>QLD</v>
      </c>
      <c r="H1930" s="15">
        <f t="shared" si="666"/>
        <v>4500</v>
      </c>
      <c r="I1930" s="15">
        <f t="shared" si="677"/>
        <v>139</v>
      </c>
      <c r="J1930" s="15">
        <f>OrdersTable!B1930</f>
        <v>530</v>
      </c>
      <c r="K1930" s="15" t="str">
        <f t="shared" si="667"/>
        <v>Giftware</v>
      </c>
      <c r="L1930" s="15" t="str">
        <f t="shared" si="668"/>
        <v>Doctor Who: Keyring TARDIS</v>
      </c>
      <c r="M1930" s="15" t="str">
        <f t="shared" si="669"/>
        <v>-</v>
      </c>
      <c r="N1930" s="15">
        <f t="shared" si="670"/>
        <v>0.25</v>
      </c>
      <c r="O1930" s="15" t="str">
        <f t="shared" si="671"/>
        <v>A20</v>
      </c>
      <c r="P1930" s="15" t="str">
        <f t="shared" si="672"/>
        <v>Morbius Inc.</v>
      </c>
      <c r="Q1930" s="15" t="str">
        <f t="shared" si="673"/>
        <v>56 Michael Spice Hwy</v>
      </c>
      <c r="R1930" s="3">
        <f>OrdersTable!C1930</f>
        <v>44699</v>
      </c>
      <c r="S1930" s="15">
        <f>OrdersTable!E1930</f>
        <v>5</v>
      </c>
      <c r="T1930" s="15">
        <f t="shared" si="674"/>
        <v>4.99</v>
      </c>
      <c r="U1930" s="15">
        <f t="shared" si="675"/>
        <v>7.1</v>
      </c>
      <c r="V1930" s="15">
        <f t="shared" si="676"/>
        <v>8.08</v>
      </c>
      <c r="W1930" s="15">
        <f>IF(MarkupType="Store Markup",ROUND(V1930+V1930*StoreMarkup,2),IF(MarkupType="Supplier Markup",V1930+V1930*SupplierMarkup,"Error at finding value"))</f>
        <v>12.73</v>
      </c>
      <c r="X1930" s="32" t="str">
        <f t="shared" si="678"/>
        <v>0.00</v>
      </c>
      <c r="Y1930" s="15">
        <f t="shared" si="679"/>
        <v>40.4</v>
      </c>
      <c r="Z1930" s="15">
        <f t="shared" si="680"/>
        <v>63.65</v>
      </c>
      <c r="AA1930" s="15">
        <f>IF(FreightType="Lethbridge-Stewart Freight ",ROUND(2.99+IF(N1930&gt;0.75,(N1930-0.75)*2.25,0)*S1930,2),IF(MarkupType="Supplier Markup",V1930+V1930*SupplierMarkup,"Error at finding value"))</f>
        <v>2.99</v>
      </c>
      <c r="AB1930" s="15">
        <f t="shared" si="681"/>
        <v>0</v>
      </c>
    </row>
    <row r="1931" spans="1:28" x14ac:dyDescent="0.25">
      <c r="A1931" s="16">
        <f>OrdersTable!A1931</f>
        <v>561</v>
      </c>
      <c r="B1931" s="15" t="str">
        <f t="shared" si="661"/>
        <v>Ms</v>
      </c>
      <c r="C1931" s="15" t="str">
        <f t="shared" ref="C1931:C1994" si="682">VLOOKUP($A1931,Cust,3,0)</f>
        <v>Mulcahy</v>
      </c>
      <c r="D1931" s="15" t="str">
        <f t="shared" si="662"/>
        <v>Jodie Leigh</v>
      </c>
      <c r="E1931" s="15" t="str">
        <f t="shared" si="663"/>
        <v>32 Scott Crescent</v>
      </c>
      <c r="F1931" s="15" t="str">
        <f t="shared" si="664"/>
        <v>Bray Park</v>
      </c>
      <c r="G1931" s="15" t="str">
        <f t="shared" si="665"/>
        <v>QLD</v>
      </c>
      <c r="H1931" s="15">
        <f t="shared" si="666"/>
        <v>4500</v>
      </c>
      <c r="I1931" s="15">
        <f t="shared" si="677"/>
        <v>139</v>
      </c>
      <c r="J1931" s="15">
        <f>OrdersTable!B1931</f>
        <v>752</v>
      </c>
      <c r="K1931" s="15" t="str">
        <f t="shared" si="667"/>
        <v>Statues and Busts</v>
      </c>
      <c r="L1931" s="15" t="str">
        <f t="shared" si="668"/>
        <v>Doctor Who: Helmet: Cyberman Leader</v>
      </c>
      <c r="M1931" s="15" t="str">
        <f t="shared" si="669"/>
        <v>-</v>
      </c>
      <c r="N1931" s="15">
        <f t="shared" si="670"/>
        <v>2</v>
      </c>
      <c r="O1931" s="15" t="str">
        <f t="shared" si="671"/>
        <v>A30</v>
      </c>
      <c r="P1931" s="15" t="str">
        <f t="shared" si="672"/>
        <v>Chesterton Enterprises</v>
      </c>
      <c r="Q1931" s="15" t="str">
        <f t="shared" si="673"/>
        <v>41 William Russell Road</v>
      </c>
      <c r="R1931" s="3">
        <f>OrdersTable!C1931</f>
        <v>44699</v>
      </c>
      <c r="S1931" s="15">
        <f>OrdersTable!E1931</f>
        <v>1</v>
      </c>
      <c r="T1931" s="15">
        <f t="shared" si="674"/>
        <v>39.99</v>
      </c>
      <c r="U1931" s="15">
        <f t="shared" si="675"/>
        <v>54.85</v>
      </c>
      <c r="V1931" s="15">
        <f t="shared" si="676"/>
        <v>64.78</v>
      </c>
      <c r="W1931" s="15">
        <f>IF(MarkupType="Store Markup",ROUND(V1931+V1931*StoreMarkup,2),IF(MarkupType="Supplier Markup",V1931+V1931*SupplierMarkup,"Error at finding value"))</f>
        <v>102.03</v>
      </c>
      <c r="X1931" s="32" t="str">
        <f t="shared" si="678"/>
        <v>0.00</v>
      </c>
      <c r="Y1931" s="15">
        <f t="shared" si="679"/>
        <v>64.78</v>
      </c>
      <c r="Z1931" s="15">
        <f t="shared" si="680"/>
        <v>102.03</v>
      </c>
      <c r="AA1931" s="15">
        <f>IF(FreightType="Lethbridge-Stewart Freight ",ROUND(2.99+IF(N1931&gt;0.75,(N1931-0.75)*2.25,0)*S1931,2),IF(MarkupType="Supplier Markup",V1931+V1931*SupplierMarkup,"Error at finding value"))</f>
        <v>5.8</v>
      </c>
      <c r="AB1931" s="15">
        <f t="shared" si="681"/>
        <v>0</v>
      </c>
    </row>
    <row r="1932" spans="1:28" x14ac:dyDescent="0.25">
      <c r="A1932" s="16">
        <f>OrdersTable!A1932</f>
        <v>567</v>
      </c>
      <c r="B1932" s="15" t="str">
        <f t="shared" si="661"/>
        <v>Ms</v>
      </c>
      <c r="C1932" s="15" t="str">
        <f t="shared" si="682"/>
        <v>Perkins</v>
      </c>
      <c r="D1932" s="15" t="str">
        <f t="shared" si="662"/>
        <v>Sarah</v>
      </c>
      <c r="E1932" s="15" t="str">
        <f t="shared" si="663"/>
        <v>7 Tengdahl Road</v>
      </c>
      <c r="F1932" s="15" t="str">
        <f t="shared" si="664"/>
        <v>Areegra</v>
      </c>
      <c r="G1932" s="15" t="str">
        <f t="shared" si="665"/>
        <v>VIC</v>
      </c>
      <c r="H1932" s="15">
        <f t="shared" si="666"/>
        <v>3480</v>
      </c>
      <c r="I1932" s="15">
        <f t="shared" si="677"/>
        <v>1559</v>
      </c>
      <c r="J1932" s="15">
        <f>OrdersTable!B1932</f>
        <v>583</v>
      </c>
      <c r="K1932" s="15" t="str">
        <f t="shared" si="667"/>
        <v>iPhone Skins</v>
      </c>
      <c r="L1932" s="15" t="str">
        <f t="shared" si="668"/>
        <v>Doctor Who: iPhone Skin: Cyberman Delete</v>
      </c>
      <c r="M1932" s="15" t="str">
        <f t="shared" si="669"/>
        <v>-</v>
      </c>
      <c r="N1932" s="15">
        <f t="shared" si="670"/>
        <v>0.3</v>
      </c>
      <c r="O1932" s="15" t="str">
        <f t="shared" si="671"/>
        <v>A50</v>
      </c>
      <c r="P1932" s="15" t="str">
        <f t="shared" si="672"/>
        <v>Rassilon Ltd.</v>
      </c>
      <c r="Q1932" s="15" t="str">
        <f t="shared" si="673"/>
        <v>82 Richard Mathews Road</v>
      </c>
      <c r="R1932" s="3">
        <f>OrdersTable!C1932</f>
        <v>44699</v>
      </c>
      <c r="S1932" s="15">
        <f>OrdersTable!E1932</f>
        <v>1</v>
      </c>
      <c r="T1932" s="15">
        <f t="shared" si="674"/>
        <v>5.99</v>
      </c>
      <c r="U1932" s="15">
        <f t="shared" si="675"/>
        <v>8.23</v>
      </c>
      <c r="V1932" s="15">
        <f t="shared" si="676"/>
        <v>9.6999999999999993</v>
      </c>
      <c r="W1932" s="15">
        <f>IF(MarkupType="Store Markup",ROUND(V1932+V1932*StoreMarkup,2),IF(MarkupType="Supplier Markup",V1932+V1932*SupplierMarkup,"Error at finding value"))</f>
        <v>15.28</v>
      </c>
      <c r="X1932" s="32" t="str">
        <f t="shared" si="678"/>
        <v>0.00</v>
      </c>
      <c r="Y1932" s="15">
        <f t="shared" si="679"/>
        <v>9.6999999999999993</v>
      </c>
      <c r="Z1932" s="15">
        <f t="shared" si="680"/>
        <v>15.28</v>
      </c>
      <c r="AA1932" s="15">
        <f>IF(FreightType="Lethbridge-Stewart Freight ",ROUND(2.99+IF(N1932&gt;0.75,(N1932-0.75)*2.25,0)*S1932,2),IF(MarkupType="Supplier Markup",V1932+V1932*SupplierMarkup,"Error at finding value"))</f>
        <v>2.99</v>
      </c>
      <c r="AB1932" s="15">
        <f t="shared" si="681"/>
        <v>0</v>
      </c>
    </row>
    <row r="1933" spans="1:28" x14ac:dyDescent="0.25">
      <c r="A1933" s="16">
        <f>OrdersTable!A1933</f>
        <v>643</v>
      </c>
      <c r="B1933" s="15" t="str">
        <f t="shared" si="661"/>
        <v>Ms</v>
      </c>
      <c r="C1933" s="15" t="str">
        <f t="shared" si="682"/>
        <v>Crispin-Purcell</v>
      </c>
      <c r="D1933" s="15" t="str">
        <f t="shared" si="662"/>
        <v>Gabriellen Elizabeth</v>
      </c>
      <c r="E1933" s="15" t="str">
        <f t="shared" si="663"/>
        <v>12 Williams Road</v>
      </c>
      <c r="F1933" s="15" t="str">
        <f t="shared" si="664"/>
        <v>Appletree Flat</v>
      </c>
      <c r="G1933" s="15" t="str">
        <f t="shared" si="665"/>
        <v>NSW</v>
      </c>
      <c r="H1933" s="15">
        <f t="shared" si="666"/>
        <v>2330</v>
      </c>
      <c r="I1933" s="15">
        <f t="shared" si="677"/>
        <v>691</v>
      </c>
      <c r="J1933" s="15">
        <f>OrdersTable!B1933</f>
        <v>201</v>
      </c>
      <c r="K1933" s="15" t="str">
        <f t="shared" si="667"/>
        <v>Clothing and Apparel</v>
      </c>
      <c r="L1933" s="15" t="str">
        <f t="shared" si="668"/>
        <v>Doctor Who: Dalek Beanie</v>
      </c>
      <c r="M1933" s="15" t="str">
        <f t="shared" si="669"/>
        <v>-</v>
      </c>
      <c r="N1933" s="15">
        <f t="shared" si="670"/>
        <v>1.1399999999999999</v>
      </c>
      <c r="O1933" s="15" t="str">
        <f t="shared" si="671"/>
        <v>A50</v>
      </c>
      <c r="P1933" s="15" t="str">
        <f t="shared" si="672"/>
        <v>Rassilon Ltd.</v>
      </c>
      <c r="Q1933" s="15" t="str">
        <f t="shared" si="673"/>
        <v>82 Richard Mathews Road</v>
      </c>
      <c r="R1933" s="3">
        <f>OrdersTable!C1933</f>
        <v>44699</v>
      </c>
      <c r="S1933" s="15">
        <f>OrdersTable!E1933</f>
        <v>7</v>
      </c>
      <c r="T1933" s="15">
        <f t="shared" si="674"/>
        <v>22.75</v>
      </c>
      <c r="U1933" s="15">
        <f t="shared" si="675"/>
        <v>31.26</v>
      </c>
      <c r="V1933" s="15">
        <f t="shared" si="676"/>
        <v>36.86</v>
      </c>
      <c r="W1933" s="15">
        <f>IF(MarkupType="Store Markup",ROUND(V1933+V1933*StoreMarkup,2),IF(MarkupType="Supplier Markup",V1933+V1933*SupplierMarkup,"Error at finding value"))</f>
        <v>58.05</v>
      </c>
      <c r="X1933" s="32" t="str">
        <f t="shared" si="678"/>
        <v>0.00</v>
      </c>
      <c r="Y1933" s="15">
        <f t="shared" si="679"/>
        <v>258.02</v>
      </c>
      <c r="Z1933" s="15">
        <f t="shared" si="680"/>
        <v>406.35</v>
      </c>
      <c r="AA1933" s="15">
        <f>IF(FreightType="Lethbridge-Stewart Freight ",ROUND(2.99+IF(N1933&gt;0.75,(N1933-0.75)*2.25,0)*S1933,2),IF(MarkupType="Supplier Markup",V1933+V1933*SupplierMarkup,"Error at finding value"))</f>
        <v>9.1300000000000008</v>
      </c>
      <c r="AB1933" s="15">
        <f t="shared" si="681"/>
        <v>0</v>
      </c>
    </row>
    <row r="1934" spans="1:28" x14ac:dyDescent="0.25">
      <c r="A1934" s="16">
        <f>OrdersTable!A1934</f>
        <v>750</v>
      </c>
      <c r="B1934" s="15" t="str">
        <f t="shared" si="661"/>
        <v>Ms</v>
      </c>
      <c r="C1934" s="15" t="str">
        <f t="shared" si="682"/>
        <v>Talbot</v>
      </c>
      <c r="D1934" s="15" t="str">
        <f t="shared" si="662"/>
        <v>Carlie Wenderly</v>
      </c>
      <c r="E1934" s="15" t="str">
        <f t="shared" si="663"/>
        <v>31 Somerville Way</v>
      </c>
      <c r="F1934" s="15" t="str">
        <f t="shared" si="664"/>
        <v>Boston</v>
      </c>
      <c r="G1934" s="15" t="str">
        <f t="shared" si="665"/>
        <v>SA</v>
      </c>
      <c r="H1934" s="15">
        <f t="shared" si="666"/>
        <v>5607</v>
      </c>
      <c r="I1934" s="15">
        <f t="shared" si="677"/>
        <v>2076</v>
      </c>
      <c r="J1934" s="15">
        <f>OrdersTable!B1934</f>
        <v>164</v>
      </c>
      <c r="K1934" s="15" t="str">
        <f t="shared" si="667"/>
        <v>Bobbleheads</v>
      </c>
      <c r="L1934" s="15" t="str">
        <f t="shared" si="668"/>
        <v>Doctor Who: Bobblehead: Fourth Doctor</v>
      </c>
      <c r="M1934" s="15" t="str">
        <f t="shared" si="669"/>
        <v>-</v>
      </c>
      <c r="N1934" s="15">
        <f t="shared" si="670"/>
        <v>0.75</v>
      </c>
      <c r="O1934" s="15" t="str">
        <f t="shared" si="671"/>
        <v>A40</v>
      </c>
      <c r="P1934" s="15" t="str">
        <f t="shared" si="672"/>
        <v>Romana Imports</v>
      </c>
      <c r="Q1934" s="15" t="str">
        <f t="shared" si="673"/>
        <v>17 Lalla Ward Road</v>
      </c>
      <c r="R1934" s="3">
        <f>OrdersTable!C1934</f>
        <v>44699</v>
      </c>
      <c r="S1934" s="15">
        <f>OrdersTable!E1934</f>
        <v>10</v>
      </c>
      <c r="T1934" s="15">
        <f t="shared" si="674"/>
        <v>14.99</v>
      </c>
      <c r="U1934" s="15">
        <f t="shared" si="675"/>
        <v>20.53</v>
      </c>
      <c r="V1934" s="15">
        <f t="shared" si="676"/>
        <v>24.28</v>
      </c>
      <c r="W1934" s="15">
        <f>IF(MarkupType="Store Markup",ROUND(V1934+V1934*StoreMarkup,2),IF(MarkupType="Supplier Markup",V1934+V1934*SupplierMarkup,"Error at finding value"))</f>
        <v>38.24</v>
      </c>
      <c r="X1934" s="32" t="str">
        <f t="shared" si="678"/>
        <v>0.00</v>
      </c>
      <c r="Y1934" s="15">
        <f t="shared" si="679"/>
        <v>242.8</v>
      </c>
      <c r="Z1934" s="15">
        <f t="shared" si="680"/>
        <v>382.4</v>
      </c>
      <c r="AA1934" s="15">
        <f>IF(FreightType="Lethbridge-Stewart Freight ",ROUND(2.99+IF(N1934&gt;0.75,(N1934-0.75)*2.25,0)*S1934,2),IF(MarkupType="Supplier Markup",V1934+V1934*SupplierMarkup,"Error at finding value"))</f>
        <v>2.99</v>
      </c>
      <c r="AB1934" s="15">
        <f t="shared" si="681"/>
        <v>0</v>
      </c>
    </row>
    <row r="1935" spans="1:28" x14ac:dyDescent="0.25">
      <c r="A1935" s="16">
        <f>OrdersTable!A1935</f>
        <v>761</v>
      </c>
      <c r="B1935" s="15" t="str">
        <f t="shared" si="661"/>
        <v>Miss</v>
      </c>
      <c r="C1935" s="15" t="str">
        <f t="shared" si="682"/>
        <v>Randall</v>
      </c>
      <c r="D1935" s="15" t="str">
        <f t="shared" si="662"/>
        <v>Kylee</v>
      </c>
      <c r="E1935" s="15" t="str">
        <f t="shared" si="663"/>
        <v>45 Cremasco Avenue</v>
      </c>
      <c r="F1935" s="15" t="str">
        <f t="shared" si="664"/>
        <v>Breakwater</v>
      </c>
      <c r="G1935" s="15" t="str">
        <f t="shared" si="665"/>
        <v>VIC</v>
      </c>
      <c r="H1935" s="15">
        <f t="shared" si="666"/>
        <v>3219</v>
      </c>
      <c r="I1935" s="15">
        <f t="shared" si="677"/>
        <v>1596</v>
      </c>
      <c r="J1935" s="15">
        <f>OrdersTable!B1935</f>
        <v>702</v>
      </c>
      <c r="K1935" s="15" t="str">
        <f t="shared" si="667"/>
        <v>Posters, Prints and Standees</v>
      </c>
      <c r="L1935" s="15" t="str">
        <f t="shared" si="668"/>
        <v>Doctor Who: Poster: Daleks</v>
      </c>
      <c r="M1935" s="15" t="str">
        <f t="shared" si="669"/>
        <v>-</v>
      </c>
      <c r="N1935" s="15">
        <f t="shared" si="670"/>
        <v>0.2</v>
      </c>
      <c r="O1935" s="15" t="str">
        <f t="shared" si="671"/>
        <v>A50</v>
      </c>
      <c r="P1935" s="15" t="str">
        <f t="shared" si="672"/>
        <v>Rassilon Ltd.</v>
      </c>
      <c r="Q1935" s="15" t="str">
        <f t="shared" si="673"/>
        <v>82 Richard Mathews Road</v>
      </c>
      <c r="R1935" s="3">
        <f>OrdersTable!C1935</f>
        <v>44699</v>
      </c>
      <c r="S1935" s="15">
        <f>OrdersTable!E1935</f>
        <v>9</v>
      </c>
      <c r="T1935" s="15">
        <f t="shared" si="674"/>
        <v>3.99</v>
      </c>
      <c r="U1935" s="15">
        <f t="shared" si="675"/>
        <v>5.46</v>
      </c>
      <c r="V1935" s="15">
        <f t="shared" si="676"/>
        <v>6.46</v>
      </c>
      <c r="W1935" s="15">
        <f>IF(MarkupType="Store Markup",ROUND(V1935+V1935*StoreMarkup,2),IF(MarkupType="Supplier Markup",V1935+V1935*SupplierMarkup,"Error at finding value"))</f>
        <v>10.17</v>
      </c>
      <c r="X1935" s="32" t="str">
        <f t="shared" si="678"/>
        <v>0.00</v>
      </c>
      <c r="Y1935" s="15">
        <f t="shared" si="679"/>
        <v>58.14</v>
      </c>
      <c r="Z1935" s="15">
        <f t="shared" si="680"/>
        <v>91.53</v>
      </c>
      <c r="AA1935" s="15">
        <f>IF(FreightType="Lethbridge-Stewart Freight ",ROUND(2.99+IF(N1935&gt;0.75,(N1935-0.75)*2.25,0)*S1935,2),IF(MarkupType="Supplier Markup",V1935+V1935*SupplierMarkup,"Error at finding value"))</f>
        <v>2.99</v>
      </c>
      <c r="AB1935" s="15">
        <f t="shared" si="681"/>
        <v>0</v>
      </c>
    </row>
    <row r="1936" spans="1:28" x14ac:dyDescent="0.25">
      <c r="A1936" s="16">
        <f>OrdersTable!A1936</f>
        <v>849</v>
      </c>
      <c r="B1936" s="15" t="str">
        <f t="shared" si="661"/>
        <v>Dr</v>
      </c>
      <c r="C1936" s="15" t="str">
        <f t="shared" si="682"/>
        <v>Blair</v>
      </c>
      <c r="D1936" s="15" t="str">
        <f t="shared" si="662"/>
        <v>Taylor Ashleigh</v>
      </c>
      <c r="E1936" s="15" t="str">
        <f t="shared" si="663"/>
        <v>42 Ward Avenue</v>
      </c>
      <c r="F1936" s="15" t="str">
        <f t="shared" si="664"/>
        <v>Airly</v>
      </c>
      <c r="G1936" s="15" t="str">
        <f t="shared" si="665"/>
        <v>VIC</v>
      </c>
      <c r="H1936" s="15">
        <f t="shared" si="666"/>
        <v>3851</v>
      </c>
      <c r="I1936" s="15">
        <f t="shared" si="677"/>
        <v>1583</v>
      </c>
      <c r="J1936" s="15">
        <f>OrdersTable!B1936</f>
        <v>418</v>
      </c>
      <c r="K1936" s="15" t="str">
        <f t="shared" si="667"/>
        <v>Clothing and Apparel</v>
      </c>
      <c r="L1936" s="15" t="str">
        <f t="shared" si="668"/>
        <v>Doctor Who: Women's Winter Pyjamas</v>
      </c>
      <c r="M1936" s="15" t="str">
        <f t="shared" si="669"/>
        <v>M</v>
      </c>
      <c r="N1936" s="15">
        <f t="shared" si="670"/>
        <v>1.5</v>
      </c>
      <c r="O1936" s="15" t="str">
        <f t="shared" si="671"/>
        <v>A30</v>
      </c>
      <c r="P1936" s="15" t="str">
        <f t="shared" si="672"/>
        <v>Chesterton Enterprises</v>
      </c>
      <c r="Q1936" s="15" t="str">
        <f t="shared" si="673"/>
        <v>41 William Russell Road</v>
      </c>
      <c r="R1936" s="3">
        <f>OrdersTable!C1936</f>
        <v>44699</v>
      </c>
      <c r="S1936" s="15">
        <f>OrdersTable!E1936</f>
        <v>7</v>
      </c>
      <c r="T1936" s="15">
        <f t="shared" si="674"/>
        <v>29.99</v>
      </c>
      <c r="U1936" s="15">
        <f t="shared" si="675"/>
        <v>40.96</v>
      </c>
      <c r="V1936" s="15">
        <f t="shared" si="676"/>
        <v>48.58</v>
      </c>
      <c r="W1936" s="15">
        <f>IF(MarkupType="Store Markup",ROUND(V1936+V1936*StoreMarkup,2),IF(MarkupType="Supplier Markup",V1936+V1936*SupplierMarkup,"Error at finding value"))</f>
        <v>76.510000000000005</v>
      </c>
      <c r="X1936" s="32" t="str">
        <f t="shared" si="678"/>
        <v>0.00</v>
      </c>
      <c r="Y1936" s="15">
        <f t="shared" si="679"/>
        <v>340.06</v>
      </c>
      <c r="Z1936" s="15">
        <f t="shared" si="680"/>
        <v>535.57000000000005</v>
      </c>
      <c r="AA1936" s="15">
        <f>IF(FreightType="Lethbridge-Stewart Freight ",ROUND(2.99+IF(N1936&gt;0.75,(N1936-0.75)*2.25,0)*S1936,2),IF(MarkupType="Supplier Markup",V1936+V1936*SupplierMarkup,"Error at finding value"))</f>
        <v>14.8</v>
      </c>
      <c r="AB1936" s="15">
        <f t="shared" si="681"/>
        <v>0</v>
      </c>
    </row>
    <row r="1937" spans="1:28" x14ac:dyDescent="0.25">
      <c r="A1937" s="16">
        <f>OrdersTable!A1937</f>
        <v>224</v>
      </c>
      <c r="B1937" s="15" t="str">
        <f t="shared" si="661"/>
        <v>Miss</v>
      </c>
      <c r="C1937" s="15" t="str">
        <f t="shared" si="682"/>
        <v>Baruwal</v>
      </c>
      <c r="D1937" s="15" t="str">
        <f t="shared" si="662"/>
        <v>Pratikshya</v>
      </c>
      <c r="E1937" s="15" t="str">
        <f t="shared" si="663"/>
        <v>43 Gilloway Street</v>
      </c>
      <c r="F1937" s="15" t="str">
        <f t="shared" si="664"/>
        <v>Iluka</v>
      </c>
      <c r="G1937" s="15" t="str">
        <f t="shared" si="665"/>
        <v>NSW</v>
      </c>
      <c r="H1937" s="15">
        <f t="shared" si="666"/>
        <v>2466</v>
      </c>
      <c r="I1937" s="15">
        <f t="shared" si="677"/>
        <v>347</v>
      </c>
      <c r="J1937" s="15">
        <f>OrdersTable!B1937</f>
        <v>681</v>
      </c>
      <c r="K1937" s="15" t="str">
        <f t="shared" si="667"/>
        <v>Mugs</v>
      </c>
      <c r="L1937" s="15" t="str">
        <f t="shared" si="668"/>
        <v>Doctor Who: Mug: The First Doctor</v>
      </c>
      <c r="M1937" s="15" t="str">
        <f t="shared" si="669"/>
        <v>-</v>
      </c>
      <c r="N1937" s="15">
        <f t="shared" si="670"/>
        <v>0.45</v>
      </c>
      <c r="O1937" s="15" t="str">
        <f t="shared" si="671"/>
        <v>A20</v>
      </c>
      <c r="P1937" s="15" t="str">
        <f t="shared" si="672"/>
        <v>Morbius Inc.</v>
      </c>
      <c r="Q1937" s="15" t="str">
        <f t="shared" si="673"/>
        <v>56 Michael Spice Hwy</v>
      </c>
      <c r="R1937" s="3">
        <f>OrdersTable!C1937</f>
        <v>44700</v>
      </c>
      <c r="S1937" s="15">
        <f>OrdersTable!E1937</f>
        <v>2</v>
      </c>
      <c r="T1937" s="15">
        <f t="shared" si="674"/>
        <v>8.99</v>
      </c>
      <c r="U1937" s="15">
        <f t="shared" si="675"/>
        <v>12.51</v>
      </c>
      <c r="V1937" s="15">
        <f t="shared" si="676"/>
        <v>14.56</v>
      </c>
      <c r="W1937" s="15">
        <f>IF(MarkupType="Store Markup",ROUND(V1937+V1937*StoreMarkup,2),IF(MarkupType="Supplier Markup",V1937+V1937*SupplierMarkup,"Error at finding value"))</f>
        <v>22.93</v>
      </c>
      <c r="X1937" s="32" t="str">
        <f t="shared" si="678"/>
        <v>0.00</v>
      </c>
      <c r="Y1937" s="15">
        <f t="shared" si="679"/>
        <v>29.12</v>
      </c>
      <c r="Z1937" s="15">
        <f t="shared" si="680"/>
        <v>45.86</v>
      </c>
      <c r="AA1937" s="15">
        <f>IF(FreightType="Lethbridge-Stewart Freight ",ROUND(2.99+IF(N1937&gt;0.75,(N1937-0.75)*2.25,0)*S1937,2),IF(MarkupType="Supplier Markup",V1937+V1937*SupplierMarkup,"Error at finding value"))</f>
        <v>2.99</v>
      </c>
      <c r="AB1937" s="15">
        <f t="shared" si="681"/>
        <v>0</v>
      </c>
    </row>
    <row r="1938" spans="1:28" x14ac:dyDescent="0.25">
      <c r="A1938" s="16">
        <f>OrdersTable!A1938</f>
        <v>302</v>
      </c>
      <c r="B1938" s="15" t="str">
        <f t="shared" si="661"/>
        <v>Ms</v>
      </c>
      <c r="C1938" s="15" t="str">
        <f t="shared" si="682"/>
        <v>Lamshed</v>
      </c>
      <c r="D1938" s="15" t="str">
        <f t="shared" si="662"/>
        <v>Laura Clare</v>
      </c>
      <c r="E1938" s="15" t="str">
        <f t="shared" si="663"/>
        <v>22 Edser Drive</v>
      </c>
      <c r="F1938" s="15" t="str">
        <f t="shared" si="664"/>
        <v>Caliph</v>
      </c>
      <c r="G1938" s="15" t="str">
        <f t="shared" si="665"/>
        <v>SA</v>
      </c>
      <c r="H1938" s="15">
        <f t="shared" si="666"/>
        <v>5310</v>
      </c>
      <c r="I1938" s="15">
        <f t="shared" si="677"/>
        <v>1720</v>
      </c>
      <c r="J1938" s="15">
        <f>OrdersTable!B1938</f>
        <v>177</v>
      </c>
      <c r="K1938" s="15" t="str">
        <f t="shared" si="667"/>
        <v>Bobbleheads</v>
      </c>
      <c r="L1938" s="15" t="str">
        <f t="shared" si="668"/>
        <v>Doctor Who: Bobblehead: TARDIS (With Sound)</v>
      </c>
      <c r="M1938" s="15" t="str">
        <f t="shared" si="669"/>
        <v>-</v>
      </c>
      <c r="N1938" s="15">
        <f t="shared" si="670"/>
        <v>1</v>
      </c>
      <c r="O1938" s="15" t="str">
        <f t="shared" si="671"/>
        <v>A30</v>
      </c>
      <c r="P1938" s="15" t="str">
        <f t="shared" si="672"/>
        <v>Chesterton Enterprises</v>
      </c>
      <c r="Q1938" s="15" t="str">
        <f t="shared" si="673"/>
        <v>41 William Russell Road</v>
      </c>
      <c r="R1938" s="3">
        <f>OrdersTable!C1938</f>
        <v>44700</v>
      </c>
      <c r="S1938" s="15">
        <f>OrdersTable!E1938</f>
        <v>5</v>
      </c>
      <c r="T1938" s="15">
        <f t="shared" si="674"/>
        <v>19.989999999999998</v>
      </c>
      <c r="U1938" s="15">
        <f t="shared" si="675"/>
        <v>27.6</v>
      </c>
      <c r="V1938" s="15">
        <f t="shared" si="676"/>
        <v>32.380000000000003</v>
      </c>
      <c r="W1938" s="15">
        <f>IF(MarkupType="Store Markup",ROUND(V1938+V1938*StoreMarkup,2),IF(MarkupType="Supplier Markup",V1938+V1938*SupplierMarkup,"Error at finding value"))</f>
        <v>51</v>
      </c>
      <c r="X1938" s="32" t="str">
        <f t="shared" si="678"/>
        <v>0.00</v>
      </c>
      <c r="Y1938" s="15">
        <f t="shared" si="679"/>
        <v>161.9</v>
      </c>
      <c r="Z1938" s="15">
        <f t="shared" si="680"/>
        <v>255</v>
      </c>
      <c r="AA1938" s="15">
        <f>IF(FreightType="Lethbridge-Stewart Freight ",ROUND(2.99+IF(N1938&gt;0.75,(N1938-0.75)*2.25,0)*S1938,2),IF(MarkupType="Supplier Markup",V1938+V1938*SupplierMarkup,"Error at finding value"))</f>
        <v>5.8</v>
      </c>
      <c r="AB1938" s="15">
        <f t="shared" si="681"/>
        <v>0</v>
      </c>
    </row>
    <row r="1939" spans="1:28" x14ac:dyDescent="0.25">
      <c r="A1939" s="16">
        <f>OrdersTable!A1939</f>
        <v>302</v>
      </c>
      <c r="B1939" s="15" t="str">
        <f t="shared" si="661"/>
        <v>Ms</v>
      </c>
      <c r="C1939" s="15" t="str">
        <f t="shared" si="682"/>
        <v>Lamshed</v>
      </c>
      <c r="D1939" s="15" t="str">
        <f t="shared" si="662"/>
        <v>Laura Clare</v>
      </c>
      <c r="E1939" s="15" t="str">
        <f t="shared" si="663"/>
        <v>22 Edser Drive</v>
      </c>
      <c r="F1939" s="15" t="str">
        <f t="shared" si="664"/>
        <v>Caliph</v>
      </c>
      <c r="G1939" s="15" t="str">
        <f t="shared" si="665"/>
        <v>SA</v>
      </c>
      <c r="H1939" s="15">
        <f t="shared" si="666"/>
        <v>5310</v>
      </c>
      <c r="I1939" s="15">
        <f t="shared" si="677"/>
        <v>1720</v>
      </c>
      <c r="J1939" s="15">
        <f>OrdersTable!B1939</f>
        <v>330</v>
      </c>
      <c r="K1939" s="15" t="str">
        <f t="shared" si="667"/>
        <v>Clothing and Apparel</v>
      </c>
      <c r="L1939" s="15" t="str">
        <f t="shared" si="668"/>
        <v xml:space="preserve">Doctor Who: T-Shirts: 4th Doctor Costume </v>
      </c>
      <c r="M1939" s="15" t="str">
        <f t="shared" si="669"/>
        <v>M</v>
      </c>
      <c r="N1939" s="15">
        <f t="shared" si="670"/>
        <v>0.8</v>
      </c>
      <c r="O1939" s="15" t="str">
        <f t="shared" si="671"/>
        <v>A20</v>
      </c>
      <c r="P1939" s="15" t="str">
        <f t="shared" si="672"/>
        <v>Morbius Inc.</v>
      </c>
      <c r="Q1939" s="15" t="str">
        <f t="shared" si="673"/>
        <v>56 Michael Spice Hwy</v>
      </c>
      <c r="R1939" s="3">
        <f>OrdersTable!C1939</f>
        <v>44700</v>
      </c>
      <c r="S1939" s="15">
        <f>OrdersTable!E1939</f>
        <v>2</v>
      </c>
      <c r="T1939" s="15">
        <f t="shared" si="674"/>
        <v>15.99</v>
      </c>
      <c r="U1939" s="15">
        <f t="shared" si="675"/>
        <v>22.03</v>
      </c>
      <c r="V1939" s="15">
        <f t="shared" si="676"/>
        <v>25.9</v>
      </c>
      <c r="W1939" s="15">
        <f>IF(MarkupType="Store Markup",ROUND(V1939+V1939*StoreMarkup,2),IF(MarkupType="Supplier Markup",V1939+V1939*SupplierMarkup,"Error at finding value"))</f>
        <v>40.79</v>
      </c>
      <c r="X1939" s="32" t="str">
        <f t="shared" si="678"/>
        <v>0.00</v>
      </c>
      <c r="Y1939" s="15">
        <f t="shared" si="679"/>
        <v>51.8</v>
      </c>
      <c r="Z1939" s="15">
        <f t="shared" si="680"/>
        <v>81.58</v>
      </c>
      <c r="AA1939" s="15">
        <f>IF(FreightType="Lethbridge-Stewart Freight ",ROUND(2.99+IF(N1939&gt;0.75,(N1939-0.75)*2.25,0)*S1939,2),IF(MarkupType="Supplier Markup",V1939+V1939*SupplierMarkup,"Error at finding value"))</f>
        <v>3.22</v>
      </c>
      <c r="AB1939" s="15">
        <f t="shared" si="681"/>
        <v>0</v>
      </c>
    </row>
    <row r="1940" spans="1:28" x14ac:dyDescent="0.25">
      <c r="A1940" s="16">
        <f>OrdersTable!A1940</f>
        <v>330</v>
      </c>
      <c r="B1940" s="15" t="str">
        <f t="shared" si="661"/>
        <v>Mr</v>
      </c>
      <c r="C1940" s="15" t="str">
        <f t="shared" si="682"/>
        <v>Liesegang</v>
      </c>
      <c r="D1940" s="15" t="str">
        <f t="shared" si="662"/>
        <v>Darcey Michelle</v>
      </c>
      <c r="E1940" s="15" t="str">
        <f t="shared" si="663"/>
        <v>50 McCann Drive</v>
      </c>
      <c r="F1940" s="15" t="str">
        <f t="shared" si="664"/>
        <v>Binduli</v>
      </c>
      <c r="G1940" s="15" t="str">
        <f t="shared" si="665"/>
        <v>WA</v>
      </c>
      <c r="H1940" s="15">
        <f t="shared" si="666"/>
        <v>6430</v>
      </c>
      <c r="I1940" s="15">
        <f t="shared" si="677"/>
        <v>3543</v>
      </c>
      <c r="J1940" s="15">
        <f>OrdersTable!B1940</f>
        <v>219</v>
      </c>
      <c r="K1940" s="15" t="str">
        <f t="shared" si="667"/>
        <v>Clothing and Apparel</v>
      </c>
      <c r="L1940" s="15" t="str">
        <f t="shared" si="668"/>
        <v>Doctor Who: Men's Winter Pyjamas</v>
      </c>
      <c r="M1940" s="15" t="str">
        <f t="shared" si="669"/>
        <v>M</v>
      </c>
      <c r="N1940" s="15">
        <f t="shared" si="670"/>
        <v>1.5</v>
      </c>
      <c r="O1940" s="15" t="str">
        <f t="shared" si="671"/>
        <v>A40</v>
      </c>
      <c r="P1940" s="15" t="str">
        <f t="shared" si="672"/>
        <v>Romana Imports</v>
      </c>
      <c r="Q1940" s="15" t="str">
        <f t="shared" si="673"/>
        <v>17 Lalla Ward Road</v>
      </c>
      <c r="R1940" s="3">
        <f>OrdersTable!C1940</f>
        <v>44700</v>
      </c>
      <c r="S1940" s="15">
        <f>OrdersTable!E1940</f>
        <v>3</v>
      </c>
      <c r="T1940" s="15">
        <f t="shared" si="674"/>
        <v>29.99</v>
      </c>
      <c r="U1940" s="15">
        <f t="shared" si="675"/>
        <v>41.24</v>
      </c>
      <c r="V1940" s="15">
        <f t="shared" si="676"/>
        <v>48.58</v>
      </c>
      <c r="W1940" s="15">
        <f>IF(MarkupType="Store Markup",ROUND(V1940+V1940*StoreMarkup,2),IF(MarkupType="Supplier Markup",V1940+V1940*SupplierMarkup,"Error at finding value"))</f>
        <v>76.510000000000005</v>
      </c>
      <c r="X1940" s="32" t="str">
        <f t="shared" si="678"/>
        <v>0.00</v>
      </c>
      <c r="Y1940" s="15">
        <f t="shared" si="679"/>
        <v>145.74</v>
      </c>
      <c r="Z1940" s="15">
        <f t="shared" si="680"/>
        <v>229.53</v>
      </c>
      <c r="AA1940" s="15">
        <f>IF(FreightType="Lethbridge-Stewart Freight ",ROUND(2.99+IF(N1940&gt;0.75,(N1940-0.75)*2.25,0)*S1940,2),IF(MarkupType="Supplier Markup",V1940+V1940*SupplierMarkup,"Error at finding value"))</f>
        <v>8.0500000000000007</v>
      </c>
      <c r="AB1940" s="15">
        <f t="shared" si="681"/>
        <v>0</v>
      </c>
    </row>
    <row r="1941" spans="1:28" x14ac:dyDescent="0.25">
      <c r="A1941" s="16">
        <f>OrdersTable!A1941</f>
        <v>331</v>
      </c>
      <c r="B1941" s="15" t="str">
        <f t="shared" si="661"/>
        <v>Mrs</v>
      </c>
      <c r="C1941" s="15" t="str">
        <f t="shared" si="682"/>
        <v>McKenzie</v>
      </c>
      <c r="D1941" s="15" t="str">
        <f t="shared" si="662"/>
        <v>Melinda Kate</v>
      </c>
      <c r="E1941" s="15" t="str">
        <f t="shared" si="663"/>
        <v>49 McKay Way</v>
      </c>
      <c r="F1941" s="15" t="str">
        <f t="shared" si="664"/>
        <v>Black Hills</v>
      </c>
      <c r="G1941" s="15" t="str">
        <f t="shared" si="665"/>
        <v>TAS</v>
      </c>
      <c r="H1941" s="15">
        <f t="shared" si="666"/>
        <v>7140</v>
      </c>
      <c r="I1941" s="15">
        <f t="shared" si="677"/>
        <v>2191</v>
      </c>
      <c r="J1941" s="15">
        <f>OrdersTable!B1941</f>
        <v>515</v>
      </c>
      <c r="K1941" s="15" t="str">
        <f t="shared" si="667"/>
        <v>Giftware</v>
      </c>
      <c r="L1941" s="15" t="str">
        <f t="shared" si="668"/>
        <v>Doctor Who: Keyring K9</v>
      </c>
      <c r="M1941" s="15" t="str">
        <f t="shared" si="669"/>
        <v>-</v>
      </c>
      <c r="N1941" s="15">
        <f t="shared" si="670"/>
        <v>0.25</v>
      </c>
      <c r="O1941" s="15" t="str">
        <f t="shared" si="671"/>
        <v>A50</v>
      </c>
      <c r="P1941" s="15" t="str">
        <f t="shared" si="672"/>
        <v>Rassilon Ltd.</v>
      </c>
      <c r="Q1941" s="15" t="str">
        <f t="shared" si="673"/>
        <v>82 Richard Mathews Road</v>
      </c>
      <c r="R1941" s="3">
        <f>OrdersTable!C1941</f>
        <v>44700</v>
      </c>
      <c r="S1941" s="15">
        <f>OrdersTable!E1941</f>
        <v>4</v>
      </c>
      <c r="T1941" s="15">
        <f t="shared" si="674"/>
        <v>4.99</v>
      </c>
      <c r="U1941" s="15">
        <f t="shared" si="675"/>
        <v>6.91</v>
      </c>
      <c r="V1941" s="15">
        <f t="shared" si="676"/>
        <v>8.08</v>
      </c>
      <c r="W1941" s="15">
        <f>IF(MarkupType="Store Markup",ROUND(V1941+V1941*StoreMarkup,2),IF(MarkupType="Supplier Markup",V1941+V1941*SupplierMarkup,"Error at finding value"))</f>
        <v>12.73</v>
      </c>
      <c r="X1941" s="32" t="str">
        <f t="shared" si="678"/>
        <v>0.00</v>
      </c>
      <c r="Y1941" s="15">
        <f t="shared" si="679"/>
        <v>32.32</v>
      </c>
      <c r="Z1941" s="15">
        <f t="shared" si="680"/>
        <v>50.92</v>
      </c>
      <c r="AA1941" s="15">
        <f>IF(FreightType="Lethbridge-Stewart Freight ",ROUND(2.99+IF(N1941&gt;0.75,(N1941-0.75)*2.25,0)*S1941,2),IF(MarkupType="Supplier Markup",V1941+V1941*SupplierMarkup,"Error at finding value"))</f>
        <v>2.99</v>
      </c>
      <c r="AB1941" s="15">
        <f t="shared" si="681"/>
        <v>0</v>
      </c>
    </row>
    <row r="1942" spans="1:28" x14ac:dyDescent="0.25">
      <c r="A1942" s="16">
        <f>OrdersTable!A1942</f>
        <v>333</v>
      </c>
      <c r="B1942" s="15" t="str">
        <f t="shared" si="661"/>
        <v>Mr</v>
      </c>
      <c r="C1942" s="15" t="str">
        <f t="shared" si="682"/>
        <v>Martin</v>
      </c>
      <c r="D1942" s="15" t="str">
        <f t="shared" si="662"/>
        <v>Damien Roger</v>
      </c>
      <c r="E1942" s="15" t="str">
        <f t="shared" si="663"/>
        <v>23 Quennell Way</v>
      </c>
      <c r="F1942" s="15" t="str">
        <f t="shared" si="664"/>
        <v>Aberfoyle</v>
      </c>
      <c r="G1942" s="15" t="str">
        <f t="shared" si="665"/>
        <v>NSW</v>
      </c>
      <c r="H1942" s="15">
        <f t="shared" si="666"/>
        <v>2350</v>
      </c>
      <c r="I1942" s="15">
        <f t="shared" si="677"/>
        <v>363</v>
      </c>
      <c r="J1942" s="15">
        <f>OrdersTable!B1942</f>
        <v>853</v>
      </c>
      <c r="K1942" s="15" t="str">
        <f t="shared" si="667"/>
        <v>Statues and Busts</v>
      </c>
      <c r="L1942" s="15" t="str">
        <f t="shared" si="668"/>
        <v>Doctor Who: Statue: The Master And Auton</v>
      </c>
      <c r="M1942" s="15" t="str">
        <f t="shared" si="669"/>
        <v>-</v>
      </c>
      <c r="N1942" s="15">
        <f t="shared" si="670"/>
        <v>3.5</v>
      </c>
      <c r="O1942" s="15" t="str">
        <f t="shared" si="671"/>
        <v>A50</v>
      </c>
      <c r="P1942" s="15" t="str">
        <f t="shared" si="672"/>
        <v>Rassilon Ltd.</v>
      </c>
      <c r="Q1942" s="15" t="str">
        <f t="shared" si="673"/>
        <v>82 Richard Mathews Road</v>
      </c>
      <c r="R1942" s="3">
        <f>OrdersTable!C1942</f>
        <v>44700</v>
      </c>
      <c r="S1942" s="15">
        <f>OrdersTable!E1942</f>
        <v>5</v>
      </c>
      <c r="T1942" s="15">
        <f t="shared" si="674"/>
        <v>69.989999999999995</v>
      </c>
      <c r="U1942" s="15">
        <f t="shared" si="675"/>
        <v>95.51</v>
      </c>
      <c r="V1942" s="15">
        <f t="shared" si="676"/>
        <v>113.38</v>
      </c>
      <c r="W1942" s="15">
        <f>IF(MarkupType="Store Markup",ROUND(V1942+V1942*StoreMarkup,2),IF(MarkupType="Supplier Markup",V1942+V1942*SupplierMarkup,"Error at finding value"))</f>
        <v>178.57</v>
      </c>
      <c r="X1942" s="32">
        <f t="shared" si="678"/>
        <v>12.72</v>
      </c>
      <c r="Y1942" s="15">
        <f t="shared" si="679"/>
        <v>566.9</v>
      </c>
      <c r="Z1942" s="15">
        <f t="shared" si="680"/>
        <v>829.25</v>
      </c>
      <c r="AA1942" s="15">
        <f>IF(FreightType="Lethbridge-Stewart Freight ",ROUND(2.99+IF(N1942&gt;0.75,(N1942-0.75)*2.25,0)*S1942,2),IF(MarkupType="Supplier Markup",V1942+V1942*SupplierMarkup,"Error at finding value"))</f>
        <v>33.93</v>
      </c>
      <c r="AB1942" s="15">
        <f t="shared" si="681"/>
        <v>63.6</v>
      </c>
    </row>
    <row r="1943" spans="1:28" x14ac:dyDescent="0.25">
      <c r="A1943" s="16">
        <f>OrdersTable!A1943</f>
        <v>515</v>
      </c>
      <c r="B1943" s="15" t="str">
        <f t="shared" si="661"/>
        <v>Mr</v>
      </c>
      <c r="C1943" s="15" t="str">
        <f t="shared" si="682"/>
        <v>Noffke</v>
      </c>
      <c r="D1943" s="15" t="str">
        <f t="shared" si="662"/>
        <v>William Thomas</v>
      </c>
      <c r="E1943" s="15" t="str">
        <f t="shared" si="663"/>
        <v>20 Tyler Drive</v>
      </c>
      <c r="F1943" s="15" t="str">
        <f t="shared" si="664"/>
        <v>Areegra</v>
      </c>
      <c r="G1943" s="15" t="str">
        <f t="shared" si="665"/>
        <v>VIC</v>
      </c>
      <c r="H1943" s="15">
        <f t="shared" si="666"/>
        <v>3480</v>
      </c>
      <c r="I1943" s="15">
        <f t="shared" si="677"/>
        <v>1559</v>
      </c>
      <c r="J1943" s="15">
        <f>OrdersTable!B1943</f>
        <v>643</v>
      </c>
      <c r="K1943" s="15" t="str">
        <f t="shared" si="667"/>
        <v>Mugs</v>
      </c>
      <c r="L1943" s="15" t="str">
        <f t="shared" si="668"/>
        <v>Doctor Who: Giant Mug: Logo</v>
      </c>
      <c r="M1943" s="15" t="str">
        <f t="shared" si="669"/>
        <v>-</v>
      </c>
      <c r="N1943" s="15">
        <f t="shared" si="670"/>
        <v>0.44500000000000001</v>
      </c>
      <c r="O1943" s="15" t="str">
        <f t="shared" si="671"/>
        <v>A10</v>
      </c>
      <c r="P1943" s="15" t="str">
        <f t="shared" si="672"/>
        <v>Gallifrey International</v>
      </c>
      <c r="Q1943" s="15" t="str">
        <f t="shared" si="673"/>
        <v>181 Arcadia Street</v>
      </c>
      <c r="R1943" s="3">
        <f>OrdersTable!C1943</f>
        <v>44700</v>
      </c>
      <c r="S1943" s="15">
        <f>OrdersTable!E1943</f>
        <v>1</v>
      </c>
      <c r="T1943" s="15">
        <f t="shared" si="674"/>
        <v>8.89</v>
      </c>
      <c r="U1943" s="15">
        <f t="shared" si="675"/>
        <v>12.19</v>
      </c>
      <c r="V1943" s="15">
        <f t="shared" si="676"/>
        <v>14.4</v>
      </c>
      <c r="W1943" s="15">
        <f>IF(MarkupType="Store Markup",ROUND(V1943+V1943*StoreMarkup,2),IF(MarkupType="Supplier Markup",V1943+V1943*SupplierMarkup,"Error at finding value"))</f>
        <v>22.68</v>
      </c>
      <c r="X1943" s="32" t="str">
        <f t="shared" si="678"/>
        <v>0.00</v>
      </c>
      <c r="Y1943" s="15">
        <f t="shared" si="679"/>
        <v>14.4</v>
      </c>
      <c r="Z1943" s="15">
        <f t="shared" si="680"/>
        <v>22.68</v>
      </c>
      <c r="AA1943" s="15">
        <f>IF(FreightType="Lethbridge-Stewart Freight ",ROUND(2.99+IF(N1943&gt;0.75,(N1943-0.75)*2.25,0)*S1943,2),IF(MarkupType="Supplier Markup",V1943+V1943*SupplierMarkup,"Error at finding value"))</f>
        <v>2.99</v>
      </c>
      <c r="AB1943" s="15">
        <f t="shared" si="681"/>
        <v>0</v>
      </c>
    </row>
    <row r="1944" spans="1:28" x14ac:dyDescent="0.25">
      <c r="A1944" s="16">
        <f>OrdersTable!A1944</f>
        <v>515</v>
      </c>
      <c r="B1944" s="15" t="str">
        <f t="shared" si="661"/>
        <v>Mr</v>
      </c>
      <c r="C1944" s="15" t="str">
        <f t="shared" si="682"/>
        <v>Noffke</v>
      </c>
      <c r="D1944" s="15" t="str">
        <f t="shared" si="662"/>
        <v>William Thomas</v>
      </c>
      <c r="E1944" s="15" t="str">
        <f t="shared" si="663"/>
        <v>20 Tyler Drive</v>
      </c>
      <c r="F1944" s="15" t="str">
        <f t="shared" si="664"/>
        <v>Areegra</v>
      </c>
      <c r="G1944" s="15" t="str">
        <f t="shared" si="665"/>
        <v>VIC</v>
      </c>
      <c r="H1944" s="15">
        <f t="shared" si="666"/>
        <v>3480</v>
      </c>
      <c r="I1944" s="15">
        <f t="shared" si="677"/>
        <v>1559</v>
      </c>
      <c r="J1944" s="15">
        <f>OrdersTable!B1944</f>
        <v>840</v>
      </c>
      <c r="K1944" s="15" t="str">
        <f t="shared" si="667"/>
        <v>Statues and Busts</v>
      </c>
      <c r="L1944" s="15" t="str">
        <f t="shared" si="668"/>
        <v>Doctor Who: Signature Edition Statue: Gallifrey Edition: Patrick Troughton</v>
      </c>
      <c r="M1944" s="15" t="str">
        <f t="shared" si="669"/>
        <v>-</v>
      </c>
      <c r="N1944" s="15">
        <f t="shared" si="670"/>
        <v>2.5</v>
      </c>
      <c r="O1944" s="15" t="str">
        <f t="shared" si="671"/>
        <v>A40</v>
      </c>
      <c r="P1944" s="15" t="str">
        <f t="shared" si="672"/>
        <v>Romana Imports</v>
      </c>
      <c r="Q1944" s="15" t="str">
        <f t="shared" si="673"/>
        <v>17 Lalla Ward Road</v>
      </c>
      <c r="R1944" s="3">
        <f>OrdersTable!C1944</f>
        <v>44700</v>
      </c>
      <c r="S1944" s="15">
        <f>OrdersTable!E1944</f>
        <v>10</v>
      </c>
      <c r="T1944" s="15">
        <f t="shared" si="674"/>
        <v>49.99</v>
      </c>
      <c r="U1944" s="15">
        <f t="shared" si="675"/>
        <v>68.510000000000005</v>
      </c>
      <c r="V1944" s="15">
        <f t="shared" si="676"/>
        <v>80.98</v>
      </c>
      <c r="W1944" s="15">
        <f>IF(MarkupType="Store Markup",ROUND(V1944+V1944*StoreMarkup,2),IF(MarkupType="Supplier Markup",V1944+V1944*SupplierMarkup,"Error at finding value"))</f>
        <v>127.54</v>
      </c>
      <c r="X1944" s="32">
        <f t="shared" si="678"/>
        <v>9.09</v>
      </c>
      <c r="Y1944" s="15">
        <f t="shared" si="679"/>
        <v>809.8</v>
      </c>
      <c r="Z1944" s="15">
        <f t="shared" si="680"/>
        <v>1184.5</v>
      </c>
      <c r="AA1944" s="15">
        <f>IF(FreightType="Lethbridge-Stewart Freight ",ROUND(2.99+IF(N1944&gt;0.75,(N1944-0.75)*2.25,0)*S1944,2),IF(MarkupType="Supplier Markup",V1944+V1944*SupplierMarkup,"Error at finding value"))</f>
        <v>42.37</v>
      </c>
      <c r="AB1944" s="15">
        <f t="shared" si="681"/>
        <v>90.9</v>
      </c>
    </row>
    <row r="1945" spans="1:28" x14ac:dyDescent="0.25">
      <c r="A1945" s="16">
        <f>OrdersTable!A1945</f>
        <v>546</v>
      </c>
      <c r="B1945" s="15" t="str">
        <f t="shared" si="661"/>
        <v>Ms</v>
      </c>
      <c r="C1945" s="15" t="str">
        <f t="shared" si="682"/>
        <v>Shortt</v>
      </c>
      <c r="D1945" s="15" t="str">
        <f t="shared" si="662"/>
        <v>Rickylee Sidonia</v>
      </c>
      <c r="E1945" s="15" t="str">
        <f t="shared" si="663"/>
        <v>4 Hughes Road</v>
      </c>
      <c r="F1945" s="15" t="str">
        <f t="shared" si="664"/>
        <v>Glenfern</v>
      </c>
      <c r="G1945" s="15" t="str">
        <f t="shared" si="665"/>
        <v>QLD</v>
      </c>
      <c r="H1945" s="15">
        <f t="shared" si="666"/>
        <v>4515</v>
      </c>
      <c r="I1945" s="15">
        <f t="shared" si="677"/>
        <v>128</v>
      </c>
      <c r="J1945" s="15">
        <f>OrdersTable!B1945</f>
        <v>580</v>
      </c>
      <c r="K1945" s="15" t="str">
        <f t="shared" si="667"/>
        <v>Giftware</v>
      </c>
      <c r="L1945" s="15" t="str">
        <f t="shared" si="668"/>
        <v>Doctor Who: Wallpaper: Classic TARDIS Columns</v>
      </c>
      <c r="M1945" s="15" t="str">
        <f t="shared" si="669"/>
        <v>-</v>
      </c>
      <c r="N1945" s="15">
        <f t="shared" si="670"/>
        <v>0.65500000000000003</v>
      </c>
      <c r="O1945" s="15" t="str">
        <f t="shared" si="671"/>
        <v>A50</v>
      </c>
      <c r="P1945" s="15" t="str">
        <f t="shared" si="672"/>
        <v>Rassilon Ltd.</v>
      </c>
      <c r="Q1945" s="15" t="str">
        <f t="shared" si="673"/>
        <v>82 Richard Mathews Road</v>
      </c>
      <c r="R1945" s="3">
        <f>OrdersTable!C1945</f>
        <v>44700</v>
      </c>
      <c r="S1945" s="15">
        <f>OrdersTable!E1945</f>
        <v>8</v>
      </c>
      <c r="T1945" s="15">
        <f t="shared" si="674"/>
        <v>13.11</v>
      </c>
      <c r="U1945" s="15">
        <f t="shared" si="675"/>
        <v>18.18</v>
      </c>
      <c r="V1945" s="15">
        <f t="shared" si="676"/>
        <v>21.24</v>
      </c>
      <c r="W1945" s="15">
        <f>IF(MarkupType="Store Markup",ROUND(V1945+V1945*StoreMarkup,2),IF(MarkupType="Supplier Markup",V1945+V1945*SupplierMarkup,"Error at finding value"))</f>
        <v>33.450000000000003</v>
      </c>
      <c r="X1945" s="32" t="str">
        <f t="shared" si="678"/>
        <v>0.00</v>
      </c>
      <c r="Y1945" s="15">
        <f t="shared" si="679"/>
        <v>169.92</v>
      </c>
      <c r="Z1945" s="15">
        <f t="shared" si="680"/>
        <v>267.60000000000002</v>
      </c>
      <c r="AA1945" s="15">
        <f>IF(FreightType="Lethbridge-Stewart Freight ",ROUND(2.99+IF(N1945&gt;0.75,(N1945-0.75)*2.25,0)*S1945,2),IF(MarkupType="Supplier Markup",V1945+V1945*SupplierMarkup,"Error at finding value"))</f>
        <v>2.99</v>
      </c>
      <c r="AB1945" s="15">
        <f t="shared" si="681"/>
        <v>0</v>
      </c>
    </row>
    <row r="1946" spans="1:28" x14ac:dyDescent="0.25">
      <c r="A1946" s="16">
        <f>OrdersTable!A1946</f>
        <v>568</v>
      </c>
      <c r="B1946" s="15" t="str">
        <f t="shared" si="661"/>
        <v>Mr</v>
      </c>
      <c r="C1946" s="15" t="str">
        <f t="shared" si="682"/>
        <v>Byrne</v>
      </c>
      <c r="D1946" s="15" t="str">
        <f t="shared" si="662"/>
        <v>Gregory James</v>
      </c>
      <c r="E1946" s="15" t="str">
        <f t="shared" si="663"/>
        <v>18 Doroshenko Crescent</v>
      </c>
      <c r="F1946" s="15" t="str">
        <f t="shared" si="664"/>
        <v>Abington</v>
      </c>
      <c r="G1946" s="15" t="str">
        <f t="shared" si="665"/>
        <v>QLD</v>
      </c>
      <c r="H1946" s="15">
        <f t="shared" si="666"/>
        <v>4660</v>
      </c>
      <c r="I1946" s="15">
        <f t="shared" si="677"/>
        <v>336</v>
      </c>
      <c r="J1946" s="15">
        <f>OrdersTable!B1946</f>
        <v>745</v>
      </c>
      <c r="K1946" s="15" t="str">
        <f t="shared" si="667"/>
        <v>Props and Replicas</v>
      </c>
      <c r="L1946" s="15" t="str">
        <f t="shared" si="668"/>
        <v>Doctor Who: TARDIS Type 40 Plaque</v>
      </c>
      <c r="M1946" s="15" t="str">
        <f t="shared" si="669"/>
        <v>-</v>
      </c>
      <c r="N1946" s="15">
        <f t="shared" si="670"/>
        <v>1.75</v>
      </c>
      <c r="O1946" s="15" t="str">
        <f t="shared" si="671"/>
        <v>A30</v>
      </c>
      <c r="P1946" s="15" t="str">
        <f t="shared" si="672"/>
        <v>Chesterton Enterprises</v>
      </c>
      <c r="Q1946" s="15" t="str">
        <f t="shared" si="673"/>
        <v>41 William Russell Road</v>
      </c>
      <c r="R1946" s="3">
        <f>OrdersTable!C1946</f>
        <v>44700</v>
      </c>
      <c r="S1946" s="15">
        <f>OrdersTable!E1946</f>
        <v>2</v>
      </c>
      <c r="T1946" s="15">
        <f t="shared" si="674"/>
        <v>34.99</v>
      </c>
      <c r="U1946" s="15">
        <f t="shared" si="675"/>
        <v>47.86</v>
      </c>
      <c r="V1946" s="15">
        <f t="shared" si="676"/>
        <v>56.68</v>
      </c>
      <c r="W1946" s="15">
        <f>IF(MarkupType="Store Markup",ROUND(V1946+V1946*StoreMarkup,2),IF(MarkupType="Supplier Markup",V1946+V1946*SupplierMarkup,"Error at finding value"))</f>
        <v>89.27</v>
      </c>
      <c r="X1946" s="32" t="str">
        <f t="shared" si="678"/>
        <v>0.00</v>
      </c>
      <c r="Y1946" s="15">
        <f t="shared" si="679"/>
        <v>113.36</v>
      </c>
      <c r="Z1946" s="15">
        <f t="shared" si="680"/>
        <v>178.54</v>
      </c>
      <c r="AA1946" s="15">
        <f>IF(FreightType="Lethbridge-Stewart Freight ",ROUND(2.99+IF(N1946&gt;0.75,(N1946-0.75)*2.25,0)*S1946,2),IF(MarkupType="Supplier Markup",V1946+V1946*SupplierMarkup,"Error at finding value"))</f>
        <v>7.49</v>
      </c>
      <c r="AB1946" s="15">
        <f t="shared" si="681"/>
        <v>0</v>
      </c>
    </row>
    <row r="1947" spans="1:28" x14ac:dyDescent="0.25">
      <c r="A1947" s="16">
        <f>OrdersTable!A1947</f>
        <v>570</v>
      </c>
      <c r="B1947" s="15" t="str">
        <f t="shared" si="661"/>
        <v>Mr</v>
      </c>
      <c r="C1947" s="15" t="str">
        <f t="shared" si="682"/>
        <v>Adams</v>
      </c>
      <c r="D1947" s="15" t="str">
        <f t="shared" si="662"/>
        <v>Matthew</v>
      </c>
      <c r="E1947" s="15" t="str">
        <f t="shared" si="663"/>
        <v>36 Fenech Avenue</v>
      </c>
      <c r="F1947" s="15" t="str">
        <f t="shared" si="664"/>
        <v>Bray Park</v>
      </c>
      <c r="G1947" s="15" t="str">
        <f t="shared" si="665"/>
        <v>QLD</v>
      </c>
      <c r="H1947" s="15">
        <f t="shared" si="666"/>
        <v>4500</v>
      </c>
      <c r="I1947" s="15">
        <f t="shared" si="677"/>
        <v>139</v>
      </c>
      <c r="J1947" s="15">
        <f>OrdersTable!B1947</f>
        <v>331</v>
      </c>
      <c r="K1947" s="15" t="str">
        <f t="shared" si="667"/>
        <v>Clothing and Apparel</v>
      </c>
      <c r="L1947" s="15" t="str">
        <f t="shared" si="668"/>
        <v xml:space="preserve">Doctor Who: T-Shirts: 4th Doctor Costume </v>
      </c>
      <c r="M1947" s="15" t="str">
        <f t="shared" si="669"/>
        <v>L</v>
      </c>
      <c r="N1947" s="15">
        <f t="shared" si="670"/>
        <v>0.8</v>
      </c>
      <c r="O1947" s="15" t="str">
        <f t="shared" si="671"/>
        <v>A20</v>
      </c>
      <c r="P1947" s="15" t="str">
        <f t="shared" si="672"/>
        <v>Morbius Inc.</v>
      </c>
      <c r="Q1947" s="15" t="str">
        <f t="shared" si="673"/>
        <v>56 Michael Spice Hwy</v>
      </c>
      <c r="R1947" s="3">
        <f>OrdersTable!C1947</f>
        <v>44700</v>
      </c>
      <c r="S1947" s="15">
        <f>OrdersTable!E1947</f>
        <v>5</v>
      </c>
      <c r="T1947" s="15">
        <f t="shared" si="674"/>
        <v>15.99</v>
      </c>
      <c r="U1947" s="15">
        <f t="shared" si="675"/>
        <v>22.08</v>
      </c>
      <c r="V1947" s="15">
        <f t="shared" si="676"/>
        <v>25.9</v>
      </c>
      <c r="W1947" s="15">
        <f>IF(MarkupType="Store Markup",ROUND(V1947+V1947*StoreMarkup,2),IF(MarkupType="Supplier Markup",V1947+V1947*SupplierMarkup,"Error at finding value"))</f>
        <v>40.79</v>
      </c>
      <c r="X1947" s="32" t="str">
        <f t="shared" si="678"/>
        <v>0.00</v>
      </c>
      <c r="Y1947" s="15">
        <f t="shared" si="679"/>
        <v>129.5</v>
      </c>
      <c r="Z1947" s="15">
        <f t="shared" si="680"/>
        <v>203.95</v>
      </c>
      <c r="AA1947" s="15">
        <f>IF(FreightType="Lethbridge-Stewart Freight ",ROUND(2.99+IF(N1947&gt;0.75,(N1947-0.75)*2.25,0)*S1947,2),IF(MarkupType="Supplier Markup",V1947+V1947*SupplierMarkup,"Error at finding value"))</f>
        <v>3.55</v>
      </c>
      <c r="AB1947" s="15">
        <f t="shared" si="681"/>
        <v>0</v>
      </c>
    </row>
    <row r="1948" spans="1:28" x14ac:dyDescent="0.25">
      <c r="A1948" s="16">
        <f>OrdersTable!A1948</f>
        <v>570</v>
      </c>
      <c r="B1948" s="15" t="str">
        <f t="shared" si="661"/>
        <v>Mr</v>
      </c>
      <c r="C1948" s="15" t="str">
        <f t="shared" si="682"/>
        <v>Adams</v>
      </c>
      <c r="D1948" s="15" t="str">
        <f t="shared" si="662"/>
        <v>Matthew</v>
      </c>
      <c r="E1948" s="15" t="str">
        <f t="shared" si="663"/>
        <v>36 Fenech Avenue</v>
      </c>
      <c r="F1948" s="15" t="str">
        <f t="shared" si="664"/>
        <v>Bray Park</v>
      </c>
      <c r="G1948" s="15" t="str">
        <f t="shared" si="665"/>
        <v>QLD</v>
      </c>
      <c r="H1948" s="15">
        <f t="shared" si="666"/>
        <v>4500</v>
      </c>
      <c r="I1948" s="15">
        <f t="shared" si="677"/>
        <v>139</v>
      </c>
      <c r="J1948" s="15">
        <f>OrdersTable!B1948</f>
        <v>395</v>
      </c>
      <c r="K1948" s="15" t="str">
        <f t="shared" si="667"/>
        <v>Clothing and Apparel</v>
      </c>
      <c r="L1948" s="15" t="str">
        <f t="shared" si="668"/>
        <v xml:space="preserve">Doctor Who: T-Shirts: 7th Doctor Costume </v>
      </c>
      <c r="M1948" s="15" t="str">
        <f t="shared" si="669"/>
        <v>L</v>
      </c>
      <c r="N1948" s="15">
        <f t="shared" si="670"/>
        <v>0.8</v>
      </c>
      <c r="O1948" s="15" t="str">
        <f t="shared" si="671"/>
        <v>A10</v>
      </c>
      <c r="P1948" s="15" t="str">
        <f t="shared" si="672"/>
        <v>Gallifrey International</v>
      </c>
      <c r="Q1948" s="15" t="str">
        <f t="shared" si="673"/>
        <v>181 Arcadia Street</v>
      </c>
      <c r="R1948" s="3">
        <f>OrdersTable!C1948</f>
        <v>44700</v>
      </c>
      <c r="S1948" s="15">
        <f>OrdersTable!E1948</f>
        <v>7</v>
      </c>
      <c r="T1948" s="15">
        <f t="shared" si="674"/>
        <v>15.99</v>
      </c>
      <c r="U1948" s="15">
        <f t="shared" si="675"/>
        <v>22.07</v>
      </c>
      <c r="V1948" s="15">
        <f t="shared" si="676"/>
        <v>25.9</v>
      </c>
      <c r="W1948" s="15">
        <f>IF(MarkupType="Store Markup",ROUND(V1948+V1948*StoreMarkup,2),IF(MarkupType="Supplier Markup",V1948+V1948*SupplierMarkup,"Error at finding value"))</f>
        <v>40.79</v>
      </c>
      <c r="X1948" s="32" t="str">
        <f t="shared" si="678"/>
        <v>0.00</v>
      </c>
      <c r="Y1948" s="15">
        <f t="shared" si="679"/>
        <v>181.3</v>
      </c>
      <c r="Z1948" s="15">
        <f t="shared" si="680"/>
        <v>285.52999999999997</v>
      </c>
      <c r="AA1948" s="15">
        <f>IF(FreightType="Lethbridge-Stewart Freight ",ROUND(2.99+IF(N1948&gt;0.75,(N1948-0.75)*2.25,0)*S1948,2),IF(MarkupType="Supplier Markup",V1948+V1948*SupplierMarkup,"Error at finding value"))</f>
        <v>3.78</v>
      </c>
      <c r="AB1948" s="15">
        <f t="shared" si="681"/>
        <v>0</v>
      </c>
    </row>
    <row r="1949" spans="1:28" x14ac:dyDescent="0.25">
      <c r="A1949" s="16">
        <f>OrdersTable!A1949</f>
        <v>573</v>
      </c>
      <c r="B1949" s="15" t="str">
        <f t="shared" si="661"/>
        <v>Mrs</v>
      </c>
      <c r="C1949" s="15" t="str">
        <f t="shared" si="682"/>
        <v>Hollonds</v>
      </c>
      <c r="D1949" s="15" t="str">
        <f t="shared" si="662"/>
        <v>Suzan</v>
      </c>
      <c r="E1949" s="15" t="str">
        <f t="shared" si="663"/>
        <v>49 Patel Way</v>
      </c>
      <c r="F1949" s="15" t="str">
        <f t="shared" si="664"/>
        <v>Belconnen</v>
      </c>
      <c r="G1949" s="15" t="str">
        <f t="shared" si="665"/>
        <v>ACT</v>
      </c>
      <c r="H1949" s="15">
        <f t="shared" si="666"/>
        <v>2617</v>
      </c>
      <c r="I1949" s="15">
        <f t="shared" si="677"/>
        <v>1194</v>
      </c>
      <c r="J1949" s="15">
        <f>OrdersTable!B1949</f>
        <v>590</v>
      </c>
      <c r="K1949" s="15" t="str">
        <f t="shared" si="667"/>
        <v>iPhone Skins</v>
      </c>
      <c r="L1949" s="15" t="str">
        <f t="shared" si="668"/>
        <v>Doctor Who: iPhone Skin: Exploding TARDIS</v>
      </c>
      <c r="M1949" s="15" t="str">
        <f t="shared" si="669"/>
        <v>-</v>
      </c>
      <c r="N1949" s="15">
        <f t="shared" si="670"/>
        <v>0.5</v>
      </c>
      <c r="O1949" s="15" t="str">
        <f t="shared" si="671"/>
        <v>A20</v>
      </c>
      <c r="P1949" s="15" t="str">
        <f t="shared" si="672"/>
        <v>Morbius Inc.</v>
      </c>
      <c r="Q1949" s="15" t="str">
        <f t="shared" si="673"/>
        <v>56 Michael Spice Hwy</v>
      </c>
      <c r="R1949" s="3">
        <f>OrdersTable!C1949</f>
        <v>44700</v>
      </c>
      <c r="S1949" s="15">
        <f>OrdersTable!E1949</f>
        <v>1</v>
      </c>
      <c r="T1949" s="15">
        <f t="shared" si="674"/>
        <v>9.99</v>
      </c>
      <c r="U1949" s="15">
        <f t="shared" si="675"/>
        <v>13.86</v>
      </c>
      <c r="V1949" s="15">
        <f t="shared" si="676"/>
        <v>16.18</v>
      </c>
      <c r="W1949" s="15">
        <f>IF(MarkupType="Store Markup",ROUND(V1949+V1949*StoreMarkup,2),IF(MarkupType="Supplier Markup",V1949+V1949*SupplierMarkup,"Error at finding value"))</f>
        <v>25.48</v>
      </c>
      <c r="X1949" s="32" t="str">
        <f t="shared" si="678"/>
        <v>0.00</v>
      </c>
      <c r="Y1949" s="15">
        <f t="shared" si="679"/>
        <v>16.18</v>
      </c>
      <c r="Z1949" s="15">
        <f t="shared" si="680"/>
        <v>25.48</v>
      </c>
      <c r="AA1949" s="15">
        <f>IF(FreightType="Lethbridge-Stewart Freight ",ROUND(2.99+IF(N1949&gt;0.75,(N1949-0.75)*2.25,0)*S1949,2),IF(MarkupType="Supplier Markup",V1949+V1949*SupplierMarkup,"Error at finding value"))</f>
        <v>2.99</v>
      </c>
      <c r="AB1949" s="15">
        <f t="shared" si="681"/>
        <v>0</v>
      </c>
    </row>
    <row r="1950" spans="1:28" x14ac:dyDescent="0.25">
      <c r="A1950" s="16">
        <f>OrdersTable!A1950</f>
        <v>573</v>
      </c>
      <c r="B1950" s="15" t="str">
        <f t="shared" si="661"/>
        <v>Mrs</v>
      </c>
      <c r="C1950" s="15" t="str">
        <f t="shared" si="682"/>
        <v>Hollonds</v>
      </c>
      <c r="D1950" s="15" t="str">
        <f t="shared" si="662"/>
        <v>Suzan</v>
      </c>
      <c r="E1950" s="15" t="str">
        <f t="shared" si="663"/>
        <v>49 Patel Way</v>
      </c>
      <c r="F1950" s="15" t="str">
        <f t="shared" si="664"/>
        <v>Belconnen</v>
      </c>
      <c r="G1950" s="15" t="str">
        <f t="shared" si="665"/>
        <v>ACT</v>
      </c>
      <c r="H1950" s="15">
        <f t="shared" si="666"/>
        <v>2617</v>
      </c>
      <c r="I1950" s="15">
        <f t="shared" si="677"/>
        <v>1194</v>
      </c>
      <c r="J1950" s="15">
        <f>OrdersTable!B1950</f>
        <v>685</v>
      </c>
      <c r="K1950" s="15" t="str">
        <f t="shared" si="667"/>
        <v>Mugs</v>
      </c>
      <c r="L1950" s="15" t="str">
        <f t="shared" si="668"/>
        <v>Doctor Who: Teapot: Sliver TARDIS</v>
      </c>
      <c r="M1950" s="15" t="str">
        <f t="shared" si="669"/>
        <v>-</v>
      </c>
      <c r="N1950" s="15">
        <f t="shared" si="670"/>
        <v>1.35</v>
      </c>
      <c r="O1950" s="15" t="str">
        <f t="shared" si="671"/>
        <v>A30</v>
      </c>
      <c r="P1950" s="15" t="str">
        <f t="shared" si="672"/>
        <v>Chesterton Enterprises</v>
      </c>
      <c r="Q1950" s="15" t="str">
        <f t="shared" si="673"/>
        <v>41 William Russell Road</v>
      </c>
      <c r="R1950" s="3">
        <f>OrdersTable!C1950</f>
        <v>44700</v>
      </c>
      <c r="S1950" s="15">
        <f>OrdersTable!E1950</f>
        <v>1</v>
      </c>
      <c r="T1950" s="15">
        <f t="shared" si="674"/>
        <v>26.99</v>
      </c>
      <c r="U1950" s="15">
        <f t="shared" si="675"/>
        <v>36.869999999999997</v>
      </c>
      <c r="V1950" s="15">
        <f t="shared" si="676"/>
        <v>43.72</v>
      </c>
      <c r="W1950" s="15">
        <f>IF(MarkupType="Store Markup",ROUND(V1950+V1950*StoreMarkup,2),IF(MarkupType="Supplier Markup",V1950+V1950*SupplierMarkup,"Error at finding value"))</f>
        <v>68.86</v>
      </c>
      <c r="X1950" s="32" t="str">
        <f t="shared" si="678"/>
        <v>0.00</v>
      </c>
      <c r="Y1950" s="15">
        <f t="shared" si="679"/>
        <v>43.72</v>
      </c>
      <c r="Z1950" s="15">
        <f t="shared" si="680"/>
        <v>68.86</v>
      </c>
      <c r="AA1950" s="15">
        <f>IF(FreightType="Lethbridge-Stewart Freight ",ROUND(2.99+IF(N1950&gt;0.75,(N1950-0.75)*2.25,0)*S1950,2),IF(MarkupType="Supplier Markup",V1950+V1950*SupplierMarkup,"Error at finding value"))</f>
        <v>4.34</v>
      </c>
      <c r="AB1950" s="15">
        <f t="shared" si="681"/>
        <v>0</v>
      </c>
    </row>
    <row r="1951" spans="1:28" x14ac:dyDescent="0.25">
      <c r="A1951" s="16">
        <f>OrdersTable!A1951</f>
        <v>600</v>
      </c>
      <c r="B1951" s="15" t="str">
        <f t="shared" si="661"/>
        <v>Dr</v>
      </c>
      <c r="C1951" s="15" t="str">
        <f t="shared" si="682"/>
        <v>McConnell</v>
      </c>
      <c r="D1951" s="15" t="str">
        <f t="shared" si="662"/>
        <v>Hannah Clair</v>
      </c>
      <c r="E1951" s="15" t="str">
        <f t="shared" si="663"/>
        <v>27 Mccarthy Circuit</v>
      </c>
      <c r="F1951" s="15" t="str">
        <f t="shared" si="664"/>
        <v>Ashford</v>
      </c>
      <c r="G1951" s="15" t="str">
        <f t="shared" si="665"/>
        <v>SA</v>
      </c>
      <c r="H1951" s="15">
        <f t="shared" si="666"/>
        <v>5035</v>
      </c>
      <c r="I1951" s="15">
        <f t="shared" si="677"/>
        <v>1877</v>
      </c>
      <c r="J1951" s="15">
        <f>OrdersTable!B1951</f>
        <v>694</v>
      </c>
      <c r="K1951" s="15" t="str">
        <f t="shared" si="667"/>
        <v>Posters, Prints and Standees</v>
      </c>
      <c r="L1951" s="15" t="str">
        <f t="shared" si="668"/>
        <v>Doctor Who: 16'x12' Framed Print: Hide</v>
      </c>
      <c r="M1951" s="15" t="str">
        <f t="shared" si="669"/>
        <v>-</v>
      </c>
      <c r="N1951" s="15">
        <f t="shared" si="670"/>
        <v>0.75</v>
      </c>
      <c r="O1951" s="15" t="str">
        <f t="shared" si="671"/>
        <v>A40</v>
      </c>
      <c r="P1951" s="15" t="str">
        <f t="shared" si="672"/>
        <v>Romana Imports</v>
      </c>
      <c r="Q1951" s="15" t="str">
        <f t="shared" si="673"/>
        <v>17 Lalla Ward Road</v>
      </c>
      <c r="R1951" s="3">
        <f>OrdersTable!C1951</f>
        <v>44700</v>
      </c>
      <c r="S1951" s="15">
        <f>OrdersTable!E1951</f>
        <v>4</v>
      </c>
      <c r="T1951" s="15">
        <f t="shared" si="674"/>
        <v>14.99</v>
      </c>
      <c r="U1951" s="15">
        <f t="shared" si="675"/>
        <v>20.49</v>
      </c>
      <c r="V1951" s="15">
        <f t="shared" si="676"/>
        <v>24.28</v>
      </c>
      <c r="W1951" s="15">
        <f>IF(MarkupType="Store Markup",ROUND(V1951+V1951*StoreMarkup,2),IF(MarkupType="Supplier Markup",V1951+V1951*SupplierMarkup,"Error at finding value"))</f>
        <v>38.24</v>
      </c>
      <c r="X1951" s="32" t="str">
        <f t="shared" si="678"/>
        <v>0.00</v>
      </c>
      <c r="Y1951" s="15">
        <f t="shared" si="679"/>
        <v>97.12</v>
      </c>
      <c r="Z1951" s="15">
        <f t="shared" si="680"/>
        <v>152.96</v>
      </c>
      <c r="AA1951" s="15">
        <f>IF(FreightType="Lethbridge-Stewart Freight ",ROUND(2.99+IF(N1951&gt;0.75,(N1951-0.75)*2.25,0)*S1951,2),IF(MarkupType="Supplier Markup",V1951+V1951*SupplierMarkup,"Error at finding value"))</f>
        <v>2.99</v>
      </c>
      <c r="AB1951" s="15">
        <f t="shared" si="681"/>
        <v>0</v>
      </c>
    </row>
    <row r="1952" spans="1:28" x14ac:dyDescent="0.25">
      <c r="A1952" s="16">
        <f>OrdersTable!A1952</f>
        <v>602</v>
      </c>
      <c r="B1952" s="15" t="str">
        <f t="shared" si="661"/>
        <v>Mr</v>
      </c>
      <c r="C1952" s="15" t="str">
        <f t="shared" si="682"/>
        <v>Spinelli</v>
      </c>
      <c r="D1952" s="15" t="str">
        <f t="shared" si="662"/>
        <v>Paul Walter</v>
      </c>
      <c r="E1952" s="15" t="str">
        <f t="shared" si="663"/>
        <v>35 Azar Drive</v>
      </c>
      <c r="F1952" s="15" t="str">
        <f t="shared" si="664"/>
        <v>Bray Park</v>
      </c>
      <c r="G1952" s="15" t="str">
        <f t="shared" si="665"/>
        <v>QLD</v>
      </c>
      <c r="H1952" s="15">
        <f t="shared" si="666"/>
        <v>4500</v>
      </c>
      <c r="I1952" s="15">
        <f t="shared" si="677"/>
        <v>139</v>
      </c>
      <c r="J1952" s="15">
        <f>OrdersTable!B1952</f>
        <v>694</v>
      </c>
      <c r="K1952" s="15" t="str">
        <f t="shared" si="667"/>
        <v>Posters, Prints and Standees</v>
      </c>
      <c r="L1952" s="15" t="str">
        <f t="shared" si="668"/>
        <v>Doctor Who: 16'x12' Framed Print: Hide</v>
      </c>
      <c r="M1952" s="15" t="str">
        <f t="shared" si="669"/>
        <v>-</v>
      </c>
      <c r="N1952" s="15">
        <f t="shared" si="670"/>
        <v>0.75</v>
      </c>
      <c r="O1952" s="15" t="str">
        <f t="shared" si="671"/>
        <v>A40</v>
      </c>
      <c r="P1952" s="15" t="str">
        <f t="shared" si="672"/>
        <v>Romana Imports</v>
      </c>
      <c r="Q1952" s="15" t="str">
        <f t="shared" si="673"/>
        <v>17 Lalla Ward Road</v>
      </c>
      <c r="R1952" s="3">
        <f>OrdersTable!C1952</f>
        <v>44700</v>
      </c>
      <c r="S1952" s="15">
        <f>OrdersTable!E1952</f>
        <v>3</v>
      </c>
      <c r="T1952" s="15">
        <f t="shared" si="674"/>
        <v>14.99</v>
      </c>
      <c r="U1952" s="15">
        <f t="shared" si="675"/>
        <v>20.49</v>
      </c>
      <c r="V1952" s="15">
        <f t="shared" si="676"/>
        <v>24.28</v>
      </c>
      <c r="W1952" s="15">
        <f>IF(MarkupType="Store Markup",ROUND(V1952+V1952*StoreMarkup,2),IF(MarkupType="Supplier Markup",V1952+V1952*SupplierMarkup,"Error at finding value"))</f>
        <v>38.24</v>
      </c>
      <c r="X1952" s="32" t="str">
        <f t="shared" si="678"/>
        <v>0.00</v>
      </c>
      <c r="Y1952" s="15">
        <f t="shared" si="679"/>
        <v>72.84</v>
      </c>
      <c r="Z1952" s="15">
        <f t="shared" si="680"/>
        <v>114.72</v>
      </c>
      <c r="AA1952" s="15">
        <f>IF(FreightType="Lethbridge-Stewart Freight ",ROUND(2.99+IF(N1952&gt;0.75,(N1952-0.75)*2.25,0)*S1952,2),IF(MarkupType="Supplier Markup",V1952+V1952*SupplierMarkup,"Error at finding value"))</f>
        <v>2.99</v>
      </c>
      <c r="AB1952" s="15">
        <f t="shared" si="681"/>
        <v>0</v>
      </c>
    </row>
    <row r="1953" spans="1:28" x14ac:dyDescent="0.25">
      <c r="A1953" s="16">
        <f>OrdersTable!A1953</f>
        <v>669</v>
      </c>
      <c r="B1953" s="15" t="str">
        <f t="shared" si="661"/>
        <v>Dr</v>
      </c>
      <c r="C1953" s="15" t="str">
        <f t="shared" si="682"/>
        <v>Ferjani</v>
      </c>
      <c r="D1953" s="15" t="str">
        <f t="shared" si="662"/>
        <v>Rabah</v>
      </c>
      <c r="E1953" s="15" t="str">
        <f t="shared" si="663"/>
        <v>2 Codrington Street</v>
      </c>
      <c r="F1953" s="15" t="str">
        <f t="shared" si="664"/>
        <v>Belford</v>
      </c>
      <c r="G1953" s="15" t="str">
        <f t="shared" si="665"/>
        <v>NSW</v>
      </c>
      <c r="H1953" s="15">
        <f t="shared" si="666"/>
        <v>2335</v>
      </c>
      <c r="I1953" s="15">
        <f t="shared" si="677"/>
        <v>716</v>
      </c>
      <c r="J1953" s="15">
        <f>OrdersTable!B1953</f>
        <v>834</v>
      </c>
      <c r="K1953" s="15" t="str">
        <f t="shared" si="667"/>
        <v>Statues and Busts</v>
      </c>
      <c r="L1953" s="15" t="str">
        <f t="shared" si="668"/>
        <v>Doctor Who: Signature Edition Statue: Gallifrey Edition: Matt Smith</v>
      </c>
      <c r="M1953" s="15" t="str">
        <f t="shared" si="669"/>
        <v>-</v>
      </c>
      <c r="N1953" s="15">
        <f t="shared" si="670"/>
        <v>2.5</v>
      </c>
      <c r="O1953" s="15" t="str">
        <f t="shared" si="671"/>
        <v>A30</v>
      </c>
      <c r="P1953" s="15" t="str">
        <f t="shared" si="672"/>
        <v>Chesterton Enterprises</v>
      </c>
      <c r="Q1953" s="15" t="str">
        <f t="shared" si="673"/>
        <v>41 William Russell Road</v>
      </c>
      <c r="R1953" s="3">
        <f>OrdersTable!C1953</f>
        <v>44700</v>
      </c>
      <c r="S1953" s="15">
        <f>OrdersTable!E1953</f>
        <v>8</v>
      </c>
      <c r="T1953" s="15">
        <f t="shared" si="674"/>
        <v>49.99</v>
      </c>
      <c r="U1953" s="15">
        <f t="shared" si="675"/>
        <v>68.52</v>
      </c>
      <c r="V1953" s="15">
        <f t="shared" si="676"/>
        <v>80.98</v>
      </c>
      <c r="W1953" s="15">
        <f>IF(MarkupType="Store Markup",ROUND(V1953+V1953*StoreMarkup,2),IF(MarkupType="Supplier Markup",V1953+V1953*SupplierMarkup,"Error at finding value"))</f>
        <v>127.54</v>
      </c>
      <c r="X1953" s="32">
        <f t="shared" si="678"/>
        <v>9.09</v>
      </c>
      <c r="Y1953" s="15">
        <f t="shared" si="679"/>
        <v>647.84</v>
      </c>
      <c r="Z1953" s="15">
        <f t="shared" si="680"/>
        <v>947.6</v>
      </c>
      <c r="AA1953" s="15">
        <f>IF(FreightType="Lethbridge-Stewart Freight ",ROUND(2.99+IF(N1953&gt;0.75,(N1953-0.75)*2.25,0)*S1953,2),IF(MarkupType="Supplier Markup",V1953+V1953*SupplierMarkup,"Error at finding value"))</f>
        <v>34.49</v>
      </c>
      <c r="AB1953" s="15">
        <f t="shared" si="681"/>
        <v>72.72</v>
      </c>
    </row>
    <row r="1954" spans="1:28" x14ac:dyDescent="0.25">
      <c r="A1954" s="16">
        <f>OrdersTable!A1954</f>
        <v>849</v>
      </c>
      <c r="B1954" s="15" t="str">
        <f t="shared" si="661"/>
        <v>Dr</v>
      </c>
      <c r="C1954" s="15" t="str">
        <f t="shared" si="682"/>
        <v>Blair</v>
      </c>
      <c r="D1954" s="15" t="str">
        <f t="shared" si="662"/>
        <v>Taylor Ashleigh</v>
      </c>
      <c r="E1954" s="15" t="str">
        <f t="shared" si="663"/>
        <v>42 Ward Avenue</v>
      </c>
      <c r="F1954" s="15" t="str">
        <f t="shared" si="664"/>
        <v>Airly</v>
      </c>
      <c r="G1954" s="15" t="str">
        <f t="shared" si="665"/>
        <v>VIC</v>
      </c>
      <c r="H1954" s="15">
        <f t="shared" si="666"/>
        <v>3851</v>
      </c>
      <c r="I1954" s="15">
        <f t="shared" si="677"/>
        <v>1583</v>
      </c>
      <c r="J1954" s="15">
        <f>OrdersTable!B1954</f>
        <v>145</v>
      </c>
      <c r="K1954" s="15" t="str">
        <f t="shared" si="667"/>
        <v>Bobbleheads</v>
      </c>
      <c r="L1954" s="15" t="str">
        <f t="shared" si="668"/>
        <v>Doctor Who: Bobblehead: Eleventh Doctor</v>
      </c>
      <c r="M1954" s="15" t="str">
        <f t="shared" si="669"/>
        <v>-</v>
      </c>
      <c r="N1954" s="15">
        <f t="shared" si="670"/>
        <v>1</v>
      </c>
      <c r="O1954" s="15" t="str">
        <f t="shared" si="671"/>
        <v>A30</v>
      </c>
      <c r="P1954" s="15" t="str">
        <f t="shared" si="672"/>
        <v>Chesterton Enterprises</v>
      </c>
      <c r="Q1954" s="15" t="str">
        <f t="shared" si="673"/>
        <v>41 William Russell Road</v>
      </c>
      <c r="R1954" s="3">
        <f>OrdersTable!C1954</f>
        <v>44700</v>
      </c>
      <c r="S1954" s="15">
        <f>OrdersTable!E1954</f>
        <v>6</v>
      </c>
      <c r="T1954" s="15">
        <f t="shared" si="674"/>
        <v>19.989999999999998</v>
      </c>
      <c r="U1954" s="15">
        <f t="shared" si="675"/>
        <v>27.54</v>
      </c>
      <c r="V1954" s="15">
        <f t="shared" si="676"/>
        <v>32.380000000000003</v>
      </c>
      <c r="W1954" s="15">
        <f>IF(MarkupType="Store Markup",ROUND(V1954+V1954*StoreMarkup,2),IF(MarkupType="Supplier Markup",V1954+V1954*SupplierMarkup,"Error at finding value"))</f>
        <v>51</v>
      </c>
      <c r="X1954" s="32" t="str">
        <f t="shared" si="678"/>
        <v>0.00</v>
      </c>
      <c r="Y1954" s="15">
        <f t="shared" si="679"/>
        <v>194.28</v>
      </c>
      <c r="Z1954" s="15">
        <f t="shared" si="680"/>
        <v>306</v>
      </c>
      <c r="AA1954" s="15">
        <f>IF(FreightType="Lethbridge-Stewart Freight ",ROUND(2.99+IF(N1954&gt;0.75,(N1954-0.75)*2.25,0)*S1954,2),IF(MarkupType="Supplier Markup",V1954+V1954*SupplierMarkup,"Error at finding value"))</f>
        <v>6.37</v>
      </c>
      <c r="AB1954" s="15">
        <f t="shared" si="681"/>
        <v>0</v>
      </c>
    </row>
    <row r="1955" spans="1:28" x14ac:dyDescent="0.25">
      <c r="A1955" s="16">
        <f>OrdersTable!A1955</f>
        <v>22</v>
      </c>
      <c r="B1955" s="15" t="str">
        <f t="shared" si="661"/>
        <v>Mr</v>
      </c>
      <c r="C1955" s="15" t="str">
        <f t="shared" si="682"/>
        <v>Tyrrell</v>
      </c>
      <c r="D1955" s="15" t="str">
        <f t="shared" si="662"/>
        <v>Timothy James</v>
      </c>
      <c r="E1955" s="15" t="str">
        <f t="shared" si="663"/>
        <v>48 Lambourne Crescent</v>
      </c>
      <c r="F1955" s="15" t="str">
        <f t="shared" si="664"/>
        <v>Belford</v>
      </c>
      <c r="G1955" s="15" t="str">
        <f t="shared" si="665"/>
        <v>NSW</v>
      </c>
      <c r="H1955" s="15">
        <f t="shared" si="666"/>
        <v>2335</v>
      </c>
      <c r="I1955" s="15">
        <f t="shared" si="677"/>
        <v>716</v>
      </c>
      <c r="J1955" s="15">
        <f>OrdersTable!B1955</f>
        <v>762</v>
      </c>
      <c r="K1955" s="15" t="str">
        <f t="shared" si="667"/>
        <v>Statues and Busts</v>
      </c>
      <c r="L1955" s="15" t="str">
        <f t="shared" si="668"/>
        <v>Doctor Who: Legends Forever Bust: Patrick Troughton</v>
      </c>
      <c r="M1955" s="15" t="str">
        <f t="shared" si="669"/>
        <v>-</v>
      </c>
      <c r="N1955" s="15">
        <f t="shared" si="670"/>
        <v>1.375</v>
      </c>
      <c r="O1955" s="15" t="str">
        <f t="shared" si="671"/>
        <v>A40</v>
      </c>
      <c r="P1955" s="15" t="str">
        <f t="shared" si="672"/>
        <v>Romana Imports</v>
      </c>
      <c r="Q1955" s="15" t="str">
        <f t="shared" si="673"/>
        <v>17 Lalla Ward Road</v>
      </c>
      <c r="R1955" s="3">
        <f>OrdersTable!C1955</f>
        <v>44701</v>
      </c>
      <c r="S1955" s="15">
        <f>OrdersTable!E1955</f>
        <v>9</v>
      </c>
      <c r="T1955" s="15">
        <f t="shared" si="674"/>
        <v>27.5</v>
      </c>
      <c r="U1955" s="15">
        <f t="shared" si="675"/>
        <v>37.799999999999997</v>
      </c>
      <c r="V1955" s="15">
        <f t="shared" si="676"/>
        <v>44.55</v>
      </c>
      <c r="W1955" s="15">
        <f>IF(MarkupType="Store Markup",ROUND(V1955+V1955*StoreMarkup,2),IF(MarkupType="Supplier Markup",V1955+V1955*SupplierMarkup,"Error at finding value"))</f>
        <v>70.17</v>
      </c>
      <c r="X1955" s="32" t="str">
        <f t="shared" si="678"/>
        <v>0.00</v>
      </c>
      <c r="Y1955" s="15">
        <f t="shared" si="679"/>
        <v>400.95</v>
      </c>
      <c r="Z1955" s="15">
        <f t="shared" si="680"/>
        <v>631.53</v>
      </c>
      <c r="AA1955" s="15">
        <f>IF(FreightType="Lethbridge-Stewart Freight ",ROUND(2.99+IF(N1955&gt;0.75,(N1955-0.75)*2.25,0)*S1955,2),IF(MarkupType="Supplier Markup",V1955+V1955*SupplierMarkup,"Error at finding value"))</f>
        <v>15.65</v>
      </c>
      <c r="AB1955" s="15">
        <f t="shared" si="681"/>
        <v>0</v>
      </c>
    </row>
    <row r="1956" spans="1:28" x14ac:dyDescent="0.25">
      <c r="A1956" s="16">
        <f>OrdersTable!A1956</f>
        <v>141</v>
      </c>
      <c r="B1956" s="15" t="str">
        <f t="shared" si="661"/>
        <v>Mr</v>
      </c>
      <c r="C1956" s="15" t="str">
        <f t="shared" si="682"/>
        <v>Bergmann</v>
      </c>
      <c r="D1956" s="15" t="str">
        <f t="shared" si="662"/>
        <v>Beau Jay</v>
      </c>
      <c r="E1956" s="15" t="str">
        <f t="shared" si="663"/>
        <v>47 McCullough Circuit</v>
      </c>
      <c r="F1956" s="15" t="str">
        <f t="shared" si="664"/>
        <v>Breakwater</v>
      </c>
      <c r="G1956" s="15" t="str">
        <f t="shared" si="665"/>
        <v>VIC</v>
      </c>
      <c r="H1956" s="15">
        <f t="shared" si="666"/>
        <v>3219</v>
      </c>
      <c r="I1956" s="15">
        <f t="shared" si="677"/>
        <v>1596</v>
      </c>
      <c r="J1956" s="15">
        <f>OrdersTable!B1956</f>
        <v>563</v>
      </c>
      <c r="K1956" s="15" t="str">
        <f t="shared" si="667"/>
        <v>Giftware</v>
      </c>
      <c r="L1956" s="15" t="str">
        <f t="shared" si="668"/>
        <v>Doctor Who: TARDIS Jewellery Box</v>
      </c>
      <c r="M1956" s="15" t="str">
        <f t="shared" si="669"/>
        <v>-</v>
      </c>
      <c r="N1956" s="15">
        <f t="shared" si="670"/>
        <v>1.1499999999999999</v>
      </c>
      <c r="O1956" s="15" t="str">
        <f t="shared" si="671"/>
        <v>A50</v>
      </c>
      <c r="P1956" s="15" t="str">
        <f t="shared" si="672"/>
        <v>Rassilon Ltd.</v>
      </c>
      <c r="Q1956" s="15" t="str">
        <f t="shared" si="673"/>
        <v>82 Richard Mathews Road</v>
      </c>
      <c r="R1956" s="3">
        <f>OrdersTable!C1956</f>
        <v>44701</v>
      </c>
      <c r="S1956" s="15">
        <f>OrdersTable!E1956</f>
        <v>7</v>
      </c>
      <c r="T1956" s="15">
        <f t="shared" si="674"/>
        <v>22.99</v>
      </c>
      <c r="U1956" s="15">
        <f t="shared" si="675"/>
        <v>31.63</v>
      </c>
      <c r="V1956" s="15">
        <f t="shared" si="676"/>
        <v>37.24</v>
      </c>
      <c r="W1956" s="15">
        <f>IF(MarkupType="Store Markup",ROUND(V1956+V1956*StoreMarkup,2),IF(MarkupType="Supplier Markup",V1956+V1956*SupplierMarkup,"Error at finding value"))</f>
        <v>58.65</v>
      </c>
      <c r="X1956" s="32" t="str">
        <f t="shared" si="678"/>
        <v>0.00</v>
      </c>
      <c r="Y1956" s="15">
        <f t="shared" si="679"/>
        <v>260.68</v>
      </c>
      <c r="Z1956" s="15">
        <f t="shared" si="680"/>
        <v>410.55</v>
      </c>
      <c r="AA1956" s="15">
        <f>IF(FreightType="Lethbridge-Stewart Freight ",ROUND(2.99+IF(N1956&gt;0.75,(N1956-0.75)*2.25,0)*S1956,2),IF(MarkupType="Supplier Markup",V1956+V1956*SupplierMarkup,"Error at finding value"))</f>
        <v>9.2899999999999991</v>
      </c>
      <c r="AB1956" s="15">
        <f t="shared" si="681"/>
        <v>0</v>
      </c>
    </row>
    <row r="1957" spans="1:28" x14ac:dyDescent="0.25">
      <c r="A1957" s="16">
        <f>OrdersTable!A1957</f>
        <v>141</v>
      </c>
      <c r="B1957" s="15" t="str">
        <f t="shared" si="661"/>
        <v>Mr</v>
      </c>
      <c r="C1957" s="15" t="str">
        <f t="shared" si="682"/>
        <v>Bergmann</v>
      </c>
      <c r="D1957" s="15" t="str">
        <f t="shared" si="662"/>
        <v>Beau Jay</v>
      </c>
      <c r="E1957" s="15" t="str">
        <f t="shared" si="663"/>
        <v>47 McCullough Circuit</v>
      </c>
      <c r="F1957" s="15" t="str">
        <f t="shared" si="664"/>
        <v>Breakwater</v>
      </c>
      <c r="G1957" s="15" t="str">
        <f t="shared" si="665"/>
        <v>VIC</v>
      </c>
      <c r="H1957" s="15">
        <f t="shared" si="666"/>
        <v>3219</v>
      </c>
      <c r="I1957" s="15">
        <f t="shared" si="677"/>
        <v>1596</v>
      </c>
      <c r="J1957" s="15">
        <f>OrdersTable!B1957</f>
        <v>757</v>
      </c>
      <c r="K1957" s="15" t="str">
        <f t="shared" si="667"/>
        <v>Statues and Busts</v>
      </c>
      <c r="L1957" s="15" t="str">
        <f t="shared" si="668"/>
        <v>Doctor Who: Helmet: Ice Warrior</v>
      </c>
      <c r="M1957" s="15" t="str">
        <f t="shared" si="669"/>
        <v>-</v>
      </c>
      <c r="N1957" s="15">
        <f t="shared" si="670"/>
        <v>1.75</v>
      </c>
      <c r="O1957" s="15" t="str">
        <f t="shared" si="671"/>
        <v>A20</v>
      </c>
      <c r="P1957" s="15" t="str">
        <f t="shared" si="672"/>
        <v>Morbius Inc.</v>
      </c>
      <c r="Q1957" s="15" t="str">
        <f t="shared" si="673"/>
        <v>56 Michael Spice Hwy</v>
      </c>
      <c r="R1957" s="3">
        <f>OrdersTable!C1957</f>
        <v>44701</v>
      </c>
      <c r="S1957" s="15">
        <f>OrdersTable!E1957</f>
        <v>2</v>
      </c>
      <c r="T1957" s="15">
        <f t="shared" si="674"/>
        <v>34.99</v>
      </c>
      <c r="U1957" s="15">
        <f t="shared" si="675"/>
        <v>47.88</v>
      </c>
      <c r="V1957" s="15">
        <f t="shared" si="676"/>
        <v>56.68</v>
      </c>
      <c r="W1957" s="15">
        <f>IF(MarkupType="Store Markup",ROUND(V1957+V1957*StoreMarkup,2),IF(MarkupType="Supplier Markup",V1957+V1957*SupplierMarkup,"Error at finding value"))</f>
        <v>89.27</v>
      </c>
      <c r="X1957" s="32" t="str">
        <f t="shared" si="678"/>
        <v>0.00</v>
      </c>
      <c r="Y1957" s="15">
        <f t="shared" si="679"/>
        <v>113.36</v>
      </c>
      <c r="Z1957" s="15">
        <f t="shared" si="680"/>
        <v>178.54</v>
      </c>
      <c r="AA1957" s="15">
        <f>IF(FreightType="Lethbridge-Stewart Freight ",ROUND(2.99+IF(N1957&gt;0.75,(N1957-0.75)*2.25,0)*S1957,2),IF(MarkupType="Supplier Markup",V1957+V1957*SupplierMarkup,"Error at finding value"))</f>
        <v>7.49</v>
      </c>
      <c r="AB1957" s="15">
        <f t="shared" si="681"/>
        <v>0</v>
      </c>
    </row>
    <row r="1958" spans="1:28" x14ac:dyDescent="0.25">
      <c r="A1958" s="16">
        <f>OrdersTable!A1958</f>
        <v>232</v>
      </c>
      <c r="B1958" s="15" t="str">
        <f t="shared" si="661"/>
        <v>Mrs</v>
      </c>
      <c r="C1958" s="15" t="str">
        <f t="shared" si="682"/>
        <v>Bishop</v>
      </c>
      <c r="D1958" s="15" t="str">
        <f t="shared" si="662"/>
        <v>Katherine Marie</v>
      </c>
      <c r="E1958" s="15" t="str">
        <f t="shared" si="663"/>
        <v>19 Whitehorn Circuit</v>
      </c>
      <c r="F1958" s="15" t="str">
        <f t="shared" si="664"/>
        <v>Black Hills</v>
      </c>
      <c r="G1958" s="15" t="str">
        <f t="shared" si="665"/>
        <v>TAS</v>
      </c>
      <c r="H1958" s="15">
        <f t="shared" si="666"/>
        <v>7140</v>
      </c>
      <c r="I1958" s="15">
        <f t="shared" si="677"/>
        <v>2191</v>
      </c>
      <c r="J1958" s="15">
        <f>OrdersTable!B1958</f>
        <v>709</v>
      </c>
      <c r="K1958" s="15" t="str">
        <f t="shared" si="667"/>
        <v>Posters, Prints and Standees</v>
      </c>
      <c r="L1958" s="15" t="str">
        <f t="shared" si="668"/>
        <v>Doctor Who: Poster: Metallic TARDIS</v>
      </c>
      <c r="M1958" s="15" t="str">
        <f t="shared" si="669"/>
        <v>-</v>
      </c>
      <c r="N1958" s="15">
        <f t="shared" si="670"/>
        <v>0.2</v>
      </c>
      <c r="O1958" s="15" t="str">
        <f t="shared" si="671"/>
        <v>A10</v>
      </c>
      <c r="P1958" s="15" t="str">
        <f t="shared" si="672"/>
        <v>Gallifrey International</v>
      </c>
      <c r="Q1958" s="15" t="str">
        <f t="shared" si="673"/>
        <v>181 Arcadia Street</v>
      </c>
      <c r="R1958" s="3">
        <f>OrdersTable!C1958</f>
        <v>44701</v>
      </c>
      <c r="S1958" s="15">
        <f>OrdersTable!E1958</f>
        <v>7</v>
      </c>
      <c r="T1958" s="15">
        <f t="shared" si="674"/>
        <v>3.99</v>
      </c>
      <c r="U1958" s="15">
        <f t="shared" si="675"/>
        <v>5.71</v>
      </c>
      <c r="V1958" s="15">
        <f t="shared" si="676"/>
        <v>6.46</v>
      </c>
      <c r="W1958" s="15">
        <f>IF(MarkupType="Store Markup",ROUND(V1958+V1958*StoreMarkup,2),IF(MarkupType="Supplier Markup",V1958+V1958*SupplierMarkup,"Error at finding value"))</f>
        <v>10.17</v>
      </c>
      <c r="X1958" s="32" t="str">
        <f t="shared" si="678"/>
        <v>0.00</v>
      </c>
      <c r="Y1958" s="15">
        <f t="shared" si="679"/>
        <v>45.22</v>
      </c>
      <c r="Z1958" s="15">
        <f t="shared" si="680"/>
        <v>71.19</v>
      </c>
      <c r="AA1958" s="15">
        <f>IF(FreightType="Lethbridge-Stewart Freight ",ROUND(2.99+IF(N1958&gt;0.75,(N1958-0.75)*2.25,0)*S1958,2),IF(MarkupType="Supplier Markup",V1958+V1958*SupplierMarkup,"Error at finding value"))</f>
        <v>2.99</v>
      </c>
      <c r="AB1958" s="15">
        <f t="shared" si="681"/>
        <v>0</v>
      </c>
    </row>
    <row r="1959" spans="1:28" x14ac:dyDescent="0.25">
      <c r="A1959" s="16">
        <f>OrdersTable!A1959</f>
        <v>585</v>
      </c>
      <c r="B1959" s="15" t="str">
        <f t="shared" si="661"/>
        <v>Miss</v>
      </c>
      <c r="C1959" s="15" t="str">
        <f t="shared" si="682"/>
        <v>Long</v>
      </c>
      <c r="D1959" s="15" t="str">
        <f t="shared" si="662"/>
        <v>Bellinda May</v>
      </c>
      <c r="E1959" s="15" t="str">
        <f t="shared" si="663"/>
        <v>5 Hutcheson Avenue</v>
      </c>
      <c r="F1959" s="15" t="str">
        <f t="shared" si="664"/>
        <v>Glenfern</v>
      </c>
      <c r="G1959" s="15" t="str">
        <f t="shared" si="665"/>
        <v>QLD</v>
      </c>
      <c r="H1959" s="15">
        <f t="shared" si="666"/>
        <v>4515</v>
      </c>
      <c r="I1959" s="15">
        <f t="shared" si="677"/>
        <v>128</v>
      </c>
      <c r="J1959" s="15">
        <f>OrdersTable!B1959</f>
        <v>758</v>
      </c>
      <c r="K1959" s="15" t="str">
        <f t="shared" si="667"/>
        <v>Statues and Busts</v>
      </c>
      <c r="L1959" s="15" t="str">
        <f t="shared" si="668"/>
        <v>Doctor Who: Helmet: Sontaran Officer Linx</v>
      </c>
      <c r="M1959" s="15" t="str">
        <f t="shared" si="669"/>
        <v>-</v>
      </c>
      <c r="N1959" s="15">
        <f t="shared" si="670"/>
        <v>1.75</v>
      </c>
      <c r="O1959" s="15" t="str">
        <f t="shared" si="671"/>
        <v>A50</v>
      </c>
      <c r="P1959" s="15" t="str">
        <f t="shared" si="672"/>
        <v>Rassilon Ltd.</v>
      </c>
      <c r="Q1959" s="15" t="str">
        <f t="shared" si="673"/>
        <v>82 Richard Mathews Road</v>
      </c>
      <c r="R1959" s="3">
        <f>OrdersTable!C1959</f>
        <v>44701</v>
      </c>
      <c r="S1959" s="15">
        <f>OrdersTable!E1959</f>
        <v>5</v>
      </c>
      <c r="T1959" s="15">
        <f t="shared" si="674"/>
        <v>34.99</v>
      </c>
      <c r="U1959" s="15">
        <f t="shared" si="675"/>
        <v>47.79</v>
      </c>
      <c r="V1959" s="15">
        <f t="shared" si="676"/>
        <v>56.68</v>
      </c>
      <c r="W1959" s="15">
        <f>IF(MarkupType="Store Markup",ROUND(V1959+V1959*StoreMarkup,2),IF(MarkupType="Supplier Markup",V1959+V1959*SupplierMarkup,"Error at finding value"))</f>
        <v>89.27</v>
      </c>
      <c r="X1959" s="32" t="str">
        <f t="shared" si="678"/>
        <v>0.00</v>
      </c>
      <c r="Y1959" s="15">
        <f t="shared" si="679"/>
        <v>283.39999999999998</v>
      </c>
      <c r="Z1959" s="15">
        <f t="shared" si="680"/>
        <v>446.35</v>
      </c>
      <c r="AA1959" s="15">
        <f>IF(FreightType="Lethbridge-Stewart Freight ",ROUND(2.99+IF(N1959&gt;0.75,(N1959-0.75)*2.25,0)*S1959,2),IF(MarkupType="Supplier Markup",V1959+V1959*SupplierMarkup,"Error at finding value"))</f>
        <v>14.24</v>
      </c>
      <c r="AB1959" s="15">
        <f t="shared" si="681"/>
        <v>0</v>
      </c>
    </row>
    <row r="1960" spans="1:28" x14ac:dyDescent="0.25">
      <c r="A1960" s="16">
        <f>OrdersTable!A1960</f>
        <v>600</v>
      </c>
      <c r="B1960" s="15" t="str">
        <f t="shared" si="661"/>
        <v>Dr</v>
      </c>
      <c r="C1960" s="15" t="str">
        <f t="shared" si="682"/>
        <v>McConnell</v>
      </c>
      <c r="D1960" s="15" t="str">
        <f t="shared" si="662"/>
        <v>Hannah Clair</v>
      </c>
      <c r="E1960" s="15" t="str">
        <f t="shared" si="663"/>
        <v>27 Mccarthy Circuit</v>
      </c>
      <c r="F1960" s="15" t="str">
        <f t="shared" si="664"/>
        <v>Ashford</v>
      </c>
      <c r="G1960" s="15" t="str">
        <f t="shared" si="665"/>
        <v>SA</v>
      </c>
      <c r="H1960" s="15">
        <f t="shared" si="666"/>
        <v>5035</v>
      </c>
      <c r="I1960" s="15">
        <f t="shared" si="677"/>
        <v>1877</v>
      </c>
      <c r="J1960" s="15">
        <f>OrdersTable!B1960</f>
        <v>817</v>
      </c>
      <c r="K1960" s="15" t="str">
        <f t="shared" si="667"/>
        <v>Statues and Busts</v>
      </c>
      <c r="L1960" s="15" t="str">
        <f t="shared" si="668"/>
        <v>Doctor Who: Masterpiece Collection Maxi Bust: Torchwood Captain Jack Harkness</v>
      </c>
      <c r="M1960" s="15" t="str">
        <f t="shared" si="669"/>
        <v>-</v>
      </c>
      <c r="N1960" s="15">
        <f t="shared" si="670"/>
        <v>2.5</v>
      </c>
      <c r="O1960" s="15" t="str">
        <f t="shared" si="671"/>
        <v>A10</v>
      </c>
      <c r="P1960" s="15" t="str">
        <f t="shared" si="672"/>
        <v>Gallifrey International</v>
      </c>
      <c r="Q1960" s="15" t="str">
        <f t="shared" si="673"/>
        <v>181 Arcadia Street</v>
      </c>
      <c r="R1960" s="3">
        <f>OrdersTable!C1960</f>
        <v>44701</v>
      </c>
      <c r="S1960" s="15">
        <f>OrdersTable!E1960</f>
        <v>9</v>
      </c>
      <c r="T1960" s="15">
        <f t="shared" si="674"/>
        <v>49.99</v>
      </c>
      <c r="U1960" s="15">
        <f t="shared" si="675"/>
        <v>68.44</v>
      </c>
      <c r="V1960" s="15">
        <f t="shared" si="676"/>
        <v>80.98</v>
      </c>
      <c r="W1960" s="15">
        <f>IF(MarkupType="Store Markup",ROUND(V1960+V1960*StoreMarkup,2),IF(MarkupType="Supplier Markup",V1960+V1960*SupplierMarkup,"Error at finding value"))</f>
        <v>127.54</v>
      </c>
      <c r="X1960" s="32">
        <f t="shared" si="678"/>
        <v>9.09</v>
      </c>
      <c r="Y1960" s="15">
        <f t="shared" si="679"/>
        <v>728.82</v>
      </c>
      <c r="Z1960" s="15">
        <f t="shared" si="680"/>
        <v>1066.05</v>
      </c>
      <c r="AA1960" s="15">
        <f>IF(FreightType="Lethbridge-Stewart Freight ",ROUND(2.99+IF(N1960&gt;0.75,(N1960-0.75)*2.25,0)*S1960,2),IF(MarkupType="Supplier Markup",V1960+V1960*SupplierMarkup,"Error at finding value"))</f>
        <v>38.43</v>
      </c>
      <c r="AB1960" s="15">
        <f t="shared" si="681"/>
        <v>81.81</v>
      </c>
    </row>
    <row r="1961" spans="1:28" x14ac:dyDescent="0.25">
      <c r="A1961" s="16">
        <f>OrdersTable!A1961</f>
        <v>602</v>
      </c>
      <c r="B1961" s="15" t="str">
        <f t="shared" si="661"/>
        <v>Mr</v>
      </c>
      <c r="C1961" s="15" t="str">
        <f t="shared" si="682"/>
        <v>Spinelli</v>
      </c>
      <c r="D1961" s="15" t="str">
        <f t="shared" si="662"/>
        <v>Paul Walter</v>
      </c>
      <c r="E1961" s="15" t="str">
        <f t="shared" si="663"/>
        <v>35 Azar Drive</v>
      </c>
      <c r="F1961" s="15" t="str">
        <f t="shared" si="664"/>
        <v>Bray Park</v>
      </c>
      <c r="G1961" s="15" t="str">
        <f t="shared" si="665"/>
        <v>QLD</v>
      </c>
      <c r="H1961" s="15">
        <f t="shared" si="666"/>
        <v>4500</v>
      </c>
      <c r="I1961" s="15">
        <f t="shared" si="677"/>
        <v>139</v>
      </c>
      <c r="J1961" s="15">
        <f>OrdersTable!B1961</f>
        <v>331</v>
      </c>
      <c r="K1961" s="15" t="str">
        <f t="shared" si="667"/>
        <v>Clothing and Apparel</v>
      </c>
      <c r="L1961" s="15" t="str">
        <f t="shared" si="668"/>
        <v xml:space="preserve">Doctor Who: T-Shirts: 4th Doctor Costume </v>
      </c>
      <c r="M1961" s="15" t="str">
        <f t="shared" si="669"/>
        <v>L</v>
      </c>
      <c r="N1961" s="15">
        <f t="shared" si="670"/>
        <v>0.8</v>
      </c>
      <c r="O1961" s="15" t="str">
        <f t="shared" si="671"/>
        <v>A20</v>
      </c>
      <c r="P1961" s="15" t="str">
        <f t="shared" si="672"/>
        <v>Morbius Inc.</v>
      </c>
      <c r="Q1961" s="15" t="str">
        <f t="shared" si="673"/>
        <v>56 Michael Spice Hwy</v>
      </c>
      <c r="R1961" s="3">
        <f>OrdersTable!C1961</f>
        <v>44701</v>
      </c>
      <c r="S1961" s="15">
        <f>OrdersTable!E1961</f>
        <v>10</v>
      </c>
      <c r="T1961" s="15">
        <f t="shared" si="674"/>
        <v>15.99</v>
      </c>
      <c r="U1961" s="15">
        <f t="shared" si="675"/>
        <v>22.08</v>
      </c>
      <c r="V1961" s="15">
        <f t="shared" si="676"/>
        <v>25.9</v>
      </c>
      <c r="W1961" s="15">
        <f>IF(MarkupType="Store Markup",ROUND(V1961+V1961*StoreMarkup,2),IF(MarkupType="Supplier Markup",V1961+V1961*SupplierMarkup,"Error at finding value"))</f>
        <v>40.79</v>
      </c>
      <c r="X1961" s="32" t="str">
        <f t="shared" si="678"/>
        <v>0.00</v>
      </c>
      <c r="Y1961" s="15">
        <f t="shared" si="679"/>
        <v>259</v>
      </c>
      <c r="Z1961" s="15">
        <f t="shared" si="680"/>
        <v>407.9</v>
      </c>
      <c r="AA1961" s="15">
        <f>IF(FreightType="Lethbridge-Stewart Freight ",ROUND(2.99+IF(N1961&gt;0.75,(N1961-0.75)*2.25,0)*S1961,2),IF(MarkupType="Supplier Markup",V1961+V1961*SupplierMarkup,"Error at finding value"))</f>
        <v>4.12</v>
      </c>
      <c r="AB1961" s="15">
        <f t="shared" si="681"/>
        <v>0</v>
      </c>
    </row>
    <row r="1962" spans="1:28" x14ac:dyDescent="0.25">
      <c r="A1962" s="16">
        <f>OrdersTable!A1962</f>
        <v>643</v>
      </c>
      <c r="B1962" s="15" t="str">
        <f t="shared" si="661"/>
        <v>Ms</v>
      </c>
      <c r="C1962" s="15" t="str">
        <f t="shared" si="682"/>
        <v>Crispin-Purcell</v>
      </c>
      <c r="D1962" s="15" t="str">
        <f t="shared" si="662"/>
        <v>Gabriellen Elizabeth</v>
      </c>
      <c r="E1962" s="15" t="str">
        <f t="shared" si="663"/>
        <v>12 Williams Road</v>
      </c>
      <c r="F1962" s="15" t="str">
        <f t="shared" si="664"/>
        <v>Appletree Flat</v>
      </c>
      <c r="G1962" s="15" t="str">
        <f t="shared" si="665"/>
        <v>NSW</v>
      </c>
      <c r="H1962" s="15">
        <f t="shared" si="666"/>
        <v>2330</v>
      </c>
      <c r="I1962" s="15">
        <f t="shared" si="677"/>
        <v>691</v>
      </c>
      <c r="J1962" s="15">
        <f>OrdersTable!B1962</f>
        <v>583</v>
      </c>
      <c r="K1962" s="15" t="str">
        <f t="shared" si="667"/>
        <v>iPhone Skins</v>
      </c>
      <c r="L1962" s="15" t="str">
        <f t="shared" si="668"/>
        <v>Doctor Who: iPhone Skin: Cyberman Delete</v>
      </c>
      <c r="M1962" s="15" t="str">
        <f t="shared" si="669"/>
        <v>-</v>
      </c>
      <c r="N1962" s="15">
        <f t="shared" si="670"/>
        <v>0.3</v>
      </c>
      <c r="O1962" s="15" t="str">
        <f t="shared" si="671"/>
        <v>A50</v>
      </c>
      <c r="P1962" s="15" t="str">
        <f t="shared" si="672"/>
        <v>Rassilon Ltd.</v>
      </c>
      <c r="Q1962" s="15" t="str">
        <f t="shared" si="673"/>
        <v>82 Richard Mathews Road</v>
      </c>
      <c r="R1962" s="3">
        <f>OrdersTable!C1962</f>
        <v>44701</v>
      </c>
      <c r="S1962" s="15">
        <f>OrdersTable!E1962</f>
        <v>3</v>
      </c>
      <c r="T1962" s="15">
        <f t="shared" si="674"/>
        <v>5.99</v>
      </c>
      <c r="U1962" s="15">
        <f t="shared" si="675"/>
        <v>8.23</v>
      </c>
      <c r="V1962" s="15">
        <f t="shared" si="676"/>
        <v>9.6999999999999993</v>
      </c>
      <c r="W1962" s="15">
        <f>IF(MarkupType="Store Markup",ROUND(V1962+V1962*StoreMarkup,2),IF(MarkupType="Supplier Markup",V1962+V1962*SupplierMarkup,"Error at finding value"))</f>
        <v>15.28</v>
      </c>
      <c r="X1962" s="32" t="str">
        <f t="shared" si="678"/>
        <v>0.00</v>
      </c>
      <c r="Y1962" s="15">
        <f t="shared" si="679"/>
        <v>29.1</v>
      </c>
      <c r="Z1962" s="15">
        <f t="shared" si="680"/>
        <v>45.84</v>
      </c>
      <c r="AA1962" s="15">
        <f>IF(FreightType="Lethbridge-Stewart Freight ",ROUND(2.99+IF(N1962&gt;0.75,(N1962-0.75)*2.25,0)*S1962,2),IF(MarkupType="Supplier Markup",V1962+V1962*SupplierMarkup,"Error at finding value"))</f>
        <v>2.99</v>
      </c>
      <c r="AB1962" s="15">
        <f t="shared" si="681"/>
        <v>0</v>
      </c>
    </row>
    <row r="1963" spans="1:28" x14ac:dyDescent="0.25">
      <c r="A1963" s="16">
        <f>OrdersTable!A1963</f>
        <v>961</v>
      </c>
      <c r="B1963" s="15" t="str">
        <f t="shared" si="661"/>
        <v>Ms</v>
      </c>
      <c r="C1963" s="15" t="str">
        <f t="shared" si="682"/>
        <v>Schuh</v>
      </c>
      <c r="D1963" s="15" t="str">
        <f t="shared" si="662"/>
        <v>Rebecca Anne</v>
      </c>
      <c r="E1963" s="15" t="str">
        <f t="shared" si="663"/>
        <v>48 Wilson Court</v>
      </c>
      <c r="F1963" s="15" t="str">
        <f t="shared" si="664"/>
        <v>Breakwater</v>
      </c>
      <c r="G1963" s="15" t="str">
        <f t="shared" si="665"/>
        <v>VIC</v>
      </c>
      <c r="H1963" s="15">
        <f t="shared" si="666"/>
        <v>3219</v>
      </c>
      <c r="I1963" s="15">
        <f t="shared" si="677"/>
        <v>1596</v>
      </c>
      <c r="J1963" s="15">
        <f>OrdersTable!B1963</f>
        <v>239</v>
      </c>
      <c r="K1963" s="15" t="str">
        <f t="shared" si="667"/>
        <v>Clothing and Apparel</v>
      </c>
      <c r="L1963" s="15" t="str">
        <f t="shared" si="668"/>
        <v>Doctor Who: Men's Winter Pyjamas</v>
      </c>
      <c r="M1963" s="15" t="str">
        <f t="shared" si="669"/>
        <v>L</v>
      </c>
      <c r="N1963" s="15">
        <f t="shared" si="670"/>
        <v>1.5</v>
      </c>
      <c r="O1963" s="15" t="str">
        <f t="shared" si="671"/>
        <v>A10</v>
      </c>
      <c r="P1963" s="15" t="str">
        <f t="shared" si="672"/>
        <v>Gallifrey International</v>
      </c>
      <c r="Q1963" s="15" t="str">
        <f t="shared" si="673"/>
        <v>181 Arcadia Street</v>
      </c>
      <c r="R1963" s="3">
        <f>OrdersTable!C1963</f>
        <v>44701</v>
      </c>
      <c r="S1963" s="15">
        <f>OrdersTable!E1963</f>
        <v>5</v>
      </c>
      <c r="T1963" s="15">
        <f t="shared" si="674"/>
        <v>29.99</v>
      </c>
      <c r="U1963" s="15">
        <f t="shared" si="675"/>
        <v>41.23</v>
      </c>
      <c r="V1963" s="15">
        <f t="shared" si="676"/>
        <v>48.58</v>
      </c>
      <c r="W1963" s="15">
        <f>IF(MarkupType="Store Markup",ROUND(V1963+V1963*StoreMarkup,2),IF(MarkupType="Supplier Markup",V1963+V1963*SupplierMarkup,"Error at finding value"))</f>
        <v>76.510000000000005</v>
      </c>
      <c r="X1963" s="32" t="str">
        <f t="shared" si="678"/>
        <v>0.00</v>
      </c>
      <c r="Y1963" s="15">
        <f t="shared" si="679"/>
        <v>242.9</v>
      </c>
      <c r="Z1963" s="15">
        <f t="shared" si="680"/>
        <v>382.55</v>
      </c>
      <c r="AA1963" s="15">
        <f>IF(FreightType="Lethbridge-Stewart Freight ",ROUND(2.99+IF(N1963&gt;0.75,(N1963-0.75)*2.25,0)*S1963,2),IF(MarkupType="Supplier Markup",V1963+V1963*SupplierMarkup,"Error at finding value"))</f>
        <v>11.43</v>
      </c>
      <c r="AB1963" s="15">
        <f t="shared" si="681"/>
        <v>0</v>
      </c>
    </row>
    <row r="1964" spans="1:28" x14ac:dyDescent="0.25">
      <c r="A1964" s="16">
        <f>OrdersTable!A1964</f>
        <v>961</v>
      </c>
      <c r="B1964" s="15" t="str">
        <f t="shared" si="661"/>
        <v>Ms</v>
      </c>
      <c r="C1964" s="15" t="str">
        <f t="shared" si="682"/>
        <v>Schuh</v>
      </c>
      <c r="D1964" s="15" t="str">
        <f t="shared" si="662"/>
        <v>Rebecca Anne</v>
      </c>
      <c r="E1964" s="15" t="str">
        <f t="shared" si="663"/>
        <v>48 Wilson Court</v>
      </c>
      <c r="F1964" s="15" t="str">
        <f t="shared" si="664"/>
        <v>Breakwater</v>
      </c>
      <c r="G1964" s="15" t="str">
        <f t="shared" si="665"/>
        <v>VIC</v>
      </c>
      <c r="H1964" s="15">
        <f t="shared" si="666"/>
        <v>3219</v>
      </c>
      <c r="I1964" s="15">
        <f t="shared" si="677"/>
        <v>1596</v>
      </c>
      <c r="J1964" s="15">
        <f>OrdersTable!B1964</f>
        <v>757</v>
      </c>
      <c r="K1964" s="15" t="str">
        <f t="shared" si="667"/>
        <v>Statues and Busts</v>
      </c>
      <c r="L1964" s="15" t="str">
        <f t="shared" si="668"/>
        <v>Doctor Who: Helmet: Ice Warrior</v>
      </c>
      <c r="M1964" s="15" t="str">
        <f t="shared" si="669"/>
        <v>-</v>
      </c>
      <c r="N1964" s="15">
        <f t="shared" si="670"/>
        <v>1.75</v>
      </c>
      <c r="O1964" s="15" t="str">
        <f t="shared" si="671"/>
        <v>A20</v>
      </c>
      <c r="P1964" s="15" t="str">
        <f t="shared" si="672"/>
        <v>Morbius Inc.</v>
      </c>
      <c r="Q1964" s="15" t="str">
        <f t="shared" si="673"/>
        <v>56 Michael Spice Hwy</v>
      </c>
      <c r="R1964" s="3">
        <f>OrdersTable!C1964</f>
        <v>44701</v>
      </c>
      <c r="S1964" s="15">
        <f>OrdersTable!E1964</f>
        <v>9</v>
      </c>
      <c r="T1964" s="15">
        <f t="shared" si="674"/>
        <v>34.99</v>
      </c>
      <c r="U1964" s="15">
        <f t="shared" si="675"/>
        <v>47.88</v>
      </c>
      <c r="V1964" s="15">
        <f t="shared" si="676"/>
        <v>56.68</v>
      </c>
      <c r="W1964" s="15">
        <f>IF(MarkupType="Store Markup",ROUND(V1964+V1964*StoreMarkup,2),IF(MarkupType="Supplier Markup",V1964+V1964*SupplierMarkup,"Error at finding value"))</f>
        <v>89.27</v>
      </c>
      <c r="X1964" s="32" t="str">
        <f t="shared" si="678"/>
        <v>0.00</v>
      </c>
      <c r="Y1964" s="15">
        <f t="shared" si="679"/>
        <v>510.12</v>
      </c>
      <c r="Z1964" s="15">
        <f t="shared" si="680"/>
        <v>803.43</v>
      </c>
      <c r="AA1964" s="15">
        <f>IF(FreightType="Lethbridge-Stewart Freight ",ROUND(2.99+IF(N1964&gt;0.75,(N1964-0.75)*2.25,0)*S1964,2),IF(MarkupType="Supplier Markup",V1964+V1964*SupplierMarkup,"Error at finding value"))</f>
        <v>23.24</v>
      </c>
      <c r="AB1964" s="15">
        <f t="shared" si="681"/>
        <v>0</v>
      </c>
    </row>
    <row r="1965" spans="1:28" x14ac:dyDescent="0.25">
      <c r="A1965" s="16">
        <f>OrdersTable!A1965</f>
        <v>22</v>
      </c>
      <c r="B1965" s="15" t="str">
        <f t="shared" si="661"/>
        <v>Mr</v>
      </c>
      <c r="C1965" s="15" t="str">
        <f t="shared" si="682"/>
        <v>Tyrrell</v>
      </c>
      <c r="D1965" s="15" t="str">
        <f t="shared" si="662"/>
        <v>Timothy James</v>
      </c>
      <c r="E1965" s="15" t="str">
        <f t="shared" si="663"/>
        <v>48 Lambourne Crescent</v>
      </c>
      <c r="F1965" s="15" t="str">
        <f t="shared" si="664"/>
        <v>Belford</v>
      </c>
      <c r="G1965" s="15" t="str">
        <f t="shared" si="665"/>
        <v>NSW</v>
      </c>
      <c r="H1965" s="15">
        <f t="shared" si="666"/>
        <v>2335</v>
      </c>
      <c r="I1965" s="15">
        <f t="shared" si="677"/>
        <v>716</v>
      </c>
      <c r="J1965" s="15">
        <f>OrdersTable!B1965</f>
        <v>341</v>
      </c>
      <c r="K1965" s="15" t="str">
        <f t="shared" si="667"/>
        <v>Clothing and Apparel</v>
      </c>
      <c r="L1965" s="15" t="str">
        <f t="shared" si="668"/>
        <v xml:space="preserve">Doctor Who: T-Shirts: 4th Doctor Costume </v>
      </c>
      <c r="M1965" s="15" t="str">
        <f t="shared" si="669"/>
        <v>XL</v>
      </c>
      <c r="N1965" s="15">
        <f t="shared" si="670"/>
        <v>0.8</v>
      </c>
      <c r="O1965" s="15" t="str">
        <f t="shared" si="671"/>
        <v>A20</v>
      </c>
      <c r="P1965" s="15" t="str">
        <f t="shared" si="672"/>
        <v>Morbius Inc.</v>
      </c>
      <c r="Q1965" s="15" t="str">
        <f t="shared" si="673"/>
        <v>56 Michael Spice Hwy</v>
      </c>
      <c r="R1965" s="3">
        <f>OrdersTable!C1965</f>
        <v>44702</v>
      </c>
      <c r="S1965" s="15">
        <f>OrdersTable!E1965</f>
        <v>5</v>
      </c>
      <c r="T1965" s="15">
        <f t="shared" si="674"/>
        <v>15.99</v>
      </c>
      <c r="U1965" s="15">
        <f t="shared" si="675"/>
        <v>22.05</v>
      </c>
      <c r="V1965" s="15">
        <f t="shared" si="676"/>
        <v>25.9</v>
      </c>
      <c r="W1965" s="15">
        <f>IF(MarkupType="Store Markup",ROUND(V1965+V1965*StoreMarkup,2),IF(MarkupType="Supplier Markup",V1965+V1965*SupplierMarkup,"Error at finding value"))</f>
        <v>40.79</v>
      </c>
      <c r="X1965" s="32" t="str">
        <f t="shared" si="678"/>
        <v>0.00</v>
      </c>
      <c r="Y1965" s="15">
        <f t="shared" si="679"/>
        <v>129.5</v>
      </c>
      <c r="Z1965" s="15">
        <f t="shared" si="680"/>
        <v>203.95</v>
      </c>
      <c r="AA1965" s="15">
        <f>IF(FreightType="Lethbridge-Stewart Freight ",ROUND(2.99+IF(N1965&gt;0.75,(N1965-0.75)*2.25,0)*S1965,2),IF(MarkupType="Supplier Markup",V1965+V1965*SupplierMarkup,"Error at finding value"))</f>
        <v>3.55</v>
      </c>
      <c r="AB1965" s="15">
        <f t="shared" si="681"/>
        <v>0</v>
      </c>
    </row>
    <row r="1966" spans="1:28" x14ac:dyDescent="0.25">
      <c r="A1966" s="16">
        <f>OrdersTable!A1966</f>
        <v>47</v>
      </c>
      <c r="B1966" s="15" t="str">
        <f t="shared" si="661"/>
        <v>Dr</v>
      </c>
      <c r="C1966" s="15" t="str">
        <f t="shared" si="682"/>
        <v>Kaur</v>
      </c>
      <c r="D1966" s="15" t="str">
        <f t="shared" si="662"/>
        <v>Jasleen</v>
      </c>
      <c r="E1966" s="15" t="str">
        <f t="shared" si="663"/>
        <v>7 Hong Road</v>
      </c>
      <c r="F1966" s="15" t="str">
        <f t="shared" si="664"/>
        <v>Belconnen</v>
      </c>
      <c r="G1966" s="15" t="str">
        <f t="shared" si="665"/>
        <v>ACT</v>
      </c>
      <c r="H1966" s="15">
        <f t="shared" si="666"/>
        <v>2617</v>
      </c>
      <c r="I1966" s="15">
        <f t="shared" si="677"/>
        <v>1194</v>
      </c>
      <c r="J1966" s="15">
        <f>OrdersTable!B1966</f>
        <v>698</v>
      </c>
      <c r="K1966" s="15" t="str">
        <f t="shared" si="667"/>
        <v>Posters, Prints and Standees</v>
      </c>
      <c r="L1966" s="15" t="str">
        <f t="shared" si="668"/>
        <v>Doctor Who: Art Print: My Mysterious Doctor</v>
      </c>
      <c r="M1966" s="15" t="str">
        <f t="shared" si="669"/>
        <v>-</v>
      </c>
      <c r="N1966" s="15">
        <f t="shared" si="670"/>
        <v>0.75</v>
      </c>
      <c r="O1966" s="15" t="str">
        <f t="shared" si="671"/>
        <v>A30</v>
      </c>
      <c r="P1966" s="15" t="str">
        <f t="shared" si="672"/>
        <v>Chesterton Enterprises</v>
      </c>
      <c r="Q1966" s="15" t="str">
        <f t="shared" si="673"/>
        <v>41 William Russell Road</v>
      </c>
      <c r="R1966" s="3">
        <f>OrdersTable!C1966</f>
        <v>44702</v>
      </c>
      <c r="S1966" s="15">
        <f>OrdersTable!E1966</f>
        <v>8</v>
      </c>
      <c r="T1966" s="15">
        <f t="shared" si="674"/>
        <v>14.99</v>
      </c>
      <c r="U1966" s="15">
        <f t="shared" si="675"/>
        <v>20.56</v>
      </c>
      <c r="V1966" s="15">
        <f t="shared" si="676"/>
        <v>24.28</v>
      </c>
      <c r="W1966" s="15">
        <f>IF(MarkupType="Store Markup",ROUND(V1966+V1966*StoreMarkup,2),IF(MarkupType="Supplier Markup",V1966+V1966*SupplierMarkup,"Error at finding value"))</f>
        <v>38.24</v>
      </c>
      <c r="X1966" s="32" t="str">
        <f t="shared" si="678"/>
        <v>0.00</v>
      </c>
      <c r="Y1966" s="15">
        <f t="shared" si="679"/>
        <v>194.24</v>
      </c>
      <c r="Z1966" s="15">
        <f t="shared" si="680"/>
        <v>305.92</v>
      </c>
      <c r="AA1966" s="15">
        <f>IF(FreightType="Lethbridge-Stewart Freight ",ROUND(2.99+IF(N1966&gt;0.75,(N1966-0.75)*2.25,0)*S1966,2),IF(MarkupType="Supplier Markup",V1966+V1966*SupplierMarkup,"Error at finding value"))</f>
        <v>2.99</v>
      </c>
      <c r="AB1966" s="15">
        <f t="shared" si="681"/>
        <v>0</v>
      </c>
    </row>
    <row r="1967" spans="1:28" x14ac:dyDescent="0.25">
      <c r="A1967" s="16">
        <f>OrdersTable!A1967</f>
        <v>55</v>
      </c>
      <c r="B1967" s="15" t="str">
        <f t="shared" si="661"/>
        <v>Mr</v>
      </c>
      <c r="C1967" s="15" t="str">
        <f t="shared" si="682"/>
        <v>Myers</v>
      </c>
      <c r="D1967" s="15" t="str">
        <f t="shared" si="662"/>
        <v>Luke Charles</v>
      </c>
      <c r="E1967" s="15" t="str">
        <f t="shared" si="663"/>
        <v>25 Penrose Street</v>
      </c>
      <c r="F1967" s="15" t="str">
        <f t="shared" si="664"/>
        <v>Black Hills</v>
      </c>
      <c r="G1967" s="15" t="str">
        <f t="shared" si="665"/>
        <v>TAS</v>
      </c>
      <c r="H1967" s="15">
        <f t="shared" si="666"/>
        <v>7140</v>
      </c>
      <c r="I1967" s="15">
        <f t="shared" si="677"/>
        <v>2191</v>
      </c>
      <c r="J1967" s="15">
        <f>OrdersTable!B1967</f>
        <v>377</v>
      </c>
      <c r="K1967" s="15" t="str">
        <f t="shared" si="667"/>
        <v>Clothing and Apparel</v>
      </c>
      <c r="L1967" s="15" t="str">
        <f t="shared" si="668"/>
        <v xml:space="preserve">Doctor Who: T-Shirts: 7th Doctor Costume </v>
      </c>
      <c r="M1967" s="15" t="str">
        <f t="shared" si="669"/>
        <v>M</v>
      </c>
      <c r="N1967" s="15">
        <f t="shared" si="670"/>
        <v>0.8</v>
      </c>
      <c r="O1967" s="15" t="str">
        <f t="shared" si="671"/>
        <v>A40</v>
      </c>
      <c r="P1967" s="15" t="str">
        <f t="shared" si="672"/>
        <v>Romana Imports</v>
      </c>
      <c r="Q1967" s="15" t="str">
        <f t="shared" si="673"/>
        <v>17 Lalla Ward Road</v>
      </c>
      <c r="R1967" s="3">
        <f>OrdersTable!C1967</f>
        <v>44702</v>
      </c>
      <c r="S1967" s="15">
        <f>OrdersTable!E1967</f>
        <v>6</v>
      </c>
      <c r="T1967" s="15">
        <f t="shared" si="674"/>
        <v>15.99</v>
      </c>
      <c r="U1967" s="15">
        <f t="shared" si="675"/>
        <v>21.95</v>
      </c>
      <c r="V1967" s="15">
        <f t="shared" si="676"/>
        <v>25.9</v>
      </c>
      <c r="W1967" s="15">
        <f>IF(MarkupType="Store Markup",ROUND(V1967+V1967*StoreMarkup,2),IF(MarkupType="Supplier Markup",V1967+V1967*SupplierMarkup,"Error at finding value"))</f>
        <v>40.79</v>
      </c>
      <c r="X1967" s="32" t="str">
        <f t="shared" si="678"/>
        <v>0.00</v>
      </c>
      <c r="Y1967" s="15">
        <f t="shared" si="679"/>
        <v>155.4</v>
      </c>
      <c r="Z1967" s="15">
        <f t="shared" si="680"/>
        <v>244.74</v>
      </c>
      <c r="AA1967" s="15">
        <f>IF(FreightType="Lethbridge-Stewart Freight ",ROUND(2.99+IF(N1967&gt;0.75,(N1967-0.75)*2.25,0)*S1967,2),IF(MarkupType="Supplier Markup",V1967+V1967*SupplierMarkup,"Error at finding value"))</f>
        <v>3.67</v>
      </c>
      <c r="AB1967" s="15">
        <f t="shared" si="681"/>
        <v>0</v>
      </c>
    </row>
    <row r="1968" spans="1:28" x14ac:dyDescent="0.25">
      <c r="A1968" s="16">
        <f>OrdersTable!A1968</f>
        <v>285</v>
      </c>
      <c r="B1968" s="15" t="str">
        <f t="shared" si="661"/>
        <v>Mr</v>
      </c>
      <c r="C1968" s="15" t="str">
        <f t="shared" si="682"/>
        <v>Temple Morgan</v>
      </c>
      <c r="D1968" s="15" t="str">
        <f t="shared" si="662"/>
        <v>Mathew Peter</v>
      </c>
      <c r="E1968" s="15" t="str">
        <f t="shared" si="663"/>
        <v>19 Tansky Court</v>
      </c>
      <c r="F1968" s="15" t="str">
        <f t="shared" si="664"/>
        <v>Belford</v>
      </c>
      <c r="G1968" s="15" t="str">
        <f t="shared" si="665"/>
        <v>NSW</v>
      </c>
      <c r="H1968" s="15">
        <f t="shared" si="666"/>
        <v>2335</v>
      </c>
      <c r="I1968" s="15">
        <f t="shared" si="677"/>
        <v>716</v>
      </c>
      <c r="J1968" s="15">
        <f>OrdersTable!B1968</f>
        <v>330</v>
      </c>
      <c r="K1968" s="15" t="str">
        <f t="shared" si="667"/>
        <v>Clothing and Apparel</v>
      </c>
      <c r="L1968" s="15" t="str">
        <f t="shared" si="668"/>
        <v xml:space="preserve">Doctor Who: T-Shirts: 4th Doctor Costume </v>
      </c>
      <c r="M1968" s="15" t="str">
        <f t="shared" si="669"/>
        <v>M</v>
      </c>
      <c r="N1968" s="15">
        <f t="shared" si="670"/>
        <v>0.8</v>
      </c>
      <c r="O1968" s="15" t="str">
        <f t="shared" si="671"/>
        <v>A20</v>
      </c>
      <c r="P1968" s="15" t="str">
        <f t="shared" si="672"/>
        <v>Morbius Inc.</v>
      </c>
      <c r="Q1968" s="15" t="str">
        <f t="shared" si="673"/>
        <v>56 Michael Spice Hwy</v>
      </c>
      <c r="R1968" s="3">
        <f>OrdersTable!C1968</f>
        <v>44702</v>
      </c>
      <c r="S1968" s="15">
        <f>OrdersTable!E1968</f>
        <v>7</v>
      </c>
      <c r="T1968" s="15">
        <f t="shared" si="674"/>
        <v>15.99</v>
      </c>
      <c r="U1968" s="15">
        <f t="shared" si="675"/>
        <v>22.03</v>
      </c>
      <c r="V1968" s="15">
        <f t="shared" si="676"/>
        <v>25.9</v>
      </c>
      <c r="W1968" s="15">
        <f>IF(MarkupType="Store Markup",ROUND(V1968+V1968*StoreMarkup,2),IF(MarkupType="Supplier Markup",V1968+V1968*SupplierMarkup,"Error at finding value"))</f>
        <v>40.79</v>
      </c>
      <c r="X1968" s="32" t="str">
        <f t="shared" si="678"/>
        <v>0.00</v>
      </c>
      <c r="Y1968" s="15">
        <f t="shared" si="679"/>
        <v>181.3</v>
      </c>
      <c r="Z1968" s="15">
        <f t="shared" si="680"/>
        <v>285.52999999999997</v>
      </c>
      <c r="AA1968" s="15">
        <f>IF(FreightType="Lethbridge-Stewart Freight ",ROUND(2.99+IF(N1968&gt;0.75,(N1968-0.75)*2.25,0)*S1968,2),IF(MarkupType="Supplier Markup",V1968+V1968*SupplierMarkup,"Error at finding value"))</f>
        <v>3.78</v>
      </c>
      <c r="AB1968" s="15">
        <f t="shared" si="681"/>
        <v>0</v>
      </c>
    </row>
    <row r="1969" spans="1:28" x14ac:dyDescent="0.25">
      <c r="A1969" s="16">
        <f>OrdersTable!A1969</f>
        <v>285</v>
      </c>
      <c r="B1969" s="15" t="str">
        <f t="shared" si="661"/>
        <v>Mr</v>
      </c>
      <c r="C1969" s="15" t="str">
        <f t="shared" si="682"/>
        <v>Temple Morgan</v>
      </c>
      <c r="D1969" s="15" t="str">
        <f t="shared" si="662"/>
        <v>Mathew Peter</v>
      </c>
      <c r="E1969" s="15" t="str">
        <f t="shared" si="663"/>
        <v>19 Tansky Court</v>
      </c>
      <c r="F1969" s="15" t="str">
        <f t="shared" si="664"/>
        <v>Belford</v>
      </c>
      <c r="G1969" s="15" t="str">
        <f t="shared" si="665"/>
        <v>NSW</v>
      </c>
      <c r="H1969" s="15">
        <f t="shared" si="666"/>
        <v>2335</v>
      </c>
      <c r="I1969" s="15">
        <f t="shared" si="677"/>
        <v>716</v>
      </c>
      <c r="J1969" s="15">
        <f>OrdersTable!B1969</f>
        <v>778</v>
      </c>
      <c r="K1969" s="15" t="str">
        <f t="shared" si="667"/>
        <v>Statues and Busts</v>
      </c>
      <c r="L1969" s="15" t="str">
        <f t="shared" si="668"/>
        <v>Doctor Who: Legends Forever Bust: William Hartnell</v>
      </c>
      <c r="M1969" s="15" t="str">
        <f t="shared" si="669"/>
        <v>-</v>
      </c>
      <c r="N1969" s="15">
        <f t="shared" si="670"/>
        <v>1.375</v>
      </c>
      <c r="O1969" s="15" t="str">
        <f t="shared" si="671"/>
        <v>A40</v>
      </c>
      <c r="P1969" s="15" t="str">
        <f t="shared" si="672"/>
        <v>Romana Imports</v>
      </c>
      <c r="Q1969" s="15" t="str">
        <f t="shared" si="673"/>
        <v>17 Lalla Ward Road</v>
      </c>
      <c r="R1969" s="3">
        <f>OrdersTable!C1969</f>
        <v>44702</v>
      </c>
      <c r="S1969" s="15">
        <f>OrdersTable!E1969</f>
        <v>5</v>
      </c>
      <c r="T1969" s="15">
        <f t="shared" si="674"/>
        <v>27.5</v>
      </c>
      <c r="U1969" s="15">
        <f t="shared" si="675"/>
        <v>37.520000000000003</v>
      </c>
      <c r="V1969" s="15">
        <f t="shared" si="676"/>
        <v>44.55</v>
      </c>
      <c r="W1969" s="15">
        <f>IF(MarkupType="Store Markup",ROUND(V1969+V1969*StoreMarkup,2),IF(MarkupType="Supplier Markup",V1969+V1969*SupplierMarkup,"Error at finding value"))</f>
        <v>70.17</v>
      </c>
      <c r="X1969" s="32" t="str">
        <f t="shared" si="678"/>
        <v>0.00</v>
      </c>
      <c r="Y1969" s="15">
        <f t="shared" si="679"/>
        <v>222.75</v>
      </c>
      <c r="Z1969" s="15">
        <f t="shared" si="680"/>
        <v>350.85</v>
      </c>
      <c r="AA1969" s="15">
        <f>IF(FreightType="Lethbridge-Stewart Freight ",ROUND(2.99+IF(N1969&gt;0.75,(N1969-0.75)*2.25,0)*S1969,2),IF(MarkupType="Supplier Markup",V1969+V1969*SupplierMarkup,"Error at finding value"))</f>
        <v>10.02</v>
      </c>
      <c r="AB1969" s="15">
        <f t="shared" si="681"/>
        <v>0</v>
      </c>
    </row>
    <row r="1970" spans="1:28" x14ac:dyDescent="0.25">
      <c r="A1970" s="16">
        <f>OrdersTable!A1970</f>
        <v>362</v>
      </c>
      <c r="B1970" s="15" t="str">
        <f t="shared" si="661"/>
        <v>Mr</v>
      </c>
      <c r="C1970" s="15" t="str">
        <f t="shared" si="682"/>
        <v>Hurst</v>
      </c>
      <c r="D1970" s="15" t="str">
        <f t="shared" si="662"/>
        <v>Ralph Gregory</v>
      </c>
      <c r="E1970" s="15" t="str">
        <f t="shared" si="663"/>
        <v>45 Blakeney Road</v>
      </c>
      <c r="F1970" s="15" t="str">
        <f t="shared" si="664"/>
        <v>Iluka</v>
      </c>
      <c r="G1970" s="15" t="str">
        <f t="shared" si="665"/>
        <v>NSW</v>
      </c>
      <c r="H1970" s="15">
        <f t="shared" si="666"/>
        <v>2466</v>
      </c>
      <c r="I1970" s="15">
        <f t="shared" si="677"/>
        <v>347</v>
      </c>
      <c r="J1970" s="15">
        <f>OrdersTable!B1970</f>
        <v>543</v>
      </c>
      <c r="K1970" s="15" t="str">
        <f t="shared" si="667"/>
        <v>Giftware</v>
      </c>
      <c r="L1970" s="15" t="str">
        <f t="shared" si="668"/>
        <v>Doctor Who: Sonic Screwdriver Pen</v>
      </c>
      <c r="M1970" s="15" t="str">
        <f t="shared" si="669"/>
        <v>-</v>
      </c>
      <c r="N1970" s="15">
        <f t="shared" si="670"/>
        <v>0.65</v>
      </c>
      <c r="O1970" s="15" t="str">
        <f t="shared" si="671"/>
        <v>A20</v>
      </c>
      <c r="P1970" s="15" t="str">
        <f t="shared" si="672"/>
        <v>Morbius Inc.</v>
      </c>
      <c r="Q1970" s="15" t="str">
        <f t="shared" si="673"/>
        <v>56 Michael Spice Hwy</v>
      </c>
      <c r="R1970" s="3">
        <f>OrdersTable!C1970</f>
        <v>44702</v>
      </c>
      <c r="S1970" s="15">
        <f>OrdersTable!E1970</f>
        <v>2</v>
      </c>
      <c r="T1970" s="15">
        <f t="shared" si="674"/>
        <v>12.99</v>
      </c>
      <c r="U1970" s="15">
        <f t="shared" si="675"/>
        <v>18.02</v>
      </c>
      <c r="V1970" s="15">
        <f t="shared" si="676"/>
        <v>21.04</v>
      </c>
      <c r="W1970" s="15">
        <f>IF(MarkupType="Store Markup",ROUND(V1970+V1970*StoreMarkup,2),IF(MarkupType="Supplier Markup",V1970+V1970*SupplierMarkup,"Error at finding value"))</f>
        <v>33.14</v>
      </c>
      <c r="X1970" s="32" t="str">
        <f t="shared" si="678"/>
        <v>0.00</v>
      </c>
      <c r="Y1970" s="15">
        <f t="shared" si="679"/>
        <v>42.08</v>
      </c>
      <c r="Z1970" s="15">
        <f t="shared" si="680"/>
        <v>66.28</v>
      </c>
      <c r="AA1970" s="15">
        <f>IF(FreightType="Lethbridge-Stewart Freight ",ROUND(2.99+IF(N1970&gt;0.75,(N1970-0.75)*2.25,0)*S1970,2),IF(MarkupType="Supplier Markup",V1970+V1970*SupplierMarkup,"Error at finding value"))</f>
        <v>2.99</v>
      </c>
      <c r="AB1970" s="15">
        <f t="shared" si="681"/>
        <v>0</v>
      </c>
    </row>
    <row r="1971" spans="1:28" x14ac:dyDescent="0.25">
      <c r="A1971" s="16">
        <f>OrdersTable!A1971</f>
        <v>448</v>
      </c>
      <c r="B1971" s="15" t="str">
        <f t="shared" si="661"/>
        <v>Mr</v>
      </c>
      <c r="C1971" s="15" t="str">
        <f t="shared" si="682"/>
        <v>Earl</v>
      </c>
      <c r="D1971" s="15" t="str">
        <f t="shared" si="662"/>
        <v>Benn Robert</v>
      </c>
      <c r="E1971" s="15" t="str">
        <f t="shared" si="663"/>
        <v>31 Kae Drive</v>
      </c>
      <c r="F1971" s="15" t="str">
        <f t="shared" si="664"/>
        <v>Belford</v>
      </c>
      <c r="G1971" s="15" t="str">
        <f t="shared" si="665"/>
        <v>NSW</v>
      </c>
      <c r="H1971" s="15">
        <f t="shared" si="666"/>
        <v>2335</v>
      </c>
      <c r="I1971" s="15">
        <f t="shared" si="677"/>
        <v>716</v>
      </c>
      <c r="J1971" s="15">
        <f>OrdersTable!B1971</f>
        <v>515</v>
      </c>
      <c r="K1971" s="15" t="str">
        <f t="shared" si="667"/>
        <v>Giftware</v>
      </c>
      <c r="L1971" s="15" t="str">
        <f t="shared" si="668"/>
        <v>Doctor Who: Keyring K9</v>
      </c>
      <c r="M1971" s="15" t="str">
        <f t="shared" si="669"/>
        <v>-</v>
      </c>
      <c r="N1971" s="15">
        <f t="shared" si="670"/>
        <v>0.25</v>
      </c>
      <c r="O1971" s="15" t="str">
        <f t="shared" si="671"/>
        <v>A50</v>
      </c>
      <c r="P1971" s="15" t="str">
        <f t="shared" si="672"/>
        <v>Rassilon Ltd.</v>
      </c>
      <c r="Q1971" s="15" t="str">
        <f t="shared" si="673"/>
        <v>82 Richard Mathews Road</v>
      </c>
      <c r="R1971" s="3">
        <f>OrdersTable!C1971</f>
        <v>44702</v>
      </c>
      <c r="S1971" s="15">
        <f>OrdersTable!E1971</f>
        <v>1</v>
      </c>
      <c r="T1971" s="15">
        <f t="shared" si="674"/>
        <v>4.99</v>
      </c>
      <c r="U1971" s="15">
        <f t="shared" si="675"/>
        <v>6.91</v>
      </c>
      <c r="V1971" s="15">
        <f t="shared" si="676"/>
        <v>8.08</v>
      </c>
      <c r="W1971" s="15">
        <f>IF(MarkupType="Store Markup",ROUND(V1971+V1971*StoreMarkup,2),IF(MarkupType="Supplier Markup",V1971+V1971*SupplierMarkup,"Error at finding value"))</f>
        <v>12.73</v>
      </c>
      <c r="X1971" s="32" t="str">
        <f t="shared" si="678"/>
        <v>0.00</v>
      </c>
      <c r="Y1971" s="15">
        <f t="shared" si="679"/>
        <v>8.08</v>
      </c>
      <c r="Z1971" s="15">
        <f t="shared" si="680"/>
        <v>12.73</v>
      </c>
      <c r="AA1971" s="15">
        <f>IF(FreightType="Lethbridge-Stewart Freight ",ROUND(2.99+IF(N1971&gt;0.75,(N1971-0.75)*2.25,0)*S1971,2),IF(MarkupType="Supplier Markup",V1971+V1971*SupplierMarkup,"Error at finding value"))</f>
        <v>2.99</v>
      </c>
      <c r="AB1971" s="15">
        <f t="shared" si="681"/>
        <v>0</v>
      </c>
    </row>
    <row r="1972" spans="1:28" x14ac:dyDescent="0.25">
      <c r="A1972" s="16">
        <f>OrdersTable!A1972</f>
        <v>467</v>
      </c>
      <c r="B1972" s="15" t="str">
        <f t="shared" si="661"/>
        <v>Mrs</v>
      </c>
      <c r="C1972" s="15" t="str">
        <f t="shared" si="682"/>
        <v>Daniell</v>
      </c>
      <c r="D1972" s="15" t="str">
        <f t="shared" si="662"/>
        <v>Bronte Eliza</v>
      </c>
      <c r="E1972" s="15" t="str">
        <f t="shared" si="663"/>
        <v>41 Wilson Boulevard</v>
      </c>
      <c r="F1972" s="15" t="str">
        <f t="shared" si="664"/>
        <v>Aberfoyle</v>
      </c>
      <c r="G1972" s="15" t="str">
        <f t="shared" si="665"/>
        <v>NSW</v>
      </c>
      <c r="H1972" s="15">
        <f t="shared" si="666"/>
        <v>2350</v>
      </c>
      <c r="I1972" s="15">
        <f t="shared" si="677"/>
        <v>363</v>
      </c>
      <c r="J1972" s="15">
        <f>OrdersTable!B1972</f>
        <v>398</v>
      </c>
      <c r="K1972" s="15" t="str">
        <f t="shared" si="667"/>
        <v>Clothing and Apparel</v>
      </c>
      <c r="L1972" s="15" t="str">
        <f t="shared" si="668"/>
        <v>Doctor Who: Women's Winter Pyjamas</v>
      </c>
      <c r="M1972" s="15" t="str">
        <f t="shared" si="669"/>
        <v>S</v>
      </c>
      <c r="N1972" s="15">
        <f t="shared" si="670"/>
        <v>1.5</v>
      </c>
      <c r="O1972" s="15" t="str">
        <f t="shared" si="671"/>
        <v>A40</v>
      </c>
      <c r="P1972" s="15" t="str">
        <f t="shared" si="672"/>
        <v>Romana Imports</v>
      </c>
      <c r="Q1972" s="15" t="str">
        <f t="shared" si="673"/>
        <v>17 Lalla Ward Road</v>
      </c>
      <c r="R1972" s="3">
        <f>OrdersTable!C1972</f>
        <v>44702</v>
      </c>
      <c r="S1972" s="15">
        <f>OrdersTable!E1972</f>
        <v>5</v>
      </c>
      <c r="T1972" s="15">
        <f t="shared" si="674"/>
        <v>29.99</v>
      </c>
      <c r="U1972" s="15">
        <f t="shared" si="675"/>
        <v>41.07</v>
      </c>
      <c r="V1972" s="15">
        <f t="shared" si="676"/>
        <v>48.58</v>
      </c>
      <c r="W1972" s="15">
        <f>IF(MarkupType="Store Markup",ROUND(V1972+V1972*StoreMarkup,2),IF(MarkupType="Supplier Markup",V1972+V1972*SupplierMarkup,"Error at finding value"))</f>
        <v>76.510000000000005</v>
      </c>
      <c r="X1972" s="32" t="str">
        <f t="shared" si="678"/>
        <v>0.00</v>
      </c>
      <c r="Y1972" s="15">
        <f t="shared" si="679"/>
        <v>242.9</v>
      </c>
      <c r="Z1972" s="15">
        <f t="shared" si="680"/>
        <v>382.55</v>
      </c>
      <c r="AA1972" s="15">
        <f>IF(FreightType="Lethbridge-Stewart Freight ",ROUND(2.99+IF(N1972&gt;0.75,(N1972-0.75)*2.25,0)*S1972,2),IF(MarkupType="Supplier Markup",V1972+V1972*SupplierMarkup,"Error at finding value"))</f>
        <v>11.43</v>
      </c>
      <c r="AB1972" s="15">
        <f t="shared" si="681"/>
        <v>0</v>
      </c>
    </row>
    <row r="1973" spans="1:28" x14ac:dyDescent="0.25">
      <c r="A1973" s="16">
        <f>OrdersTable!A1973</f>
        <v>467</v>
      </c>
      <c r="B1973" s="15" t="str">
        <f t="shared" si="661"/>
        <v>Mrs</v>
      </c>
      <c r="C1973" s="15" t="str">
        <f t="shared" si="682"/>
        <v>Daniell</v>
      </c>
      <c r="D1973" s="15" t="str">
        <f t="shared" si="662"/>
        <v>Bronte Eliza</v>
      </c>
      <c r="E1973" s="15" t="str">
        <f t="shared" si="663"/>
        <v>41 Wilson Boulevard</v>
      </c>
      <c r="F1973" s="15" t="str">
        <f t="shared" si="664"/>
        <v>Aberfoyle</v>
      </c>
      <c r="G1973" s="15" t="str">
        <f t="shared" si="665"/>
        <v>NSW</v>
      </c>
      <c r="H1973" s="15">
        <f t="shared" si="666"/>
        <v>2350</v>
      </c>
      <c r="I1973" s="15">
        <f t="shared" si="677"/>
        <v>363</v>
      </c>
      <c r="J1973" s="15">
        <f>OrdersTable!B1973</f>
        <v>810</v>
      </c>
      <c r="K1973" s="15" t="str">
        <f t="shared" si="667"/>
        <v>Statues and Busts</v>
      </c>
      <c r="L1973" s="15" t="str">
        <f t="shared" si="668"/>
        <v>Doctor Who: Masterpiece Collection Maxi Bust: Amy Pond</v>
      </c>
      <c r="M1973" s="15" t="str">
        <f t="shared" si="669"/>
        <v>-</v>
      </c>
      <c r="N1973" s="15">
        <f t="shared" si="670"/>
        <v>2.5</v>
      </c>
      <c r="O1973" s="15" t="str">
        <f t="shared" si="671"/>
        <v>A50</v>
      </c>
      <c r="P1973" s="15" t="str">
        <f t="shared" si="672"/>
        <v>Rassilon Ltd.</v>
      </c>
      <c r="Q1973" s="15" t="str">
        <f t="shared" si="673"/>
        <v>82 Richard Mathews Road</v>
      </c>
      <c r="R1973" s="3">
        <f>OrdersTable!C1973</f>
        <v>44702</v>
      </c>
      <c r="S1973" s="15">
        <f>OrdersTable!E1973</f>
        <v>6</v>
      </c>
      <c r="T1973" s="15">
        <f t="shared" si="674"/>
        <v>49.99</v>
      </c>
      <c r="U1973" s="15">
        <f t="shared" si="675"/>
        <v>68.260000000000005</v>
      </c>
      <c r="V1973" s="15">
        <f t="shared" si="676"/>
        <v>80.98</v>
      </c>
      <c r="W1973" s="15">
        <f>IF(MarkupType="Store Markup",ROUND(V1973+V1973*StoreMarkup,2),IF(MarkupType="Supplier Markup",V1973+V1973*SupplierMarkup,"Error at finding value"))</f>
        <v>127.54</v>
      </c>
      <c r="X1973" s="32">
        <f t="shared" si="678"/>
        <v>9.09</v>
      </c>
      <c r="Y1973" s="15">
        <f t="shared" si="679"/>
        <v>485.88</v>
      </c>
      <c r="Z1973" s="15">
        <f t="shared" si="680"/>
        <v>710.7</v>
      </c>
      <c r="AA1973" s="15">
        <f>IF(FreightType="Lethbridge-Stewart Freight ",ROUND(2.99+IF(N1973&gt;0.75,(N1973-0.75)*2.25,0)*S1973,2),IF(MarkupType="Supplier Markup",V1973+V1973*SupplierMarkup,"Error at finding value"))</f>
        <v>26.62</v>
      </c>
      <c r="AB1973" s="15">
        <f t="shared" si="681"/>
        <v>54.54</v>
      </c>
    </row>
    <row r="1974" spans="1:28" x14ac:dyDescent="0.25">
      <c r="A1974" s="16">
        <f>OrdersTable!A1974</f>
        <v>468</v>
      </c>
      <c r="B1974" s="15" t="str">
        <f t="shared" si="661"/>
        <v>Mrs</v>
      </c>
      <c r="C1974" s="15" t="str">
        <f t="shared" si="682"/>
        <v>Van Essen</v>
      </c>
      <c r="D1974" s="15" t="str">
        <f t="shared" si="662"/>
        <v>Bianca Jane</v>
      </c>
      <c r="E1974" s="15" t="str">
        <f t="shared" si="663"/>
        <v>47 Ward Circuit</v>
      </c>
      <c r="F1974" s="15" t="str">
        <f t="shared" si="664"/>
        <v>Batlow</v>
      </c>
      <c r="G1974" s="15" t="str">
        <f t="shared" si="665"/>
        <v>NSW</v>
      </c>
      <c r="H1974" s="15">
        <f t="shared" si="666"/>
        <v>2730</v>
      </c>
      <c r="I1974" s="15">
        <f t="shared" si="677"/>
        <v>1138</v>
      </c>
      <c r="J1974" s="15">
        <f>OrdersTable!B1974</f>
        <v>696</v>
      </c>
      <c r="K1974" s="15" t="str">
        <f t="shared" si="667"/>
        <v>Posters, Prints and Standees</v>
      </c>
      <c r="L1974" s="15" t="str">
        <f t="shared" si="668"/>
        <v xml:space="preserve">Doctor Who: 50th Anniversary: Poster: To Victory </v>
      </c>
      <c r="M1974" s="15" t="str">
        <f t="shared" si="669"/>
        <v>-</v>
      </c>
      <c r="N1974" s="15">
        <f t="shared" si="670"/>
        <v>0.2</v>
      </c>
      <c r="O1974" s="15" t="str">
        <f t="shared" si="671"/>
        <v>A40</v>
      </c>
      <c r="P1974" s="15" t="str">
        <f t="shared" si="672"/>
        <v>Romana Imports</v>
      </c>
      <c r="Q1974" s="15" t="str">
        <f t="shared" si="673"/>
        <v>17 Lalla Ward Road</v>
      </c>
      <c r="R1974" s="3">
        <f>OrdersTable!C1974</f>
        <v>44702</v>
      </c>
      <c r="S1974" s="15">
        <f>OrdersTable!E1974</f>
        <v>1</v>
      </c>
      <c r="T1974" s="15">
        <f t="shared" si="674"/>
        <v>3.99</v>
      </c>
      <c r="U1974" s="15">
        <f t="shared" si="675"/>
        <v>5.6</v>
      </c>
      <c r="V1974" s="15">
        <f t="shared" si="676"/>
        <v>6.46</v>
      </c>
      <c r="W1974" s="15">
        <f>IF(MarkupType="Store Markup",ROUND(V1974+V1974*StoreMarkup,2),IF(MarkupType="Supplier Markup",V1974+V1974*SupplierMarkup,"Error at finding value"))</f>
        <v>10.17</v>
      </c>
      <c r="X1974" s="32" t="str">
        <f t="shared" si="678"/>
        <v>0.00</v>
      </c>
      <c r="Y1974" s="15">
        <f t="shared" si="679"/>
        <v>6.46</v>
      </c>
      <c r="Z1974" s="15">
        <f t="shared" si="680"/>
        <v>10.17</v>
      </c>
      <c r="AA1974" s="15">
        <f>IF(FreightType="Lethbridge-Stewart Freight ",ROUND(2.99+IF(N1974&gt;0.75,(N1974-0.75)*2.25,0)*S1974,2),IF(MarkupType="Supplier Markup",V1974+V1974*SupplierMarkup,"Error at finding value"))</f>
        <v>2.99</v>
      </c>
      <c r="AB1974" s="15">
        <f t="shared" si="681"/>
        <v>0</v>
      </c>
    </row>
    <row r="1975" spans="1:28" x14ac:dyDescent="0.25">
      <c r="A1975" s="16">
        <f>OrdersTable!A1975</f>
        <v>538</v>
      </c>
      <c r="B1975" s="15" t="str">
        <f t="shared" si="661"/>
        <v>Dr</v>
      </c>
      <c r="C1975" s="15" t="str">
        <f t="shared" si="682"/>
        <v>Radovic</v>
      </c>
      <c r="D1975" s="15" t="str">
        <f t="shared" si="662"/>
        <v>Harley Benjamin</v>
      </c>
      <c r="E1975" s="15" t="str">
        <f t="shared" si="663"/>
        <v>50 Hocking Way</v>
      </c>
      <c r="F1975" s="15" t="str">
        <f t="shared" si="664"/>
        <v>Bray Park</v>
      </c>
      <c r="G1975" s="15" t="str">
        <f t="shared" si="665"/>
        <v>QLD</v>
      </c>
      <c r="H1975" s="15">
        <f t="shared" si="666"/>
        <v>4500</v>
      </c>
      <c r="I1975" s="15">
        <f t="shared" si="677"/>
        <v>139</v>
      </c>
      <c r="J1975" s="15">
        <f>OrdersTable!B1975</f>
        <v>853</v>
      </c>
      <c r="K1975" s="15" t="str">
        <f t="shared" si="667"/>
        <v>Statues and Busts</v>
      </c>
      <c r="L1975" s="15" t="str">
        <f t="shared" si="668"/>
        <v>Doctor Who: Statue: The Master And Auton</v>
      </c>
      <c r="M1975" s="15" t="str">
        <f t="shared" si="669"/>
        <v>-</v>
      </c>
      <c r="N1975" s="15">
        <f t="shared" si="670"/>
        <v>3.5</v>
      </c>
      <c r="O1975" s="15" t="str">
        <f t="shared" si="671"/>
        <v>A50</v>
      </c>
      <c r="P1975" s="15" t="str">
        <f t="shared" si="672"/>
        <v>Rassilon Ltd.</v>
      </c>
      <c r="Q1975" s="15" t="str">
        <f t="shared" si="673"/>
        <v>82 Richard Mathews Road</v>
      </c>
      <c r="R1975" s="3">
        <f>OrdersTable!C1975</f>
        <v>44702</v>
      </c>
      <c r="S1975" s="15">
        <f>OrdersTable!E1975</f>
        <v>8</v>
      </c>
      <c r="T1975" s="15">
        <f t="shared" si="674"/>
        <v>69.989999999999995</v>
      </c>
      <c r="U1975" s="15">
        <f t="shared" si="675"/>
        <v>95.51</v>
      </c>
      <c r="V1975" s="15">
        <f t="shared" si="676"/>
        <v>113.38</v>
      </c>
      <c r="W1975" s="15">
        <f>IF(MarkupType="Store Markup",ROUND(V1975+V1975*StoreMarkup,2),IF(MarkupType="Supplier Markup",V1975+V1975*SupplierMarkup,"Error at finding value"))</f>
        <v>178.57</v>
      </c>
      <c r="X1975" s="32">
        <f t="shared" si="678"/>
        <v>12.72</v>
      </c>
      <c r="Y1975" s="15">
        <f t="shared" si="679"/>
        <v>907.04</v>
      </c>
      <c r="Z1975" s="15">
        <f t="shared" si="680"/>
        <v>1326.8</v>
      </c>
      <c r="AA1975" s="15">
        <f>IF(FreightType="Lethbridge-Stewart Freight ",ROUND(2.99+IF(N1975&gt;0.75,(N1975-0.75)*2.25,0)*S1975,2),IF(MarkupType="Supplier Markup",V1975+V1975*SupplierMarkup,"Error at finding value"))</f>
        <v>52.49</v>
      </c>
      <c r="AB1975" s="15">
        <f t="shared" si="681"/>
        <v>101.76</v>
      </c>
    </row>
    <row r="1976" spans="1:28" x14ac:dyDescent="0.25">
      <c r="A1976" s="16">
        <f>OrdersTable!A1976</f>
        <v>561</v>
      </c>
      <c r="B1976" s="15" t="str">
        <f t="shared" si="661"/>
        <v>Ms</v>
      </c>
      <c r="C1976" s="15" t="str">
        <f t="shared" si="682"/>
        <v>Mulcahy</v>
      </c>
      <c r="D1976" s="15" t="str">
        <f t="shared" si="662"/>
        <v>Jodie Leigh</v>
      </c>
      <c r="E1976" s="15" t="str">
        <f t="shared" si="663"/>
        <v>32 Scott Crescent</v>
      </c>
      <c r="F1976" s="15" t="str">
        <f t="shared" si="664"/>
        <v>Bray Park</v>
      </c>
      <c r="G1976" s="15" t="str">
        <f t="shared" si="665"/>
        <v>QLD</v>
      </c>
      <c r="H1976" s="15">
        <f t="shared" si="666"/>
        <v>4500</v>
      </c>
      <c r="I1976" s="15">
        <f t="shared" si="677"/>
        <v>139</v>
      </c>
      <c r="J1976" s="15">
        <f>OrdersTable!B1976</f>
        <v>698</v>
      </c>
      <c r="K1976" s="15" t="str">
        <f t="shared" si="667"/>
        <v>Posters, Prints and Standees</v>
      </c>
      <c r="L1976" s="15" t="str">
        <f t="shared" si="668"/>
        <v>Doctor Who: Art Print: My Mysterious Doctor</v>
      </c>
      <c r="M1976" s="15" t="str">
        <f t="shared" si="669"/>
        <v>-</v>
      </c>
      <c r="N1976" s="15">
        <f t="shared" si="670"/>
        <v>0.75</v>
      </c>
      <c r="O1976" s="15" t="str">
        <f t="shared" si="671"/>
        <v>A30</v>
      </c>
      <c r="P1976" s="15" t="str">
        <f t="shared" si="672"/>
        <v>Chesterton Enterprises</v>
      </c>
      <c r="Q1976" s="15" t="str">
        <f t="shared" si="673"/>
        <v>41 William Russell Road</v>
      </c>
      <c r="R1976" s="3">
        <f>OrdersTable!C1976</f>
        <v>44702</v>
      </c>
      <c r="S1976" s="15">
        <f>OrdersTable!E1976</f>
        <v>6</v>
      </c>
      <c r="T1976" s="15">
        <f t="shared" si="674"/>
        <v>14.99</v>
      </c>
      <c r="U1976" s="15">
        <f t="shared" si="675"/>
        <v>20.56</v>
      </c>
      <c r="V1976" s="15">
        <f t="shared" si="676"/>
        <v>24.28</v>
      </c>
      <c r="W1976" s="15">
        <f>IF(MarkupType="Store Markup",ROUND(V1976+V1976*StoreMarkup,2),IF(MarkupType="Supplier Markup",V1976+V1976*SupplierMarkup,"Error at finding value"))</f>
        <v>38.24</v>
      </c>
      <c r="X1976" s="32" t="str">
        <f t="shared" si="678"/>
        <v>0.00</v>
      </c>
      <c r="Y1976" s="15">
        <f t="shared" si="679"/>
        <v>145.68</v>
      </c>
      <c r="Z1976" s="15">
        <f t="shared" si="680"/>
        <v>229.44</v>
      </c>
      <c r="AA1976" s="15">
        <f>IF(FreightType="Lethbridge-Stewart Freight ",ROUND(2.99+IF(N1976&gt;0.75,(N1976-0.75)*2.25,0)*S1976,2),IF(MarkupType="Supplier Markup",V1976+V1976*SupplierMarkup,"Error at finding value"))</f>
        <v>2.99</v>
      </c>
      <c r="AB1976" s="15">
        <f t="shared" si="681"/>
        <v>0</v>
      </c>
    </row>
    <row r="1977" spans="1:28" x14ac:dyDescent="0.25">
      <c r="A1977" s="16">
        <f>OrdersTable!A1977</f>
        <v>573</v>
      </c>
      <c r="B1977" s="15" t="str">
        <f t="shared" si="661"/>
        <v>Mrs</v>
      </c>
      <c r="C1977" s="15" t="str">
        <f t="shared" si="682"/>
        <v>Hollonds</v>
      </c>
      <c r="D1977" s="15" t="str">
        <f t="shared" si="662"/>
        <v>Suzan</v>
      </c>
      <c r="E1977" s="15" t="str">
        <f t="shared" si="663"/>
        <v>49 Patel Way</v>
      </c>
      <c r="F1977" s="15" t="str">
        <f t="shared" si="664"/>
        <v>Belconnen</v>
      </c>
      <c r="G1977" s="15" t="str">
        <f t="shared" si="665"/>
        <v>ACT</v>
      </c>
      <c r="H1977" s="15">
        <f t="shared" si="666"/>
        <v>2617</v>
      </c>
      <c r="I1977" s="15">
        <f t="shared" si="677"/>
        <v>1194</v>
      </c>
      <c r="J1977" s="15">
        <f>OrdersTable!B1977</f>
        <v>852</v>
      </c>
      <c r="K1977" s="15" t="str">
        <f t="shared" si="667"/>
        <v>Statues and Busts</v>
      </c>
      <c r="L1977" s="15" t="str">
        <f t="shared" si="668"/>
        <v>Doctor Who: Statue: Revenge Of The Cybermen Cyberleader</v>
      </c>
      <c r="M1977" s="15" t="str">
        <f t="shared" si="669"/>
        <v>-</v>
      </c>
      <c r="N1977" s="15">
        <f t="shared" si="670"/>
        <v>5.4</v>
      </c>
      <c r="O1977" s="15" t="str">
        <f t="shared" si="671"/>
        <v>A50</v>
      </c>
      <c r="P1977" s="15" t="str">
        <f t="shared" si="672"/>
        <v>Rassilon Ltd.</v>
      </c>
      <c r="Q1977" s="15" t="str">
        <f t="shared" si="673"/>
        <v>82 Richard Mathews Road</v>
      </c>
      <c r="R1977" s="3">
        <f>OrdersTable!C1977</f>
        <v>44702</v>
      </c>
      <c r="S1977" s="15">
        <f>OrdersTable!E1977</f>
        <v>2</v>
      </c>
      <c r="T1977" s="15">
        <f t="shared" si="674"/>
        <v>108</v>
      </c>
      <c r="U1977" s="15">
        <f t="shared" si="675"/>
        <v>147.29</v>
      </c>
      <c r="V1977" s="15">
        <f t="shared" si="676"/>
        <v>174.96</v>
      </c>
      <c r="W1977" s="15">
        <f>IF(MarkupType="Store Markup",ROUND(V1977+V1977*StoreMarkup,2),IF(MarkupType="Supplier Markup",V1977+V1977*SupplierMarkup,"Error at finding value"))</f>
        <v>275.56</v>
      </c>
      <c r="X1977" s="32" t="str">
        <f t="shared" si="678"/>
        <v>0.00</v>
      </c>
      <c r="Y1977" s="15">
        <f t="shared" si="679"/>
        <v>349.92</v>
      </c>
      <c r="Z1977" s="15">
        <f t="shared" si="680"/>
        <v>551.12</v>
      </c>
      <c r="AA1977" s="15">
        <f>IF(FreightType="Lethbridge-Stewart Freight ",ROUND(2.99+IF(N1977&gt;0.75,(N1977-0.75)*2.25,0)*S1977,2),IF(MarkupType="Supplier Markup",V1977+V1977*SupplierMarkup,"Error at finding value"))</f>
        <v>23.92</v>
      </c>
      <c r="AB1977" s="15">
        <f t="shared" si="681"/>
        <v>0</v>
      </c>
    </row>
    <row r="1978" spans="1:28" x14ac:dyDescent="0.25">
      <c r="A1978" s="16">
        <f>OrdersTable!A1978</f>
        <v>657</v>
      </c>
      <c r="B1978" s="15" t="str">
        <f t="shared" si="661"/>
        <v>Mr</v>
      </c>
      <c r="C1978" s="15" t="str">
        <f t="shared" si="682"/>
        <v>Poljak</v>
      </c>
      <c r="D1978" s="15" t="str">
        <f t="shared" si="662"/>
        <v>Anthony</v>
      </c>
      <c r="E1978" s="15" t="str">
        <f t="shared" si="663"/>
        <v>45 Robertson Boulevard</v>
      </c>
      <c r="F1978" s="15" t="str">
        <f t="shared" si="664"/>
        <v>Iluka</v>
      </c>
      <c r="G1978" s="15" t="str">
        <f t="shared" si="665"/>
        <v>NSW</v>
      </c>
      <c r="H1978" s="15">
        <f t="shared" si="666"/>
        <v>2466</v>
      </c>
      <c r="I1978" s="15">
        <f t="shared" si="677"/>
        <v>347</v>
      </c>
      <c r="J1978" s="15">
        <f>OrdersTable!B1978</f>
        <v>852</v>
      </c>
      <c r="K1978" s="15" t="str">
        <f t="shared" si="667"/>
        <v>Statues and Busts</v>
      </c>
      <c r="L1978" s="15" t="str">
        <f t="shared" si="668"/>
        <v>Doctor Who: Statue: Revenge Of The Cybermen Cyberleader</v>
      </c>
      <c r="M1978" s="15" t="str">
        <f t="shared" si="669"/>
        <v>-</v>
      </c>
      <c r="N1978" s="15">
        <f t="shared" si="670"/>
        <v>5.4</v>
      </c>
      <c r="O1978" s="15" t="str">
        <f t="shared" si="671"/>
        <v>A50</v>
      </c>
      <c r="P1978" s="15" t="str">
        <f t="shared" si="672"/>
        <v>Rassilon Ltd.</v>
      </c>
      <c r="Q1978" s="15" t="str">
        <f t="shared" si="673"/>
        <v>82 Richard Mathews Road</v>
      </c>
      <c r="R1978" s="3">
        <f>OrdersTable!C1978</f>
        <v>44702</v>
      </c>
      <c r="S1978" s="15">
        <f>OrdersTable!E1978</f>
        <v>5</v>
      </c>
      <c r="T1978" s="15">
        <f t="shared" si="674"/>
        <v>108</v>
      </c>
      <c r="U1978" s="15">
        <f t="shared" si="675"/>
        <v>147.29</v>
      </c>
      <c r="V1978" s="15">
        <f t="shared" si="676"/>
        <v>174.96</v>
      </c>
      <c r="W1978" s="15">
        <f>IF(MarkupType="Store Markup",ROUND(V1978+V1978*StoreMarkup,2),IF(MarkupType="Supplier Markup",V1978+V1978*SupplierMarkup,"Error at finding value"))</f>
        <v>275.56</v>
      </c>
      <c r="X1978" s="32">
        <f t="shared" si="678"/>
        <v>19.63</v>
      </c>
      <c r="Y1978" s="15">
        <f t="shared" si="679"/>
        <v>874.8</v>
      </c>
      <c r="Z1978" s="15">
        <f t="shared" si="680"/>
        <v>1279.6500000000001</v>
      </c>
      <c r="AA1978" s="15">
        <f>IF(FreightType="Lethbridge-Stewart Freight ",ROUND(2.99+IF(N1978&gt;0.75,(N1978-0.75)*2.25,0)*S1978,2),IF(MarkupType="Supplier Markup",V1978+V1978*SupplierMarkup,"Error at finding value"))</f>
        <v>55.3</v>
      </c>
      <c r="AB1978" s="15">
        <f t="shared" si="681"/>
        <v>98.15</v>
      </c>
    </row>
    <row r="1979" spans="1:28" x14ac:dyDescent="0.25">
      <c r="A1979" s="16">
        <f>OrdersTable!A1979</f>
        <v>830</v>
      </c>
      <c r="B1979" s="15" t="str">
        <f t="shared" si="661"/>
        <v>Miss</v>
      </c>
      <c r="C1979" s="15" t="str">
        <f t="shared" si="682"/>
        <v>Blakeney</v>
      </c>
      <c r="D1979" s="15" t="str">
        <f t="shared" si="662"/>
        <v>Hannah</v>
      </c>
      <c r="E1979" s="15" t="str">
        <f t="shared" si="663"/>
        <v>31 Sproule Street</v>
      </c>
      <c r="F1979" s="15" t="str">
        <f t="shared" si="664"/>
        <v>Belford</v>
      </c>
      <c r="G1979" s="15" t="str">
        <f t="shared" si="665"/>
        <v>NSW</v>
      </c>
      <c r="H1979" s="15">
        <f t="shared" si="666"/>
        <v>2335</v>
      </c>
      <c r="I1979" s="15">
        <f t="shared" si="677"/>
        <v>716</v>
      </c>
      <c r="J1979" s="15">
        <f>OrdersTable!B1979</f>
        <v>840</v>
      </c>
      <c r="K1979" s="15" t="str">
        <f t="shared" si="667"/>
        <v>Statues and Busts</v>
      </c>
      <c r="L1979" s="15" t="str">
        <f t="shared" si="668"/>
        <v>Doctor Who: Signature Edition Statue: Gallifrey Edition: Patrick Troughton</v>
      </c>
      <c r="M1979" s="15" t="str">
        <f t="shared" si="669"/>
        <v>-</v>
      </c>
      <c r="N1979" s="15">
        <f t="shared" si="670"/>
        <v>2.5</v>
      </c>
      <c r="O1979" s="15" t="str">
        <f t="shared" si="671"/>
        <v>A40</v>
      </c>
      <c r="P1979" s="15" t="str">
        <f t="shared" si="672"/>
        <v>Romana Imports</v>
      </c>
      <c r="Q1979" s="15" t="str">
        <f t="shared" si="673"/>
        <v>17 Lalla Ward Road</v>
      </c>
      <c r="R1979" s="3">
        <f>OrdersTable!C1979</f>
        <v>44702</v>
      </c>
      <c r="S1979" s="15">
        <f>OrdersTable!E1979</f>
        <v>1</v>
      </c>
      <c r="T1979" s="15">
        <f t="shared" si="674"/>
        <v>49.99</v>
      </c>
      <c r="U1979" s="15">
        <f t="shared" si="675"/>
        <v>68.510000000000005</v>
      </c>
      <c r="V1979" s="15">
        <f t="shared" si="676"/>
        <v>80.98</v>
      </c>
      <c r="W1979" s="15">
        <f>IF(MarkupType="Store Markup",ROUND(V1979+V1979*StoreMarkup,2),IF(MarkupType="Supplier Markup",V1979+V1979*SupplierMarkup,"Error at finding value"))</f>
        <v>127.54</v>
      </c>
      <c r="X1979" s="32" t="str">
        <f t="shared" si="678"/>
        <v>0.00</v>
      </c>
      <c r="Y1979" s="15">
        <f t="shared" si="679"/>
        <v>80.98</v>
      </c>
      <c r="Z1979" s="15">
        <f t="shared" si="680"/>
        <v>127.54</v>
      </c>
      <c r="AA1979" s="15">
        <f>IF(FreightType="Lethbridge-Stewart Freight ",ROUND(2.99+IF(N1979&gt;0.75,(N1979-0.75)*2.25,0)*S1979,2),IF(MarkupType="Supplier Markup",V1979+V1979*SupplierMarkup,"Error at finding value"))</f>
        <v>6.93</v>
      </c>
      <c r="AB1979" s="15">
        <f t="shared" si="681"/>
        <v>0</v>
      </c>
    </row>
    <row r="1980" spans="1:28" x14ac:dyDescent="0.25">
      <c r="A1980" s="16">
        <f>OrdersTable!A1980</f>
        <v>841</v>
      </c>
      <c r="B1980" s="15" t="str">
        <f t="shared" si="661"/>
        <v>Miss</v>
      </c>
      <c r="C1980" s="15" t="str">
        <f t="shared" si="682"/>
        <v>Donaghy</v>
      </c>
      <c r="D1980" s="15" t="str">
        <f t="shared" si="662"/>
        <v>Elizabeth Mathilde Jane</v>
      </c>
      <c r="E1980" s="15" t="str">
        <f t="shared" si="663"/>
        <v>31 Johnson Boulevard</v>
      </c>
      <c r="F1980" s="15" t="str">
        <f t="shared" si="664"/>
        <v>Belford</v>
      </c>
      <c r="G1980" s="15" t="str">
        <f t="shared" si="665"/>
        <v>NSW</v>
      </c>
      <c r="H1980" s="15">
        <f t="shared" si="666"/>
        <v>2335</v>
      </c>
      <c r="I1980" s="15">
        <f t="shared" si="677"/>
        <v>716</v>
      </c>
      <c r="J1980" s="15">
        <f>OrdersTable!B1980</f>
        <v>792</v>
      </c>
      <c r="K1980" s="15" t="str">
        <f t="shared" si="667"/>
        <v>Statues and Busts</v>
      </c>
      <c r="L1980" s="15" t="str">
        <f t="shared" si="668"/>
        <v>Doctor Who: Masterpiece Collection Maxi Bust: 3rd Doctor</v>
      </c>
      <c r="M1980" s="15" t="str">
        <f t="shared" si="669"/>
        <v>-</v>
      </c>
      <c r="N1980" s="15">
        <f t="shared" si="670"/>
        <v>2.5</v>
      </c>
      <c r="O1980" s="15" t="str">
        <f t="shared" si="671"/>
        <v>A20</v>
      </c>
      <c r="P1980" s="15" t="str">
        <f t="shared" si="672"/>
        <v>Morbius Inc.</v>
      </c>
      <c r="Q1980" s="15" t="str">
        <f t="shared" si="673"/>
        <v>56 Michael Spice Hwy</v>
      </c>
      <c r="R1980" s="3">
        <f>OrdersTable!C1980</f>
        <v>44702</v>
      </c>
      <c r="S1980" s="15">
        <f>OrdersTable!E1980</f>
        <v>3</v>
      </c>
      <c r="T1980" s="15">
        <f t="shared" si="674"/>
        <v>49.99</v>
      </c>
      <c r="U1980" s="15">
        <f t="shared" si="675"/>
        <v>68.39</v>
      </c>
      <c r="V1980" s="15">
        <f t="shared" si="676"/>
        <v>80.98</v>
      </c>
      <c r="W1980" s="15">
        <f>IF(MarkupType="Store Markup",ROUND(V1980+V1980*StoreMarkup,2),IF(MarkupType="Supplier Markup",V1980+V1980*SupplierMarkup,"Error at finding value"))</f>
        <v>127.54</v>
      </c>
      <c r="X1980" s="32">
        <f t="shared" si="678"/>
        <v>9.09</v>
      </c>
      <c r="Y1980" s="15">
        <f t="shared" si="679"/>
        <v>242.94</v>
      </c>
      <c r="Z1980" s="15">
        <f t="shared" si="680"/>
        <v>355.35</v>
      </c>
      <c r="AA1980" s="15">
        <f>IF(FreightType="Lethbridge-Stewart Freight ",ROUND(2.99+IF(N1980&gt;0.75,(N1980-0.75)*2.25,0)*S1980,2),IF(MarkupType="Supplier Markup",V1980+V1980*SupplierMarkup,"Error at finding value"))</f>
        <v>14.8</v>
      </c>
      <c r="AB1980" s="15">
        <f t="shared" si="681"/>
        <v>27.27</v>
      </c>
    </row>
    <row r="1981" spans="1:28" x14ac:dyDescent="0.25">
      <c r="A1981" s="16">
        <f>OrdersTable!A1981</f>
        <v>22</v>
      </c>
      <c r="B1981" s="15" t="str">
        <f t="shared" si="661"/>
        <v>Mr</v>
      </c>
      <c r="C1981" s="15" t="str">
        <f t="shared" si="682"/>
        <v>Tyrrell</v>
      </c>
      <c r="D1981" s="15" t="str">
        <f t="shared" si="662"/>
        <v>Timothy James</v>
      </c>
      <c r="E1981" s="15" t="str">
        <f t="shared" si="663"/>
        <v>48 Lambourne Crescent</v>
      </c>
      <c r="F1981" s="15" t="str">
        <f t="shared" si="664"/>
        <v>Belford</v>
      </c>
      <c r="G1981" s="15" t="str">
        <f t="shared" si="665"/>
        <v>NSW</v>
      </c>
      <c r="H1981" s="15">
        <f t="shared" si="666"/>
        <v>2335</v>
      </c>
      <c r="I1981" s="15">
        <f t="shared" si="677"/>
        <v>716</v>
      </c>
      <c r="J1981" s="15">
        <f>OrdersTable!B1981</f>
        <v>834</v>
      </c>
      <c r="K1981" s="15" t="str">
        <f t="shared" si="667"/>
        <v>Statues and Busts</v>
      </c>
      <c r="L1981" s="15" t="str">
        <f t="shared" si="668"/>
        <v>Doctor Who: Signature Edition Statue: Gallifrey Edition: Matt Smith</v>
      </c>
      <c r="M1981" s="15" t="str">
        <f t="shared" si="669"/>
        <v>-</v>
      </c>
      <c r="N1981" s="15">
        <f t="shared" si="670"/>
        <v>2.5</v>
      </c>
      <c r="O1981" s="15" t="str">
        <f t="shared" si="671"/>
        <v>A30</v>
      </c>
      <c r="P1981" s="15" t="str">
        <f t="shared" si="672"/>
        <v>Chesterton Enterprises</v>
      </c>
      <c r="Q1981" s="15" t="str">
        <f t="shared" si="673"/>
        <v>41 William Russell Road</v>
      </c>
      <c r="R1981" s="3">
        <f>OrdersTable!C1981</f>
        <v>44703</v>
      </c>
      <c r="S1981" s="15">
        <f>OrdersTable!E1981</f>
        <v>6</v>
      </c>
      <c r="T1981" s="15">
        <f t="shared" si="674"/>
        <v>49.99</v>
      </c>
      <c r="U1981" s="15">
        <f t="shared" si="675"/>
        <v>68.52</v>
      </c>
      <c r="V1981" s="15">
        <f t="shared" si="676"/>
        <v>80.98</v>
      </c>
      <c r="W1981" s="15">
        <f>IF(MarkupType="Store Markup",ROUND(V1981+V1981*StoreMarkup,2),IF(MarkupType="Supplier Markup",V1981+V1981*SupplierMarkup,"Error at finding value"))</f>
        <v>127.54</v>
      </c>
      <c r="X1981" s="32">
        <f t="shared" si="678"/>
        <v>9.09</v>
      </c>
      <c r="Y1981" s="15">
        <f t="shared" si="679"/>
        <v>485.88</v>
      </c>
      <c r="Z1981" s="15">
        <f t="shared" si="680"/>
        <v>710.7</v>
      </c>
      <c r="AA1981" s="15">
        <f>IF(FreightType="Lethbridge-Stewart Freight ",ROUND(2.99+IF(N1981&gt;0.75,(N1981-0.75)*2.25,0)*S1981,2),IF(MarkupType="Supplier Markup",V1981+V1981*SupplierMarkup,"Error at finding value"))</f>
        <v>26.62</v>
      </c>
      <c r="AB1981" s="15">
        <f t="shared" si="681"/>
        <v>54.54</v>
      </c>
    </row>
    <row r="1982" spans="1:28" x14ac:dyDescent="0.25">
      <c r="A1982" s="16">
        <f>OrdersTable!A1982</f>
        <v>46</v>
      </c>
      <c r="B1982" s="15" t="str">
        <f t="shared" si="661"/>
        <v>Mrs</v>
      </c>
      <c r="C1982" s="15" t="str">
        <f t="shared" si="682"/>
        <v>Dovey</v>
      </c>
      <c r="D1982" s="15" t="str">
        <f t="shared" si="662"/>
        <v>Aisha Jade</v>
      </c>
      <c r="E1982" s="15" t="str">
        <f t="shared" si="663"/>
        <v>43 Wilkes Circuit</v>
      </c>
      <c r="F1982" s="15" t="str">
        <f t="shared" si="664"/>
        <v>Alfredtown</v>
      </c>
      <c r="G1982" s="15" t="str">
        <f t="shared" si="665"/>
        <v>NSW</v>
      </c>
      <c r="H1982" s="15">
        <f t="shared" si="666"/>
        <v>2650</v>
      </c>
      <c r="I1982" s="15">
        <f t="shared" si="677"/>
        <v>1124</v>
      </c>
      <c r="J1982" s="15">
        <f>OrdersTable!B1982</f>
        <v>643</v>
      </c>
      <c r="K1982" s="15" t="str">
        <f t="shared" si="667"/>
        <v>Mugs</v>
      </c>
      <c r="L1982" s="15" t="str">
        <f t="shared" si="668"/>
        <v>Doctor Who: Giant Mug: Logo</v>
      </c>
      <c r="M1982" s="15" t="str">
        <f t="shared" si="669"/>
        <v>-</v>
      </c>
      <c r="N1982" s="15">
        <f t="shared" si="670"/>
        <v>0.44500000000000001</v>
      </c>
      <c r="O1982" s="15" t="str">
        <f t="shared" si="671"/>
        <v>A10</v>
      </c>
      <c r="P1982" s="15" t="str">
        <f t="shared" si="672"/>
        <v>Gallifrey International</v>
      </c>
      <c r="Q1982" s="15" t="str">
        <f t="shared" si="673"/>
        <v>181 Arcadia Street</v>
      </c>
      <c r="R1982" s="3">
        <f>OrdersTable!C1982</f>
        <v>44703</v>
      </c>
      <c r="S1982" s="15">
        <f>OrdersTable!E1982</f>
        <v>10</v>
      </c>
      <c r="T1982" s="15">
        <f t="shared" si="674"/>
        <v>8.89</v>
      </c>
      <c r="U1982" s="15">
        <f t="shared" si="675"/>
        <v>12.19</v>
      </c>
      <c r="V1982" s="15">
        <f t="shared" si="676"/>
        <v>14.4</v>
      </c>
      <c r="W1982" s="15">
        <f>IF(MarkupType="Store Markup",ROUND(V1982+V1982*StoreMarkup,2),IF(MarkupType="Supplier Markup",V1982+V1982*SupplierMarkup,"Error at finding value"))</f>
        <v>22.68</v>
      </c>
      <c r="X1982" s="32" t="str">
        <f t="shared" si="678"/>
        <v>0.00</v>
      </c>
      <c r="Y1982" s="15">
        <f t="shared" si="679"/>
        <v>144</v>
      </c>
      <c r="Z1982" s="15">
        <f t="shared" si="680"/>
        <v>226.8</v>
      </c>
      <c r="AA1982" s="15">
        <f>IF(FreightType="Lethbridge-Stewart Freight ",ROUND(2.99+IF(N1982&gt;0.75,(N1982-0.75)*2.25,0)*S1982,2),IF(MarkupType="Supplier Markup",V1982+V1982*SupplierMarkup,"Error at finding value"))</f>
        <v>2.99</v>
      </c>
      <c r="AB1982" s="15">
        <f t="shared" si="681"/>
        <v>0</v>
      </c>
    </row>
    <row r="1983" spans="1:28" x14ac:dyDescent="0.25">
      <c r="A1983" s="16">
        <f>OrdersTable!A1983</f>
        <v>81</v>
      </c>
      <c r="B1983" s="15" t="str">
        <f t="shared" si="661"/>
        <v>Ms</v>
      </c>
      <c r="C1983" s="15" t="str">
        <f t="shared" si="682"/>
        <v>Madsen</v>
      </c>
      <c r="D1983" s="15" t="str">
        <f t="shared" si="662"/>
        <v>Kim Marie</v>
      </c>
      <c r="E1983" s="15" t="str">
        <f t="shared" si="663"/>
        <v>42 Singh Drive</v>
      </c>
      <c r="F1983" s="15" t="str">
        <f t="shared" si="664"/>
        <v>Caliph</v>
      </c>
      <c r="G1983" s="15" t="str">
        <f t="shared" si="665"/>
        <v>SA</v>
      </c>
      <c r="H1983" s="15">
        <f t="shared" si="666"/>
        <v>5310</v>
      </c>
      <c r="I1983" s="15">
        <f t="shared" si="677"/>
        <v>1720</v>
      </c>
      <c r="J1983" s="15">
        <f>OrdersTable!B1983</f>
        <v>594</v>
      </c>
      <c r="K1983" s="15" t="str">
        <f t="shared" si="667"/>
        <v>iPhone Skins</v>
      </c>
      <c r="L1983" s="15" t="str">
        <f t="shared" si="668"/>
        <v>Doctor Who: iPhone Skin: Keep Calm And Don't Blink</v>
      </c>
      <c r="M1983" s="15" t="str">
        <f t="shared" si="669"/>
        <v>-</v>
      </c>
      <c r="N1983" s="15">
        <f t="shared" si="670"/>
        <v>0.5</v>
      </c>
      <c r="O1983" s="15" t="str">
        <f t="shared" si="671"/>
        <v>A20</v>
      </c>
      <c r="P1983" s="15" t="str">
        <f t="shared" si="672"/>
        <v>Morbius Inc.</v>
      </c>
      <c r="Q1983" s="15" t="str">
        <f t="shared" si="673"/>
        <v>56 Michael Spice Hwy</v>
      </c>
      <c r="R1983" s="3">
        <f>OrdersTable!C1983</f>
        <v>44703</v>
      </c>
      <c r="S1983" s="15">
        <f>OrdersTable!E1983</f>
        <v>4</v>
      </c>
      <c r="T1983" s="15">
        <f t="shared" si="674"/>
        <v>9.99</v>
      </c>
      <c r="U1983" s="15">
        <f t="shared" si="675"/>
        <v>13.88</v>
      </c>
      <c r="V1983" s="15">
        <f t="shared" si="676"/>
        <v>16.18</v>
      </c>
      <c r="W1983" s="15">
        <f>IF(MarkupType="Store Markup",ROUND(V1983+V1983*StoreMarkup,2),IF(MarkupType="Supplier Markup",V1983+V1983*SupplierMarkup,"Error at finding value"))</f>
        <v>25.48</v>
      </c>
      <c r="X1983" s="32" t="str">
        <f t="shared" si="678"/>
        <v>0.00</v>
      </c>
      <c r="Y1983" s="15">
        <f t="shared" si="679"/>
        <v>64.72</v>
      </c>
      <c r="Z1983" s="15">
        <f t="shared" si="680"/>
        <v>101.92</v>
      </c>
      <c r="AA1983" s="15">
        <f>IF(FreightType="Lethbridge-Stewart Freight ",ROUND(2.99+IF(N1983&gt;0.75,(N1983-0.75)*2.25,0)*S1983,2),IF(MarkupType="Supplier Markup",V1983+V1983*SupplierMarkup,"Error at finding value"))</f>
        <v>2.99</v>
      </c>
      <c r="AB1983" s="15">
        <f t="shared" si="681"/>
        <v>0</v>
      </c>
    </row>
    <row r="1984" spans="1:28" x14ac:dyDescent="0.25">
      <c r="A1984" s="16">
        <f>OrdersTable!A1984</f>
        <v>142</v>
      </c>
      <c r="B1984" s="15" t="str">
        <f t="shared" si="661"/>
        <v>Miss</v>
      </c>
      <c r="C1984" s="15" t="str">
        <f t="shared" si="682"/>
        <v>Western</v>
      </c>
      <c r="D1984" s="15" t="str">
        <f t="shared" si="662"/>
        <v>Lee Reuben</v>
      </c>
      <c r="E1984" s="15" t="str">
        <f t="shared" si="663"/>
        <v>14 Fields Road</v>
      </c>
      <c r="F1984" s="15" t="str">
        <f t="shared" si="664"/>
        <v>Airly</v>
      </c>
      <c r="G1984" s="15" t="str">
        <f t="shared" si="665"/>
        <v>VIC</v>
      </c>
      <c r="H1984" s="15">
        <f t="shared" si="666"/>
        <v>3851</v>
      </c>
      <c r="I1984" s="15">
        <f t="shared" si="677"/>
        <v>1583</v>
      </c>
      <c r="J1984" s="15">
        <f>OrdersTable!B1984</f>
        <v>620</v>
      </c>
      <c r="K1984" s="15" t="str">
        <f t="shared" si="667"/>
        <v>iPhone Skins</v>
      </c>
      <c r="L1984" s="15" t="str">
        <f t="shared" si="668"/>
        <v>Doctor Who: iPhone Skin: TARDIS Water Colour</v>
      </c>
      <c r="M1984" s="15" t="str">
        <f t="shared" si="669"/>
        <v>-</v>
      </c>
      <c r="N1984" s="15">
        <f t="shared" si="670"/>
        <v>0.5</v>
      </c>
      <c r="O1984" s="15" t="str">
        <f t="shared" si="671"/>
        <v>A30</v>
      </c>
      <c r="P1984" s="15" t="str">
        <f t="shared" si="672"/>
        <v>Chesterton Enterprises</v>
      </c>
      <c r="Q1984" s="15" t="str">
        <f t="shared" si="673"/>
        <v>41 William Russell Road</v>
      </c>
      <c r="R1984" s="3">
        <f>OrdersTable!C1984</f>
        <v>44703</v>
      </c>
      <c r="S1984" s="15">
        <f>OrdersTable!E1984</f>
        <v>3</v>
      </c>
      <c r="T1984" s="15">
        <f t="shared" si="674"/>
        <v>9.99</v>
      </c>
      <c r="U1984" s="15">
        <f t="shared" si="675"/>
        <v>13.81</v>
      </c>
      <c r="V1984" s="15">
        <f t="shared" si="676"/>
        <v>16.18</v>
      </c>
      <c r="W1984" s="15">
        <f>IF(MarkupType="Store Markup",ROUND(V1984+V1984*StoreMarkup,2),IF(MarkupType="Supplier Markup",V1984+V1984*SupplierMarkup,"Error at finding value"))</f>
        <v>25.48</v>
      </c>
      <c r="X1984" s="32" t="str">
        <f t="shared" si="678"/>
        <v>0.00</v>
      </c>
      <c r="Y1984" s="15">
        <f t="shared" si="679"/>
        <v>48.54</v>
      </c>
      <c r="Z1984" s="15">
        <f t="shared" si="680"/>
        <v>76.44</v>
      </c>
      <c r="AA1984" s="15">
        <f>IF(FreightType="Lethbridge-Stewart Freight ",ROUND(2.99+IF(N1984&gt;0.75,(N1984-0.75)*2.25,0)*S1984,2),IF(MarkupType="Supplier Markup",V1984+V1984*SupplierMarkup,"Error at finding value"))</f>
        <v>2.99</v>
      </c>
      <c r="AB1984" s="15">
        <f t="shared" si="681"/>
        <v>0</v>
      </c>
    </row>
    <row r="1985" spans="1:28" x14ac:dyDescent="0.25">
      <c r="A1985" s="16">
        <f>OrdersTable!A1985</f>
        <v>180</v>
      </c>
      <c r="B1985" s="15" t="str">
        <f t="shared" si="661"/>
        <v>Mrs</v>
      </c>
      <c r="C1985" s="15" t="str">
        <f t="shared" si="682"/>
        <v>Feeney</v>
      </c>
      <c r="D1985" s="15" t="str">
        <f t="shared" si="662"/>
        <v>Jennifer Ruth</v>
      </c>
      <c r="E1985" s="15" t="str">
        <f t="shared" si="663"/>
        <v>18 Cook Avenue</v>
      </c>
      <c r="F1985" s="15" t="str">
        <f t="shared" si="664"/>
        <v>Nayook</v>
      </c>
      <c r="G1985" s="15" t="str">
        <f t="shared" si="665"/>
        <v>VIC</v>
      </c>
      <c r="H1985" s="15">
        <f t="shared" si="666"/>
        <v>3832</v>
      </c>
      <c r="I1985" s="15">
        <f t="shared" si="677"/>
        <v>1552</v>
      </c>
      <c r="J1985" s="15">
        <f>OrdersTable!B1985</f>
        <v>590</v>
      </c>
      <c r="K1985" s="15" t="str">
        <f t="shared" si="667"/>
        <v>iPhone Skins</v>
      </c>
      <c r="L1985" s="15" t="str">
        <f t="shared" si="668"/>
        <v>Doctor Who: iPhone Skin: Exploding TARDIS</v>
      </c>
      <c r="M1985" s="15" t="str">
        <f t="shared" si="669"/>
        <v>-</v>
      </c>
      <c r="N1985" s="15">
        <f t="shared" si="670"/>
        <v>0.5</v>
      </c>
      <c r="O1985" s="15" t="str">
        <f t="shared" si="671"/>
        <v>A20</v>
      </c>
      <c r="P1985" s="15" t="str">
        <f t="shared" si="672"/>
        <v>Morbius Inc.</v>
      </c>
      <c r="Q1985" s="15" t="str">
        <f t="shared" si="673"/>
        <v>56 Michael Spice Hwy</v>
      </c>
      <c r="R1985" s="3">
        <f>OrdersTable!C1985</f>
        <v>44703</v>
      </c>
      <c r="S1985" s="15">
        <f>OrdersTable!E1985</f>
        <v>7</v>
      </c>
      <c r="T1985" s="15">
        <f t="shared" si="674"/>
        <v>9.99</v>
      </c>
      <c r="U1985" s="15">
        <f t="shared" si="675"/>
        <v>13.86</v>
      </c>
      <c r="V1985" s="15">
        <f t="shared" si="676"/>
        <v>16.18</v>
      </c>
      <c r="W1985" s="15">
        <f>IF(MarkupType="Store Markup",ROUND(V1985+V1985*StoreMarkup,2),IF(MarkupType="Supplier Markup",V1985+V1985*SupplierMarkup,"Error at finding value"))</f>
        <v>25.48</v>
      </c>
      <c r="X1985" s="32" t="str">
        <f t="shared" si="678"/>
        <v>0.00</v>
      </c>
      <c r="Y1985" s="15">
        <f t="shared" si="679"/>
        <v>113.26</v>
      </c>
      <c r="Z1985" s="15">
        <f t="shared" si="680"/>
        <v>178.36</v>
      </c>
      <c r="AA1985" s="15">
        <f>IF(FreightType="Lethbridge-Stewart Freight ",ROUND(2.99+IF(N1985&gt;0.75,(N1985-0.75)*2.25,0)*S1985,2),IF(MarkupType="Supplier Markup",V1985+V1985*SupplierMarkup,"Error at finding value"))</f>
        <v>2.99</v>
      </c>
      <c r="AB1985" s="15">
        <f t="shared" si="681"/>
        <v>0</v>
      </c>
    </row>
    <row r="1986" spans="1:28" x14ac:dyDescent="0.25">
      <c r="A1986" s="16">
        <f>OrdersTable!A1986</f>
        <v>282</v>
      </c>
      <c r="B1986" s="15" t="str">
        <f t="shared" si="661"/>
        <v>Dr</v>
      </c>
      <c r="C1986" s="15" t="str">
        <f t="shared" si="682"/>
        <v>Johnson</v>
      </c>
      <c r="D1986" s="15" t="str">
        <f t="shared" si="662"/>
        <v>Samantha Emily Louise</v>
      </c>
      <c r="E1986" s="15" t="str">
        <f t="shared" si="663"/>
        <v>2 Wiggan Avenue</v>
      </c>
      <c r="F1986" s="15" t="str">
        <f t="shared" si="664"/>
        <v>Boston</v>
      </c>
      <c r="G1986" s="15" t="str">
        <f t="shared" si="665"/>
        <v>SA</v>
      </c>
      <c r="H1986" s="15">
        <f t="shared" si="666"/>
        <v>5607</v>
      </c>
      <c r="I1986" s="15">
        <f t="shared" si="677"/>
        <v>2076</v>
      </c>
      <c r="J1986" s="15">
        <f>OrdersTable!B1986</f>
        <v>145</v>
      </c>
      <c r="K1986" s="15" t="str">
        <f t="shared" si="667"/>
        <v>Bobbleheads</v>
      </c>
      <c r="L1986" s="15" t="str">
        <f t="shared" si="668"/>
        <v>Doctor Who: Bobblehead: Eleventh Doctor</v>
      </c>
      <c r="M1986" s="15" t="str">
        <f t="shared" si="669"/>
        <v>-</v>
      </c>
      <c r="N1986" s="15">
        <f t="shared" si="670"/>
        <v>1</v>
      </c>
      <c r="O1986" s="15" t="str">
        <f t="shared" si="671"/>
        <v>A30</v>
      </c>
      <c r="P1986" s="15" t="str">
        <f t="shared" si="672"/>
        <v>Chesterton Enterprises</v>
      </c>
      <c r="Q1986" s="15" t="str">
        <f t="shared" si="673"/>
        <v>41 William Russell Road</v>
      </c>
      <c r="R1986" s="3">
        <f>OrdersTable!C1986</f>
        <v>44703</v>
      </c>
      <c r="S1986" s="15">
        <f>OrdersTable!E1986</f>
        <v>10</v>
      </c>
      <c r="T1986" s="15">
        <f t="shared" si="674"/>
        <v>19.989999999999998</v>
      </c>
      <c r="U1986" s="15">
        <f t="shared" si="675"/>
        <v>27.54</v>
      </c>
      <c r="V1986" s="15">
        <f t="shared" si="676"/>
        <v>32.380000000000003</v>
      </c>
      <c r="W1986" s="15">
        <f>IF(MarkupType="Store Markup",ROUND(V1986+V1986*StoreMarkup,2),IF(MarkupType="Supplier Markup",V1986+V1986*SupplierMarkup,"Error at finding value"))</f>
        <v>51</v>
      </c>
      <c r="X1986" s="32" t="str">
        <f t="shared" si="678"/>
        <v>0.00</v>
      </c>
      <c r="Y1986" s="15">
        <f t="shared" si="679"/>
        <v>323.8</v>
      </c>
      <c r="Z1986" s="15">
        <f t="shared" si="680"/>
        <v>510</v>
      </c>
      <c r="AA1986" s="15">
        <f>IF(FreightType="Lethbridge-Stewart Freight ",ROUND(2.99+IF(N1986&gt;0.75,(N1986-0.75)*2.25,0)*S1986,2),IF(MarkupType="Supplier Markup",V1986+V1986*SupplierMarkup,"Error at finding value"))</f>
        <v>8.6199999999999992</v>
      </c>
      <c r="AB1986" s="15">
        <f t="shared" si="681"/>
        <v>0</v>
      </c>
    </row>
    <row r="1987" spans="1:28" x14ac:dyDescent="0.25">
      <c r="A1987" s="16">
        <f>OrdersTable!A1987</f>
        <v>543</v>
      </c>
      <c r="B1987" s="15" t="str">
        <f t="shared" si="661"/>
        <v>Ms</v>
      </c>
      <c r="C1987" s="15" t="str">
        <f t="shared" si="682"/>
        <v>Mendezona</v>
      </c>
      <c r="D1987" s="15" t="str">
        <f t="shared" si="662"/>
        <v>Tara Colleen-Mary</v>
      </c>
      <c r="E1987" s="15" t="str">
        <f t="shared" si="663"/>
        <v>27 Picone Drive</v>
      </c>
      <c r="F1987" s="15" t="str">
        <f t="shared" si="664"/>
        <v>Aberfoyle</v>
      </c>
      <c r="G1987" s="15" t="str">
        <f t="shared" si="665"/>
        <v>NSW</v>
      </c>
      <c r="H1987" s="15">
        <f t="shared" si="666"/>
        <v>2350</v>
      </c>
      <c r="I1987" s="15">
        <f t="shared" si="677"/>
        <v>363</v>
      </c>
      <c r="J1987" s="15">
        <f>OrdersTable!B1987</f>
        <v>358</v>
      </c>
      <c r="K1987" s="15" t="str">
        <f t="shared" si="667"/>
        <v>Clothing and Apparel</v>
      </c>
      <c r="L1987" s="15" t="str">
        <f t="shared" si="668"/>
        <v xml:space="preserve">Doctor Who: T-Shirts: 5th Doctor Costume </v>
      </c>
      <c r="M1987" s="15" t="str">
        <f t="shared" si="669"/>
        <v>M</v>
      </c>
      <c r="N1987" s="15">
        <f t="shared" si="670"/>
        <v>0.8</v>
      </c>
      <c r="O1987" s="15" t="str">
        <f t="shared" si="671"/>
        <v>A30</v>
      </c>
      <c r="P1987" s="15" t="str">
        <f t="shared" si="672"/>
        <v>Chesterton Enterprises</v>
      </c>
      <c r="Q1987" s="15" t="str">
        <f t="shared" si="673"/>
        <v>41 William Russell Road</v>
      </c>
      <c r="R1987" s="3">
        <f>OrdersTable!C1987</f>
        <v>44703</v>
      </c>
      <c r="S1987" s="15">
        <f>OrdersTable!E1987</f>
        <v>3</v>
      </c>
      <c r="T1987" s="15">
        <f t="shared" si="674"/>
        <v>15.99</v>
      </c>
      <c r="U1987" s="15">
        <f t="shared" si="675"/>
        <v>21.96</v>
      </c>
      <c r="V1987" s="15">
        <f t="shared" si="676"/>
        <v>25.9</v>
      </c>
      <c r="W1987" s="15">
        <f>IF(MarkupType="Store Markup",ROUND(V1987+V1987*StoreMarkup,2),IF(MarkupType="Supplier Markup",V1987+V1987*SupplierMarkup,"Error at finding value"))</f>
        <v>40.79</v>
      </c>
      <c r="X1987" s="32" t="str">
        <f t="shared" si="678"/>
        <v>0.00</v>
      </c>
      <c r="Y1987" s="15">
        <f t="shared" si="679"/>
        <v>77.7</v>
      </c>
      <c r="Z1987" s="15">
        <f t="shared" si="680"/>
        <v>122.37</v>
      </c>
      <c r="AA1987" s="15">
        <f>IF(FreightType="Lethbridge-Stewart Freight ",ROUND(2.99+IF(N1987&gt;0.75,(N1987-0.75)*2.25,0)*S1987,2),IF(MarkupType="Supplier Markup",V1987+V1987*SupplierMarkup,"Error at finding value"))</f>
        <v>3.33</v>
      </c>
      <c r="AB1987" s="15">
        <f t="shared" si="681"/>
        <v>0</v>
      </c>
    </row>
    <row r="1988" spans="1:28" x14ac:dyDescent="0.25">
      <c r="A1988" s="16">
        <f>OrdersTable!A1988</f>
        <v>609</v>
      </c>
      <c r="B1988" s="15" t="str">
        <f t="shared" ref="B1988:B2051" si="683">VLOOKUP($A1988,Cust,2,0)</f>
        <v>Ms</v>
      </c>
      <c r="C1988" s="15" t="str">
        <f t="shared" si="682"/>
        <v>Ashley</v>
      </c>
      <c r="D1988" s="15" t="str">
        <f t="shared" ref="D1988:D2051" si="684">VLOOKUP($A1988,Cust,4,0)</f>
        <v>Matthew</v>
      </c>
      <c r="E1988" s="15" t="str">
        <f t="shared" ref="E1988:E2051" si="685">VLOOKUP($A1988,Cust,6,0)</f>
        <v>3 Wagener Crescent</v>
      </c>
      <c r="F1988" s="15" t="str">
        <f t="shared" ref="F1988:F2051" si="686">VLOOKUP($A1988,Cust,7,0)</f>
        <v>Aberfoyle</v>
      </c>
      <c r="G1988" s="15" t="str">
        <f t="shared" ref="G1988:G2051" si="687">VLOOKUP($A1988,Cust,8,0)</f>
        <v>NSW</v>
      </c>
      <c r="H1988" s="15">
        <f t="shared" ref="H1988:H2051" si="688">VLOOKUP($A1988,Cust,9,0)</f>
        <v>2350</v>
      </c>
      <c r="I1988" s="15">
        <f t="shared" si="677"/>
        <v>363</v>
      </c>
      <c r="J1988" s="15">
        <f>OrdersTable!B1988</f>
        <v>373</v>
      </c>
      <c r="K1988" s="15" t="str">
        <f t="shared" ref="K1988:K2051" si="689">VLOOKUP($J1988,Itms,2,0)</f>
        <v>Clothing and Apparel</v>
      </c>
      <c r="L1988" s="15" t="str">
        <f t="shared" ref="L1988:L2051" si="690">VLOOKUP($J1988,Itms,3,0)</f>
        <v xml:space="preserve">Doctor Who: T-Shirts: 5th Doctor Costume </v>
      </c>
      <c r="M1988" s="15" t="str">
        <f t="shared" ref="M1988:M2051" si="691">VLOOKUP($J1988,Itms,4,0)</f>
        <v>L</v>
      </c>
      <c r="N1988" s="15">
        <f t="shared" ref="N1988:N2051" si="692">VLOOKUP($J1988,Itms,5,0)</f>
        <v>0.8</v>
      </c>
      <c r="O1988" s="15" t="str">
        <f t="shared" ref="O1988:O2051" si="693">VLOOKUP($J1988,Itms,6,0)</f>
        <v>A20</v>
      </c>
      <c r="P1988" s="15" t="str">
        <f t="shared" ref="P1988:P2051" si="694">VLOOKUP($O1988,Supp,2,0)</f>
        <v>Morbius Inc.</v>
      </c>
      <c r="Q1988" s="15" t="str">
        <f t="shared" ref="Q1988:Q2051" si="695">VLOOKUP($O1988,Supp,3,0)</f>
        <v>56 Michael Spice Hwy</v>
      </c>
      <c r="R1988" s="3">
        <f>OrdersTable!C1988</f>
        <v>44703</v>
      </c>
      <c r="S1988" s="15">
        <f>OrdersTable!E1988</f>
        <v>4</v>
      </c>
      <c r="T1988" s="15">
        <f t="shared" ref="T1988:T2051" si="696">VLOOKUP($J1988,Itms,9,0)</f>
        <v>15.99</v>
      </c>
      <c r="U1988" s="15">
        <f t="shared" ref="U1988:U2051" si="697">VLOOKUP($J1988,Itms,10,0)</f>
        <v>22.09</v>
      </c>
      <c r="V1988" s="15">
        <f t="shared" ref="V1988:V2051" si="698">IF(ExchRateType="IR",ROUND(T1988*ExchRateIR,2),IF(ExchRateType="CA",ROUND(U1988*ExchRateCA,2),"Error at finding value"))</f>
        <v>25.9</v>
      </c>
      <c r="W1988" s="15">
        <f>IF(MarkupType="Store Markup",ROUND(V1988+V1988*StoreMarkup,2),IF(MarkupType="Supplier Markup",V1988+V1988*SupplierMarkup,"Error at finding value"))</f>
        <v>40.79</v>
      </c>
      <c r="X1988" s="32" t="str">
        <f t="shared" si="678"/>
        <v>0.00</v>
      </c>
      <c r="Y1988" s="15">
        <f t="shared" si="679"/>
        <v>103.6</v>
      </c>
      <c r="Z1988" s="15">
        <f t="shared" si="680"/>
        <v>163.16</v>
      </c>
      <c r="AA1988" s="15">
        <f>IF(FreightType="Lethbridge-Stewart Freight ",ROUND(2.99+IF(N1988&gt;0.75,(N1988-0.75)*2.25,0)*S1988,2),IF(MarkupType="Supplier Markup",V1988+V1988*SupplierMarkup,"Error at finding value"))</f>
        <v>3.44</v>
      </c>
      <c r="AB1988" s="15">
        <f t="shared" si="681"/>
        <v>0</v>
      </c>
    </row>
    <row r="1989" spans="1:28" x14ac:dyDescent="0.25">
      <c r="A1989" s="16">
        <f>OrdersTable!A1989</f>
        <v>610</v>
      </c>
      <c r="B1989" s="15" t="str">
        <f t="shared" si="683"/>
        <v>Ms</v>
      </c>
      <c r="C1989" s="15" t="str">
        <f t="shared" si="682"/>
        <v>Bichel</v>
      </c>
      <c r="D1989" s="15" t="str">
        <f t="shared" si="684"/>
        <v>Abbey Kate</v>
      </c>
      <c r="E1989" s="15" t="str">
        <f t="shared" si="685"/>
        <v>32 Rambau Avenue</v>
      </c>
      <c r="F1989" s="15" t="str">
        <f t="shared" si="686"/>
        <v>Bamboo</v>
      </c>
      <c r="G1989" s="15" t="str">
        <f t="shared" si="687"/>
        <v>QLD</v>
      </c>
      <c r="H1989" s="15">
        <f t="shared" si="688"/>
        <v>4873</v>
      </c>
      <c r="I1989" s="15">
        <f t="shared" ref="I1989:I2052" si="699">VLOOKUP($A1989,Cust,10,0)</f>
        <v>1741</v>
      </c>
      <c r="J1989" s="15">
        <f>OrdersTable!B1989</f>
        <v>701</v>
      </c>
      <c r="K1989" s="15" t="str">
        <f t="shared" si="689"/>
        <v>Posters, Prints and Standees</v>
      </c>
      <c r="L1989" s="15" t="str">
        <f t="shared" si="690"/>
        <v>Doctor Who: Half Sized Standee: The TARDIS</v>
      </c>
      <c r="M1989" s="15" t="str">
        <f t="shared" si="691"/>
        <v>-</v>
      </c>
      <c r="N1989" s="15">
        <f t="shared" si="692"/>
        <v>0.5</v>
      </c>
      <c r="O1989" s="15" t="str">
        <f t="shared" si="693"/>
        <v>A40</v>
      </c>
      <c r="P1989" s="15" t="str">
        <f t="shared" si="694"/>
        <v>Romana Imports</v>
      </c>
      <c r="Q1989" s="15" t="str">
        <f t="shared" si="695"/>
        <v>17 Lalla Ward Road</v>
      </c>
      <c r="R1989" s="3">
        <f>OrdersTable!C1989</f>
        <v>44703</v>
      </c>
      <c r="S1989" s="15">
        <f>OrdersTable!E1989</f>
        <v>4</v>
      </c>
      <c r="T1989" s="15">
        <f t="shared" si="696"/>
        <v>9.99</v>
      </c>
      <c r="U1989" s="15">
        <f t="shared" si="697"/>
        <v>13.83</v>
      </c>
      <c r="V1989" s="15">
        <f t="shared" si="698"/>
        <v>16.18</v>
      </c>
      <c r="W1989" s="15">
        <f>IF(MarkupType="Store Markup",ROUND(V1989+V1989*StoreMarkup,2),IF(MarkupType="Supplier Markup",V1989+V1989*SupplierMarkup,"Error at finding value"))</f>
        <v>25.48</v>
      </c>
      <c r="X1989" s="32" t="str">
        <f t="shared" ref="X1989:X2052" si="700">IF(AND(W1989&gt;100,S1989&gt;=3),ROUND(0.07125*W1989,2),"0.00")</f>
        <v>0.00</v>
      </c>
      <c r="Y1989" s="15">
        <f t="shared" ref="Y1989:Y2052" si="701">ROUND(V1989*S1989,2)</f>
        <v>64.72</v>
      </c>
      <c r="Z1989" s="15">
        <f t="shared" ref="Z1989:Z2052" si="702">ROUND((W1989-X1989)*S1989,2)</f>
        <v>101.92</v>
      </c>
      <c r="AA1989" s="15">
        <f>IF(FreightType="Lethbridge-Stewart Freight ",ROUND(2.99+IF(N1989&gt;0.75,(N1989-0.75)*2.25,0)*S1989,2),IF(MarkupType="Supplier Markup",V1989+V1989*SupplierMarkup,"Error at finding value"))</f>
        <v>2.99</v>
      </c>
      <c r="AB1989" s="15">
        <f t="shared" ref="AB1989:AB2052" si="703">ROUND(X1989*S1989,2)</f>
        <v>0</v>
      </c>
    </row>
    <row r="1990" spans="1:28" x14ac:dyDescent="0.25">
      <c r="A1990" s="16">
        <f>OrdersTable!A1990</f>
        <v>659</v>
      </c>
      <c r="B1990" s="15" t="str">
        <f t="shared" si="683"/>
        <v>Mr</v>
      </c>
      <c r="C1990" s="15" t="str">
        <f t="shared" si="682"/>
        <v>Douglas</v>
      </c>
      <c r="D1990" s="15" t="str">
        <f t="shared" si="684"/>
        <v>Jason Richard</v>
      </c>
      <c r="E1990" s="15" t="str">
        <f t="shared" si="685"/>
        <v>14 Young Crescent</v>
      </c>
      <c r="F1990" s="15" t="str">
        <f t="shared" si="686"/>
        <v>Caliph</v>
      </c>
      <c r="G1990" s="15" t="str">
        <f t="shared" si="687"/>
        <v>SA</v>
      </c>
      <c r="H1990" s="15">
        <f t="shared" si="688"/>
        <v>5310</v>
      </c>
      <c r="I1990" s="15">
        <f t="shared" si="699"/>
        <v>1720</v>
      </c>
      <c r="J1990" s="15">
        <f>OrdersTable!B1990</f>
        <v>145</v>
      </c>
      <c r="K1990" s="15" t="str">
        <f t="shared" si="689"/>
        <v>Bobbleheads</v>
      </c>
      <c r="L1990" s="15" t="str">
        <f t="shared" si="690"/>
        <v>Doctor Who: Bobblehead: Eleventh Doctor</v>
      </c>
      <c r="M1990" s="15" t="str">
        <f t="shared" si="691"/>
        <v>-</v>
      </c>
      <c r="N1990" s="15">
        <f t="shared" si="692"/>
        <v>1</v>
      </c>
      <c r="O1990" s="15" t="str">
        <f t="shared" si="693"/>
        <v>A30</v>
      </c>
      <c r="P1990" s="15" t="str">
        <f t="shared" si="694"/>
        <v>Chesterton Enterprises</v>
      </c>
      <c r="Q1990" s="15" t="str">
        <f t="shared" si="695"/>
        <v>41 William Russell Road</v>
      </c>
      <c r="R1990" s="3">
        <f>OrdersTable!C1990</f>
        <v>44703</v>
      </c>
      <c r="S1990" s="15">
        <f>OrdersTable!E1990</f>
        <v>4</v>
      </c>
      <c r="T1990" s="15">
        <f t="shared" si="696"/>
        <v>19.989999999999998</v>
      </c>
      <c r="U1990" s="15">
        <f t="shared" si="697"/>
        <v>27.54</v>
      </c>
      <c r="V1990" s="15">
        <f t="shared" si="698"/>
        <v>32.380000000000003</v>
      </c>
      <c r="W1990" s="15">
        <f>IF(MarkupType="Store Markup",ROUND(V1990+V1990*StoreMarkup,2),IF(MarkupType="Supplier Markup",V1990+V1990*SupplierMarkup,"Error at finding value"))</f>
        <v>51</v>
      </c>
      <c r="X1990" s="32" t="str">
        <f t="shared" si="700"/>
        <v>0.00</v>
      </c>
      <c r="Y1990" s="15">
        <f t="shared" si="701"/>
        <v>129.52000000000001</v>
      </c>
      <c r="Z1990" s="15">
        <f t="shared" si="702"/>
        <v>204</v>
      </c>
      <c r="AA1990" s="15">
        <f>IF(FreightType="Lethbridge-Stewart Freight ",ROUND(2.99+IF(N1990&gt;0.75,(N1990-0.75)*2.25,0)*S1990,2),IF(MarkupType="Supplier Markup",V1990+V1990*SupplierMarkup,"Error at finding value"))</f>
        <v>5.24</v>
      </c>
      <c r="AB1990" s="15">
        <f t="shared" si="703"/>
        <v>0</v>
      </c>
    </row>
    <row r="1991" spans="1:28" x14ac:dyDescent="0.25">
      <c r="A1991" s="16">
        <f>OrdersTable!A1991</f>
        <v>841</v>
      </c>
      <c r="B1991" s="15" t="str">
        <f t="shared" si="683"/>
        <v>Miss</v>
      </c>
      <c r="C1991" s="15" t="str">
        <f t="shared" si="682"/>
        <v>Donaghy</v>
      </c>
      <c r="D1991" s="15" t="str">
        <f t="shared" si="684"/>
        <v>Elizabeth Mathilde Jane</v>
      </c>
      <c r="E1991" s="15" t="str">
        <f t="shared" si="685"/>
        <v>31 Johnson Boulevard</v>
      </c>
      <c r="F1991" s="15" t="str">
        <f t="shared" si="686"/>
        <v>Belford</v>
      </c>
      <c r="G1991" s="15" t="str">
        <f t="shared" si="687"/>
        <v>NSW</v>
      </c>
      <c r="H1991" s="15">
        <f t="shared" si="688"/>
        <v>2335</v>
      </c>
      <c r="I1991" s="15">
        <f t="shared" si="699"/>
        <v>716</v>
      </c>
      <c r="J1991" s="15">
        <f>OrdersTable!B1991</f>
        <v>862</v>
      </c>
      <c r="K1991" s="15" t="str">
        <f t="shared" si="689"/>
        <v>Statues and Busts</v>
      </c>
      <c r="L1991" s="15" t="str">
        <f t="shared" si="690"/>
        <v>Doctor Who: TITANS: The 10th Doctor</v>
      </c>
      <c r="M1991" s="15" t="str">
        <f t="shared" si="691"/>
        <v>-</v>
      </c>
      <c r="N1991" s="15">
        <f t="shared" si="692"/>
        <v>0.4</v>
      </c>
      <c r="O1991" s="15" t="str">
        <f t="shared" si="693"/>
        <v>A40</v>
      </c>
      <c r="P1991" s="15" t="str">
        <f t="shared" si="694"/>
        <v>Romana Imports</v>
      </c>
      <c r="Q1991" s="15" t="str">
        <f t="shared" si="695"/>
        <v>17 Lalla Ward Road</v>
      </c>
      <c r="R1991" s="3">
        <f>OrdersTable!C1991</f>
        <v>44703</v>
      </c>
      <c r="S1991" s="15">
        <f>OrdersTable!E1991</f>
        <v>4</v>
      </c>
      <c r="T1991" s="15">
        <f t="shared" si="696"/>
        <v>7.99</v>
      </c>
      <c r="U1991" s="15">
        <f t="shared" si="697"/>
        <v>11.01</v>
      </c>
      <c r="V1991" s="15">
        <f t="shared" si="698"/>
        <v>12.94</v>
      </c>
      <c r="W1991" s="15">
        <f>IF(MarkupType="Store Markup",ROUND(V1991+V1991*StoreMarkup,2),IF(MarkupType="Supplier Markup",V1991+V1991*SupplierMarkup,"Error at finding value"))</f>
        <v>20.38</v>
      </c>
      <c r="X1991" s="32" t="str">
        <f t="shared" si="700"/>
        <v>0.00</v>
      </c>
      <c r="Y1991" s="15">
        <f t="shared" si="701"/>
        <v>51.76</v>
      </c>
      <c r="Z1991" s="15">
        <f t="shared" si="702"/>
        <v>81.52</v>
      </c>
      <c r="AA1991" s="15">
        <f>IF(FreightType="Lethbridge-Stewart Freight ",ROUND(2.99+IF(N1991&gt;0.75,(N1991-0.75)*2.25,0)*S1991,2),IF(MarkupType="Supplier Markup",V1991+V1991*SupplierMarkup,"Error at finding value"))</f>
        <v>2.99</v>
      </c>
      <c r="AB1991" s="15">
        <f t="shared" si="703"/>
        <v>0</v>
      </c>
    </row>
    <row r="1992" spans="1:28" x14ac:dyDescent="0.25">
      <c r="A1992" s="16">
        <f>OrdersTable!A1992</f>
        <v>849</v>
      </c>
      <c r="B1992" s="15" t="str">
        <f t="shared" si="683"/>
        <v>Dr</v>
      </c>
      <c r="C1992" s="15" t="str">
        <f t="shared" si="682"/>
        <v>Blair</v>
      </c>
      <c r="D1992" s="15" t="str">
        <f t="shared" si="684"/>
        <v>Taylor Ashleigh</v>
      </c>
      <c r="E1992" s="15" t="str">
        <f t="shared" si="685"/>
        <v>42 Ward Avenue</v>
      </c>
      <c r="F1992" s="15" t="str">
        <f t="shared" si="686"/>
        <v>Airly</v>
      </c>
      <c r="G1992" s="15" t="str">
        <f t="shared" si="687"/>
        <v>VIC</v>
      </c>
      <c r="H1992" s="15">
        <f t="shared" si="688"/>
        <v>3851</v>
      </c>
      <c r="I1992" s="15">
        <f t="shared" si="699"/>
        <v>1583</v>
      </c>
      <c r="J1992" s="15">
        <f>OrdersTable!B1992</f>
        <v>752</v>
      </c>
      <c r="K1992" s="15" t="str">
        <f t="shared" si="689"/>
        <v>Statues and Busts</v>
      </c>
      <c r="L1992" s="15" t="str">
        <f t="shared" si="690"/>
        <v>Doctor Who: Helmet: Cyberman Leader</v>
      </c>
      <c r="M1992" s="15" t="str">
        <f t="shared" si="691"/>
        <v>-</v>
      </c>
      <c r="N1992" s="15">
        <f t="shared" si="692"/>
        <v>2</v>
      </c>
      <c r="O1992" s="15" t="str">
        <f t="shared" si="693"/>
        <v>A30</v>
      </c>
      <c r="P1992" s="15" t="str">
        <f t="shared" si="694"/>
        <v>Chesterton Enterprises</v>
      </c>
      <c r="Q1992" s="15" t="str">
        <f t="shared" si="695"/>
        <v>41 William Russell Road</v>
      </c>
      <c r="R1992" s="3">
        <f>OrdersTable!C1992</f>
        <v>44703</v>
      </c>
      <c r="S1992" s="15">
        <f>OrdersTable!E1992</f>
        <v>2</v>
      </c>
      <c r="T1992" s="15">
        <f t="shared" si="696"/>
        <v>39.99</v>
      </c>
      <c r="U1992" s="15">
        <f t="shared" si="697"/>
        <v>54.85</v>
      </c>
      <c r="V1992" s="15">
        <f t="shared" si="698"/>
        <v>64.78</v>
      </c>
      <c r="W1992" s="15">
        <f>IF(MarkupType="Store Markup",ROUND(V1992+V1992*StoreMarkup,2),IF(MarkupType="Supplier Markup",V1992+V1992*SupplierMarkup,"Error at finding value"))</f>
        <v>102.03</v>
      </c>
      <c r="X1992" s="32" t="str">
        <f t="shared" si="700"/>
        <v>0.00</v>
      </c>
      <c r="Y1992" s="15">
        <f t="shared" si="701"/>
        <v>129.56</v>
      </c>
      <c r="Z1992" s="15">
        <f t="shared" si="702"/>
        <v>204.06</v>
      </c>
      <c r="AA1992" s="15">
        <f>IF(FreightType="Lethbridge-Stewart Freight ",ROUND(2.99+IF(N1992&gt;0.75,(N1992-0.75)*2.25,0)*S1992,2),IF(MarkupType="Supplier Markup",V1992+V1992*SupplierMarkup,"Error at finding value"))</f>
        <v>8.6199999999999992</v>
      </c>
      <c r="AB1992" s="15">
        <f t="shared" si="703"/>
        <v>0</v>
      </c>
    </row>
    <row r="1993" spans="1:28" x14ac:dyDescent="0.25">
      <c r="A1993" s="16">
        <f>OrdersTable!A1993</f>
        <v>923</v>
      </c>
      <c r="B1993" s="15" t="str">
        <f t="shared" si="683"/>
        <v>Ms</v>
      </c>
      <c r="C1993" s="15" t="str">
        <f t="shared" si="682"/>
        <v>Savage</v>
      </c>
      <c r="D1993" s="15" t="str">
        <f t="shared" si="684"/>
        <v>Eliza Margaret</v>
      </c>
      <c r="E1993" s="15" t="str">
        <f t="shared" si="685"/>
        <v>28 Whisson Crescent</v>
      </c>
      <c r="F1993" s="15" t="str">
        <f t="shared" si="686"/>
        <v>Belconnen</v>
      </c>
      <c r="G1993" s="15" t="str">
        <f t="shared" si="687"/>
        <v>ACT</v>
      </c>
      <c r="H1993" s="15">
        <f t="shared" si="688"/>
        <v>2617</v>
      </c>
      <c r="I1993" s="15">
        <f t="shared" si="699"/>
        <v>1194</v>
      </c>
      <c r="J1993" s="15">
        <f>OrdersTable!B1993</f>
        <v>778</v>
      </c>
      <c r="K1993" s="15" t="str">
        <f t="shared" si="689"/>
        <v>Statues and Busts</v>
      </c>
      <c r="L1993" s="15" t="str">
        <f t="shared" si="690"/>
        <v>Doctor Who: Legends Forever Bust: William Hartnell</v>
      </c>
      <c r="M1993" s="15" t="str">
        <f t="shared" si="691"/>
        <v>-</v>
      </c>
      <c r="N1993" s="15">
        <f t="shared" si="692"/>
        <v>1.375</v>
      </c>
      <c r="O1993" s="15" t="str">
        <f t="shared" si="693"/>
        <v>A40</v>
      </c>
      <c r="P1993" s="15" t="str">
        <f t="shared" si="694"/>
        <v>Romana Imports</v>
      </c>
      <c r="Q1993" s="15" t="str">
        <f t="shared" si="695"/>
        <v>17 Lalla Ward Road</v>
      </c>
      <c r="R1993" s="3">
        <f>OrdersTable!C1993</f>
        <v>44703</v>
      </c>
      <c r="S1993" s="15">
        <f>OrdersTable!E1993</f>
        <v>6</v>
      </c>
      <c r="T1993" s="15">
        <f t="shared" si="696"/>
        <v>27.5</v>
      </c>
      <c r="U1993" s="15">
        <f t="shared" si="697"/>
        <v>37.520000000000003</v>
      </c>
      <c r="V1993" s="15">
        <f t="shared" si="698"/>
        <v>44.55</v>
      </c>
      <c r="W1993" s="15">
        <f>IF(MarkupType="Store Markup",ROUND(V1993+V1993*StoreMarkup,2),IF(MarkupType="Supplier Markup",V1993+V1993*SupplierMarkup,"Error at finding value"))</f>
        <v>70.17</v>
      </c>
      <c r="X1993" s="32" t="str">
        <f t="shared" si="700"/>
        <v>0.00</v>
      </c>
      <c r="Y1993" s="15">
        <f t="shared" si="701"/>
        <v>267.3</v>
      </c>
      <c r="Z1993" s="15">
        <f t="shared" si="702"/>
        <v>421.02</v>
      </c>
      <c r="AA1993" s="15">
        <f>IF(FreightType="Lethbridge-Stewart Freight ",ROUND(2.99+IF(N1993&gt;0.75,(N1993-0.75)*2.25,0)*S1993,2),IF(MarkupType="Supplier Markup",V1993+V1993*SupplierMarkup,"Error at finding value"))</f>
        <v>11.43</v>
      </c>
      <c r="AB1993" s="15">
        <f t="shared" si="703"/>
        <v>0</v>
      </c>
    </row>
    <row r="1994" spans="1:28" x14ac:dyDescent="0.25">
      <c r="A1994" s="16">
        <f>OrdersTable!A1994</f>
        <v>146</v>
      </c>
      <c r="B1994" s="15" t="str">
        <f t="shared" si="683"/>
        <v>Miss</v>
      </c>
      <c r="C1994" s="15" t="str">
        <f t="shared" si="682"/>
        <v>Brown</v>
      </c>
      <c r="D1994" s="15" t="str">
        <f t="shared" si="684"/>
        <v>Sarah Danielle</v>
      </c>
      <c r="E1994" s="15" t="str">
        <f t="shared" si="685"/>
        <v>50 Brieschke Court</v>
      </c>
      <c r="F1994" s="15" t="str">
        <f t="shared" si="686"/>
        <v>Bray Park</v>
      </c>
      <c r="G1994" s="15" t="str">
        <f t="shared" si="687"/>
        <v>QLD</v>
      </c>
      <c r="H1994" s="15">
        <f t="shared" si="688"/>
        <v>4500</v>
      </c>
      <c r="I1994" s="15">
        <f t="shared" si="699"/>
        <v>139</v>
      </c>
      <c r="J1994" s="15">
        <f>OrdersTable!B1994</f>
        <v>667</v>
      </c>
      <c r="K1994" s="15" t="str">
        <f t="shared" si="689"/>
        <v>Mugs</v>
      </c>
      <c r="L1994" s="15" t="str">
        <f t="shared" si="690"/>
        <v>Doctor Who: Mug: Keep Calm And Don't Blink</v>
      </c>
      <c r="M1994" s="15" t="str">
        <f t="shared" si="691"/>
        <v>-</v>
      </c>
      <c r="N1994" s="15">
        <f t="shared" si="692"/>
        <v>0.35</v>
      </c>
      <c r="O1994" s="15" t="str">
        <f t="shared" si="693"/>
        <v>A10</v>
      </c>
      <c r="P1994" s="15" t="str">
        <f t="shared" si="694"/>
        <v>Gallifrey International</v>
      </c>
      <c r="Q1994" s="15" t="str">
        <f t="shared" si="695"/>
        <v>181 Arcadia Street</v>
      </c>
      <c r="R1994" s="3">
        <f>OrdersTable!C1994</f>
        <v>44704</v>
      </c>
      <c r="S1994" s="15">
        <f>OrdersTable!E1994</f>
        <v>9</v>
      </c>
      <c r="T1994" s="15">
        <f t="shared" si="696"/>
        <v>6.99</v>
      </c>
      <c r="U1994" s="15">
        <f t="shared" si="697"/>
        <v>9.84</v>
      </c>
      <c r="V1994" s="15">
        <f t="shared" si="698"/>
        <v>11.32</v>
      </c>
      <c r="W1994" s="15">
        <f>IF(MarkupType="Store Markup",ROUND(V1994+V1994*StoreMarkup,2),IF(MarkupType="Supplier Markup",V1994+V1994*SupplierMarkup,"Error at finding value"))</f>
        <v>17.829999999999998</v>
      </c>
      <c r="X1994" s="32" t="str">
        <f t="shared" si="700"/>
        <v>0.00</v>
      </c>
      <c r="Y1994" s="15">
        <f t="shared" si="701"/>
        <v>101.88</v>
      </c>
      <c r="Z1994" s="15">
        <f t="shared" si="702"/>
        <v>160.47</v>
      </c>
      <c r="AA1994" s="15">
        <f>IF(FreightType="Lethbridge-Stewart Freight ",ROUND(2.99+IF(N1994&gt;0.75,(N1994-0.75)*2.25,0)*S1994,2),IF(MarkupType="Supplier Markup",V1994+V1994*SupplierMarkup,"Error at finding value"))</f>
        <v>2.99</v>
      </c>
      <c r="AB1994" s="15">
        <f t="shared" si="703"/>
        <v>0</v>
      </c>
    </row>
    <row r="1995" spans="1:28" x14ac:dyDescent="0.25">
      <c r="A1995" s="16">
        <f>OrdersTable!A1995</f>
        <v>150</v>
      </c>
      <c r="B1995" s="15" t="str">
        <f t="shared" si="683"/>
        <v>Dr</v>
      </c>
      <c r="C1995" s="15" t="str">
        <f t="shared" ref="C1995:C2058" si="704">VLOOKUP($A1995,Cust,3,0)</f>
        <v>Taumalolo</v>
      </c>
      <c r="D1995" s="15" t="str">
        <f t="shared" si="684"/>
        <v>Latai Fono-Ki-Moana</v>
      </c>
      <c r="E1995" s="15" t="str">
        <f t="shared" si="685"/>
        <v>13 Taylor Way</v>
      </c>
      <c r="F1995" s="15" t="str">
        <f t="shared" si="686"/>
        <v>Bamboo</v>
      </c>
      <c r="G1995" s="15" t="str">
        <f t="shared" si="687"/>
        <v>QLD</v>
      </c>
      <c r="H1995" s="15">
        <f t="shared" si="688"/>
        <v>4873</v>
      </c>
      <c r="I1995" s="15">
        <f t="shared" si="699"/>
        <v>1741</v>
      </c>
      <c r="J1995" s="15">
        <f>OrdersTable!B1995</f>
        <v>395</v>
      </c>
      <c r="K1995" s="15" t="str">
        <f t="shared" si="689"/>
        <v>Clothing and Apparel</v>
      </c>
      <c r="L1995" s="15" t="str">
        <f t="shared" si="690"/>
        <v xml:space="preserve">Doctor Who: T-Shirts: 7th Doctor Costume </v>
      </c>
      <c r="M1995" s="15" t="str">
        <f t="shared" si="691"/>
        <v>L</v>
      </c>
      <c r="N1995" s="15">
        <f t="shared" si="692"/>
        <v>0.8</v>
      </c>
      <c r="O1995" s="15" t="str">
        <f t="shared" si="693"/>
        <v>A10</v>
      </c>
      <c r="P1995" s="15" t="str">
        <f t="shared" si="694"/>
        <v>Gallifrey International</v>
      </c>
      <c r="Q1995" s="15" t="str">
        <f t="shared" si="695"/>
        <v>181 Arcadia Street</v>
      </c>
      <c r="R1995" s="3">
        <f>OrdersTable!C1995</f>
        <v>44704</v>
      </c>
      <c r="S1995" s="15">
        <f>OrdersTable!E1995</f>
        <v>3</v>
      </c>
      <c r="T1995" s="15">
        <f t="shared" si="696"/>
        <v>15.99</v>
      </c>
      <c r="U1995" s="15">
        <f t="shared" si="697"/>
        <v>22.07</v>
      </c>
      <c r="V1995" s="15">
        <f t="shared" si="698"/>
        <v>25.9</v>
      </c>
      <c r="W1995" s="15">
        <f>IF(MarkupType="Store Markup",ROUND(V1995+V1995*StoreMarkup,2),IF(MarkupType="Supplier Markup",V1995+V1995*SupplierMarkup,"Error at finding value"))</f>
        <v>40.79</v>
      </c>
      <c r="X1995" s="32" t="str">
        <f t="shared" si="700"/>
        <v>0.00</v>
      </c>
      <c r="Y1995" s="15">
        <f t="shared" si="701"/>
        <v>77.7</v>
      </c>
      <c r="Z1995" s="15">
        <f t="shared" si="702"/>
        <v>122.37</v>
      </c>
      <c r="AA1995" s="15">
        <f>IF(FreightType="Lethbridge-Stewart Freight ",ROUND(2.99+IF(N1995&gt;0.75,(N1995-0.75)*2.25,0)*S1995,2),IF(MarkupType="Supplier Markup",V1995+V1995*SupplierMarkup,"Error at finding value"))</f>
        <v>3.33</v>
      </c>
      <c r="AB1995" s="15">
        <f t="shared" si="703"/>
        <v>0</v>
      </c>
    </row>
    <row r="1996" spans="1:28" x14ac:dyDescent="0.25">
      <c r="A1996" s="16">
        <f>OrdersTable!A1996</f>
        <v>158</v>
      </c>
      <c r="B1996" s="15" t="str">
        <f t="shared" si="683"/>
        <v>Mr</v>
      </c>
      <c r="C1996" s="15" t="str">
        <f t="shared" si="704"/>
        <v>Fowler</v>
      </c>
      <c r="D1996" s="15" t="str">
        <f t="shared" si="684"/>
        <v>James</v>
      </c>
      <c r="E1996" s="15" t="str">
        <f t="shared" si="685"/>
        <v>30 Virk Court</v>
      </c>
      <c r="F1996" s="15" t="str">
        <f t="shared" si="686"/>
        <v>Black Hills</v>
      </c>
      <c r="G1996" s="15" t="str">
        <f t="shared" si="687"/>
        <v>TAS</v>
      </c>
      <c r="H1996" s="15">
        <f t="shared" si="688"/>
        <v>7140</v>
      </c>
      <c r="I1996" s="15">
        <f t="shared" si="699"/>
        <v>2191</v>
      </c>
      <c r="J1996" s="15">
        <f>OrdersTable!B1996</f>
        <v>719</v>
      </c>
      <c r="K1996" s="15" t="str">
        <f t="shared" si="689"/>
        <v>Posters, Prints and Standees</v>
      </c>
      <c r="L1996" s="15" t="str">
        <f t="shared" si="690"/>
        <v>Doctor Who: Standee: Supreme Dalek</v>
      </c>
      <c r="M1996" s="15" t="str">
        <f t="shared" si="691"/>
        <v>-</v>
      </c>
      <c r="N1996" s="15">
        <f t="shared" si="692"/>
        <v>1.125</v>
      </c>
      <c r="O1996" s="15" t="str">
        <f t="shared" si="693"/>
        <v>A50</v>
      </c>
      <c r="P1996" s="15" t="str">
        <f t="shared" si="694"/>
        <v>Rassilon Ltd.</v>
      </c>
      <c r="Q1996" s="15" t="str">
        <f t="shared" si="695"/>
        <v>82 Richard Mathews Road</v>
      </c>
      <c r="R1996" s="3">
        <f>OrdersTable!C1996</f>
        <v>44704</v>
      </c>
      <c r="S1996" s="15">
        <f>OrdersTable!E1996</f>
        <v>10</v>
      </c>
      <c r="T1996" s="15">
        <f t="shared" si="696"/>
        <v>22.49</v>
      </c>
      <c r="U1996" s="15">
        <f t="shared" si="697"/>
        <v>30.76</v>
      </c>
      <c r="V1996" s="15">
        <f t="shared" si="698"/>
        <v>36.43</v>
      </c>
      <c r="W1996" s="15">
        <f>IF(MarkupType="Store Markup",ROUND(V1996+V1996*StoreMarkup,2),IF(MarkupType="Supplier Markup",V1996+V1996*SupplierMarkup,"Error at finding value"))</f>
        <v>57.38</v>
      </c>
      <c r="X1996" s="32" t="str">
        <f t="shared" si="700"/>
        <v>0.00</v>
      </c>
      <c r="Y1996" s="15">
        <f t="shared" si="701"/>
        <v>364.3</v>
      </c>
      <c r="Z1996" s="15">
        <f t="shared" si="702"/>
        <v>573.79999999999995</v>
      </c>
      <c r="AA1996" s="15">
        <f>IF(FreightType="Lethbridge-Stewart Freight ",ROUND(2.99+IF(N1996&gt;0.75,(N1996-0.75)*2.25,0)*S1996,2),IF(MarkupType="Supplier Markup",V1996+V1996*SupplierMarkup,"Error at finding value"))</f>
        <v>11.43</v>
      </c>
      <c r="AB1996" s="15">
        <f t="shared" si="703"/>
        <v>0</v>
      </c>
    </row>
    <row r="1997" spans="1:28" x14ac:dyDescent="0.25">
      <c r="A1997" s="16">
        <f>OrdersTable!A1997</f>
        <v>308</v>
      </c>
      <c r="B1997" s="15" t="str">
        <f t="shared" si="683"/>
        <v>Dr</v>
      </c>
      <c r="C1997" s="15" t="str">
        <f t="shared" si="704"/>
        <v>Azar</v>
      </c>
      <c r="D1997" s="15" t="str">
        <f t="shared" si="684"/>
        <v>Mariam</v>
      </c>
      <c r="E1997" s="15" t="str">
        <f t="shared" si="685"/>
        <v>26 Osmond Road</v>
      </c>
      <c r="F1997" s="15" t="str">
        <f t="shared" si="686"/>
        <v>Boston</v>
      </c>
      <c r="G1997" s="15" t="str">
        <f t="shared" si="687"/>
        <v>SA</v>
      </c>
      <c r="H1997" s="15">
        <f t="shared" si="688"/>
        <v>5607</v>
      </c>
      <c r="I1997" s="15">
        <f t="shared" si="699"/>
        <v>2076</v>
      </c>
      <c r="J1997" s="15">
        <f>OrdersTable!B1997</f>
        <v>515</v>
      </c>
      <c r="K1997" s="15" t="str">
        <f t="shared" si="689"/>
        <v>Giftware</v>
      </c>
      <c r="L1997" s="15" t="str">
        <f t="shared" si="690"/>
        <v>Doctor Who: Keyring K9</v>
      </c>
      <c r="M1997" s="15" t="str">
        <f t="shared" si="691"/>
        <v>-</v>
      </c>
      <c r="N1997" s="15">
        <f t="shared" si="692"/>
        <v>0.25</v>
      </c>
      <c r="O1997" s="15" t="str">
        <f t="shared" si="693"/>
        <v>A50</v>
      </c>
      <c r="P1997" s="15" t="str">
        <f t="shared" si="694"/>
        <v>Rassilon Ltd.</v>
      </c>
      <c r="Q1997" s="15" t="str">
        <f t="shared" si="695"/>
        <v>82 Richard Mathews Road</v>
      </c>
      <c r="R1997" s="3">
        <f>OrdersTable!C1997</f>
        <v>44704</v>
      </c>
      <c r="S1997" s="15">
        <f>OrdersTable!E1997</f>
        <v>6</v>
      </c>
      <c r="T1997" s="15">
        <f t="shared" si="696"/>
        <v>4.99</v>
      </c>
      <c r="U1997" s="15">
        <f t="shared" si="697"/>
        <v>6.91</v>
      </c>
      <c r="V1997" s="15">
        <f t="shared" si="698"/>
        <v>8.08</v>
      </c>
      <c r="W1997" s="15">
        <f>IF(MarkupType="Store Markup",ROUND(V1997+V1997*StoreMarkup,2),IF(MarkupType="Supplier Markup",V1997+V1997*SupplierMarkup,"Error at finding value"))</f>
        <v>12.73</v>
      </c>
      <c r="X1997" s="32" t="str">
        <f t="shared" si="700"/>
        <v>0.00</v>
      </c>
      <c r="Y1997" s="15">
        <f t="shared" si="701"/>
        <v>48.48</v>
      </c>
      <c r="Z1997" s="15">
        <f t="shared" si="702"/>
        <v>76.38</v>
      </c>
      <c r="AA1997" s="15">
        <f>IF(FreightType="Lethbridge-Stewart Freight ",ROUND(2.99+IF(N1997&gt;0.75,(N1997-0.75)*2.25,0)*S1997,2),IF(MarkupType="Supplier Markup",V1997+V1997*SupplierMarkup,"Error at finding value"))</f>
        <v>2.99</v>
      </c>
      <c r="AB1997" s="15">
        <f t="shared" si="703"/>
        <v>0</v>
      </c>
    </row>
    <row r="1998" spans="1:28" x14ac:dyDescent="0.25">
      <c r="A1998" s="16">
        <f>OrdersTable!A1998</f>
        <v>323</v>
      </c>
      <c r="B1998" s="15" t="str">
        <f t="shared" si="683"/>
        <v>Dr</v>
      </c>
      <c r="C1998" s="15" t="str">
        <f t="shared" si="704"/>
        <v>King</v>
      </c>
      <c r="D1998" s="15" t="str">
        <f t="shared" si="684"/>
        <v>Leith</v>
      </c>
      <c r="E1998" s="15" t="str">
        <f t="shared" si="685"/>
        <v>25 Carbone Court</v>
      </c>
      <c r="F1998" s="15" t="str">
        <f t="shared" si="686"/>
        <v>Nayook</v>
      </c>
      <c r="G1998" s="15" t="str">
        <f t="shared" si="687"/>
        <v>VIC</v>
      </c>
      <c r="H1998" s="15">
        <f t="shared" si="688"/>
        <v>3832</v>
      </c>
      <c r="I1998" s="15">
        <f t="shared" si="699"/>
        <v>1552</v>
      </c>
      <c r="J1998" s="15">
        <f>OrdersTable!B1998</f>
        <v>787</v>
      </c>
      <c r="K1998" s="15" t="str">
        <f t="shared" si="689"/>
        <v>Statues and Busts</v>
      </c>
      <c r="L1998" s="15" t="str">
        <f t="shared" si="690"/>
        <v>Doctor Who: Masterpiece Collection Maxi Bust: 1st Doctor</v>
      </c>
      <c r="M1998" s="15" t="str">
        <f t="shared" si="691"/>
        <v>-</v>
      </c>
      <c r="N1998" s="15">
        <f t="shared" si="692"/>
        <v>2.5</v>
      </c>
      <c r="O1998" s="15" t="str">
        <f t="shared" si="693"/>
        <v>A10</v>
      </c>
      <c r="P1998" s="15" t="str">
        <f t="shared" si="694"/>
        <v>Gallifrey International</v>
      </c>
      <c r="Q1998" s="15" t="str">
        <f t="shared" si="695"/>
        <v>181 Arcadia Street</v>
      </c>
      <c r="R1998" s="3">
        <f>OrdersTable!C1998</f>
        <v>44704</v>
      </c>
      <c r="S1998" s="15">
        <f>OrdersTable!E1998</f>
        <v>4</v>
      </c>
      <c r="T1998" s="15">
        <f t="shared" si="696"/>
        <v>49.99</v>
      </c>
      <c r="U1998" s="15">
        <f t="shared" si="697"/>
        <v>68.290000000000006</v>
      </c>
      <c r="V1998" s="15">
        <f t="shared" si="698"/>
        <v>80.98</v>
      </c>
      <c r="W1998" s="15">
        <f>IF(MarkupType="Store Markup",ROUND(V1998+V1998*StoreMarkup,2),IF(MarkupType="Supplier Markup",V1998+V1998*SupplierMarkup,"Error at finding value"))</f>
        <v>127.54</v>
      </c>
      <c r="X1998" s="32">
        <f t="shared" si="700"/>
        <v>9.09</v>
      </c>
      <c r="Y1998" s="15">
        <f t="shared" si="701"/>
        <v>323.92</v>
      </c>
      <c r="Z1998" s="15">
        <f t="shared" si="702"/>
        <v>473.8</v>
      </c>
      <c r="AA1998" s="15">
        <f>IF(FreightType="Lethbridge-Stewart Freight ",ROUND(2.99+IF(N1998&gt;0.75,(N1998-0.75)*2.25,0)*S1998,2),IF(MarkupType="Supplier Markup",V1998+V1998*SupplierMarkup,"Error at finding value"))</f>
        <v>18.739999999999998</v>
      </c>
      <c r="AB1998" s="15">
        <f t="shared" si="703"/>
        <v>36.36</v>
      </c>
    </row>
    <row r="1999" spans="1:28" x14ac:dyDescent="0.25">
      <c r="A1999" s="16">
        <f>OrdersTable!A1999</f>
        <v>331</v>
      </c>
      <c r="B1999" s="15" t="str">
        <f t="shared" si="683"/>
        <v>Mrs</v>
      </c>
      <c r="C1999" s="15" t="str">
        <f t="shared" si="704"/>
        <v>McKenzie</v>
      </c>
      <c r="D1999" s="15" t="str">
        <f t="shared" si="684"/>
        <v>Melinda Kate</v>
      </c>
      <c r="E1999" s="15" t="str">
        <f t="shared" si="685"/>
        <v>49 McKay Way</v>
      </c>
      <c r="F1999" s="15" t="str">
        <f t="shared" si="686"/>
        <v>Black Hills</v>
      </c>
      <c r="G1999" s="15" t="str">
        <f t="shared" si="687"/>
        <v>TAS</v>
      </c>
      <c r="H1999" s="15">
        <f t="shared" si="688"/>
        <v>7140</v>
      </c>
      <c r="I1999" s="15">
        <f t="shared" si="699"/>
        <v>2191</v>
      </c>
      <c r="J1999" s="15">
        <f>OrdersTable!B1999</f>
        <v>676</v>
      </c>
      <c r="K1999" s="15" t="str">
        <f t="shared" si="689"/>
        <v>Mugs</v>
      </c>
      <c r="L1999" s="15" t="str">
        <f t="shared" si="690"/>
        <v>Doctor Who: Mug: The Eleventh Doctor</v>
      </c>
      <c r="M1999" s="15" t="str">
        <f t="shared" si="691"/>
        <v>-</v>
      </c>
      <c r="N1999" s="15">
        <f t="shared" si="692"/>
        <v>0.45</v>
      </c>
      <c r="O1999" s="15" t="str">
        <f t="shared" si="693"/>
        <v>A20</v>
      </c>
      <c r="P1999" s="15" t="str">
        <f t="shared" si="694"/>
        <v>Morbius Inc.</v>
      </c>
      <c r="Q1999" s="15" t="str">
        <f t="shared" si="695"/>
        <v>56 Michael Spice Hwy</v>
      </c>
      <c r="R1999" s="3">
        <f>OrdersTable!C1999</f>
        <v>44704</v>
      </c>
      <c r="S1999" s="15">
        <f>OrdersTable!E1999</f>
        <v>9</v>
      </c>
      <c r="T1999" s="15">
        <f t="shared" si="696"/>
        <v>8.99</v>
      </c>
      <c r="U1999" s="15">
        <f t="shared" si="697"/>
        <v>12.55</v>
      </c>
      <c r="V1999" s="15">
        <f t="shared" si="698"/>
        <v>14.56</v>
      </c>
      <c r="W1999" s="15">
        <f>IF(MarkupType="Store Markup",ROUND(V1999+V1999*StoreMarkup,2),IF(MarkupType="Supplier Markup",V1999+V1999*SupplierMarkup,"Error at finding value"))</f>
        <v>22.93</v>
      </c>
      <c r="X1999" s="32" t="str">
        <f t="shared" si="700"/>
        <v>0.00</v>
      </c>
      <c r="Y1999" s="15">
        <f t="shared" si="701"/>
        <v>131.04</v>
      </c>
      <c r="Z1999" s="15">
        <f t="shared" si="702"/>
        <v>206.37</v>
      </c>
      <c r="AA1999" s="15">
        <f>IF(FreightType="Lethbridge-Stewart Freight ",ROUND(2.99+IF(N1999&gt;0.75,(N1999-0.75)*2.25,0)*S1999,2),IF(MarkupType="Supplier Markup",V1999+V1999*SupplierMarkup,"Error at finding value"))</f>
        <v>2.99</v>
      </c>
      <c r="AB1999" s="15">
        <f t="shared" si="703"/>
        <v>0</v>
      </c>
    </row>
    <row r="2000" spans="1:28" x14ac:dyDescent="0.25">
      <c r="A2000" s="16">
        <f>OrdersTable!A2000</f>
        <v>594</v>
      </c>
      <c r="B2000" s="15" t="str">
        <f t="shared" si="683"/>
        <v>Mrs</v>
      </c>
      <c r="C2000" s="15" t="str">
        <f t="shared" si="704"/>
        <v>Entriken</v>
      </c>
      <c r="D2000" s="15" t="str">
        <f t="shared" si="684"/>
        <v>Gwenda Dawn</v>
      </c>
      <c r="E2000" s="15" t="str">
        <f t="shared" si="685"/>
        <v>8 Miljkovic Drive</v>
      </c>
      <c r="F2000" s="15" t="str">
        <f t="shared" si="686"/>
        <v>Nayook</v>
      </c>
      <c r="G2000" s="15" t="str">
        <f t="shared" si="687"/>
        <v>VIC</v>
      </c>
      <c r="H2000" s="15">
        <f t="shared" si="688"/>
        <v>3832</v>
      </c>
      <c r="I2000" s="15">
        <f t="shared" si="699"/>
        <v>1552</v>
      </c>
      <c r="J2000" s="15">
        <f>OrdersTable!B2000</f>
        <v>177</v>
      </c>
      <c r="K2000" s="15" t="str">
        <f t="shared" si="689"/>
        <v>Bobbleheads</v>
      </c>
      <c r="L2000" s="15" t="str">
        <f t="shared" si="690"/>
        <v>Doctor Who: Bobblehead: TARDIS (With Sound)</v>
      </c>
      <c r="M2000" s="15" t="str">
        <f t="shared" si="691"/>
        <v>-</v>
      </c>
      <c r="N2000" s="15">
        <f t="shared" si="692"/>
        <v>1</v>
      </c>
      <c r="O2000" s="15" t="str">
        <f t="shared" si="693"/>
        <v>A30</v>
      </c>
      <c r="P2000" s="15" t="str">
        <f t="shared" si="694"/>
        <v>Chesterton Enterprises</v>
      </c>
      <c r="Q2000" s="15" t="str">
        <f t="shared" si="695"/>
        <v>41 William Russell Road</v>
      </c>
      <c r="R2000" s="3">
        <f>OrdersTable!C2000</f>
        <v>44704</v>
      </c>
      <c r="S2000" s="15">
        <f>OrdersTable!E2000</f>
        <v>7</v>
      </c>
      <c r="T2000" s="15">
        <f t="shared" si="696"/>
        <v>19.989999999999998</v>
      </c>
      <c r="U2000" s="15">
        <f t="shared" si="697"/>
        <v>27.6</v>
      </c>
      <c r="V2000" s="15">
        <f t="shared" si="698"/>
        <v>32.380000000000003</v>
      </c>
      <c r="W2000" s="15">
        <f>IF(MarkupType="Store Markup",ROUND(V2000+V2000*StoreMarkup,2),IF(MarkupType="Supplier Markup",V2000+V2000*SupplierMarkup,"Error at finding value"))</f>
        <v>51</v>
      </c>
      <c r="X2000" s="32" t="str">
        <f t="shared" si="700"/>
        <v>0.00</v>
      </c>
      <c r="Y2000" s="15">
        <f t="shared" si="701"/>
        <v>226.66</v>
      </c>
      <c r="Z2000" s="15">
        <f t="shared" si="702"/>
        <v>357</v>
      </c>
      <c r="AA2000" s="15">
        <f>IF(FreightType="Lethbridge-Stewart Freight ",ROUND(2.99+IF(N2000&gt;0.75,(N2000-0.75)*2.25,0)*S2000,2),IF(MarkupType="Supplier Markup",V2000+V2000*SupplierMarkup,"Error at finding value"))</f>
        <v>6.93</v>
      </c>
      <c r="AB2000" s="15">
        <f t="shared" si="703"/>
        <v>0</v>
      </c>
    </row>
    <row r="2001" spans="1:28" x14ac:dyDescent="0.25">
      <c r="A2001" s="16">
        <f>OrdersTable!A2001</f>
        <v>594</v>
      </c>
      <c r="B2001" s="15" t="str">
        <f t="shared" si="683"/>
        <v>Mrs</v>
      </c>
      <c r="C2001" s="15" t="str">
        <f t="shared" si="704"/>
        <v>Entriken</v>
      </c>
      <c r="D2001" s="15" t="str">
        <f t="shared" si="684"/>
        <v>Gwenda Dawn</v>
      </c>
      <c r="E2001" s="15" t="str">
        <f t="shared" si="685"/>
        <v>8 Miljkovic Drive</v>
      </c>
      <c r="F2001" s="15" t="str">
        <f t="shared" si="686"/>
        <v>Nayook</v>
      </c>
      <c r="G2001" s="15" t="str">
        <f t="shared" si="687"/>
        <v>VIC</v>
      </c>
      <c r="H2001" s="15">
        <f t="shared" si="688"/>
        <v>3832</v>
      </c>
      <c r="I2001" s="15">
        <f t="shared" si="699"/>
        <v>1552</v>
      </c>
      <c r="J2001" s="15">
        <f>OrdersTable!B2001</f>
        <v>620</v>
      </c>
      <c r="K2001" s="15" t="str">
        <f t="shared" si="689"/>
        <v>iPhone Skins</v>
      </c>
      <c r="L2001" s="15" t="str">
        <f t="shared" si="690"/>
        <v>Doctor Who: iPhone Skin: TARDIS Water Colour</v>
      </c>
      <c r="M2001" s="15" t="str">
        <f t="shared" si="691"/>
        <v>-</v>
      </c>
      <c r="N2001" s="15">
        <f t="shared" si="692"/>
        <v>0.5</v>
      </c>
      <c r="O2001" s="15" t="str">
        <f t="shared" si="693"/>
        <v>A30</v>
      </c>
      <c r="P2001" s="15" t="str">
        <f t="shared" si="694"/>
        <v>Chesterton Enterprises</v>
      </c>
      <c r="Q2001" s="15" t="str">
        <f t="shared" si="695"/>
        <v>41 William Russell Road</v>
      </c>
      <c r="R2001" s="3">
        <f>OrdersTable!C2001</f>
        <v>44704</v>
      </c>
      <c r="S2001" s="15">
        <f>OrdersTable!E2001</f>
        <v>3</v>
      </c>
      <c r="T2001" s="15">
        <f t="shared" si="696"/>
        <v>9.99</v>
      </c>
      <c r="U2001" s="15">
        <f t="shared" si="697"/>
        <v>13.81</v>
      </c>
      <c r="V2001" s="15">
        <f t="shared" si="698"/>
        <v>16.18</v>
      </c>
      <c r="W2001" s="15">
        <f>IF(MarkupType="Store Markup",ROUND(V2001+V2001*StoreMarkup,2),IF(MarkupType="Supplier Markup",V2001+V2001*SupplierMarkup,"Error at finding value"))</f>
        <v>25.48</v>
      </c>
      <c r="X2001" s="32" t="str">
        <f t="shared" si="700"/>
        <v>0.00</v>
      </c>
      <c r="Y2001" s="15">
        <f t="shared" si="701"/>
        <v>48.54</v>
      </c>
      <c r="Z2001" s="15">
        <f t="shared" si="702"/>
        <v>76.44</v>
      </c>
      <c r="AA2001" s="15">
        <f>IF(FreightType="Lethbridge-Stewart Freight ",ROUND(2.99+IF(N2001&gt;0.75,(N2001-0.75)*2.25,0)*S2001,2),IF(MarkupType="Supplier Markup",V2001+V2001*SupplierMarkup,"Error at finding value"))</f>
        <v>2.99</v>
      </c>
      <c r="AB2001" s="15">
        <f t="shared" si="703"/>
        <v>0</v>
      </c>
    </row>
    <row r="2002" spans="1:28" x14ac:dyDescent="0.25">
      <c r="A2002" s="16">
        <f>OrdersTable!A2002</f>
        <v>602</v>
      </c>
      <c r="B2002" s="15" t="str">
        <f t="shared" si="683"/>
        <v>Mr</v>
      </c>
      <c r="C2002" s="15" t="str">
        <f t="shared" si="704"/>
        <v>Spinelli</v>
      </c>
      <c r="D2002" s="15" t="str">
        <f t="shared" si="684"/>
        <v>Paul Walter</v>
      </c>
      <c r="E2002" s="15" t="str">
        <f t="shared" si="685"/>
        <v>35 Azar Drive</v>
      </c>
      <c r="F2002" s="15" t="str">
        <f t="shared" si="686"/>
        <v>Bray Park</v>
      </c>
      <c r="G2002" s="15" t="str">
        <f t="shared" si="687"/>
        <v>QLD</v>
      </c>
      <c r="H2002" s="15">
        <f t="shared" si="688"/>
        <v>4500</v>
      </c>
      <c r="I2002" s="15">
        <f t="shared" si="699"/>
        <v>139</v>
      </c>
      <c r="J2002" s="15">
        <f>OrdersTable!B2002</f>
        <v>398</v>
      </c>
      <c r="K2002" s="15" t="str">
        <f t="shared" si="689"/>
        <v>Clothing and Apparel</v>
      </c>
      <c r="L2002" s="15" t="str">
        <f t="shared" si="690"/>
        <v>Doctor Who: Women's Winter Pyjamas</v>
      </c>
      <c r="M2002" s="15" t="str">
        <f t="shared" si="691"/>
        <v>S</v>
      </c>
      <c r="N2002" s="15">
        <f t="shared" si="692"/>
        <v>1.5</v>
      </c>
      <c r="O2002" s="15" t="str">
        <f t="shared" si="693"/>
        <v>A40</v>
      </c>
      <c r="P2002" s="15" t="str">
        <f t="shared" si="694"/>
        <v>Romana Imports</v>
      </c>
      <c r="Q2002" s="15" t="str">
        <f t="shared" si="695"/>
        <v>17 Lalla Ward Road</v>
      </c>
      <c r="R2002" s="3">
        <f>OrdersTable!C2002</f>
        <v>44704</v>
      </c>
      <c r="S2002" s="15">
        <f>OrdersTable!E2002</f>
        <v>4</v>
      </c>
      <c r="T2002" s="15">
        <f t="shared" si="696"/>
        <v>29.99</v>
      </c>
      <c r="U2002" s="15">
        <f t="shared" si="697"/>
        <v>41.07</v>
      </c>
      <c r="V2002" s="15">
        <f t="shared" si="698"/>
        <v>48.58</v>
      </c>
      <c r="W2002" s="15">
        <f>IF(MarkupType="Store Markup",ROUND(V2002+V2002*StoreMarkup,2),IF(MarkupType="Supplier Markup",V2002+V2002*SupplierMarkup,"Error at finding value"))</f>
        <v>76.510000000000005</v>
      </c>
      <c r="X2002" s="32" t="str">
        <f t="shared" si="700"/>
        <v>0.00</v>
      </c>
      <c r="Y2002" s="15">
        <f t="shared" si="701"/>
        <v>194.32</v>
      </c>
      <c r="Z2002" s="15">
        <f t="shared" si="702"/>
        <v>306.04000000000002</v>
      </c>
      <c r="AA2002" s="15">
        <f>IF(FreightType="Lethbridge-Stewart Freight ",ROUND(2.99+IF(N2002&gt;0.75,(N2002-0.75)*2.25,0)*S2002,2),IF(MarkupType="Supplier Markup",V2002+V2002*SupplierMarkup,"Error at finding value"))</f>
        <v>9.74</v>
      </c>
      <c r="AB2002" s="15">
        <f t="shared" si="703"/>
        <v>0</v>
      </c>
    </row>
    <row r="2003" spans="1:28" x14ac:dyDescent="0.25">
      <c r="A2003" s="16">
        <f>OrdersTable!A2003</f>
        <v>730</v>
      </c>
      <c r="B2003" s="15" t="str">
        <f t="shared" si="683"/>
        <v>Mr</v>
      </c>
      <c r="C2003" s="15" t="str">
        <f t="shared" si="704"/>
        <v>Romer</v>
      </c>
      <c r="D2003" s="15" t="str">
        <f t="shared" si="684"/>
        <v>Leo Alexander</v>
      </c>
      <c r="E2003" s="15" t="str">
        <f t="shared" si="685"/>
        <v>47 Bennett Circuit</v>
      </c>
      <c r="F2003" s="15" t="str">
        <f t="shared" si="686"/>
        <v>Caliph</v>
      </c>
      <c r="G2003" s="15" t="str">
        <f t="shared" si="687"/>
        <v>SA</v>
      </c>
      <c r="H2003" s="15">
        <f t="shared" si="688"/>
        <v>5310</v>
      </c>
      <c r="I2003" s="15">
        <f t="shared" si="699"/>
        <v>1720</v>
      </c>
      <c r="J2003" s="15">
        <f>OrdersTable!B2003</f>
        <v>769</v>
      </c>
      <c r="K2003" s="15" t="str">
        <f t="shared" si="689"/>
        <v>Statues and Busts</v>
      </c>
      <c r="L2003" s="15" t="str">
        <f t="shared" si="690"/>
        <v>Doctor Who: Legends Forever Bust: Tom Baker</v>
      </c>
      <c r="M2003" s="15" t="str">
        <f t="shared" si="691"/>
        <v>-</v>
      </c>
      <c r="N2003" s="15">
        <f t="shared" si="692"/>
        <v>1.375</v>
      </c>
      <c r="O2003" s="15" t="str">
        <f t="shared" si="693"/>
        <v>A30</v>
      </c>
      <c r="P2003" s="15" t="str">
        <f t="shared" si="694"/>
        <v>Chesterton Enterprises</v>
      </c>
      <c r="Q2003" s="15" t="str">
        <f t="shared" si="695"/>
        <v>41 William Russell Road</v>
      </c>
      <c r="R2003" s="3">
        <f>OrdersTable!C2003</f>
        <v>44704</v>
      </c>
      <c r="S2003" s="15">
        <f>OrdersTable!E2003</f>
        <v>3</v>
      </c>
      <c r="T2003" s="15">
        <f t="shared" si="696"/>
        <v>27.5</v>
      </c>
      <c r="U2003" s="15">
        <f t="shared" si="697"/>
        <v>37.76</v>
      </c>
      <c r="V2003" s="15">
        <f t="shared" si="698"/>
        <v>44.55</v>
      </c>
      <c r="W2003" s="15">
        <f>IF(MarkupType="Store Markup",ROUND(V2003+V2003*StoreMarkup,2),IF(MarkupType="Supplier Markup",V2003+V2003*SupplierMarkup,"Error at finding value"))</f>
        <v>70.17</v>
      </c>
      <c r="X2003" s="32" t="str">
        <f t="shared" si="700"/>
        <v>0.00</v>
      </c>
      <c r="Y2003" s="15">
        <f t="shared" si="701"/>
        <v>133.65</v>
      </c>
      <c r="Z2003" s="15">
        <f t="shared" si="702"/>
        <v>210.51</v>
      </c>
      <c r="AA2003" s="15">
        <f>IF(FreightType="Lethbridge-Stewart Freight ",ROUND(2.99+IF(N2003&gt;0.75,(N2003-0.75)*2.25,0)*S2003,2),IF(MarkupType="Supplier Markup",V2003+V2003*SupplierMarkup,"Error at finding value"))</f>
        <v>7.21</v>
      </c>
      <c r="AB2003" s="15">
        <f t="shared" si="703"/>
        <v>0</v>
      </c>
    </row>
    <row r="2004" spans="1:28" x14ac:dyDescent="0.25">
      <c r="A2004" s="16">
        <f>OrdersTable!A2004</f>
        <v>730</v>
      </c>
      <c r="B2004" s="15" t="str">
        <f t="shared" si="683"/>
        <v>Mr</v>
      </c>
      <c r="C2004" s="15" t="str">
        <f t="shared" si="704"/>
        <v>Romer</v>
      </c>
      <c r="D2004" s="15" t="str">
        <f t="shared" si="684"/>
        <v>Leo Alexander</v>
      </c>
      <c r="E2004" s="15" t="str">
        <f t="shared" si="685"/>
        <v>47 Bennett Circuit</v>
      </c>
      <c r="F2004" s="15" t="str">
        <f t="shared" si="686"/>
        <v>Caliph</v>
      </c>
      <c r="G2004" s="15" t="str">
        <f t="shared" si="687"/>
        <v>SA</v>
      </c>
      <c r="H2004" s="15">
        <f t="shared" si="688"/>
        <v>5310</v>
      </c>
      <c r="I2004" s="15">
        <f t="shared" si="699"/>
        <v>1720</v>
      </c>
      <c r="J2004" s="15">
        <f>OrdersTable!B2004</f>
        <v>843</v>
      </c>
      <c r="K2004" s="15" t="str">
        <f t="shared" si="689"/>
        <v>Statues and Busts</v>
      </c>
      <c r="L2004" s="15" t="str">
        <f t="shared" si="690"/>
        <v>Doctor Who: Signature Edition Statue: Gallifrey Edition: Tom Baker</v>
      </c>
      <c r="M2004" s="15" t="str">
        <f t="shared" si="691"/>
        <v>-</v>
      </c>
      <c r="N2004" s="15">
        <f t="shared" si="692"/>
        <v>2.5</v>
      </c>
      <c r="O2004" s="15" t="str">
        <f t="shared" si="693"/>
        <v>A20</v>
      </c>
      <c r="P2004" s="15" t="str">
        <f t="shared" si="694"/>
        <v>Morbius Inc.</v>
      </c>
      <c r="Q2004" s="15" t="str">
        <f t="shared" si="695"/>
        <v>56 Michael Spice Hwy</v>
      </c>
      <c r="R2004" s="3">
        <f>OrdersTable!C2004</f>
        <v>44704</v>
      </c>
      <c r="S2004" s="15">
        <f>OrdersTable!E2004</f>
        <v>2</v>
      </c>
      <c r="T2004" s="15">
        <f t="shared" si="696"/>
        <v>49.99</v>
      </c>
      <c r="U2004" s="15">
        <f t="shared" si="697"/>
        <v>68.33</v>
      </c>
      <c r="V2004" s="15">
        <f t="shared" si="698"/>
        <v>80.98</v>
      </c>
      <c r="W2004" s="15">
        <f>IF(MarkupType="Store Markup",ROUND(V2004+V2004*StoreMarkup,2),IF(MarkupType="Supplier Markup",V2004+V2004*SupplierMarkup,"Error at finding value"))</f>
        <v>127.54</v>
      </c>
      <c r="X2004" s="32" t="str">
        <f t="shared" si="700"/>
        <v>0.00</v>
      </c>
      <c r="Y2004" s="15">
        <f t="shared" si="701"/>
        <v>161.96</v>
      </c>
      <c r="Z2004" s="15">
        <f t="shared" si="702"/>
        <v>255.08</v>
      </c>
      <c r="AA2004" s="15">
        <f>IF(FreightType="Lethbridge-Stewart Freight ",ROUND(2.99+IF(N2004&gt;0.75,(N2004-0.75)*2.25,0)*S2004,2),IF(MarkupType="Supplier Markup",V2004+V2004*SupplierMarkup,"Error at finding value"))</f>
        <v>10.87</v>
      </c>
      <c r="AB2004" s="15">
        <f t="shared" si="703"/>
        <v>0</v>
      </c>
    </row>
    <row r="2005" spans="1:28" x14ac:dyDescent="0.25">
      <c r="A2005" s="16">
        <f>OrdersTable!A2005</f>
        <v>830</v>
      </c>
      <c r="B2005" s="15" t="str">
        <f t="shared" si="683"/>
        <v>Miss</v>
      </c>
      <c r="C2005" s="15" t="str">
        <f t="shared" si="704"/>
        <v>Blakeney</v>
      </c>
      <c r="D2005" s="15" t="str">
        <f t="shared" si="684"/>
        <v>Hannah</v>
      </c>
      <c r="E2005" s="15" t="str">
        <f t="shared" si="685"/>
        <v>31 Sproule Street</v>
      </c>
      <c r="F2005" s="15" t="str">
        <f t="shared" si="686"/>
        <v>Belford</v>
      </c>
      <c r="G2005" s="15" t="str">
        <f t="shared" si="687"/>
        <v>NSW</v>
      </c>
      <c r="H2005" s="15">
        <f t="shared" si="688"/>
        <v>2335</v>
      </c>
      <c r="I2005" s="15">
        <f t="shared" si="699"/>
        <v>716</v>
      </c>
      <c r="J2005" s="15">
        <f>OrdersTable!B2005</f>
        <v>464</v>
      </c>
      <c r="K2005" s="15" t="str">
        <f t="shared" si="689"/>
        <v>Giftware</v>
      </c>
      <c r="L2005" s="15" t="str">
        <f t="shared" si="690"/>
        <v>Doctor Who: Collectable License Plate: My Other Car Is A TARDIS</v>
      </c>
      <c r="M2005" s="15" t="str">
        <f t="shared" si="691"/>
        <v>-</v>
      </c>
      <c r="N2005" s="15">
        <f t="shared" si="692"/>
        <v>0.6</v>
      </c>
      <c r="O2005" s="15" t="str">
        <f t="shared" si="693"/>
        <v>A50</v>
      </c>
      <c r="P2005" s="15" t="str">
        <f t="shared" si="694"/>
        <v>Rassilon Ltd.</v>
      </c>
      <c r="Q2005" s="15" t="str">
        <f t="shared" si="695"/>
        <v>82 Richard Mathews Road</v>
      </c>
      <c r="R2005" s="3">
        <f>OrdersTable!C2005</f>
        <v>44704</v>
      </c>
      <c r="S2005" s="15">
        <f>OrdersTable!E2005</f>
        <v>1</v>
      </c>
      <c r="T2005" s="15">
        <f t="shared" si="696"/>
        <v>11.99</v>
      </c>
      <c r="U2005" s="15">
        <f t="shared" si="697"/>
        <v>16.579999999999998</v>
      </c>
      <c r="V2005" s="15">
        <f t="shared" si="698"/>
        <v>19.420000000000002</v>
      </c>
      <c r="W2005" s="15">
        <f>IF(MarkupType="Store Markup",ROUND(V2005+V2005*StoreMarkup,2),IF(MarkupType="Supplier Markup",V2005+V2005*SupplierMarkup,"Error at finding value"))</f>
        <v>30.59</v>
      </c>
      <c r="X2005" s="32" t="str">
        <f t="shared" si="700"/>
        <v>0.00</v>
      </c>
      <c r="Y2005" s="15">
        <f t="shared" si="701"/>
        <v>19.420000000000002</v>
      </c>
      <c r="Z2005" s="15">
        <f t="shared" si="702"/>
        <v>30.59</v>
      </c>
      <c r="AA2005" s="15">
        <f>IF(FreightType="Lethbridge-Stewart Freight ",ROUND(2.99+IF(N2005&gt;0.75,(N2005-0.75)*2.25,0)*S2005,2),IF(MarkupType="Supplier Markup",V2005+V2005*SupplierMarkup,"Error at finding value"))</f>
        <v>2.99</v>
      </c>
      <c r="AB2005" s="15">
        <f t="shared" si="703"/>
        <v>0</v>
      </c>
    </row>
    <row r="2006" spans="1:28" x14ac:dyDescent="0.25">
      <c r="A2006" s="16">
        <f>OrdersTable!A2006</f>
        <v>46</v>
      </c>
      <c r="B2006" s="15" t="str">
        <f t="shared" si="683"/>
        <v>Mrs</v>
      </c>
      <c r="C2006" s="15" t="str">
        <f t="shared" si="704"/>
        <v>Dovey</v>
      </c>
      <c r="D2006" s="15" t="str">
        <f t="shared" si="684"/>
        <v>Aisha Jade</v>
      </c>
      <c r="E2006" s="15" t="str">
        <f t="shared" si="685"/>
        <v>43 Wilkes Circuit</v>
      </c>
      <c r="F2006" s="15" t="str">
        <f t="shared" si="686"/>
        <v>Alfredtown</v>
      </c>
      <c r="G2006" s="15" t="str">
        <f t="shared" si="687"/>
        <v>NSW</v>
      </c>
      <c r="H2006" s="15">
        <f t="shared" si="688"/>
        <v>2650</v>
      </c>
      <c r="I2006" s="15">
        <f t="shared" si="699"/>
        <v>1124</v>
      </c>
      <c r="J2006" s="15">
        <f>OrdersTable!B2006</f>
        <v>377</v>
      </c>
      <c r="K2006" s="15" t="str">
        <f t="shared" si="689"/>
        <v>Clothing and Apparel</v>
      </c>
      <c r="L2006" s="15" t="str">
        <f t="shared" si="690"/>
        <v xml:space="preserve">Doctor Who: T-Shirts: 7th Doctor Costume </v>
      </c>
      <c r="M2006" s="15" t="str">
        <f t="shared" si="691"/>
        <v>M</v>
      </c>
      <c r="N2006" s="15">
        <f t="shared" si="692"/>
        <v>0.8</v>
      </c>
      <c r="O2006" s="15" t="str">
        <f t="shared" si="693"/>
        <v>A40</v>
      </c>
      <c r="P2006" s="15" t="str">
        <f t="shared" si="694"/>
        <v>Romana Imports</v>
      </c>
      <c r="Q2006" s="15" t="str">
        <f t="shared" si="695"/>
        <v>17 Lalla Ward Road</v>
      </c>
      <c r="R2006" s="3">
        <f>OrdersTable!C2006</f>
        <v>44705</v>
      </c>
      <c r="S2006" s="15">
        <f>OrdersTable!E2006</f>
        <v>2</v>
      </c>
      <c r="T2006" s="15">
        <f t="shared" si="696"/>
        <v>15.99</v>
      </c>
      <c r="U2006" s="15">
        <f t="shared" si="697"/>
        <v>21.95</v>
      </c>
      <c r="V2006" s="15">
        <f t="shared" si="698"/>
        <v>25.9</v>
      </c>
      <c r="W2006" s="15">
        <f>IF(MarkupType="Store Markup",ROUND(V2006+V2006*StoreMarkup,2),IF(MarkupType="Supplier Markup",V2006+V2006*SupplierMarkup,"Error at finding value"))</f>
        <v>40.79</v>
      </c>
      <c r="X2006" s="32" t="str">
        <f t="shared" si="700"/>
        <v>0.00</v>
      </c>
      <c r="Y2006" s="15">
        <f t="shared" si="701"/>
        <v>51.8</v>
      </c>
      <c r="Z2006" s="15">
        <f t="shared" si="702"/>
        <v>81.58</v>
      </c>
      <c r="AA2006" s="15">
        <f>IF(FreightType="Lethbridge-Stewart Freight ",ROUND(2.99+IF(N2006&gt;0.75,(N2006-0.75)*2.25,0)*S2006,2),IF(MarkupType="Supplier Markup",V2006+V2006*SupplierMarkup,"Error at finding value"))</f>
        <v>3.22</v>
      </c>
      <c r="AB2006" s="15">
        <f t="shared" si="703"/>
        <v>0</v>
      </c>
    </row>
    <row r="2007" spans="1:28" x14ac:dyDescent="0.25">
      <c r="A2007" s="16">
        <f>OrdersTable!A2007</f>
        <v>55</v>
      </c>
      <c r="B2007" s="15" t="str">
        <f t="shared" si="683"/>
        <v>Mr</v>
      </c>
      <c r="C2007" s="15" t="str">
        <f t="shared" si="704"/>
        <v>Myers</v>
      </c>
      <c r="D2007" s="15" t="str">
        <f t="shared" si="684"/>
        <v>Luke Charles</v>
      </c>
      <c r="E2007" s="15" t="str">
        <f t="shared" si="685"/>
        <v>25 Penrose Street</v>
      </c>
      <c r="F2007" s="15" t="str">
        <f t="shared" si="686"/>
        <v>Black Hills</v>
      </c>
      <c r="G2007" s="15" t="str">
        <f t="shared" si="687"/>
        <v>TAS</v>
      </c>
      <c r="H2007" s="15">
        <f t="shared" si="688"/>
        <v>7140</v>
      </c>
      <c r="I2007" s="15">
        <f t="shared" si="699"/>
        <v>2191</v>
      </c>
      <c r="J2007" s="15">
        <f>OrdersTable!B2007</f>
        <v>398</v>
      </c>
      <c r="K2007" s="15" t="str">
        <f t="shared" si="689"/>
        <v>Clothing and Apparel</v>
      </c>
      <c r="L2007" s="15" t="str">
        <f t="shared" si="690"/>
        <v>Doctor Who: Women's Winter Pyjamas</v>
      </c>
      <c r="M2007" s="15" t="str">
        <f t="shared" si="691"/>
        <v>S</v>
      </c>
      <c r="N2007" s="15">
        <f t="shared" si="692"/>
        <v>1.5</v>
      </c>
      <c r="O2007" s="15" t="str">
        <f t="shared" si="693"/>
        <v>A40</v>
      </c>
      <c r="P2007" s="15" t="str">
        <f t="shared" si="694"/>
        <v>Romana Imports</v>
      </c>
      <c r="Q2007" s="15" t="str">
        <f t="shared" si="695"/>
        <v>17 Lalla Ward Road</v>
      </c>
      <c r="R2007" s="3">
        <f>OrdersTable!C2007</f>
        <v>44705</v>
      </c>
      <c r="S2007" s="15">
        <f>OrdersTable!E2007</f>
        <v>5</v>
      </c>
      <c r="T2007" s="15">
        <f t="shared" si="696"/>
        <v>29.99</v>
      </c>
      <c r="U2007" s="15">
        <f t="shared" si="697"/>
        <v>41.07</v>
      </c>
      <c r="V2007" s="15">
        <f t="shared" si="698"/>
        <v>48.58</v>
      </c>
      <c r="W2007" s="15">
        <f>IF(MarkupType="Store Markup",ROUND(V2007+V2007*StoreMarkup,2),IF(MarkupType="Supplier Markup",V2007+V2007*SupplierMarkup,"Error at finding value"))</f>
        <v>76.510000000000005</v>
      </c>
      <c r="X2007" s="32" t="str">
        <f t="shared" si="700"/>
        <v>0.00</v>
      </c>
      <c r="Y2007" s="15">
        <f t="shared" si="701"/>
        <v>242.9</v>
      </c>
      <c r="Z2007" s="15">
        <f t="shared" si="702"/>
        <v>382.55</v>
      </c>
      <c r="AA2007" s="15">
        <f>IF(FreightType="Lethbridge-Stewart Freight ",ROUND(2.99+IF(N2007&gt;0.75,(N2007-0.75)*2.25,0)*S2007,2),IF(MarkupType="Supplier Markup",V2007+V2007*SupplierMarkup,"Error at finding value"))</f>
        <v>11.43</v>
      </c>
      <c r="AB2007" s="15">
        <f t="shared" si="703"/>
        <v>0</v>
      </c>
    </row>
    <row r="2008" spans="1:28" x14ac:dyDescent="0.25">
      <c r="A2008" s="16">
        <f>OrdersTable!A2008</f>
        <v>334</v>
      </c>
      <c r="B2008" s="15" t="str">
        <f t="shared" si="683"/>
        <v>Mrs</v>
      </c>
      <c r="C2008" s="15" t="str">
        <f t="shared" si="704"/>
        <v>Wilson</v>
      </c>
      <c r="D2008" s="15" t="str">
        <f t="shared" si="684"/>
        <v>Hayley Lauren</v>
      </c>
      <c r="E2008" s="15" t="str">
        <f t="shared" si="685"/>
        <v>3 Ashley Crescent</v>
      </c>
      <c r="F2008" s="15" t="str">
        <f t="shared" si="686"/>
        <v>Black Hills</v>
      </c>
      <c r="G2008" s="15" t="str">
        <f t="shared" si="687"/>
        <v>TAS</v>
      </c>
      <c r="H2008" s="15">
        <f t="shared" si="688"/>
        <v>7140</v>
      </c>
      <c r="I2008" s="15">
        <f t="shared" si="699"/>
        <v>2191</v>
      </c>
      <c r="J2008" s="15">
        <f>OrdersTable!B2008</f>
        <v>374</v>
      </c>
      <c r="K2008" s="15" t="str">
        <f t="shared" si="689"/>
        <v>Clothing and Apparel</v>
      </c>
      <c r="L2008" s="15" t="str">
        <f t="shared" si="690"/>
        <v xml:space="preserve">Doctor Who: T-Shirts: 5th Doctor Costume </v>
      </c>
      <c r="M2008" s="15" t="str">
        <f t="shared" si="691"/>
        <v>XL</v>
      </c>
      <c r="N2008" s="15">
        <f t="shared" si="692"/>
        <v>0.8</v>
      </c>
      <c r="O2008" s="15" t="str">
        <f t="shared" si="693"/>
        <v>A50</v>
      </c>
      <c r="P2008" s="15" t="str">
        <f t="shared" si="694"/>
        <v>Rassilon Ltd.</v>
      </c>
      <c r="Q2008" s="15" t="str">
        <f t="shared" si="695"/>
        <v>82 Richard Mathews Road</v>
      </c>
      <c r="R2008" s="3">
        <f>OrdersTable!C2008</f>
        <v>44705</v>
      </c>
      <c r="S2008" s="15">
        <f>OrdersTable!E2008</f>
        <v>4</v>
      </c>
      <c r="T2008" s="15">
        <f t="shared" si="696"/>
        <v>15.99</v>
      </c>
      <c r="U2008" s="15">
        <f t="shared" si="697"/>
        <v>21.97</v>
      </c>
      <c r="V2008" s="15">
        <f t="shared" si="698"/>
        <v>25.9</v>
      </c>
      <c r="W2008" s="15">
        <f>IF(MarkupType="Store Markup",ROUND(V2008+V2008*StoreMarkup,2),IF(MarkupType="Supplier Markup",V2008+V2008*SupplierMarkup,"Error at finding value"))</f>
        <v>40.79</v>
      </c>
      <c r="X2008" s="32" t="str">
        <f t="shared" si="700"/>
        <v>0.00</v>
      </c>
      <c r="Y2008" s="15">
        <f t="shared" si="701"/>
        <v>103.6</v>
      </c>
      <c r="Z2008" s="15">
        <f t="shared" si="702"/>
        <v>163.16</v>
      </c>
      <c r="AA2008" s="15">
        <f>IF(FreightType="Lethbridge-Stewart Freight ",ROUND(2.99+IF(N2008&gt;0.75,(N2008-0.75)*2.25,0)*S2008,2),IF(MarkupType="Supplier Markup",V2008+V2008*SupplierMarkup,"Error at finding value"))</f>
        <v>3.44</v>
      </c>
      <c r="AB2008" s="15">
        <f t="shared" si="703"/>
        <v>0</v>
      </c>
    </row>
    <row r="2009" spans="1:28" x14ac:dyDescent="0.25">
      <c r="A2009" s="16">
        <f>OrdersTable!A2009</f>
        <v>362</v>
      </c>
      <c r="B2009" s="15" t="str">
        <f t="shared" si="683"/>
        <v>Mr</v>
      </c>
      <c r="C2009" s="15" t="str">
        <f t="shared" si="704"/>
        <v>Hurst</v>
      </c>
      <c r="D2009" s="15" t="str">
        <f t="shared" si="684"/>
        <v>Ralph Gregory</v>
      </c>
      <c r="E2009" s="15" t="str">
        <f t="shared" si="685"/>
        <v>45 Blakeney Road</v>
      </c>
      <c r="F2009" s="15" t="str">
        <f t="shared" si="686"/>
        <v>Iluka</v>
      </c>
      <c r="G2009" s="15" t="str">
        <f t="shared" si="687"/>
        <v>NSW</v>
      </c>
      <c r="H2009" s="15">
        <f t="shared" si="688"/>
        <v>2466</v>
      </c>
      <c r="I2009" s="15">
        <f t="shared" si="699"/>
        <v>347</v>
      </c>
      <c r="J2009" s="15">
        <f>OrdersTable!B2009</f>
        <v>282</v>
      </c>
      <c r="K2009" s="15" t="str">
        <f t="shared" si="689"/>
        <v>Clothing and Apparel</v>
      </c>
      <c r="L2009" s="15" t="str">
        <f t="shared" si="690"/>
        <v>Doctor Who: Tardis Laplander Hat</v>
      </c>
      <c r="M2009" s="15" t="str">
        <f t="shared" si="691"/>
        <v>-</v>
      </c>
      <c r="N2009" s="15">
        <f t="shared" si="692"/>
        <v>0.97499999999999998</v>
      </c>
      <c r="O2009" s="15" t="str">
        <f t="shared" si="693"/>
        <v>A10</v>
      </c>
      <c r="P2009" s="15" t="str">
        <f t="shared" si="694"/>
        <v>Gallifrey International</v>
      </c>
      <c r="Q2009" s="15" t="str">
        <f t="shared" si="695"/>
        <v>181 Arcadia Street</v>
      </c>
      <c r="R2009" s="3">
        <f>OrdersTable!C2009</f>
        <v>44705</v>
      </c>
      <c r="S2009" s="15">
        <f>OrdersTable!E2009</f>
        <v>5</v>
      </c>
      <c r="T2009" s="15">
        <f t="shared" si="696"/>
        <v>19.5</v>
      </c>
      <c r="U2009" s="15">
        <f t="shared" si="697"/>
        <v>26.93</v>
      </c>
      <c r="V2009" s="15">
        <f t="shared" si="698"/>
        <v>31.59</v>
      </c>
      <c r="W2009" s="15">
        <f>IF(MarkupType="Store Markup",ROUND(V2009+V2009*StoreMarkup,2),IF(MarkupType="Supplier Markup",V2009+V2009*SupplierMarkup,"Error at finding value"))</f>
        <v>49.75</v>
      </c>
      <c r="X2009" s="32" t="str">
        <f t="shared" si="700"/>
        <v>0.00</v>
      </c>
      <c r="Y2009" s="15">
        <f t="shared" si="701"/>
        <v>157.94999999999999</v>
      </c>
      <c r="Z2009" s="15">
        <f t="shared" si="702"/>
        <v>248.75</v>
      </c>
      <c r="AA2009" s="15">
        <f>IF(FreightType="Lethbridge-Stewart Freight ",ROUND(2.99+IF(N2009&gt;0.75,(N2009-0.75)*2.25,0)*S2009,2),IF(MarkupType="Supplier Markup",V2009+V2009*SupplierMarkup,"Error at finding value"))</f>
        <v>5.52</v>
      </c>
      <c r="AB2009" s="15">
        <f t="shared" si="703"/>
        <v>0</v>
      </c>
    </row>
    <row r="2010" spans="1:28" x14ac:dyDescent="0.25">
      <c r="A2010" s="16">
        <f>OrdersTable!A2010</f>
        <v>364</v>
      </c>
      <c r="B2010" s="15" t="str">
        <f t="shared" si="683"/>
        <v>Dr</v>
      </c>
      <c r="C2010" s="15" t="str">
        <f t="shared" si="704"/>
        <v>Reibelt</v>
      </c>
      <c r="D2010" s="15" t="str">
        <f t="shared" si="684"/>
        <v>Corey James</v>
      </c>
      <c r="E2010" s="15" t="str">
        <f t="shared" si="685"/>
        <v>23 Burns Drive</v>
      </c>
      <c r="F2010" s="15" t="str">
        <f t="shared" si="686"/>
        <v>Caliph</v>
      </c>
      <c r="G2010" s="15" t="str">
        <f t="shared" si="687"/>
        <v>SA</v>
      </c>
      <c r="H2010" s="15">
        <f t="shared" si="688"/>
        <v>5310</v>
      </c>
      <c r="I2010" s="15">
        <f t="shared" si="699"/>
        <v>1720</v>
      </c>
      <c r="J2010" s="15">
        <f>OrdersTable!B2010</f>
        <v>805</v>
      </c>
      <c r="K2010" s="15" t="str">
        <f t="shared" si="689"/>
        <v>Statues and Busts</v>
      </c>
      <c r="L2010" s="15" t="str">
        <f t="shared" si="690"/>
        <v>Doctor Who: Masterpiece Collection Maxi Bust: 5th Doctor</v>
      </c>
      <c r="M2010" s="15" t="str">
        <f t="shared" si="691"/>
        <v>-</v>
      </c>
      <c r="N2010" s="15">
        <f t="shared" si="692"/>
        <v>2.5</v>
      </c>
      <c r="O2010" s="15" t="str">
        <f t="shared" si="693"/>
        <v>A20</v>
      </c>
      <c r="P2010" s="15" t="str">
        <f t="shared" si="694"/>
        <v>Morbius Inc.</v>
      </c>
      <c r="Q2010" s="15" t="str">
        <f t="shared" si="695"/>
        <v>56 Michael Spice Hwy</v>
      </c>
      <c r="R2010" s="3">
        <f>OrdersTable!C2010</f>
        <v>44705</v>
      </c>
      <c r="S2010" s="15">
        <f>OrdersTable!E2010</f>
        <v>9</v>
      </c>
      <c r="T2010" s="15">
        <f t="shared" si="696"/>
        <v>49.99</v>
      </c>
      <c r="U2010" s="15">
        <f t="shared" si="697"/>
        <v>68.42</v>
      </c>
      <c r="V2010" s="15">
        <f t="shared" si="698"/>
        <v>80.98</v>
      </c>
      <c r="W2010" s="15">
        <f>IF(MarkupType="Store Markup",ROUND(V2010+V2010*StoreMarkup,2),IF(MarkupType="Supplier Markup",V2010+V2010*SupplierMarkup,"Error at finding value"))</f>
        <v>127.54</v>
      </c>
      <c r="X2010" s="32">
        <f t="shared" si="700"/>
        <v>9.09</v>
      </c>
      <c r="Y2010" s="15">
        <f t="shared" si="701"/>
        <v>728.82</v>
      </c>
      <c r="Z2010" s="15">
        <f t="shared" si="702"/>
        <v>1066.05</v>
      </c>
      <c r="AA2010" s="15">
        <f>IF(FreightType="Lethbridge-Stewart Freight ",ROUND(2.99+IF(N2010&gt;0.75,(N2010-0.75)*2.25,0)*S2010,2),IF(MarkupType="Supplier Markup",V2010+V2010*SupplierMarkup,"Error at finding value"))</f>
        <v>38.43</v>
      </c>
      <c r="AB2010" s="15">
        <f t="shared" si="703"/>
        <v>81.81</v>
      </c>
    </row>
    <row r="2011" spans="1:28" x14ac:dyDescent="0.25">
      <c r="A2011" s="16">
        <f>OrdersTable!A2011</f>
        <v>364</v>
      </c>
      <c r="B2011" s="15" t="str">
        <f t="shared" si="683"/>
        <v>Dr</v>
      </c>
      <c r="C2011" s="15" t="str">
        <f t="shared" si="704"/>
        <v>Reibelt</v>
      </c>
      <c r="D2011" s="15" t="str">
        <f t="shared" si="684"/>
        <v>Corey James</v>
      </c>
      <c r="E2011" s="15" t="str">
        <f t="shared" si="685"/>
        <v>23 Burns Drive</v>
      </c>
      <c r="F2011" s="15" t="str">
        <f t="shared" si="686"/>
        <v>Caliph</v>
      </c>
      <c r="G2011" s="15" t="str">
        <f t="shared" si="687"/>
        <v>SA</v>
      </c>
      <c r="H2011" s="15">
        <f t="shared" si="688"/>
        <v>5310</v>
      </c>
      <c r="I2011" s="15">
        <f t="shared" si="699"/>
        <v>1720</v>
      </c>
      <c r="J2011" s="15">
        <f>OrdersTable!B2011</f>
        <v>834</v>
      </c>
      <c r="K2011" s="15" t="str">
        <f t="shared" si="689"/>
        <v>Statues and Busts</v>
      </c>
      <c r="L2011" s="15" t="str">
        <f t="shared" si="690"/>
        <v>Doctor Who: Signature Edition Statue: Gallifrey Edition: Matt Smith</v>
      </c>
      <c r="M2011" s="15" t="str">
        <f t="shared" si="691"/>
        <v>-</v>
      </c>
      <c r="N2011" s="15">
        <f t="shared" si="692"/>
        <v>2.5</v>
      </c>
      <c r="O2011" s="15" t="str">
        <f t="shared" si="693"/>
        <v>A30</v>
      </c>
      <c r="P2011" s="15" t="str">
        <f t="shared" si="694"/>
        <v>Chesterton Enterprises</v>
      </c>
      <c r="Q2011" s="15" t="str">
        <f t="shared" si="695"/>
        <v>41 William Russell Road</v>
      </c>
      <c r="R2011" s="3">
        <f>OrdersTable!C2011</f>
        <v>44705</v>
      </c>
      <c r="S2011" s="15">
        <f>OrdersTable!E2011</f>
        <v>1</v>
      </c>
      <c r="T2011" s="15">
        <f t="shared" si="696"/>
        <v>49.99</v>
      </c>
      <c r="U2011" s="15">
        <f t="shared" si="697"/>
        <v>68.52</v>
      </c>
      <c r="V2011" s="15">
        <f t="shared" si="698"/>
        <v>80.98</v>
      </c>
      <c r="W2011" s="15">
        <f>IF(MarkupType="Store Markup",ROUND(V2011+V2011*StoreMarkup,2),IF(MarkupType="Supplier Markup",V2011+V2011*SupplierMarkup,"Error at finding value"))</f>
        <v>127.54</v>
      </c>
      <c r="X2011" s="32" t="str">
        <f t="shared" si="700"/>
        <v>0.00</v>
      </c>
      <c r="Y2011" s="15">
        <f t="shared" si="701"/>
        <v>80.98</v>
      </c>
      <c r="Z2011" s="15">
        <f t="shared" si="702"/>
        <v>127.54</v>
      </c>
      <c r="AA2011" s="15">
        <f>IF(FreightType="Lethbridge-Stewart Freight ",ROUND(2.99+IF(N2011&gt;0.75,(N2011-0.75)*2.25,0)*S2011,2),IF(MarkupType="Supplier Markup",V2011+V2011*SupplierMarkup,"Error at finding value"))</f>
        <v>6.93</v>
      </c>
      <c r="AB2011" s="15">
        <f t="shared" si="703"/>
        <v>0</v>
      </c>
    </row>
    <row r="2012" spans="1:28" x14ac:dyDescent="0.25">
      <c r="A2012" s="16">
        <f>OrdersTable!A2012</f>
        <v>448</v>
      </c>
      <c r="B2012" s="15" t="str">
        <f t="shared" si="683"/>
        <v>Mr</v>
      </c>
      <c r="C2012" s="15" t="str">
        <f t="shared" si="704"/>
        <v>Earl</v>
      </c>
      <c r="D2012" s="15" t="str">
        <f t="shared" si="684"/>
        <v>Benn Robert</v>
      </c>
      <c r="E2012" s="15" t="str">
        <f t="shared" si="685"/>
        <v>31 Kae Drive</v>
      </c>
      <c r="F2012" s="15" t="str">
        <f t="shared" si="686"/>
        <v>Belford</v>
      </c>
      <c r="G2012" s="15" t="str">
        <f t="shared" si="687"/>
        <v>NSW</v>
      </c>
      <c r="H2012" s="15">
        <f t="shared" si="688"/>
        <v>2335</v>
      </c>
      <c r="I2012" s="15">
        <f t="shared" si="699"/>
        <v>716</v>
      </c>
      <c r="J2012" s="15">
        <f>OrdersTable!B2012</f>
        <v>543</v>
      </c>
      <c r="K2012" s="15" t="str">
        <f t="shared" si="689"/>
        <v>Giftware</v>
      </c>
      <c r="L2012" s="15" t="str">
        <f t="shared" si="690"/>
        <v>Doctor Who: Sonic Screwdriver Pen</v>
      </c>
      <c r="M2012" s="15" t="str">
        <f t="shared" si="691"/>
        <v>-</v>
      </c>
      <c r="N2012" s="15">
        <f t="shared" si="692"/>
        <v>0.65</v>
      </c>
      <c r="O2012" s="15" t="str">
        <f t="shared" si="693"/>
        <v>A20</v>
      </c>
      <c r="P2012" s="15" t="str">
        <f t="shared" si="694"/>
        <v>Morbius Inc.</v>
      </c>
      <c r="Q2012" s="15" t="str">
        <f t="shared" si="695"/>
        <v>56 Michael Spice Hwy</v>
      </c>
      <c r="R2012" s="3">
        <f>OrdersTable!C2012</f>
        <v>44705</v>
      </c>
      <c r="S2012" s="15">
        <f>OrdersTable!E2012</f>
        <v>10</v>
      </c>
      <c r="T2012" s="15">
        <f t="shared" si="696"/>
        <v>12.99</v>
      </c>
      <c r="U2012" s="15">
        <f t="shared" si="697"/>
        <v>18.02</v>
      </c>
      <c r="V2012" s="15">
        <f t="shared" si="698"/>
        <v>21.04</v>
      </c>
      <c r="W2012" s="15">
        <f>IF(MarkupType="Store Markup",ROUND(V2012+V2012*StoreMarkup,2),IF(MarkupType="Supplier Markup",V2012+V2012*SupplierMarkup,"Error at finding value"))</f>
        <v>33.14</v>
      </c>
      <c r="X2012" s="32" t="str">
        <f t="shared" si="700"/>
        <v>0.00</v>
      </c>
      <c r="Y2012" s="15">
        <f t="shared" si="701"/>
        <v>210.4</v>
      </c>
      <c r="Z2012" s="15">
        <f t="shared" si="702"/>
        <v>331.4</v>
      </c>
      <c r="AA2012" s="15">
        <f>IF(FreightType="Lethbridge-Stewart Freight ",ROUND(2.99+IF(N2012&gt;0.75,(N2012-0.75)*2.25,0)*S2012,2),IF(MarkupType="Supplier Markup",V2012+V2012*SupplierMarkup,"Error at finding value"))</f>
        <v>2.99</v>
      </c>
      <c r="AB2012" s="15">
        <f t="shared" si="703"/>
        <v>0</v>
      </c>
    </row>
    <row r="2013" spans="1:28" x14ac:dyDescent="0.25">
      <c r="A2013" s="16">
        <f>OrdersTable!A2013</f>
        <v>527</v>
      </c>
      <c r="B2013" s="15" t="str">
        <f t="shared" si="683"/>
        <v>Mr</v>
      </c>
      <c r="C2013" s="15" t="str">
        <f t="shared" si="704"/>
        <v>McTaggart</v>
      </c>
      <c r="D2013" s="15" t="str">
        <f t="shared" si="684"/>
        <v>Daniel</v>
      </c>
      <c r="E2013" s="15" t="str">
        <f t="shared" si="685"/>
        <v>24 Mulholland Avenue</v>
      </c>
      <c r="F2013" s="15" t="str">
        <f t="shared" si="686"/>
        <v>Belconnen</v>
      </c>
      <c r="G2013" s="15" t="str">
        <f t="shared" si="687"/>
        <v>ACT</v>
      </c>
      <c r="H2013" s="15">
        <f t="shared" si="688"/>
        <v>2617</v>
      </c>
      <c r="I2013" s="15">
        <f t="shared" si="699"/>
        <v>1194</v>
      </c>
      <c r="J2013" s="15">
        <f>OrdersTable!B2013</f>
        <v>341</v>
      </c>
      <c r="K2013" s="15" t="str">
        <f t="shared" si="689"/>
        <v>Clothing and Apparel</v>
      </c>
      <c r="L2013" s="15" t="str">
        <f t="shared" si="690"/>
        <v xml:space="preserve">Doctor Who: T-Shirts: 4th Doctor Costume </v>
      </c>
      <c r="M2013" s="15" t="str">
        <f t="shared" si="691"/>
        <v>XL</v>
      </c>
      <c r="N2013" s="15">
        <f t="shared" si="692"/>
        <v>0.8</v>
      </c>
      <c r="O2013" s="15" t="str">
        <f t="shared" si="693"/>
        <v>A20</v>
      </c>
      <c r="P2013" s="15" t="str">
        <f t="shared" si="694"/>
        <v>Morbius Inc.</v>
      </c>
      <c r="Q2013" s="15" t="str">
        <f t="shared" si="695"/>
        <v>56 Michael Spice Hwy</v>
      </c>
      <c r="R2013" s="3">
        <f>OrdersTable!C2013</f>
        <v>44705</v>
      </c>
      <c r="S2013" s="15">
        <f>OrdersTable!E2013</f>
        <v>8</v>
      </c>
      <c r="T2013" s="15">
        <f t="shared" si="696"/>
        <v>15.99</v>
      </c>
      <c r="U2013" s="15">
        <f t="shared" si="697"/>
        <v>22.05</v>
      </c>
      <c r="V2013" s="15">
        <f t="shared" si="698"/>
        <v>25.9</v>
      </c>
      <c r="W2013" s="15">
        <f>IF(MarkupType="Store Markup",ROUND(V2013+V2013*StoreMarkup,2),IF(MarkupType="Supplier Markup",V2013+V2013*SupplierMarkup,"Error at finding value"))</f>
        <v>40.79</v>
      </c>
      <c r="X2013" s="32" t="str">
        <f t="shared" si="700"/>
        <v>0.00</v>
      </c>
      <c r="Y2013" s="15">
        <f t="shared" si="701"/>
        <v>207.2</v>
      </c>
      <c r="Z2013" s="15">
        <f t="shared" si="702"/>
        <v>326.32</v>
      </c>
      <c r="AA2013" s="15">
        <f>IF(FreightType="Lethbridge-Stewart Freight ",ROUND(2.99+IF(N2013&gt;0.75,(N2013-0.75)*2.25,0)*S2013,2),IF(MarkupType="Supplier Markup",V2013+V2013*SupplierMarkup,"Error at finding value"))</f>
        <v>3.89</v>
      </c>
      <c r="AB2013" s="15">
        <f t="shared" si="703"/>
        <v>0</v>
      </c>
    </row>
    <row r="2014" spans="1:28" x14ac:dyDescent="0.25">
      <c r="A2014" s="16">
        <f>OrdersTable!A2014</f>
        <v>531</v>
      </c>
      <c r="B2014" s="15" t="str">
        <f t="shared" si="683"/>
        <v>Ms</v>
      </c>
      <c r="C2014" s="15" t="str">
        <f t="shared" si="704"/>
        <v>Stanton</v>
      </c>
      <c r="D2014" s="15" t="str">
        <f t="shared" si="684"/>
        <v>Sharaze</v>
      </c>
      <c r="E2014" s="15" t="str">
        <f t="shared" si="685"/>
        <v>1 Siddons Crescent</v>
      </c>
      <c r="F2014" s="15" t="str">
        <f t="shared" si="686"/>
        <v>Alfredtown</v>
      </c>
      <c r="G2014" s="15" t="str">
        <f t="shared" si="687"/>
        <v>NSW</v>
      </c>
      <c r="H2014" s="15">
        <f t="shared" si="688"/>
        <v>2650</v>
      </c>
      <c r="I2014" s="15">
        <f t="shared" si="699"/>
        <v>1124</v>
      </c>
      <c r="J2014" s="15">
        <f>OrdersTable!B2014</f>
        <v>710</v>
      </c>
      <c r="K2014" s="15" t="str">
        <f t="shared" si="689"/>
        <v>Posters, Prints and Standees</v>
      </c>
      <c r="L2014" s="15" t="str">
        <f t="shared" si="690"/>
        <v>Doctor Who: Poster: Regenerate</v>
      </c>
      <c r="M2014" s="15" t="str">
        <f t="shared" si="691"/>
        <v>-</v>
      </c>
      <c r="N2014" s="15">
        <f t="shared" si="692"/>
        <v>0.2</v>
      </c>
      <c r="O2014" s="15" t="str">
        <f t="shared" si="693"/>
        <v>A40</v>
      </c>
      <c r="P2014" s="15" t="str">
        <f t="shared" si="694"/>
        <v>Romana Imports</v>
      </c>
      <c r="Q2014" s="15" t="str">
        <f t="shared" si="695"/>
        <v>17 Lalla Ward Road</v>
      </c>
      <c r="R2014" s="3">
        <f>OrdersTable!C2014</f>
        <v>44705</v>
      </c>
      <c r="S2014" s="15">
        <f>OrdersTable!E2014</f>
        <v>10</v>
      </c>
      <c r="T2014" s="15">
        <f t="shared" si="696"/>
        <v>3.99</v>
      </c>
      <c r="U2014" s="15">
        <f t="shared" si="697"/>
        <v>5.5</v>
      </c>
      <c r="V2014" s="15">
        <f t="shared" si="698"/>
        <v>6.46</v>
      </c>
      <c r="W2014" s="15">
        <f>IF(MarkupType="Store Markup",ROUND(V2014+V2014*StoreMarkup,2),IF(MarkupType="Supplier Markup",V2014+V2014*SupplierMarkup,"Error at finding value"))</f>
        <v>10.17</v>
      </c>
      <c r="X2014" s="32" t="str">
        <f t="shared" si="700"/>
        <v>0.00</v>
      </c>
      <c r="Y2014" s="15">
        <f t="shared" si="701"/>
        <v>64.599999999999994</v>
      </c>
      <c r="Z2014" s="15">
        <f t="shared" si="702"/>
        <v>101.7</v>
      </c>
      <c r="AA2014" s="15">
        <f>IF(FreightType="Lethbridge-Stewart Freight ",ROUND(2.99+IF(N2014&gt;0.75,(N2014-0.75)*2.25,0)*S2014,2),IF(MarkupType="Supplier Markup",V2014+V2014*SupplierMarkup,"Error at finding value"))</f>
        <v>2.99</v>
      </c>
      <c r="AB2014" s="15">
        <f t="shared" si="703"/>
        <v>0</v>
      </c>
    </row>
    <row r="2015" spans="1:28" x14ac:dyDescent="0.25">
      <c r="A2015" s="16">
        <f>OrdersTable!A2015</f>
        <v>634</v>
      </c>
      <c r="B2015" s="15" t="str">
        <f t="shared" si="683"/>
        <v>Miss</v>
      </c>
      <c r="C2015" s="15" t="str">
        <f t="shared" si="704"/>
        <v>Betts</v>
      </c>
      <c r="D2015" s="15" t="str">
        <f t="shared" si="684"/>
        <v>Melissa Leigh</v>
      </c>
      <c r="E2015" s="15" t="str">
        <f t="shared" si="685"/>
        <v>4 Aitcheson Drive</v>
      </c>
      <c r="F2015" s="15" t="str">
        <f t="shared" si="686"/>
        <v>Bray Park</v>
      </c>
      <c r="G2015" s="15" t="str">
        <f t="shared" si="687"/>
        <v>QLD</v>
      </c>
      <c r="H2015" s="15">
        <f t="shared" si="688"/>
        <v>4500</v>
      </c>
      <c r="I2015" s="15">
        <f t="shared" si="699"/>
        <v>139</v>
      </c>
      <c r="J2015" s="15">
        <f>OrdersTable!B2015</f>
        <v>398</v>
      </c>
      <c r="K2015" s="15" t="str">
        <f t="shared" si="689"/>
        <v>Clothing and Apparel</v>
      </c>
      <c r="L2015" s="15" t="str">
        <f t="shared" si="690"/>
        <v>Doctor Who: Women's Winter Pyjamas</v>
      </c>
      <c r="M2015" s="15" t="str">
        <f t="shared" si="691"/>
        <v>S</v>
      </c>
      <c r="N2015" s="15">
        <f t="shared" si="692"/>
        <v>1.5</v>
      </c>
      <c r="O2015" s="15" t="str">
        <f t="shared" si="693"/>
        <v>A40</v>
      </c>
      <c r="P2015" s="15" t="str">
        <f t="shared" si="694"/>
        <v>Romana Imports</v>
      </c>
      <c r="Q2015" s="15" t="str">
        <f t="shared" si="695"/>
        <v>17 Lalla Ward Road</v>
      </c>
      <c r="R2015" s="3">
        <f>OrdersTable!C2015</f>
        <v>44705</v>
      </c>
      <c r="S2015" s="15">
        <f>OrdersTable!E2015</f>
        <v>7</v>
      </c>
      <c r="T2015" s="15">
        <f t="shared" si="696"/>
        <v>29.99</v>
      </c>
      <c r="U2015" s="15">
        <f t="shared" si="697"/>
        <v>41.07</v>
      </c>
      <c r="V2015" s="15">
        <f t="shared" si="698"/>
        <v>48.58</v>
      </c>
      <c r="W2015" s="15">
        <f>IF(MarkupType="Store Markup",ROUND(V2015+V2015*StoreMarkup,2),IF(MarkupType="Supplier Markup",V2015+V2015*SupplierMarkup,"Error at finding value"))</f>
        <v>76.510000000000005</v>
      </c>
      <c r="X2015" s="32" t="str">
        <f t="shared" si="700"/>
        <v>0.00</v>
      </c>
      <c r="Y2015" s="15">
        <f t="shared" si="701"/>
        <v>340.06</v>
      </c>
      <c r="Z2015" s="15">
        <f t="shared" si="702"/>
        <v>535.57000000000005</v>
      </c>
      <c r="AA2015" s="15">
        <f>IF(FreightType="Lethbridge-Stewart Freight ",ROUND(2.99+IF(N2015&gt;0.75,(N2015-0.75)*2.25,0)*S2015,2),IF(MarkupType="Supplier Markup",V2015+V2015*SupplierMarkup,"Error at finding value"))</f>
        <v>14.8</v>
      </c>
      <c r="AB2015" s="15">
        <f t="shared" si="703"/>
        <v>0</v>
      </c>
    </row>
    <row r="2016" spans="1:28" x14ac:dyDescent="0.25">
      <c r="A2016" s="16">
        <f>OrdersTable!A2016</f>
        <v>923</v>
      </c>
      <c r="B2016" s="15" t="str">
        <f t="shared" si="683"/>
        <v>Ms</v>
      </c>
      <c r="C2016" s="15" t="str">
        <f t="shared" si="704"/>
        <v>Savage</v>
      </c>
      <c r="D2016" s="15" t="str">
        <f t="shared" si="684"/>
        <v>Eliza Margaret</v>
      </c>
      <c r="E2016" s="15" t="str">
        <f t="shared" si="685"/>
        <v>28 Whisson Crescent</v>
      </c>
      <c r="F2016" s="15" t="str">
        <f t="shared" si="686"/>
        <v>Belconnen</v>
      </c>
      <c r="G2016" s="15" t="str">
        <f t="shared" si="687"/>
        <v>ACT</v>
      </c>
      <c r="H2016" s="15">
        <f t="shared" si="688"/>
        <v>2617</v>
      </c>
      <c r="I2016" s="15">
        <f t="shared" si="699"/>
        <v>1194</v>
      </c>
      <c r="J2016" s="15">
        <f>OrdersTable!B2016</f>
        <v>316</v>
      </c>
      <c r="K2016" s="15" t="str">
        <f t="shared" si="689"/>
        <v>Clothing and Apparel</v>
      </c>
      <c r="L2016" s="15" t="str">
        <f t="shared" si="690"/>
        <v xml:space="preserve">Doctor Who: T-Shirts: 4th Doctor Costume </v>
      </c>
      <c r="M2016" s="15" t="str">
        <f t="shared" si="691"/>
        <v>S</v>
      </c>
      <c r="N2016" s="15">
        <f t="shared" si="692"/>
        <v>0.8</v>
      </c>
      <c r="O2016" s="15" t="str">
        <f t="shared" si="693"/>
        <v>A30</v>
      </c>
      <c r="P2016" s="15" t="str">
        <f t="shared" si="694"/>
        <v>Chesterton Enterprises</v>
      </c>
      <c r="Q2016" s="15" t="str">
        <f t="shared" si="695"/>
        <v>41 William Russell Road</v>
      </c>
      <c r="R2016" s="3">
        <f>OrdersTable!C2016</f>
        <v>44705</v>
      </c>
      <c r="S2016" s="15">
        <f>OrdersTable!E2016</f>
        <v>5</v>
      </c>
      <c r="T2016" s="15">
        <f t="shared" si="696"/>
        <v>15.99</v>
      </c>
      <c r="U2016" s="15">
        <f t="shared" si="697"/>
        <v>21.94</v>
      </c>
      <c r="V2016" s="15">
        <f t="shared" si="698"/>
        <v>25.9</v>
      </c>
      <c r="W2016" s="15">
        <f>IF(MarkupType="Store Markup",ROUND(V2016+V2016*StoreMarkup,2),IF(MarkupType="Supplier Markup",V2016+V2016*SupplierMarkup,"Error at finding value"))</f>
        <v>40.79</v>
      </c>
      <c r="X2016" s="32" t="str">
        <f t="shared" si="700"/>
        <v>0.00</v>
      </c>
      <c r="Y2016" s="15">
        <f t="shared" si="701"/>
        <v>129.5</v>
      </c>
      <c r="Z2016" s="15">
        <f t="shared" si="702"/>
        <v>203.95</v>
      </c>
      <c r="AA2016" s="15">
        <f>IF(FreightType="Lethbridge-Stewart Freight ",ROUND(2.99+IF(N2016&gt;0.75,(N2016-0.75)*2.25,0)*S2016,2),IF(MarkupType="Supplier Markup",V2016+V2016*SupplierMarkup,"Error at finding value"))</f>
        <v>3.55</v>
      </c>
      <c r="AB2016" s="15">
        <f t="shared" si="703"/>
        <v>0</v>
      </c>
    </row>
    <row r="2017" spans="1:28" x14ac:dyDescent="0.25">
      <c r="A2017" s="16">
        <f>OrdersTable!A2017</f>
        <v>190</v>
      </c>
      <c r="B2017" s="15" t="str">
        <f t="shared" si="683"/>
        <v>Mr</v>
      </c>
      <c r="C2017" s="15" t="str">
        <f t="shared" si="704"/>
        <v>Azar</v>
      </c>
      <c r="D2017" s="15" t="str">
        <f t="shared" si="684"/>
        <v>Hector Antonio</v>
      </c>
      <c r="E2017" s="15" t="str">
        <f t="shared" si="685"/>
        <v>38 Hope Avenue</v>
      </c>
      <c r="F2017" s="15" t="str">
        <f t="shared" si="686"/>
        <v>Glenfern</v>
      </c>
      <c r="G2017" s="15" t="str">
        <f t="shared" si="687"/>
        <v>QLD</v>
      </c>
      <c r="H2017" s="15">
        <f t="shared" si="688"/>
        <v>4515</v>
      </c>
      <c r="I2017" s="15">
        <f t="shared" si="699"/>
        <v>128</v>
      </c>
      <c r="J2017" s="15">
        <f>OrdersTable!B2017</f>
        <v>128</v>
      </c>
      <c r="K2017" s="15" t="str">
        <f t="shared" si="689"/>
        <v>Bobbleheads</v>
      </c>
      <c r="L2017" s="15" t="str">
        <f t="shared" si="690"/>
        <v>Doctor Who: Bobblehead: Davros</v>
      </c>
      <c r="M2017" s="15" t="str">
        <f t="shared" si="691"/>
        <v>-</v>
      </c>
      <c r="N2017" s="15">
        <f t="shared" si="692"/>
        <v>0.85</v>
      </c>
      <c r="O2017" s="15" t="str">
        <f t="shared" si="693"/>
        <v>A50</v>
      </c>
      <c r="P2017" s="15" t="str">
        <f t="shared" si="694"/>
        <v>Rassilon Ltd.</v>
      </c>
      <c r="Q2017" s="15" t="str">
        <f t="shared" si="695"/>
        <v>82 Richard Mathews Road</v>
      </c>
      <c r="R2017" s="3">
        <f>OrdersTable!C2017</f>
        <v>44706</v>
      </c>
      <c r="S2017" s="15">
        <f>OrdersTable!E2017</f>
        <v>9</v>
      </c>
      <c r="T2017" s="15">
        <f t="shared" si="696"/>
        <v>16.989999999999998</v>
      </c>
      <c r="U2017" s="15">
        <f t="shared" si="697"/>
        <v>23.27</v>
      </c>
      <c r="V2017" s="15">
        <f t="shared" si="698"/>
        <v>27.52</v>
      </c>
      <c r="W2017" s="15">
        <f>IF(MarkupType="Store Markup",ROUND(V2017+V2017*StoreMarkup,2),IF(MarkupType="Supplier Markup",V2017+V2017*SupplierMarkup,"Error at finding value"))</f>
        <v>43.34</v>
      </c>
      <c r="X2017" s="32" t="str">
        <f t="shared" si="700"/>
        <v>0.00</v>
      </c>
      <c r="Y2017" s="15">
        <f t="shared" si="701"/>
        <v>247.68</v>
      </c>
      <c r="Z2017" s="15">
        <f t="shared" si="702"/>
        <v>390.06</v>
      </c>
      <c r="AA2017" s="15">
        <f>IF(FreightType="Lethbridge-Stewart Freight ",ROUND(2.99+IF(N2017&gt;0.75,(N2017-0.75)*2.25,0)*S2017,2),IF(MarkupType="Supplier Markup",V2017+V2017*SupplierMarkup,"Error at finding value"))</f>
        <v>5.0199999999999996</v>
      </c>
      <c r="AB2017" s="15">
        <f t="shared" si="703"/>
        <v>0</v>
      </c>
    </row>
    <row r="2018" spans="1:28" x14ac:dyDescent="0.25">
      <c r="A2018" s="16">
        <f>OrdersTable!A2018</f>
        <v>232</v>
      </c>
      <c r="B2018" s="15" t="str">
        <f t="shared" si="683"/>
        <v>Mrs</v>
      </c>
      <c r="C2018" s="15" t="str">
        <f t="shared" si="704"/>
        <v>Bishop</v>
      </c>
      <c r="D2018" s="15" t="str">
        <f t="shared" si="684"/>
        <v>Katherine Marie</v>
      </c>
      <c r="E2018" s="15" t="str">
        <f t="shared" si="685"/>
        <v>19 Whitehorn Circuit</v>
      </c>
      <c r="F2018" s="15" t="str">
        <f t="shared" si="686"/>
        <v>Black Hills</v>
      </c>
      <c r="G2018" s="15" t="str">
        <f t="shared" si="687"/>
        <v>TAS</v>
      </c>
      <c r="H2018" s="15">
        <f t="shared" si="688"/>
        <v>7140</v>
      </c>
      <c r="I2018" s="15">
        <f t="shared" si="699"/>
        <v>2191</v>
      </c>
      <c r="J2018" s="15">
        <f>OrdersTable!B2018</f>
        <v>696</v>
      </c>
      <c r="K2018" s="15" t="str">
        <f t="shared" si="689"/>
        <v>Posters, Prints and Standees</v>
      </c>
      <c r="L2018" s="15" t="str">
        <f t="shared" si="690"/>
        <v xml:space="preserve">Doctor Who: 50th Anniversary: Poster: To Victory </v>
      </c>
      <c r="M2018" s="15" t="str">
        <f t="shared" si="691"/>
        <v>-</v>
      </c>
      <c r="N2018" s="15">
        <f t="shared" si="692"/>
        <v>0.2</v>
      </c>
      <c r="O2018" s="15" t="str">
        <f t="shared" si="693"/>
        <v>A40</v>
      </c>
      <c r="P2018" s="15" t="str">
        <f t="shared" si="694"/>
        <v>Romana Imports</v>
      </c>
      <c r="Q2018" s="15" t="str">
        <f t="shared" si="695"/>
        <v>17 Lalla Ward Road</v>
      </c>
      <c r="R2018" s="3">
        <f>OrdersTable!C2018</f>
        <v>44706</v>
      </c>
      <c r="S2018" s="15">
        <f>OrdersTable!E2018</f>
        <v>10</v>
      </c>
      <c r="T2018" s="15">
        <f t="shared" si="696"/>
        <v>3.99</v>
      </c>
      <c r="U2018" s="15">
        <f t="shared" si="697"/>
        <v>5.6</v>
      </c>
      <c r="V2018" s="15">
        <f t="shared" si="698"/>
        <v>6.46</v>
      </c>
      <c r="W2018" s="15">
        <f>IF(MarkupType="Store Markup",ROUND(V2018+V2018*StoreMarkup,2),IF(MarkupType="Supplier Markup",V2018+V2018*SupplierMarkup,"Error at finding value"))</f>
        <v>10.17</v>
      </c>
      <c r="X2018" s="32" t="str">
        <f t="shared" si="700"/>
        <v>0.00</v>
      </c>
      <c r="Y2018" s="15">
        <f t="shared" si="701"/>
        <v>64.599999999999994</v>
      </c>
      <c r="Z2018" s="15">
        <f t="shared" si="702"/>
        <v>101.7</v>
      </c>
      <c r="AA2018" s="15">
        <f>IF(FreightType="Lethbridge-Stewart Freight ",ROUND(2.99+IF(N2018&gt;0.75,(N2018-0.75)*2.25,0)*S2018,2),IF(MarkupType="Supplier Markup",V2018+V2018*SupplierMarkup,"Error at finding value"))</f>
        <v>2.99</v>
      </c>
      <c r="AB2018" s="15">
        <f t="shared" si="703"/>
        <v>0</v>
      </c>
    </row>
    <row r="2019" spans="1:28" x14ac:dyDescent="0.25">
      <c r="A2019" s="16">
        <f>OrdersTable!A2019</f>
        <v>285</v>
      </c>
      <c r="B2019" s="15" t="str">
        <f t="shared" si="683"/>
        <v>Mr</v>
      </c>
      <c r="C2019" s="15" t="str">
        <f t="shared" si="704"/>
        <v>Temple Morgan</v>
      </c>
      <c r="D2019" s="15" t="str">
        <f t="shared" si="684"/>
        <v>Mathew Peter</v>
      </c>
      <c r="E2019" s="15" t="str">
        <f t="shared" si="685"/>
        <v>19 Tansky Court</v>
      </c>
      <c r="F2019" s="15" t="str">
        <f t="shared" si="686"/>
        <v>Belford</v>
      </c>
      <c r="G2019" s="15" t="str">
        <f t="shared" si="687"/>
        <v>NSW</v>
      </c>
      <c r="H2019" s="15">
        <f t="shared" si="688"/>
        <v>2335</v>
      </c>
      <c r="I2019" s="15">
        <f t="shared" si="699"/>
        <v>716</v>
      </c>
      <c r="J2019" s="15">
        <f>OrdersTable!B2019</f>
        <v>747</v>
      </c>
      <c r="K2019" s="15" t="str">
        <f t="shared" si="689"/>
        <v>Props and Replicas</v>
      </c>
      <c r="L2019" s="15" t="str">
        <f t="shared" si="690"/>
        <v>Doctor Who: The Master's Fob Watch</v>
      </c>
      <c r="M2019" s="15" t="str">
        <f t="shared" si="691"/>
        <v>-</v>
      </c>
      <c r="N2019" s="15">
        <f t="shared" si="692"/>
        <v>2.25</v>
      </c>
      <c r="O2019" s="15" t="str">
        <f t="shared" si="693"/>
        <v>A10</v>
      </c>
      <c r="P2019" s="15" t="str">
        <f t="shared" si="694"/>
        <v>Gallifrey International</v>
      </c>
      <c r="Q2019" s="15" t="str">
        <f t="shared" si="695"/>
        <v>181 Arcadia Street</v>
      </c>
      <c r="R2019" s="3">
        <f>OrdersTable!C2019</f>
        <v>44706</v>
      </c>
      <c r="S2019" s="15">
        <f>OrdersTable!E2019</f>
        <v>6</v>
      </c>
      <c r="T2019" s="15">
        <f t="shared" si="696"/>
        <v>44.99</v>
      </c>
      <c r="U2019" s="15">
        <f t="shared" si="697"/>
        <v>61.7</v>
      </c>
      <c r="V2019" s="15">
        <f t="shared" si="698"/>
        <v>72.88</v>
      </c>
      <c r="W2019" s="15">
        <f>IF(MarkupType="Store Markup",ROUND(V2019+V2019*StoreMarkup,2),IF(MarkupType="Supplier Markup",V2019+V2019*SupplierMarkup,"Error at finding value"))</f>
        <v>114.79</v>
      </c>
      <c r="X2019" s="32">
        <f t="shared" si="700"/>
        <v>8.18</v>
      </c>
      <c r="Y2019" s="15">
        <f t="shared" si="701"/>
        <v>437.28</v>
      </c>
      <c r="Z2019" s="15">
        <f t="shared" si="702"/>
        <v>639.66</v>
      </c>
      <c r="AA2019" s="15">
        <f>IF(FreightType="Lethbridge-Stewart Freight ",ROUND(2.99+IF(N2019&gt;0.75,(N2019-0.75)*2.25,0)*S2019,2),IF(MarkupType="Supplier Markup",V2019+V2019*SupplierMarkup,"Error at finding value"))</f>
        <v>23.24</v>
      </c>
      <c r="AB2019" s="15">
        <f t="shared" si="703"/>
        <v>49.08</v>
      </c>
    </row>
    <row r="2020" spans="1:28" x14ac:dyDescent="0.25">
      <c r="A2020" s="16">
        <f>OrdersTable!A2020</f>
        <v>302</v>
      </c>
      <c r="B2020" s="15" t="str">
        <f t="shared" si="683"/>
        <v>Ms</v>
      </c>
      <c r="C2020" s="15" t="str">
        <f t="shared" si="704"/>
        <v>Lamshed</v>
      </c>
      <c r="D2020" s="15" t="str">
        <f t="shared" si="684"/>
        <v>Laura Clare</v>
      </c>
      <c r="E2020" s="15" t="str">
        <f t="shared" si="685"/>
        <v>22 Edser Drive</v>
      </c>
      <c r="F2020" s="15" t="str">
        <f t="shared" si="686"/>
        <v>Caliph</v>
      </c>
      <c r="G2020" s="15" t="str">
        <f t="shared" si="687"/>
        <v>SA</v>
      </c>
      <c r="H2020" s="15">
        <f t="shared" si="688"/>
        <v>5310</v>
      </c>
      <c r="I2020" s="15">
        <f t="shared" si="699"/>
        <v>1720</v>
      </c>
      <c r="J2020" s="15">
        <f>OrdersTable!B2020</f>
        <v>128</v>
      </c>
      <c r="K2020" s="15" t="str">
        <f t="shared" si="689"/>
        <v>Bobbleheads</v>
      </c>
      <c r="L2020" s="15" t="str">
        <f t="shared" si="690"/>
        <v>Doctor Who: Bobblehead: Davros</v>
      </c>
      <c r="M2020" s="15" t="str">
        <f t="shared" si="691"/>
        <v>-</v>
      </c>
      <c r="N2020" s="15">
        <f t="shared" si="692"/>
        <v>0.85</v>
      </c>
      <c r="O2020" s="15" t="str">
        <f t="shared" si="693"/>
        <v>A50</v>
      </c>
      <c r="P2020" s="15" t="str">
        <f t="shared" si="694"/>
        <v>Rassilon Ltd.</v>
      </c>
      <c r="Q2020" s="15" t="str">
        <f t="shared" si="695"/>
        <v>82 Richard Mathews Road</v>
      </c>
      <c r="R2020" s="3">
        <f>OrdersTable!C2020</f>
        <v>44706</v>
      </c>
      <c r="S2020" s="15">
        <f>OrdersTable!E2020</f>
        <v>8</v>
      </c>
      <c r="T2020" s="15">
        <f t="shared" si="696"/>
        <v>16.989999999999998</v>
      </c>
      <c r="U2020" s="15">
        <f t="shared" si="697"/>
        <v>23.27</v>
      </c>
      <c r="V2020" s="15">
        <f t="shared" si="698"/>
        <v>27.52</v>
      </c>
      <c r="W2020" s="15">
        <f>IF(MarkupType="Store Markup",ROUND(V2020+V2020*StoreMarkup,2),IF(MarkupType="Supplier Markup",V2020+V2020*SupplierMarkup,"Error at finding value"))</f>
        <v>43.34</v>
      </c>
      <c r="X2020" s="32" t="str">
        <f t="shared" si="700"/>
        <v>0.00</v>
      </c>
      <c r="Y2020" s="15">
        <f t="shared" si="701"/>
        <v>220.16</v>
      </c>
      <c r="Z2020" s="15">
        <f t="shared" si="702"/>
        <v>346.72</v>
      </c>
      <c r="AA2020" s="15">
        <f>IF(FreightType="Lethbridge-Stewart Freight ",ROUND(2.99+IF(N2020&gt;0.75,(N2020-0.75)*2.25,0)*S2020,2),IF(MarkupType="Supplier Markup",V2020+V2020*SupplierMarkup,"Error at finding value"))</f>
        <v>4.79</v>
      </c>
      <c r="AB2020" s="15">
        <f t="shared" si="703"/>
        <v>0</v>
      </c>
    </row>
    <row r="2021" spans="1:28" x14ac:dyDescent="0.25">
      <c r="A2021" s="16">
        <f>OrdersTable!A2021</f>
        <v>332</v>
      </c>
      <c r="B2021" s="15" t="str">
        <f t="shared" si="683"/>
        <v>Mr</v>
      </c>
      <c r="C2021" s="15" t="str">
        <f t="shared" si="704"/>
        <v>Selman</v>
      </c>
      <c r="D2021" s="15" t="str">
        <f t="shared" si="684"/>
        <v>Jack Ryan</v>
      </c>
      <c r="E2021" s="15" t="str">
        <f t="shared" si="685"/>
        <v>17 Van Essen Street</v>
      </c>
      <c r="F2021" s="15" t="str">
        <f t="shared" si="686"/>
        <v>Airly</v>
      </c>
      <c r="G2021" s="15" t="str">
        <f t="shared" si="687"/>
        <v>VIC</v>
      </c>
      <c r="H2021" s="15">
        <f t="shared" si="688"/>
        <v>3851</v>
      </c>
      <c r="I2021" s="15">
        <f t="shared" si="699"/>
        <v>1583</v>
      </c>
      <c r="J2021" s="15">
        <f>OrdersTable!B2021</f>
        <v>703</v>
      </c>
      <c r="K2021" s="15" t="str">
        <f t="shared" si="689"/>
        <v>Posters, Prints and Standees</v>
      </c>
      <c r="L2021" s="15" t="str">
        <f t="shared" si="690"/>
        <v>Doctor Who: Poster: Doctor With Sonic Screwdriver</v>
      </c>
      <c r="M2021" s="15" t="str">
        <f t="shared" si="691"/>
        <v>-</v>
      </c>
      <c r="N2021" s="15">
        <f t="shared" si="692"/>
        <v>0.2</v>
      </c>
      <c r="O2021" s="15" t="str">
        <f t="shared" si="693"/>
        <v>A50</v>
      </c>
      <c r="P2021" s="15" t="str">
        <f t="shared" si="694"/>
        <v>Rassilon Ltd.</v>
      </c>
      <c r="Q2021" s="15" t="str">
        <f t="shared" si="695"/>
        <v>82 Richard Mathews Road</v>
      </c>
      <c r="R2021" s="3">
        <f>OrdersTable!C2021</f>
        <v>44706</v>
      </c>
      <c r="S2021" s="15">
        <f>OrdersTable!E2021</f>
        <v>8</v>
      </c>
      <c r="T2021" s="15">
        <f t="shared" si="696"/>
        <v>3.99</v>
      </c>
      <c r="U2021" s="15">
        <f t="shared" si="697"/>
        <v>5.51</v>
      </c>
      <c r="V2021" s="15">
        <f t="shared" si="698"/>
        <v>6.46</v>
      </c>
      <c r="W2021" s="15">
        <f>IF(MarkupType="Store Markup",ROUND(V2021+V2021*StoreMarkup,2),IF(MarkupType="Supplier Markup",V2021+V2021*SupplierMarkup,"Error at finding value"))</f>
        <v>10.17</v>
      </c>
      <c r="X2021" s="32" t="str">
        <f t="shared" si="700"/>
        <v>0.00</v>
      </c>
      <c r="Y2021" s="15">
        <f t="shared" si="701"/>
        <v>51.68</v>
      </c>
      <c r="Z2021" s="15">
        <f t="shared" si="702"/>
        <v>81.36</v>
      </c>
      <c r="AA2021" s="15">
        <f>IF(FreightType="Lethbridge-Stewart Freight ",ROUND(2.99+IF(N2021&gt;0.75,(N2021-0.75)*2.25,0)*S2021,2),IF(MarkupType="Supplier Markup",V2021+V2021*SupplierMarkup,"Error at finding value"))</f>
        <v>2.99</v>
      </c>
      <c r="AB2021" s="15">
        <f t="shared" si="703"/>
        <v>0</v>
      </c>
    </row>
    <row r="2022" spans="1:28" x14ac:dyDescent="0.25">
      <c r="A2022" s="16">
        <f>OrdersTable!A2022</f>
        <v>540</v>
      </c>
      <c r="B2022" s="15" t="str">
        <f t="shared" si="683"/>
        <v>Dr</v>
      </c>
      <c r="C2022" s="15" t="str">
        <f t="shared" si="704"/>
        <v>Hackett</v>
      </c>
      <c r="D2022" s="15" t="str">
        <f t="shared" si="684"/>
        <v>Patrick</v>
      </c>
      <c r="E2022" s="15" t="str">
        <f t="shared" si="685"/>
        <v>25 Sweet Drive</v>
      </c>
      <c r="F2022" s="15" t="str">
        <f t="shared" si="686"/>
        <v>Bridgewater</v>
      </c>
      <c r="G2022" s="15" t="str">
        <f t="shared" si="687"/>
        <v>VIC</v>
      </c>
      <c r="H2022" s="15">
        <f t="shared" si="688"/>
        <v>3516</v>
      </c>
      <c r="I2022" s="15">
        <f t="shared" si="699"/>
        <v>1486</v>
      </c>
      <c r="J2022" s="15">
        <f>OrdersTable!B2022</f>
        <v>710</v>
      </c>
      <c r="K2022" s="15" t="str">
        <f t="shared" si="689"/>
        <v>Posters, Prints and Standees</v>
      </c>
      <c r="L2022" s="15" t="str">
        <f t="shared" si="690"/>
        <v>Doctor Who: Poster: Regenerate</v>
      </c>
      <c r="M2022" s="15" t="str">
        <f t="shared" si="691"/>
        <v>-</v>
      </c>
      <c r="N2022" s="15">
        <f t="shared" si="692"/>
        <v>0.2</v>
      </c>
      <c r="O2022" s="15" t="str">
        <f t="shared" si="693"/>
        <v>A40</v>
      </c>
      <c r="P2022" s="15" t="str">
        <f t="shared" si="694"/>
        <v>Romana Imports</v>
      </c>
      <c r="Q2022" s="15" t="str">
        <f t="shared" si="695"/>
        <v>17 Lalla Ward Road</v>
      </c>
      <c r="R2022" s="3">
        <f>OrdersTable!C2022</f>
        <v>44706</v>
      </c>
      <c r="S2022" s="15">
        <f>OrdersTable!E2022</f>
        <v>2</v>
      </c>
      <c r="T2022" s="15">
        <f t="shared" si="696"/>
        <v>3.99</v>
      </c>
      <c r="U2022" s="15">
        <f t="shared" si="697"/>
        <v>5.5</v>
      </c>
      <c r="V2022" s="15">
        <f t="shared" si="698"/>
        <v>6.46</v>
      </c>
      <c r="W2022" s="15">
        <f>IF(MarkupType="Store Markup",ROUND(V2022+V2022*StoreMarkup,2),IF(MarkupType="Supplier Markup",V2022+V2022*SupplierMarkup,"Error at finding value"))</f>
        <v>10.17</v>
      </c>
      <c r="X2022" s="32" t="str">
        <f t="shared" si="700"/>
        <v>0.00</v>
      </c>
      <c r="Y2022" s="15">
        <f t="shared" si="701"/>
        <v>12.92</v>
      </c>
      <c r="Z2022" s="15">
        <f t="shared" si="702"/>
        <v>20.34</v>
      </c>
      <c r="AA2022" s="15">
        <f>IF(FreightType="Lethbridge-Stewart Freight ",ROUND(2.99+IF(N2022&gt;0.75,(N2022-0.75)*2.25,0)*S2022,2),IF(MarkupType="Supplier Markup",V2022+V2022*SupplierMarkup,"Error at finding value"))</f>
        <v>2.99</v>
      </c>
      <c r="AB2022" s="15">
        <f t="shared" si="703"/>
        <v>0</v>
      </c>
    </row>
    <row r="2023" spans="1:28" x14ac:dyDescent="0.25">
      <c r="A2023" s="16">
        <f>OrdersTable!A2023</f>
        <v>570</v>
      </c>
      <c r="B2023" s="15" t="str">
        <f t="shared" si="683"/>
        <v>Mr</v>
      </c>
      <c r="C2023" s="15" t="str">
        <f t="shared" si="704"/>
        <v>Adams</v>
      </c>
      <c r="D2023" s="15" t="str">
        <f t="shared" si="684"/>
        <v>Matthew</v>
      </c>
      <c r="E2023" s="15" t="str">
        <f t="shared" si="685"/>
        <v>36 Fenech Avenue</v>
      </c>
      <c r="F2023" s="15" t="str">
        <f t="shared" si="686"/>
        <v>Bray Park</v>
      </c>
      <c r="G2023" s="15" t="str">
        <f t="shared" si="687"/>
        <v>QLD</v>
      </c>
      <c r="H2023" s="15">
        <f t="shared" si="688"/>
        <v>4500</v>
      </c>
      <c r="I2023" s="15">
        <f t="shared" si="699"/>
        <v>139</v>
      </c>
      <c r="J2023" s="15">
        <f>OrdersTable!B2023</f>
        <v>201</v>
      </c>
      <c r="K2023" s="15" t="str">
        <f t="shared" si="689"/>
        <v>Clothing and Apparel</v>
      </c>
      <c r="L2023" s="15" t="str">
        <f t="shared" si="690"/>
        <v>Doctor Who: Dalek Beanie</v>
      </c>
      <c r="M2023" s="15" t="str">
        <f t="shared" si="691"/>
        <v>-</v>
      </c>
      <c r="N2023" s="15">
        <f t="shared" si="692"/>
        <v>1.1399999999999999</v>
      </c>
      <c r="O2023" s="15" t="str">
        <f t="shared" si="693"/>
        <v>A50</v>
      </c>
      <c r="P2023" s="15" t="str">
        <f t="shared" si="694"/>
        <v>Rassilon Ltd.</v>
      </c>
      <c r="Q2023" s="15" t="str">
        <f t="shared" si="695"/>
        <v>82 Richard Mathews Road</v>
      </c>
      <c r="R2023" s="3">
        <f>OrdersTable!C2023</f>
        <v>44706</v>
      </c>
      <c r="S2023" s="15">
        <f>OrdersTable!E2023</f>
        <v>7</v>
      </c>
      <c r="T2023" s="15">
        <f t="shared" si="696"/>
        <v>22.75</v>
      </c>
      <c r="U2023" s="15">
        <f t="shared" si="697"/>
        <v>31.26</v>
      </c>
      <c r="V2023" s="15">
        <f t="shared" si="698"/>
        <v>36.86</v>
      </c>
      <c r="W2023" s="15">
        <f>IF(MarkupType="Store Markup",ROUND(V2023+V2023*StoreMarkup,2),IF(MarkupType="Supplier Markup",V2023+V2023*SupplierMarkup,"Error at finding value"))</f>
        <v>58.05</v>
      </c>
      <c r="X2023" s="32" t="str">
        <f t="shared" si="700"/>
        <v>0.00</v>
      </c>
      <c r="Y2023" s="15">
        <f t="shared" si="701"/>
        <v>258.02</v>
      </c>
      <c r="Z2023" s="15">
        <f t="shared" si="702"/>
        <v>406.35</v>
      </c>
      <c r="AA2023" s="15">
        <f>IF(FreightType="Lethbridge-Stewart Freight ",ROUND(2.99+IF(N2023&gt;0.75,(N2023-0.75)*2.25,0)*S2023,2),IF(MarkupType="Supplier Markup",V2023+V2023*SupplierMarkup,"Error at finding value"))</f>
        <v>9.1300000000000008</v>
      </c>
      <c r="AB2023" s="15">
        <f t="shared" si="703"/>
        <v>0</v>
      </c>
    </row>
    <row r="2024" spans="1:28" x14ac:dyDescent="0.25">
      <c r="A2024" s="16">
        <f>OrdersTable!A2024</f>
        <v>586</v>
      </c>
      <c r="B2024" s="15" t="str">
        <f t="shared" si="683"/>
        <v>Dr</v>
      </c>
      <c r="C2024" s="15" t="str">
        <f t="shared" si="704"/>
        <v>Coetzee</v>
      </c>
      <c r="D2024" s="15" t="str">
        <f t="shared" si="684"/>
        <v>Riekert</v>
      </c>
      <c r="E2024" s="15" t="str">
        <f t="shared" si="685"/>
        <v>5 Western Road</v>
      </c>
      <c r="F2024" s="15" t="str">
        <f t="shared" si="686"/>
        <v>Alfredtown</v>
      </c>
      <c r="G2024" s="15" t="str">
        <f t="shared" si="687"/>
        <v>NSW</v>
      </c>
      <c r="H2024" s="15">
        <f t="shared" si="688"/>
        <v>2650</v>
      </c>
      <c r="I2024" s="15">
        <f t="shared" si="699"/>
        <v>1124</v>
      </c>
      <c r="J2024" s="15">
        <f>OrdersTable!B2024</f>
        <v>376</v>
      </c>
      <c r="K2024" s="15" t="str">
        <f t="shared" si="689"/>
        <v>Clothing and Apparel</v>
      </c>
      <c r="L2024" s="15" t="str">
        <f t="shared" si="690"/>
        <v xml:space="preserve">Doctor Who: T-Shirts: 7th Doctor Costume </v>
      </c>
      <c r="M2024" s="15" t="str">
        <f t="shared" si="691"/>
        <v>S</v>
      </c>
      <c r="N2024" s="15">
        <f t="shared" si="692"/>
        <v>0.8</v>
      </c>
      <c r="O2024" s="15" t="str">
        <f t="shared" si="693"/>
        <v>A10</v>
      </c>
      <c r="P2024" s="15" t="str">
        <f t="shared" si="694"/>
        <v>Gallifrey International</v>
      </c>
      <c r="Q2024" s="15" t="str">
        <f t="shared" si="695"/>
        <v>181 Arcadia Street</v>
      </c>
      <c r="R2024" s="3">
        <f>OrdersTable!C2024</f>
        <v>44706</v>
      </c>
      <c r="S2024" s="15">
        <f>OrdersTable!E2024</f>
        <v>8</v>
      </c>
      <c r="T2024" s="15">
        <f t="shared" si="696"/>
        <v>15.99</v>
      </c>
      <c r="U2024" s="15">
        <f t="shared" si="697"/>
        <v>21.83</v>
      </c>
      <c r="V2024" s="15">
        <f t="shared" si="698"/>
        <v>25.9</v>
      </c>
      <c r="W2024" s="15">
        <f>IF(MarkupType="Store Markup",ROUND(V2024+V2024*StoreMarkup,2),IF(MarkupType="Supplier Markup",V2024+V2024*SupplierMarkup,"Error at finding value"))</f>
        <v>40.79</v>
      </c>
      <c r="X2024" s="32" t="str">
        <f t="shared" si="700"/>
        <v>0.00</v>
      </c>
      <c r="Y2024" s="15">
        <f t="shared" si="701"/>
        <v>207.2</v>
      </c>
      <c r="Z2024" s="15">
        <f t="shared" si="702"/>
        <v>326.32</v>
      </c>
      <c r="AA2024" s="15">
        <f>IF(FreightType="Lethbridge-Stewart Freight ",ROUND(2.99+IF(N2024&gt;0.75,(N2024-0.75)*2.25,0)*S2024,2),IF(MarkupType="Supplier Markup",V2024+V2024*SupplierMarkup,"Error at finding value"))</f>
        <v>3.89</v>
      </c>
      <c r="AB2024" s="15">
        <f t="shared" si="703"/>
        <v>0</v>
      </c>
    </row>
    <row r="2025" spans="1:28" x14ac:dyDescent="0.25">
      <c r="A2025" s="16">
        <f>OrdersTable!A2025</f>
        <v>586</v>
      </c>
      <c r="B2025" s="15" t="str">
        <f t="shared" si="683"/>
        <v>Dr</v>
      </c>
      <c r="C2025" s="15" t="str">
        <f t="shared" si="704"/>
        <v>Coetzee</v>
      </c>
      <c r="D2025" s="15" t="str">
        <f t="shared" si="684"/>
        <v>Riekert</v>
      </c>
      <c r="E2025" s="15" t="str">
        <f t="shared" si="685"/>
        <v>5 Western Road</v>
      </c>
      <c r="F2025" s="15" t="str">
        <f t="shared" si="686"/>
        <v>Alfredtown</v>
      </c>
      <c r="G2025" s="15" t="str">
        <f t="shared" si="687"/>
        <v>NSW</v>
      </c>
      <c r="H2025" s="15">
        <f t="shared" si="688"/>
        <v>2650</v>
      </c>
      <c r="I2025" s="15">
        <f t="shared" si="699"/>
        <v>1124</v>
      </c>
      <c r="J2025" s="15">
        <f>OrdersTable!B2025</f>
        <v>685</v>
      </c>
      <c r="K2025" s="15" t="str">
        <f t="shared" si="689"/>
        <v>Mugs</v>
      </c>
      <c r="L2025" s="15" t="str">
        <f t="shared" si="690"/>
        <v>Doctor Who: Teapot: Sliver TARDIS</v>
      </c>
      <c r="M2025" s="15" t="str">
        <f t="shared" si="691"/>
        <v>-</v>
      </c>
      <c r="N2025" s="15">
        <f t="shared" si="692"/>
        <v>1.35</v>
      </c>
      <c r="O2025" s="15" t="str">
        <f t="shared" si="693"/>
        <v>A30</v>
      </c>
      <c r="P2025" s="15" t="str">
        <f t="shared" si="694"/>
        <v>Chesterton Enterprises</v>
      </c>
      <c r="Q2025" s="15" t="str">
        <f t="shared" si="695"/>
        <v>41 William Russell Road</v>
      </c>
      <c r="R2025" s="3">
        <f>OrdersTable!C2025</f>
        <v>44706</v>
      </c>
      <c r="S2025" s="15">
        <f>OrdersTable!E2025</f>
        <v>8</v>
      </c>
      <c r="T2025" s="15">
        <f t="shared" si="696"/>
        <v>26.99</v>
      </c>
      <c r="U2025" s="15">
        <f t="shared" si="697"/>
        <v>36.869999999999997</v>
      </c>
      <c r="V2025" s="15">
        <f t="shared" si="698"/>
        <v>43.72</v>
      </c>
      <c r="W2025" s="15">
        <f>IF(MarkupType="Store Markup",ROUND(V2025+V2025*StoreMarkup,2),IF(MarkupType="Supplier Markup",V2025+V2025*SupplierMarkup,"Error at finding value"))</f>
        <v>68.86</v>
      </c>
      <c r="X2025" s="32" t="str">
        <f t="shared" si="700"/>
        <v>0.00</v>
      </c>
      <c r="Y2025" s="15">
        <f t="shared" si="701"/>
        <v>349.76</v>
      </c>
      <c r="Z2025" s="15">
        <f t="shared" si="702"/>
        <v>550.88</v>
      </c>
      <c r="AA2025" s="15">
        <f>IF(FreightType="Lethbridge-Stewart Freight ",ROUND(2.99+IF(N2025&gt;0.75,(N2025-0.75)*2.25,0)*S2025,2),IF(MarkupType="Supplier Markup",V2025+V2025*SupplierMarkup,"Error at finding value"))</f>
        <v>13.79</v>
      </c>
      <c r="AB2025" s="15">
        <f t="shared" si="703"/>
        <v>0</v>
      </c>
    </row>
    <row r="2026" spans="1:28" x14ac:dyDescent="0.25">
      <c r="A2026" s="16">
        <f>OrdersTable!A2026</f>
        <v>594</v>
      </c>
      <c r="B2026" s="15" t="str">
        <f t="shared" si="683"/>
        <v>Mrs</v>
      </c>
      <c r="C2026" s="15" t="str">
        <f t="shared" si="704"/>
        <v>Entriken</v>
      </c>
      <c r="D2026" s="15" t="str">
        <f t="shared" si="684"/>
        <v>Gwenda Dawn</v>
      </c>
      <c r="E2026" s="15" t="str">
        <f t="shared" si="685"/>
        <v>8 Miljkovic Drive</v>
      </c>
      <c r="F2026" s="15" t="str">
        <f t="shared" si="686"/>
        <v>Nayook</v>
      </c>
      <c r="G2026" s="15" t="str">
        <f t="shared" si="687"/>
        <v>VIC</v>
      </c>
      <c r="H2026" s="15">
        <f t="shared" si="688"/>
        <v>3832</v>
      </c>
      <c r="I2026" s="15">
        <f t="shared" si="699"/>
        <v>1552</v>
      </c>
      <c r="J2026" s="15">
        <f>OrdersTable!B2026</f>
        <v>724</v>
      </c>
      <c r="K2026" s="15" t="str">
        <f t="shared" si="689"/>
        <v>Posters, Prints and Standees</v>
      </c>
      <c r="L2026" s="15" t="str">
        <f t="shared" si="690"/>
        <v>Doctor Who: Standee: The 10th Doctor</v>
      </c>
      <c r="M2026" s="15" t="str">
        <f t="shared" si="691"/>
        <v>-</v>
      </c>
      <c r="N2026" s="15">
        <f t="shared" si="692"/>
        <v>1.125</v>
      </c>
      <c r="O2026" s="15" t="str">
        <f t="shared" si="693"/>
        <v>A50</v>
      </c>
      <c r="P2026" s="15" t="str">
        <f t="shared" si="694"/>
        <v>Rassilon Ltd.</v>
      </c>
      <c r="Q2026" s="15" t="str">
        <f t="shared" si="695"/>
        <v>82 Richard Mathews Road</v>
      </c>
      <c r="R2026" s="3">
        <f>OrdersTable!C2026</f>
        <v>44706</v>
      </c>
      <c r="S2026" s="15">
        <f>OrdersTable!E2026</f>
        <v>5</v>
      </c>
      <c r="T2026" s="15">
        <f t="shared" si="696"/>
        <v>22.49</v>
      </c>
      <c r="U2026" s="15">
        <f t="shared" si="697"/>
        <v>30.77</v>
      </c>
      <c r="V2026" s="15">
        <f t="shared" si="698"/>
        <v>36.43</v>
      </c>
      <c r="W2026" s="15">
        <f>IF(MarkupType="Store Markup",ROUND(V2026+V2026*StoreMarkup,2),IF(MarkupType="Supplier Markup",V2026+V2026*SupplierMarkup,"Error at finding value"))</f>
        <v>57.38</v>
      </c>
      <c r="X2026" s="32" t="str">
        <f t="shared" si="700"/>
        <v>0.00</v>
      </c>
      <c r="Y2026" s="15">
        <f t="shared" si="701"/>
        <v>182.15</v>
      </c>
      <c r="Z2026" s="15">
        <f t="shared" si="702"/>
        <v>286.89999999999998</v>
      </c>
      <c r="AA2026" s="15">
        <f>IF(FreightType="Lethbridge-Stewart Freight ",ROUND(2.99+IF(N2026&gt;0.75,(N2026-0.75)*2.25,0)*S2026,2),IF(MarkupType="Supplier Markup",V2026+V2026*SupplierMarkup,"Error at finding value"))</f>
        <v>7.21</v>
      </c>
      <c r="AB2026" s="15">
        <f t="shared" si="703"/>
        <v>0</v>
      </c>
    </row>
    <row r="2027" spans="1:28" x14ac:dyDescent="0.25">
      <c r="A2027" s="16">
        <f>OrdersTable!A2027</f>
        <v>657</v>
      </c>
      <c r="B2027" s="15" t="str">
        <f t="shared" si="683"/>
        <v>Mr</v>
      </c>
      <c r="C2027" s="15" t="str">
        <f t="shared" si="704"/>
        <v>Poljak</v>
      </c>
      <c r="D2027" s="15" t="str">
        <f t="shared" si="684"/>
        <v>Anthony</v>
      </c>
      <c r="E2027" s="15" t="str">
        <f t="shared" si="685"/>
        <v>45 Robertson Boulevard</v>
      </c>
      <c r="F2027" s="15" t="str">
        <f t="shared" si="686"/>
        <v>Iluka</v>
      </c>
      <c r="G2027" s="15" t="str">
        <f t="shared" si="687"/>
        <v>NSW</v>
      </c>
      <c r="H2027" s="15">
        <f t="shared" si="688"/>
        <v>2466</v>
      </c>
      <c r="I2027" s="15">
        <f t="shared" si="699"/>
        <v>347</v>
      </c>
      <c r="J2027" s="15">
        <f>OrdersTable!B2027</f>
        <v>812</v>
      </c>
      <c r="K2027" s="15" t="str">
        <f t="shared" si="689"/>
        <v>Statues and Busts</v>
      </c>
      <c r="L2027" s="15" t="str">
        <f t="shared" si="690"/>
        <v>Doctor Who: Masterpiece Collection Maxi Bust: Dalek: Day Of The Daleks</v>
      </c>
      <c r="M2027" s="15" t="str">
        <f t="shared" si="691"/>
        <v>-</v>
      </c>
      <c r="N2027" s="15">
        <f t="shared" si="692"/>
        <v>2.5</v>
      </c>
      <c r="O2027" s="15" t="str">
        <f t="shared" si="693"/>
        <v>A20</v>
      </c>
      <c r="P2027" s="15" t="str">
        <f t="shared" si="694"/>
        <v>Morbius Inc.</v>
      </c>
      <c r="Q2027" s="15" t="str">
        <f t="shared" si="695"/>
        <v>56 Michael Spice Hwy</v>
      </c>
      <c r="R2027" s="3">
        <f>OrdersTable!C2027</f>
        <v>44706</v>
      </c>
      <c r="S2027" s="15">
        <f>OrdersTable!E2027</f>
        <v>5</v>
      </c>
      <c r="T2027" s="15">
        <f t="shared" si="696"/>
        <v>49.99</v>
      </c>
      <c r="U2027" s="15">
        <f t="shared" si="697"/>
        <v>68.47</v>
      </c>
      <c r="V2027" s="15">
        <f t="shared" si="698"/>
        <v>80.98</v>
      </c>
      <c r="W2027" s="15">
        <f>IF(MarkupType="Store Markup",ROUND(V2027+V2027*StoreMarkup,2),IF(MarkupType="Supplier Markup",V2027+V2027*SupplierMarkup,"Error at finding value"))</f>
        <v>127.54</v>
      </c>
      <c r="X2027" s="32">
        <f t="shared" si="700"/>
        <v>9.09</v>
      </c>
      <c r="Y2027" s="15">
        <f t="shared" si="701"/>
        <v>404.9</v>
      </c>
      <c r="Z2027" s="15">
        <f t="shared" si="702"/>
        <v>592.25</v>
      </c>
      <c r="AA2027" s="15">
        <f>IF(FreightType="Lethbridge-Stewart Freight ",ROUND(2.99+IF(N2027&gt;0.75,(N2027-0.75)*2.25,0)*S2027,2),IF(MarkupType="Supplier Markup",V2027+V2027*SupplierMarkup,"Error at finding value"))</f>
        <v>22.68</v>
      </c>
      <c r="AB2027" s="15">
        <f t="shared" si="703"/>
        <v>45.45</v>
      </c>
    </row>
    <row r="2028" spans="1:28" x14ac:dyDescent="0.25">
      <c r="A2028" s="16">
        <f>OrdersTable!A2028</f>
        <v>972</v>
      </c>
      <c r="B2028" s="15" t="str">
        <f t="shared" si="683"/>
        <v>Miss</v>
      </c>
      <c r="C2028" s="15" t="str">
        <f t="shared" si="704"/>
        <v>Walsh</v>
      </c>
      <c r="D2028" s="15" t="str">
        <f t="shared" si="684"/>
        <v>Alana Jane</v>
      </c>
      <c r="E2028" s="15" t="str">
        <f t="shared" si="685"/>
        <v>40 Betts Crescent</v>
      </c>
      <c r="F2028" s="15" t="str">
        <f t="shared" si="686"/>
        <v>Alleena</v>
      </c>
      <c r="G2028" s="15" t="str">
        <f t="shared" si="687"/>
        <v>NSW</v>
      </c>
      <c r="H2028" s="15">
        <f t="shared" si="688"/>
        <v>2671</v>
      </c>
      <c r="I2028" s="15">
        <f t="shared" si="699"/>
        <v>988</v>
      </c>
      <c r="J2028" s="15">
        <f>OrdersTable!B2028</f>
        <v>620</v>
      </c>
      <c r="K2028" s="15" t="str">
        <f t="shared" si="689"/>
        <v>iPhone Skins</v>
      </c>
      <c r="L2028" s="15" t="str">
        <f t="shared" si="690"/>
        <v>Doctor Who: iPhone Skin: TARDIS Water Colour</v>
      </c>
      <c r="M2028" s="15" t="str">
        <f t="shared" si="691"/>
        <v>-</v>
      </c>
      <c r="N2028" s="15">
        <f t="shared" si="692"/>
        <v>0.5</v>
      </c>
      <c r="O2028" s="15" t="str">
        <f t="shared" si="693"/>
        <v>A30</v>
      </c>
      <c r="P2028" s="15" t="str">
        <f t="shared" si="694"/>
        <v>Chesterton Enterprises</v>
      </c>
      <c r="Q2028" s="15" t="str">
        <f t="shared" si="695"/>
        <v>41 William Russell Road</v>
      </c>
      <c r="R2028" s="3">
        <f>OrdersTable!C2028</f>
        <v>44706</v>
      </c>
      <c r="S2028" s="15">
        <f>OrdersTable!E2028</f>
        <v>7</v>
      </c>
      <c r="T2028" s="15">
        <f t="shared" si="696"/>
        <v>9.99</v>
      </c>
      <c r="U2028" s="15">
        <f t="shared" si="697"/>
        <v>13.81</v>
      </c>
      <c r="V2028" s="15">
        <f t="shared" si="698"/>
        <v>16.18</v>
      </c>
      <c r="W2028" s="15">
        <f>IF(MarkupType="Store Markup",ROUND(V2028+V2028*StoreMarkup,2),IF(MarkupType="Supplier Markup",V2028+V2028*SupplierMarkup,"Error at finding value"))</f>
        <v>25.48</v>
      </c>
      <c r="X2028" s="32" t="str">
        <f t="shared" si="700"/>
        <v>0.00</v>
      </c>
      <c r="Y2028" s="15">
        <f t="shared" si="701"/>
        <v>113.26</v>
      </c>
      <c r="Z2028" s="15">
        <f t="shared" si="702"/>
        <v>178.36</v>
      </c>
      <c r="AA2028" s="15">
        <f>IF(FreightType="Lethbridge-Stewart Freight ",ROUND(2.99+IF(N2028&gt;0.75,(N2028-0.75)*2.25,0)*S2028,2),IF(MarkupType="Supplier Markup",V2028+V2028*SupplierMarkup,"Error at finding value"))</f>
        <v>2.99</v>
      </c>
      <c r="AB2028" s="15">
        <f t="shared" si="703"/>
        <v>0</v>
      </c>
    </row>
    <row r="2029" spans="1:28" x14ac:dyDescent="0.25">
      <c r="A2029" s="16">
        <f>OrdersTable!A2029</f>
        <v>55</v>
      </c>
      <c r="B2029" s="15" t="str">
        <f t="shared" si="683"/>
        <v>Mr</v>
      </c>
      <c r="C2029" s="15" t="str">
        <f t="shared" si="704"/>
        <v>Myers</v>
      </c>
      <c r="D2029" s="15" t="str">
        <f t="shared" si="684"/>
        <v>Luke Charles</v>
      </c>
      <c r="E2029" s="15" t="str">
        <f t="shared" si="685"/>
        <v>25 Penrose Street</v>
      </c>
      <c r="F2029" s="15" t="str">
        <f t="shared" si="686"/>
        <v>Black Hills</v>
      </c>
      <c r="G2029" s="15" t="str">
        <f t="shared" si="687"/>
        <v>TAS</v>
      </c>
      <c r="H2029" s="15">
        <f t="shared" si="688"/>
        <v>7140</v>
      </c>
      <c r="I2029" s="15">
        <f t="shared" si="699"/>
        <v>2191</v>
      </c>
      <c r="J2029" s="15">
        <f>OrdersTable!B2029</f>
        <v>377</v>
      </c>
      <c r="K2029" s="15" t="str">
        <f t="shared" si="689"/>
        <v>Clothing and Apparel</v>
      </c>
      <c r="L2029" s="15" t="str">
        <f t="shared" si="690"/>
        <v xml:space="preserve">Doctor Who: T-Shirts: 7th Doctor Costume </v>
      </c>
      <c r="M2029" s="15" t="str">
        <f t="shared" si="691"/>
        <v>M</v>
      </c>
      <c r="N2029" s="15">
        <f t="shared" si="692"/>
        <v>0.8</v>
      </c>
      <c r="O2029" s="15" t="str">
        <f t="shared" si="693"/>
        <v>A40</v>
      </c>
      <c r="P2029" s="15" t="str">
        <f t="shared" si="694"/>
        <v>Romana Imports</v>
      </c>
      <c r="Q2029" s="15" t="str">
        <f t="shared" si="695"/>
        <v>17 Lalla Ward Road</v>
      </c>
      <c r="R2029" s="3">
        <f>OrdersTable!C2029</f>
        <v>44707</v>
      </c>
      <c r="S2029" s="15">
        <f>OrdersTable!E2029</f>
        <v>5</v>
      </c>
      <c r="T2029" s="15">
        <f t="shared" si="696"/>
        <v>15.99</v>
      </c>
      <c r="U2029" s="15">
        <f t="shared" si="697"/>
        <v>21.95</v>
      </c>
      <c r="V2029" s="15">
        <f t="shared" si="698"/>
        <v>25.9</v>
      </c>
      <c r="W2029" s="15">
        <f>IF(MarkupType="Store Markup",ROUND(V2029+V2029*StoreMarkup,2),IF(MarkupType="Supplier Markup",V2029+V2029*SupplierMarkup,"Error at finding value"))</f>
        <v>40.79</v>
      </c>
      <c r="X2029" s="32" t="str">
        <f t="shared" si="700"/>
        <v>0.00</v>
      </c>
      <c r="Y2029" s="15">
        <f t="shared" si="701"/>
        <v>129.5</v>
      </c>
      <c r="Z2029" s="15">
        <f t="shared" si="702"/>
        <v>203.95</v>
      </c>
      <c r="AA2029" s="15">
        <f>IF(FreightType="Lethbridge-Stewart Freight ",ROUND(2.99+IF(N2029&gt;0.75,(N2029-0.75)*2.25,0)*S2029,2),IF(MarkupType="Supplier Markup",V2029+V2029*SupplierMarkup,"Error at finding value"))</f>
        <v>3.55</v>
      </c>
      <c r="AB2029" s="15">
        <f t="shared" si="703"/>
        <v>0</v>
      </c>
    </row>
    <row r="2030" spans="1:28" x14ac:dyDescent="0.25">
      <c r="A2030" s="16">
        <f>OrdersTable!A2030</f>
        <v>66</v>
      </c>
      <c r="B2030" s="15" t="str">
        <f t="shared" si="683"/>
        <v>Mr</v>
      </c>
      <c r="C2030" s="15" t="str">
        <f t="shared" si="704"/>
        <v>Bachmann</v>
      </c>
      <c r="D2030" s="15" t="str">
        <f t="shared" si="684"/>
        <v>Aaron</v>
      </c>
      <c r="E2030" s="15" t="str">
        <f t="shared" si="685"/>
        <v>3 Csabai Avenue</v>
      </c>
      <c r="F2030" s="15" t="str">
        <f t="shared" si="686"/>
        <v>Bridgewater</v>
      </c>
      <c r="G2030" s="15" t="str">
        <f t="shared" si="687"/>
        <v>VIC</v>
      </c>
      <c r="H2030" s="15">
        <f t="shared" si="688"/>
        <v>3516</v>
      </c>
      <c r="I2030" s="15">
        <f t="shared" si="699"/>
        <v>1486</v>
      </c>
      <c r="J2030" s="15">
        <f>OrdersTable!B2030</f>
        <v>685</v>
      </c>
      <c r="K2030" s="15" t="str">
        <f t="shared" si="689"/>
        <v>Mugs</v>
      </c>
      <c r="L2030" s="15" t="str">
        <f t="shared" si="690"/>
        <v>Doctor Who: Teapot: Sliver TARDIS</v>
      </c>
      <c r="M2030" s="15" t="str">
        <f t="shared" si="691"/>
        <v>-</v>
      </c>
      <c r="N2030" s="15">
        <f t="shared" si="692"/>
        <v>1.35</v>
      </c>
      <c r="O2030" s="15" t="str">
        <f t="shared" si="693"/>
        <v>A30</v>
      </c>
      <c r="P2030" s="15" t="str">
        <f t="shared" si="694"/>
        <v>Chesterton Enterprises</v>
      </c>
      <c r="Q2030" s="15" t="str">
        <f t="shared" si="695"/>
        <v>41 William Russell Road</v>
      </c>
      <c r="R2030" s="3">
        <f>OrdersTable!C2030</f>
        <v>44707</v>
      </c>
      <c r="S2030" s="15">
        <f>OrdersTable!E2030</f>
        <v>8</v>
      </c>
      <c r="T2030" s="15">
        <f t="shared" si="696"/>
        <v>26.99</v>
      </c>
      <c r="U2030" s="15">
        <f t="shared" si="697"/>
        <v>36.869999999999997</v>
      </c>
      <c r="V2030" s="15">
        <f t="shared" si="698"/>
        <v>43.72</v>
      </c>
      <c r="W2030" s="15">
        <f>IF(MarkupType="Store Markup",ROUND(V2030+V2030*StoreMarkup,2),IF(MarkupType="Supplier Markup",V2030+V2030*SupplierMarkup,"Error at finding value"))</f>
        <v>68.86</v>
      </c>
      <c r="X2030" s="32" t="str">
        <f t="shared" si="700"/>
        <v>0.00</v>
      </c>
      <c r="Y2030" s="15">
        <f t="shared" si="701"/>
        <v>349.76</v>
      </c>
      <c r="Z2030" s="15">
        <f t="shared" si="702"/>
        <v>550.88</v>
      </c>
      <c r="AA2030" s="15">
        <f>IF(FreightType="Lethbridge-Stewart Freight ",ROUND(2.99+IF(N2030&gt;0.75,(N2030-0.75)*2.25,0)*S2030,2),IF(MarkupType="Supplier Markup",V2030+V2030*SupplierMarkup,"Error at finding value"))</f>
        <v>13.79</v>
      </c>
      <c r="AB2030" s="15">
        <f t="shared" si="703"/>
        <v>0</v>
      </c>
    </row>
    <row r="2031" spans="1:28" x14ac:dyDescent="0.25">
      <c r="A2031" s="16">
        <f>OrdersTable!A2031</f>
        <v>158</v>
      </c>
      <c r="B2031" s="15" t="str">
        <f t="shared" si="683"/>
        <v>Mr</v>
      </c>
      <c r="C2031" s="15" t="str">
        <f t="shared" si="704"/>
        <v>Fowler</v>
      </c>
      <c r="D2031" s="15" t="str">
        <f t="shared" si="684"/>
        <v>James</v>
      </c>
      <c r="E2031" s="15" t="str">
        <f t="shared" si="685"/>
        <v>30 Virk Court</v>
      </c>
      <c r="F2031" s="15" t="str">
        <f t="shared" si="686"/>
        <v>Black Hills</v>
      </c>
      <c r="G2031" s="15" t="str">
        <f t="shared" si="687"/>
        <v>TAS</v>
      </c>
      <c r="H2031" s="15">
        <f t="shared" si="688"/>
        <v>7140</v>
      </c>
      <c r="I2031" s="15">
        <f t="shared" si="699"/>
        <v>2191</v>
      </c>
      <c r="J2031" s="15">
        <f>OrdersTable!B2031</f>
        <v>436</v>
      </c>
      <c r="K2031" s="15" t="str">
        <f t="shared" si="689"/>
        <v>Giftware</v>
      </c>
      <c r="L2031" s="15" t="str">
        <f t="shared" si="690"/>
        <v>Doctor Who: Adult Watch: TARDIS</v>
      </c>
      <c r="M2031" s="15" t="str">
        <f t="shared" si="691"/>
        <v>-</v>
      </c>
      <c r="N2031" s="15">
        <f t="shared" si="692"/>
        <v>1.5</v>
      </c>
      <c r="O2031" s="15" t="str">
        <f t="shared" si="693"/>
        <v>A20</v>
      </c>
      <c r="P2031" s="15" t="str">
        <f t="shared" si="694"/>
        <v>Morbius Inc.</v>
      </c>
      <c r="Q2031" s="15" t="str">
        <f t="shared" si="695"/>
        <v>56 Michael Spice Hwy</v>
      </c>
      <c r="R2031" s="3">
        <f>OrdersTable!C2031</f>
        <v>44707</v>
      </c>
      <c r="S2031" s="15">
        <f>OrdersTable!E2031</f>
        <v>4</v>
      </c>
      <c r="T2031" s="15">
        <f t="shared" si="696"/>
        <v>29.99</v>
      </c>
      <c r="U2031" s="15">
        <f t="shared" si="697"/>
        <v>40.96</v>
      </c>
      <c r="V2031" s="15">
        <f t="shared" si="698"/>
        <v>48.58</v>
      </c>
      <c r="W2031" s="15">
        <f>IF(MarkupType="Store Markup",ROUND(V2031+V2031*StoreMarkup,2),IF(MarkupType="Supplier Markup",V2031+V2031*SupplierMarkup,"Error at finding value"))</f>
        <v>76.510000000000005</v>
      </c>
      <c r="X2031" s="32" t="str">
        <f t="shared" si="700"/>
        <v>0.00</v>
      </c>
      <c r="Y2031" s="15">
        <f t="shared" si="701"/>
        <v>194.32</v>
      </c>
      <c r="Z2031" s="15">
        <f t="shared" si="702"/>
        <v>306.04000000000002</v>
      </c>
      <c r="AA2031" s="15">
        <f>IF(FreightType="Lethbridge-Stewart Freight ",ROUND(2.99+IF(N2031&gt;0.75,(N2031-0.75)*2.25,0)*S2031,2),IF(MarkupType="Supplier Markup",V2031+V2031*SupplierMarkup,"Error at finding value"))</f>
        <v>9.74</v>
      </c>
      <c r="AB2031" s="15">
        <f t="shared" si="703"/>
        <v>0</v>
      </c>
    </row>
    <row r="2032" spans="1:28" x14ac:dyDescent="0.25">
      <c r="A2032" s="16">
        <f>OrdersTable!A2032</f>
        <v>232</v>
      </c>
      <c r="B2032" s="15" t="str">
        <f t="shared" si="683"/>
        <v>Mrs</v>
      </c>
      <c r="C2032" s="15" t="str">
        <f t="shared" si="704"/>
        <v>Bishop</v>
      </c>
      <c r="D2032" s="15" t="str">
        <f t="shared" si="684"/>
        <v>Katherine Marie</v>
      </c>
      <c r="E2032" s="15" t="str">
        <f t="shared" si="685"/>
        <v>19 Whitehorn Circuit</v>
      </c>
      <c r="F2032" s="15" t="str">
        <f t="shared" si="686"/>
        <v>Black Hills</v>
      </c>
      <c r="G2032" s="15" t="str">
        <f t="shared" si="687"/>
        <v>TAS</v>
      </c>
      <c r="H2032" s="15">
        <f t="shared" si="688"/>
        <v>7140</v>
      </c>
      <c r="I2032" s="15">
        <f t="shared" si="699"/>
        <v>2191</v>
      </c>
      <c r="J2032" s="15">
        <f>OrdersTable!B2032</f>
        <v>543</v>
      </c>
      <c r="K2032" s="15" t="str">
        <f t="shared" si="689"/>
        <v>Giftware</v>
      </c>
      <c r="L2032" s="15" t="str">
        <f t="shared" si="690"/>
        <v>Doctor Who: Sonic Screwdriver Pen</v>
      </c>
      <c r="M2032" s="15" t="str">
        <f t="shared" si="691"/>
        <v>-</v>
      </c>
      <c r="N2032" s="15">
        <f t="shared" si="692"/>
        <v>0.65</v>
      </c>
      <c r="O2032" s="15" t="str">
        <f t="shared" si="693"/>
        <v>A20</v>
      </c>
      <c r="P2032" s="15" t="str">
        <f t="shared" si="694"/>
        <v>Morbius Inc.</v>
      </c>
      <c r="Q2032" s="15" t="str">
        <f t="shared" si="695"/>
        <v>56 Michael Spice Hwy</v>
      </c>
      <c r="R2032" s="3">
        <f>OrdersTable!C2032</f>
        <v>44707</v>
      </c>
      <c r="S2032" s="15">
        <f>OrdersTable!E2032</f>
        <v>4</v>
      </c>
      <c r="T2032" s="15">
        <f t="shared" si="696"/>
        <v>12.99</v>
      </c>
      <c r="U2032" s="15">
        <f t="shared" si="697"/>
        <v>18.02</v>
      </c>
      <c r="V2032" s="15">
        <f t="shared" si="698"/>
        <v>21.04</v>
      </c>
      <c r="W2032" s="15">
        <f>IF(MarkupType="Store Markup",ROUND(V2032+V2032*StoreMarkup,2),IF(MarkupType="Supplier Markup",V2032+V2032*SupplierMarkup,"Error at finding value"))</f>
        <v>33.14</v>
      </c>
      <c r="X2032" s="32" t="str">
        <f t="shared" si="700"/>
        <v>0.00</v>
      </c>
      <c r="Y2032" s="15">
        <f t="shared" si="701"/>
        <v>84.16</v>
      </c>
      <c r="Z2032" s="15">
        <f t="shared" si="702"/>
        <v>132.56</v>
      </c>
      <c r="AA2032" s="15">
        <f>IF(FreightType="Lethbridge-Stewart Freight ",ROUND(2.99+IF(N2032&gt;0.75,(N2032-0.75)*2.25,0)*S2032,2),IF(MarkupType="Supplier Markup",V2032+V2032*SupplierMarkup,"Error at finding value"))</f>
        <v>2.99</v>
      </c>
      <c r="AB2032" s="15">
        <f t="shared" si="703"/>
        <v>0</v>
      </c>
    </row>
    <row r="2033" spans="1:28" x14ac:dyDescent="0.25">
      <c r="A2033" s="16">
        <f>OrdersTable!A2033</f>
        <v>285</v>
      </c>
      <c r="B2033" s="15" t="str">
        <f t="shared" si="683"/>
        <v>Mr</v>
      </c>
      <c r="C2033" s="15" t="str">
        <f t="shared" si="704"/>
        <v>Temple Morgan</v>
      </c>
      <c r="D2033" s="15" t="str">
        <f t="shared" si="684"/>
        <v>Mathew Peter</v>
      </c>
      <c r="E2033" s="15" t="str">
        <f t="shared" si="685"/>
        <v>19 Tansky Court</v>
      </c>
      <c r="F2033" s="15" t="str">
        <f t="shared" si="686"/>
        <v>Belford</v>
      </c>
      <c r="G2033" s="15" t="str">
        <f t="shared" si="687"/>
        <v>NSW</v>
      </c>
      <c r="H2033" s="15">
        <f t="shared" si="688"/>
        <v>2335</v>
      </c>
      <c r="I2033" s="15">
        <f t="shared" si="699"/>
        <v>716</v>
      </c>
      <c r="J2033" s="15">
        <f>OrdersTable!B2033</f>
        <v>652</v>
      </c>
      <c r="K2033" s="15" t="str">
        <f t="shared" si="689"/>
        <v>Mugs</v>
      </c>
      <c r="L2033" s="15" t="str">
        <f t="shared" si="690"/>
        <v>Doctor Who: Mug: Dalek 2D</v>
      </c>
      <c r="M2033" s="15" t="str">
        <f t="shared" si="691"/>
        <v>-</v>
      </c>
      <c r="N2033" s="15">
        <f t="shared" si="692"/>
        <v>0.35</v>
      </c>
      <c r="O2033" s="15" t="str">
        <f t="shared" si="693"/>
        <v>A10</v>
      </c>
      <c r="P2033" s="15" t="str">
        <f t="shared" si="694"/>
        <v>Gallifrey International</v>
      </c>
      <c r="Q2033" s="15" t="str">
        <f t="shared" si="695"/>
        <v>181 Arcadia Street</v>
      </c>
      <c r="R2033" s="3">
        <f>OrdersTable!C2033</f>
        <v>44707</v>
      </c>
      <c r="S2033" s="15">
        <f>OrdersTable!E2033</f>
        <v>5</v>
      </c>
      <c r="T2033" s="15">
        <f t="shared" si="696"/>
        <v>6.99</v>
      </c>
      <c r="U2033" s="15">
        <f t="shared" si="697"/>
        <v>9.8800000000000008</v>
      </c>
      <c r="V2033" s="15">
        <f t="shared" si="698"/>
        <v>11.32</v>
      </c>
      <c r="W2033" s="15">
        <f>IF(MarkupType="Store Markup",ROUND(V2033+V2033*StoreMarkup,2),IF(MarkupType="Supplier Markup",V2033+V2033*SupplierMarkup,"Error at finding value"))</f>
        <v>17.829999999999998</v>
      </c>
      <c r="X2033" s="32" t="str">
        <f t="shared" si="700"/>
        <v>0.00</v>
      </c>
      <c r="Y2033" s="15">
        <f t="shared" si="701"/>
        <v>56.6</v>
      </c>
      <c r="Z2033" s="15">
        <f t="shared" si="702"/>
        <v>89.15</v>
      </c>
      <c r="AA2033" s="15">
        <f>IF(FreightType="Lethbridge-Stewart Freight ",ROUND(2.99+IF(N2033&gt;0.75,(N2033-0.75)*2.25,0)*S2033,2),IF(MarkupType="Supplier Markup",V2033+V2033*SupplierMarkup,"Error at finding value"))</f>
        <v>2.99</v>
      </c>
      <c r="AB2033" s="15">
        <f t="shared" si="703"/>
        <v>0</v>
      </c>
    </row>
    <row r="2034" spans="1:28" x14ac:dyDescent="0.25">
      <c r="A2034" s="16">
        <f>OrdersTable!A2034</f>
        <v>364</v>
      </c>
      <c r="B2034" s="15" t="str">
        <f t="shared" si="683"/>
        <v>Dr</v>
      </c>
      <c r="C2034" s="15" t="str">
        <f t="shared" si="704"/>
        <v>Reibelt</v>
      </c>
      <c r="D2034" s="15" t="str">
        <f t="shared" si="684"/>
        <v>Corey James</v>
      </c>
      <c r="E2034" s="15" t="str">
        <f t="shared" si="685"/>
        <v>23 Burns Drive</v>
      </c>
      <c r="F2034" s="15" t="str">
        <f t="shared" si="686"/>
        <v>Caliph</v>
      </c>
      <c r="G2034" s="15" t="str">
        <f t="shared" si="687"/>
        <v>SA</v>
      </c>
      <c r="H2034" s="15">
        <f t="shared" si="688"/>
        <v>5310</v>
      </c>
      <c r="I2034" s="15">
        <f t="shared" si="699"/>
        <v>1720</v>
      </c>
      <c r="J2034" s="15">
        <f>OrdersTable!B2034</f>
        <v>843</v>
      </c>
      <c r="K2034" s="15" t="str">
        <f t="shared" si="689"/>
        <v>Statues and Busts</v>
      </c>
      <c r="L2034" s="15" t="str">
        <f t="shared" si="690"/>
        <v>Doctor Who: Signature Edition Statue: Gallifrey Edition: Tom Baker</v>
      </c>
      <c r="M2034" s="15" t="str">
        <f t="shared" si="691"/>
        <v>-</v>
      </c>
      <c r="N2034" s="15">
        <f t="shared" si="692"/>
        <v>2.5</v>
      </c>
      <c r="O2034" s="15" t="str">
        <f t="shared" si="693"/>
        <v>A20</v>
      </c>
      <c r="P2034" s="15" t="str">
        <f t="shared" si="694"/>
        <v>Morbius Inc.</v>
      </c>
      <c r="Q2034" s="15" t="str">
        <f t="shared" si="695"/>
        <v>56 Michael Spice Hwy</v>
      </c>
      <c r="R2034" s="3">
        <f>OrdersTable!C2034</f>
        <v>44707</v>
      </c>
      <c r="S2034" s="15">
        <f>OrdersTable!E2034</f>
        <v>10</v>
      </c>
      <c r="T2034" s="15">
        <f t="shared" si="696"/>
        <v>49.99</v>
      </c>
      <c r="U2034" s="15">
        <f t="shared" si="697"/>
        <v>68.33</v>
      </c>
      <c r="V2034" s="15">
        <f t="shared" si="698"/>
        <v>80.98</v>
      </c>
      <c r="W2034" s="15">
        <f>IF(MarkupType="Store Markup",ROUND(V2034+V2034*StoreMarkup,2),IF(MarkupType="Supplier Markup",V2034+V2034*SupplierMarkup,"Error at finding value"))</f>
        <v>127.54</v>
      </c>
      <c r="X2034" s="32">
        <f t="shared" si="700"/>
        <v>9.09</v>
      </c>
      <c r="Y2034" s="15">
        <f t="shared" si="701"/>
        <v>809.8</v>
      </c>
      <c r="Z2034" s="15">
        <f t="shared" si="702"/>
        <v>1184.5</v>
      </c>
      <c r="AA2034" s="15">
        <f>IF(FreightType="Lethbridge-Stewart Freight ",ROUND(2.99+IF(N2034&gt;0.75,(N2034-0.75)*2.25,0)*S2034,2),IF(MarkupType="Supplier Markup",V2034+V2034*SupplierMarkup,"Error at finding value"))</f>
        <v>42.37</v>
      </c>
      <c r="AB2034" s="15">
        <f t="shared" si="703"/>
        <v>90.9</v>
      </c>
    </row>
    <row r="2035" spans="1:28" x14ac:dyDescent="0.25">
      <c r="A2035" s="16">
        <f>OrdersTable!A2035</f>
        <v>567</v>
      </c>
      <c r="B2035" s="15" t="str">
        <f t="shared" si="683"/>
        <v>Ms</v>
      </c>
      <c r="C2035" s="15" t="str">
        <f t="shared" si="704"/>
        <v>Perkins</v>
      </c>
      <c r="D2035" s="15" t="str">
        <f t="shared" si="684"/>
        <v>Sarah</v>
      </c>
      <c r="E2035" s="15" t="str">
        <f t="shared" si="685"/>
        <v>7 Tengdahl Road</v>
      </c>
      <c r="F2035" s="15" t="str">
        <f t="shared" si="686"/>
        <v>Areegra</v>
      </c>
      <c r="G2035" s="15" t="str">
        <f t="shared" si="687"/>
        <v>VIC</v>
      </c>
      <c r="H2035" s="15">
        <f t="shared" si="688"/>
        <v>3480</v>
      </c>
      <c r="I2035" s="15">
        <f t="shared" si="699"/>
        <v>1559</v>
      </c>
      <c r="J2035" s="15">
        <f>OrdersTable!B2035</f>
        <v>812</v>
      </c>
      <c r="K2035" s="15" t="str">
        <f t="shared" si="689"/>
        <v>Statues and Busts</v>
      </c>
      <c r="L2035" s="15" t="str">
        <f t="shared" si="690"/>
        <v>Doctor Who: Masterpiece Collection Maxi Bust: Dalek: Day Of The Daleks</v>
      </c>
      <c r="M2035" s="15" t="str">
        <f t="shared" si="691"/>
        <v>-</v>
      </c>
      <c r="N2035" s="15">
        <f t="shared" si="692"/>
        <v>2.5</v>
      </c>
      <c r="O2035" s="15" t="str">
        <f t="shared" si="693"/>
        <v>A20</v>
      </c>
      <c r="P2035" s="15" t="str">
        <f t="shared" si="694"/>
        <v>Morbius Inc.</v>
      </c>
      <c r="Q2035" s="15" t="str">
        <f t="shared" si="695"/>
        <v>56 Michael Spice Hwy</v>
      </c>
      <c r="R2035" s="3">
        <f>OrdersTable!C2035</f>
        <v>44707</v>
      </c>
      <c r="S2035" s="15">
        <f>OrdersTable!E2035</f>
        <v>7</v>
      </c>
      <c r="T2035" s="15">
        <f t="shared" si="696"/>
        <v>49.99</v>
      </c>
      <c r="U2035" s="15">
        <f t="shared" si="697"/>
        <v>68.47</v>
      </c>
      <c r="V2035" s="15">
        <f t="shared" si="698"/>
        <v>80.98</v>
      </c>
      <c r="W2035" s="15">
        <f>IF(MarkupType="Store Markup",ROUND(V2035+V2035*StoreMarkup,2),IF(MarkupType="Supplier Markup",V2035+V2035*SupplierMarkup,"Error at finding value"))</f>
        <v>127.54</v>
      </c>
      <c r="X2035" s="32">
        <f t="shared" si="700"/>
        <v>9.09</v>
      </c>
      <c r="Y2035" s="15">
        <f t="shared" si="701"/>
        <v>566.86</v>
      </c>
      <c r="Z2035" s="15">
        <f t="shared" si="702"/>
        <v>829.15</v>
      </c>
      <c r="AA2035" s="15">
        <f>IF(FreightType="Lethbridge-Stewart Freight ",ROUND(2.99+IF(N2035&gt;0.75,(N2035-0.75)*2.25,0)*S2035,2),IF(MarkupType="Supplier Markup",V2035+V2035*SupplierMarkup,"Error at finding value"))</f>
        <v>30.55</v>
      </c>
      <c r="AB2035" s="15">
        <f t="shared" si="703"/>
        <v>63.63</v>
      </c>
    </row>
    <row r="2036" spans="1:28" x14ac:dyDescent="0.25">
      <c r="A2036" s="16">
        <f>OrdersTable!A2036</f>
        <v>586</v>
      </c>
      <c r="B2036" s="15" t="str">
        <f t="shared" si="683"/>
        <v>Dr</v>
      </c>
      <c r="C2036" s="15" t="str">
        <f t="shared" si="704"/>
        <v>Coetzee</v>
      </c>
      <c r="D2036" s="15" t="str">
        <f t="shared" si="684"/>
        <v>Riekert</v>
      </c>
      <c r="E2036" s="15" t="str">
        <f t="shared" si="685"/>
        <v>5 Western Road</v>
      </c>
      <c r="F2036" s="15" t="str">
        <f t="shared" si="686"/>
        <v>Alfredtown</v>
      </c>
      <c r="G2036" s="15" t="str">
        <f t="shared" si="687"/>
        <v>NSW</v>
      </c>
      <c r="H2036" s="15">
        <f t="shared" si="688"/>
        <v>2650</v>
      </c>
      <c r="I2036" s="15">
        <f t="shared" si="699"/>
        <v>1124</v>
      </c>
      <c r="J2036" s="15">
        <f>OrdersTable!B2036</f>
        <v>374</v>
      </c>
      <c r="K2036" s="15" t="str">
        <f t="shared" si="689"/>
        <v>Clothing and Apparel</v>
      </c>
      <c r="L2036" s="15" t="str">
        <f t="shared" si="690"/>
        <v xml:space="preserve">Doctor Who: T-Shirts: 5th Doctor Costume </v>
      </c>
      <c r="M2036" s="15" t="str">
        <f t="shared" si="691"/>
        <v>XL</v>
      </c>
      <c r="N2036" s="15">
        <f t="shared" si="692"/>
        <v>0.8</v>
      </c>
      <c r="O2036" s="15" t="str">
        <f t="shared" si="693"/>
        <v>A50</v>
      </c>
      <c r="P2036" s="15" t="str">
        <f t="shared" si="694"/>
        <v>Rassilon Ltd.</v>
      </c>
      <c r="Q2036" s="15" t="str">
        <f t="shared" si="695"/>
        <v>82 Richard Mathews Road</v>
      </c>
      <c r="R2036" s="3">
        <f>OrdersTable!C2036</f>
        <v>44707</v>
      </c>
      <c r="S2036" s="15">
        <f>OrdersTable!E2036</f>
        <v>7</v>
      </c>
      <c r="T2036" s="15">
        <f t="shared" si="696"/>
        <v>15.99</v>
      </c>
      <c r="U2036" s="15">
        <f t="shared" si="697"/>
        <v>21.97</v>
      </c>
      <c r="V2036" s="15">
        <f t="shared" si="698"/>
        <v>25.9</v>
      </c>
      <c r="W2036" s="15">
        <f>IF(MarkupType="Store Markup",ROUND(V2036+V2036*StoreMarkup,2),IF(MarkupType="Supplier Markup",V2036+V2036*SupplierMarkup,"Error at finding value"))</f>
        <v>40.79</v>
      </c>
      <c r="X2036" s="32" t="str">
        <f t="shared" si="700"/>
        <v>0.00</v>
      </c>
      <c r="Y2036" s="15">
        <f t="shared" si="701"/>
        <v>181.3</v>
      </c>
      <c r="Z2036" s="15">
        <f t="shared" si="702"/>
        <v>285.52999999999997</v>
      </c>
      <c r="AA2036" s="15">
        <f>IF(FreightType="Lethbridge-Stewart Freight ",ROUND(2.99+IF(N2036&gt;0.75,(N2036-0.75)*2.25,0)*S2036,2),IF(MarkupType="Supplier Markup",V2036+V2036*SupplierMarkup,"Error at finding value"))</f>
        <v>3.78</v>
      </c>
      <c r="AB2036" s="15">
        <f t="shared" si="703"/>
        <v>0</v>
      </c>
    </row>
    <row r="2037" spans="1:28" x14ac:dyDescent="0.25">
      <c r="A2037" s="16">
        <f>OrdersTable!A2037</f>
        <v>611</v>
      </c>
      <c r="B2037" s="15" t="str">
        <f t="shared" si="683"/>
        <v>Mr</v>
      </c>
      <c r="C2037" s="15" t="str">
        <f t="shared" si="704"/>
        <v>Wittman</v>
      </c>
      <c r="D2037" s="15" t="str">
        <f t="shared" si="684"/>
        <v>Nicholas Jackson</v>
      </c>
      <c r="E2037" s="15" t="str">
        <f t="shared" si="685"/>
        <v>48 Sheppard-Kadel Way</v>
      </c>
      <c r="F2037" s="15" t="str">
        <f t="shared" si="686"/>
        <v>Nayook</v>
      </c>
      <c r="G2037" s="15" t="str">
        <f t="shared" si="687"/>
        <v>VIC</v>
      </c>
      <c r="H2037" s="15">
        <f t="shared" si="688"/>
        <v>3832</v>
      </c>
      <c r="I2037" s="15">
        <f t="shared" si="699"/>
        <v>1552</v>
      </c>
      <c r="J2037" s="15">
        <f>OrdersTable!B2037</f>
        <v>673</v>
      </c>
      <c r="K2037" s="15" t="str">
        <f t="shared" si="689"/>
        <v>Mugs</v>
      </c>
      <c r="L2037" s="15" t="str">
        <f t="shared" si="690"/>
        <v>Doctor Who: Mug: TARDIS With Lid</v>
      </c>
      <c r="M2037" s="15" t="str">
        <f t="shared" si="691"/>
        <v>-</v>
      </c>
      <c r="N2037" s="15">
        <f t="shared" si="692"/>
        <v>0.58499999999999996</v>
      </c>
      <c r="O2037" s="15" t="str">
        <f t="shared" si="693"/>
        <v>A10</v>
      </c>
      <c r="P2037" s="15" t="str">
        <f t="shared" si="694"/>
        <v>Gallifrey International</v>
      </c>
      <c r="Q2037" s="15" t="str">
        <f t="shared" si="695"/>
        <v>181 Arcadia Street</v>
      </c>
      <c r="R2037" s="3">
        <f>OrdersTable!C2037</f>
        <v>44707</v>
      </c>
      <c r="S2037" s="15">
        <f>OrdersTable!E2037</f>
        <v>8</v>
      </c>
      <c r="T2037" s="15">
        <f t="shared" si="696"/>
        <v>11.69</v>
      </c>
      <c r="U2037" s="15">
        <f t="shared" si="697"/>
        <v>16.190000000000001</v>
      </c>
      <c r="V2037" s="15">
        <f t="shared" si="698"/>
        <v>18.940000000000001</v>
      </c>
      <c r="W2037" s="15">
        <f>IF(MarkupType="Store Markup",ROUND(V2037+V2037*StoreMarkup,2),IF(MarkupType="Supplier Markup",V2037+V2037*SupplierMarkup,"Error at finding value"))</f>
        <v>29.83</v>
      </c>
      <c r="X2037" s="32" t="str">
        <f t="shared" si="700"/>
        <v>0.00</v>
      </c>
      <c r="Y2037" s="15">
        <f t="shared" si="701"/>
        <v>151.52000000000001</v>
      </c>
      <c r="Z2037" s="15">
        <f t="shared" si="702"/>
        <v>238.64</v>
      </c>
      <c r="AA2037" s="15">
        <f>IF(FreightType="Lethbridge-Stewart Freight ",ROUND(2.99+IF(N2037&gt;0.75,(N2037-0.75)*2.25,0)*S2037,2),IF(MarkupType="Supplier Markup",V2037+V2037*SupplierMarkup,"Error at finding value"))</f>
        <v>2.99</v>
      </c>
      <c r="AB2037" s="15">
        <f t="shared" si="703"/>
        <v>0</v>
      </c>
    </row>
    <row r="2038" spans="1:28" x14ac:dyDescent="0.25">
      <c r="A2038" s="16">
        <f>OrdersTable!A2038</f>
        <v>643</v>
      </c>
      <c r="B2038" s="15" t="str">
        <f t="shared" si="683"/>
        <v>Ms</v>
      </c>
      <c r="C2038" s="15" t="str">
        <f t="shared" si="704"/>
        <v>Crispin-Purcell</v>
      </c>
      <c r="D2038" s="15" t="str">
        <f t="shared" si="684"/>
        <v>Gabriellen Elizabeth</v>
      </c>
      <c r="E2038" s="15" t="str">
        <f t="shared" si="685"/>
        <v>12 Williams Road</v>
      </c>
      <c r="F2038" s="15" t="str">
        <f t="shared" si="686"/>
        <v>Appletree Flat</v>
      </c>
      <c r="G2038" s="15" t="str">
        <f t="shared" si="687"/>
        <v>NSW</v>
      </c>
      <c r="H2038" s="15">
        <f t="shared" si="688"/>
        <v>2330</v>
      </c>
      <c r="I2038" s="15">
        <f t="shared" si="699"/>
        <v>691</v>
      </c>
      <c r="J2038" s="15">
        <f>OrdersTable!B2038</f>
        <v>759</v>
      </c>
      <c r="K2038" s="15" t="str">
        <f t="shared" si="689"/>
        <v>Statues and Busts</v>
      </c>
      <c r="L2038" s="15" t="str">
        <f t="shared" si="690"/>
        <v>Doctor Who: Legends Forever Bust: Jon Pertwee</v>
      </c>
      <c r="M2038" s="15" t="str">
        <f t="shared" si="691"/>
        <v>-</v>
      </c>
      <c r="N2038" s="15">
        <f t="shared" si="692"/>
        <v>1.375</v>
      </c>
      <c r="O2038" s="15" t="str">
        <f t="shared" si="693"/>
        <v>A30</v>
      </c>
      <c r="P2038" s="15" t="str">
        <f t="shared" si="694"/>
        <v>Chesterton Enterprises</v>
      </c>
      <c r="Q2038" s="15" t="str">
        <f t="shared" si="695"/>
        <v>41 William Russell Road</v>
      </c>
      <c r="R2038" s="3">
        <f>OrdersTable!C2038</f>
        <v>44707</v>
      </c>
      <c r="S2038" s="15">
        <f>OrdersTable!E2038</f>
        <v>2</v>
      </c>
      <c r="T2038" s="15">
        <f t="shared" si="696"/>
        <v>27.5</v>
      </c>
      <c r="U2038" s="15">
        <f t="shared" si="697"/>
        <v>37.630000000000003</v>
      </c>
      <c r="V2038" s="15">
        <f t="shared" si="698"/>
        <v>44.55</v>
      </c>
      <c r="W2038" s="15">
        <f>IF(MarkupType="Store Markup",ROUND(V2038+V2038*StoreMarkup,2),IF(MarkupType="Supplier Markup",V2038+V2038*SupplierMarkup,"Error at finding value"))</f>
        <v>70.17</v>
      </c>
      <c r="X2038" s="32" t="str">
        <f t="shared" si="700"/>
        <v>0.00</v>
      </c>
      <c r="Y2038" s="15">
        <f t="shared" si="701"/>
        <v>89.1</v>
      </c>
      <c r="Z2038" s="15">
        <f t="shared" si="702"/>
        <v>140.34</v>
      </c>
      <c r="AA2038" s="15">
        <f>IF(FreightType="Lethbridge-Stewart Freight ",ROUND(2.99+IF(N2038&gt;0.75,(N2038-0.75)*2.25,0)*S2038,2),IF(MarkupType="Supplier Markup",V2038+V2038*SupplierMarkup,"Error at finding value"))</f>
        <v>5.8</v>
      </c>
      <c r="AB2038" s="15">
        <f t="shared" si="703"/>
        <v>0</v>
      </c>
    </row>
    <row r="2039" spans="1:28" x14ac:dyDescent="0.25">
      <c r="A2039" s="16">
        <f>OrdersTable!A2039</f>
        <v>823</v>
      </c>
      <c r="B2039" s="15" t="str">
        <f t="shared" si="683"/>
        <v>Mrs</v>
      </c>
      <c r="C2039" s="15" t="str">
        <f t="shared" si="704"/>
        <v>Riordan</v>
      </c>
      <c r="D2039" s="15" t="str">
        <f t="shared" si="684"/>
        <v>Brianna Leigh</v>
      </c>
      <c r="E2039" s="15" t="str">
        <f t="shared" si="685"/>
        <v>7 Boyd Crescent</v>
      </c>
      <c r="F2039" s="15" t="str">
        <f t="shared" si="686"/>
        <v>Bamboo</v>
      </c>
      <c r="G2039" s="15" t="str">
        <f t="shared" si="687"/>
        <v>QLD</v>
      </c>
      <c r="H2039" s="15">
        <f t="shared" si="688"/>
        <v>4873</v>
      </c>
      <c r="I2039" s="15">
        <f t="shared" si="699"/>
        <v>1741</v>
      </c>
      <c r="J2039" s="15">
        <f>OrdersTable!B2039</f>
        <v>667</v>
      </c>
      <c r="K2039" s="15" t="str">
        <f t="shared" si="689"/>
        <v>Mugs</v>
      </c>
      <c r="L2039" s="15" t="str">
        <f t="shared" si="690"/>
        <v>Doctor Who: Mug: Keep Calm And Don't Blink</v>
      </c>
      <c r="M2039" s="15" t="str">
        <f t="shared" si="691"/>
        <v>-</v>
      </c>
      <c r="N2039" s="15">
        <f t="shared" si="692"/>
        <v>0.35</v>
      </c>
      <c r="O2039" s="15" t="str">
        <f t="shared" si="693"/>
        <v>A10</v>
      </c>
      <c r="P2039" s="15" t="str">
        <f t="shared" si="694"/>
        <v>Gallifrey International</v>
      </c>
      <c r="Q2039" s="15" t="str">
        <f t="shared" si="695"/>
        <v>181 Arcadia Street</v>
      </c>
      <c r="R2039" s="3">
        <f>OrdersTable!C2039</f>
        <v>44707</v>
      </c>
      <c r="S2039" s="15">
        <f>OrdersTable!E2039</f>
        <v>2</v>
      </c>
      <c r="T2039" s="15">
        <f t="shared" si="696"/>
        <v>6.99</v>
      </c>
      <c r="U2039" s="15">
        <f t="shared" si="697"/>
        <v>9.84</v>
      </c>
      <c r="V2039" s="15">
        <f t="shared" si="698"/>
        <v>11.32</v>
      </c>
      <c r="W2039" s="15">
        <f>IF(MarkupType="Store Markup",ROUND(V2039+V2039*StoreMarkup,2),IF(MarkupType="Supplier Markup",V2039+V2039*SupplierMarkup,"Error at finding value"))</f>
        <v>17.829999999999998</v>
      </c>
      <c r="X2039" s="32" t="str">
        <f t="shared" si="700"/>
        <v>0.00</v>
      </c>
      <c r="Y2039" s="15">
        <f t="shared" si="701"/>
        <v>22.64</v>
      </c>
      <c r="Z2039" s="15">
        <f t="shared" si="702"/>
        <v>35.659999999999997</v>
      </c>
      <c r="AA2039" s="15">
        <f>IF(FreightType="Lethbridge-Stewart Freight ",ROUND(2.99+IF(N2039&gt;0.75,(N2039-0.75)*2.25,0)*S2039,2),IF(MarkupType="Supplier Markup",V2039+V2039*SupplierMarkup,"Error at finding value"))</f>
        <v>2.99</v>
      </c>
      <c r="AB2039" s="15">
        <f t="shared" si="703"/>
        <v>0</v>
      </c>
    </row>
    <row r="2040" spans="1:28" x14ac:dyDescent="0.25">
      <c r="A2040" s="16">
        <f>OrdersTable!A2040</f>
        <v>841</v>
      </c>
      <c r="B2040" s="15" t="str">
        <f t="shared" si="683"/>
        <v>Miss</v>
      </c>
      <c r="C2040" s="15" t="str">
        <f t="shared" si="704"/>
        <v>Donaghy</v>
      </c>
      <c r="D2040" s="15" t="str">
        <f t="shared" si="684"/>
        <v>Elizabeth Mathilde Jane</v>
      </c>
      <c r="E2040" s="15" t="str">
        <f t="shared" si="685"/>
        <v>31 Johnson Boulevard</v>
      </c>
      <c r="F2040" s="15" t="str">
        <f t="shared" si="686"/>
        <v>Belford</v>
      </c>
      <c r="G2040" s="15" t="str">
        <f t="shared" si="687"/>
        <v>NSW</v>
      </c>
      <c r="H2040" s="15">
        <f t="shared" si="688"/>
        <v>2335</v>
      </c>
      <c r="I2040" s="15">
        <f t="shared" si="699"/>
        <v>716</v>
      </c>
      <c r="J2040" s="15">
        <f>OrdersTable!B2040</f>
        <v>813</v>
      </c>
      <c r="K2040" s="15" t="str">
        <f t="shared" si="689"/>
        <v>Statues and Busts</v>
      </c>
      <c r="L2040" s="15" t="str">
        <f t="shared" si="690"/>
        <v>Doctor Who: Masterpiece Collection Maxi Bust: Leela</v>
      </c>
      <c r="M2040" s="15" t="str">
        <f t="shared" si="691"/>
        <v>-</v>
      </c>
      <c r="N2040" s="15">
        <f t="shared" si="692"/>
        <v>2.5</v>
      </c>
      <c r="O2040" s="15" t="str">
        <f t="shared" si="693"/>
        <v>A30</v>
      </c>
      <c r="P2040" s="15" t="str">
        <f t="shared" si="694"/>
        <v>Chesterton Enterprises</v>
      </c>
      <c r="Q2040" s="15" t="str">
        <f t="shared" si="695"/>
        <v>41 William Russell Road</v>
      </c>
      <c r="R2040" s="3">
        <f>OrdersTable!C2040</f>
        <v>44707</v>
      </c>
      <c r="S2040" s="15">
        <f>OrdersTable!E2040</f>
        <v>7</v>
      </c>
      <c r="T2040" s="15">
        <f t="shared" si="696"/>
        <v>49.99</v>
      </c>
      <c r="U2040" s="15">
        <f t="shared" si="697"/>
        <v>68.319999999999993</v>
      </c>
      <c r="V2040" s="15">
        <f t="shared" si="698"/>
        <v>80.98</v>
      </c>
      <c r="W2040" s="15">
        <f>IF(MarkupType="Store Markup",ROUND(V2040+V2040*StoreMarkup,2),IF(MarkupType="Supplier Markup",V2040+V2040*SupplierMarkup,"Error at finding value"))</f>
        <v>127.54</v>
      </c>
      <c r="X2040" s="32">
        <f t="shared" si="700"/>
        <v>9.09</v>
      </c>
      <c r="Y2040" s="15">
        <f t="shared" si="701"/>
        <v>566.86</v>
      </c>
      <c r="Z2040" s="15">
        <f t="shared" si="702"/>
        <v>829.15</v>
      </c>
      <c r="AA2040" s="15">
        <f>IF(FreightType="Lethbridge-Stewart Freight ",ROUND(2.99+IF(N2040&gt;0.75,(N2040-0.75)*2.25,0)*S2040,2),IF(MarkupType="Supplier Markup",V2040+V2040*SupplierMarkup,"Error at finding value"))</f>
        <v>30.55</v>
      </c>
      <c r="AB2040" s="15">
        <f t="shared" si="703"/>
        <v>63.63</v>
      </c>
    </row>
    <row r="2041" spans="1:28" x14ac:dyDescent="0.25">
      <c r="A2041" s="16">
        <f>OrdersTable!A2041</f>
        <v>961</v>
      </c>
      <c r="B2041" s="15" t="str">
        <f t="shared" si="683"/>
        <v>Ms</v>
      </c>
      <c r="C2041" s="15" t="str">
        <f t="shared" si="704"/>
        <v>Schuh</v>
      </c>
      <c r="D2041" s="15" t="str">
        <f t="shared" si="684"/>
        <v>Rebecca Anne</v>
      </c>
      <c r="E2041" s="15" t="str">
        <f t="shared" si="685"/>
        <v>48 Wilson Court</v>
      </c>
      <c r="F2041" s="15" t="str">
        <f t="shared" si="686"/>
        <v>Breakwater</v>
      </c>
      <c r="G2041" s="15" t="str">
        <f t="shared" si="687"/>
        <v>VIC</v>
      </c>
      <c r="H2041" s="15">
        <f t="shared" si="688"/>
        <v>3219</v>
      </c>
      <c r="I2041" s="15">
        <f t="shared" si="699"/>
        <v>1596</v>
      </c>
      <c r="J2041" s="15">
        <f>OrdersTable!B2041</f>
        <v>780</v>
      </c>
      <c r="K2041" s="15" t="str">
        <f t="shared" si="689"/>
        <v>Statues and Busts</v>
      </c>
      <c r="L2041" s="15" t="str">
        <f t="shared" si="690"/>
        <v>Doctor Who: Masterpiece Collection Dalek: Genesis Of The Daleks</v>
      </c>
      <c r="M2041" s="15" t="str">
        <f t="shared" si="691"/>
        <v>-</v>
      </c>
      <c r="N2041" s="15">
        <f t="shared" si="692"/>
        <v>2.5</v>
      </c>
      <c r="O2041" s="15" t="str">
        <f t="shared" si="693"/>
        <v>A30</v>
      </c>
      <c r="P2041" s="15" t="str">
        <f t="shared" si="694"/>
        <v>Chesterton Enterprises</v>
      </c>
      <c r="Q2041" s="15" t="str">
        <f t="shared" si="695"/>
        <v>41 William Russell Road</v>
      </c>
      <c r="R2041" s="3">
        <f>OrdersTable!C2041</f>
        <v>44707</v>
      </c>
      <c r="S2041" s="15">
        <f>OrdersTable!E2041</f>
        <v>2</v>
      </c>
      <c r="T2041" s="15">
        <f t="shared" si="696"/>
        <v>49.99</v>
      </c>
      <c r="U2041" s="15">
        <f t="shared" si="697"/>
        <v>68.23</v>
      </c>
      <c r="V2041" s="15">
        <f t="shared" si="698"/>
        <v>80.98</v>
      </c>
      <c r="W2041" s="15">
        <f>IF(MarkupType="Store Markup",ROUND(V2041+V2041*StoreMarkup,2),IF(MarkupType="Supplier Markup",V2041+V2041*SupplierMarkup,"Error at finding value"))</f>
        <v>127.54</v>
      </c>
      <c r="X2041" s="32" t="str">
        <f t="shared" si="700"/>
        <v>0.00</v>
      </c>
      <c r="Y2041" s="15">
        <f t="shared" si="701"/>
        <v>161.96</v>
      </c>
      <c r="Z2041" s="15">
        <f t="shared" si="702"/>
        <v>255.08</v>
      </c>
      <c r="AA2041" s="15">
        <f>IF(FreightType="Lethbridge-Stewart Freight ",ROUND(2.99+IF(N2041&gt;0.75,(N2041-0.75)*2.25,0)*S2041,2),IF(MarkupType="Supplier Markup",V2041+V2041*SupplierMarkup,"Error at finding value"))</f>
        <v>10.87</v>
      </c>
      <c r="AB2041" s="15">
        <f t="shared" si="703"/>
        <v>0</v>
      </c>
    </row>
    <row r="2042" spans="1:28" x14ac:dyDescent="0.25">
      <c r="A2042" s="16">
        <f>OrdersTable!A2042</f>
        <v>66</v>
      </c>
      <c r="B2042" s="15" t="str">
        <f t="shared" si="683"/>
        <v>Mr</v>
      </c>
      <c r="C2042" s="15" t="str">
        <f t="shared" si="704"/>
        <v>Bachmann</v>
      </c>
      <c r="D2042" s="15" t="str">
        <f t="shared" si="684"/>
        <v>Aaron</v>
      </c>
      <c r="E2042" s="15" t="str">
        <f t="shared" si="685"/>
        <v>3 Csabai Avenue</v>
      </c>
      <c r="F2042" s="15" t="str">
        <f t="shared" si="686"/>
        <v>Bridgewater</v>
      </c>
      <c r="G2042" s="15" t="str">
        <f t="shared" si="687"/>
        <v>VIC</v>
      </c>
      <c r="H2042" s="15">
        <f t="shared" si="688"/>
        <v>3516</v>
      </c>
      <c r="I2042" s="15">
        <f t="shared" si="699"/>
        <v>1486</v>
      </c>
      <c r="J2042" s="15">
        <f>OrdersTable!B2042</f>
        <v>671</v>
      </c>
      <c r="K2042" s="15" t="str">
        <f t="shared" si="689"/>
        <v>Mugs</v>
      </c>
      <c r="L2042" s="15" t="str">
        <f t="shared" si="690"/>
        <v>Doctor Who: Mug: TARDIS Inside</v>
      </c>
      <c r="M2042" s="15" t="str">
        <f t="shared" si="691"/>
        <v>-</v>
      </c>
      <c r="N2042" s="15">
        <f t="shared" si="692"/>
        <v>0.6</v>
      </c>
      <c r="O2042" s="15" t="str">
        <f t="shared" si="693"/>
        <v>A30</v>
      </c>
      <c r="P2042" s="15" t="str">
        <f t="shared" si="694"/>
        <v>Chesterton Enterprises</v>
      </c>
      <c r="Q2042" s="15" t="str">
        <f t="shared" si="695"/>
        <v>41 William Russell Road</v>
      </c>
      <c r="R2042" s="3">
        <f>OrdersTable!C2042</f>
        <v>44708</v>
      </c>
      <c r="S2042" s="15">
        <f>OrdersTable!E2042</f>
        <v>8</v>
      </c>
      <c r="T2042" s="15">
        <f t="shared" si="696"/>
        <v>11.99</v>
      </c>
      <c r="U2042" s="15">
        <f t="shared" si="697"/>
        <v>16.690000000000001</v>
      </c>
      <c r="V2042" s="15">
        <f t="shared" si="698"/>
        <v>19.420000000000002</v>
      </c>
      <c r="W2042" s="15">
        <f>IF(MarkupType="Store Markup",ROUND(V2042+V2042*StoreMarkup,2),IF(MarkupType="Supplier Markup",V2042+V2042*SupplierMarkup,"Error at finding value"))</f>
        <v>30.59</v>
      </c>
      <c r="X2042" s="32" t="str">
        <f t="shared" si="700"/>
        <v>0.00</v>
      </c>
      <c r="Y2042" s="15">
        <f t="shared" si="701"/>
        <v>155.36000000000001</v>
      </c>
      <c r="Z2042" s="15">
        <f t="shared" si="702"/>
        <v>244.72</v>
      </c>
      <c r="AA2042" s="15">
        <f>IF(FreightType="Lethbridge-Stewart Freight ",ROUND(2.99+IF(N2042&gt;0.75,(N2042-0.75)*2.25,0)*S2042,2),IF(MarkupType="Supplier Markup",V2042+V2042*SupplierMarkup,"Error at finding value"))</f>
        <v>2.99</v>
      </c>
      <c r="AB2042" s="15">
        <f t="shared" si="703"/>
        <v>0</v>
      </c>
    </row>
    <row r="2043" spans="1:28" x14ac:dyDescent="0.25">
      <c r="A2043" s="16">
        <f>OrdersTable!A2043</f>
        <v>81</v>
      </c>
      <c r="B2043" s="15" t="str">
        <f t="shared" si="683"/>
        <v>Ms</v>
      </c>
      <c r="C2043" s="15" t="str">
        <f t="shared" si="704"/>
        <v>Madsen</v>
      </c>
      <c r="D2043" s="15" t="str">
        <f t="shared" si="684"/>
        <v>Kim Marie</v>
      </c>
      <c r="E2043" s="15" t="str">
        <f t="shared" si="685"/>
        <v>42 Singh Drive</v>
      </c>
      <c r="F2043" s="15" t="str">
        <f t="shared" si="686"/>
        <v>Caliph</v>
      </c>
      <c r="G2043" s="15" t="str">
        <f t="shared" si="687"/>
        <v>SA</v>
      </c>
      <c r="H2043" s="15">
        <f t="shared" si="688"/>
        <v>5310</v>
      </c>
      <c r="I2043" s="15">
        <f t="shared" si="699"/>
        <v>1720</v>
      </c>
      <c r="J2043" s="15">
        <f>OrdersTable!B2043</f>
        <v>530</v>
      </c>
      <c r="K2043" s="15" t="str">
        <f t="shared" si="689"/>
        <v>Giftware</v>
      </c>
      <c r="L2043" s="15" t="str">
        <f t="shared" si="690"/>
        <v>Doctor Who: Keyring TARDIS</v>
      </c>
      <c r="M2043" s="15" t="str">
        <f t="shared" si="691"/>
        <v>-</v>
      </c>
      <c r="N2043" s="15">
        <f t="shared" si="692"/>
        <v>0.25</v>
      </c>
      <c r="O2043" s="15" t="str">
        <f t="shared" si="693"/>
        <v>A20</v>
      </c>
      <c r="P2043" s="15" t="str">
        <f t="shared" si="694"/>
        <v>Morbius Inc.</v>
      </c>
      <c r="Q2043" s="15" t="str">
        <f t="shared" si="695"/>
        <v>56 Michael Spice Hwy</v>
      </c>
      <c r="R2043" s="3">
        <f>OrdersTable!C2043</f>
        <v>44708</v>
      </c>
      <c r="S2043" s="15">
        <f>OrdersTable!E2043</f>
        <v>1</v>
      </c>
      <c r="T2043" s="15">
        <f t="shared" si="696"/>
        <v>4.99</v>
      </c>
      <c r="U2043" s="15">
        <f t="shared" si="697"/>
        <v>7.1</v>
      </c>
      <c r="V2043" s="15">
        <f t="shared" si="698"/>
        <v>8.08</v>
      </c>
      <c r="W2043" s="15">
        <f>IF(MarkupType="Store Markup",ROUND(V2043+V2043*StoreMarkup,2),IF(MarkupType="Supplier Markup",V2043+V2043*SupplierMarkup,"Error at finding value"))</f>
        <v>12.73</v>
      </c>
      <c r="X2043" s="32" t="str">
        <f t="shared" si="700"/>
        <v>0.00</v>
      </c>
      <c r="Y2043" s="15">
        <f t="shared" si="701"/>
        <v>8.08</v>
      </c>
      <c r="Z2043" s="15">
        <f t="shared" si="702"/>
        <v>12.73</v>
      </c>
      <c r="AA2043" s="15">
        <f>IF(FreightType="Lethbridge-Stewart Freight ",ROUND(2.99+IF(N2043&gt;0.75,(N2043-0.75)*2.25,0)*S2043,2),IF(MarkupType="Supplier Markup",V2043+V2043*SupplierMarkup,"Error at finding value"))</f>
        <v>2.99</v>
      </c>
      <c r="AB2043" s="15">
        <f t="shared" si="703"/>
        <v>0</v>
      </c>
    </row>
    <row r="2044" spans="1:28" x14ac:dyDescent="0.25">
      <c r="A2044" s="16">
        <f>OrdersTable!A2044</f>
        <v>139</v>
      </c>
      <c r="B2044" s="15" t="str">
        <f t="shared" si="683"/>
        <v>Mrs</v>
      </c>
      <c r="C2044" s="15" t="str">
        <f t="shared" si="704"/>
        <v>Atkinson</v>
      </c>
      <c r="D2044" s="15" t="str">
        <f t="shared" si="684"/>
        <v>Leanne</v>
      </c>
      <c r="E2044" s="15" t="str">
        <f t="shared" si="685"/>
        <v>45 Maloney Boulevard</v>
      </c>
      <c r="F2044" s="15" t="str">
        <f t="shared" si="686"/>
        <v>Avon Plains</v>
      </c>
      <c r="G2044" s="15" t="str">
        <f t="shared" si="687"/>
        <v>VIC</v>
      </c>
      <c r="H2044" s="15">
        <f t="shared" si="688"/>
        <v>3477</v>
      </c>
      <c r="I2044" s="15">
        <f t="shared" si="699"/>
        <v>1565</v>
      </c>
      <c r="J2044" s="15">
        <f>OrdersTable!B2044</f>
        <v>740</v>
      </c>
      <c r="K2044" s="15" t="str">
        <f t="shared" si="689"/>
        <v>Props and Replicas</v>
      </c>
      <c r="L2044" s="15" t="str">
        <f t="shared" si="690"/>
        <v>Doctor Who: River Song Squareness Blaster</v>
      </c>
      <c r="M2044" s="15" t="str">
        <f t="shared" si="691"/>
        <v>-</v>
      </c>
      <c r="N2044" s="15">
        <f t="shared" si="692"/>
        <v>14.8</v>
      </c>
      <c r="O2044" s="15" t="str">
        <f t="shared" si="693"/>
        <v>A40</v>
      </c>
      <c r="P2044" s="15" t="str">
        <f t="shared" si="694"/>
        <v>Romana Imports</v>
      </c>
      <c r="Q2044" s="15" t="str">
        <f t="shared" si="695"/>
        <v>17 Lalla Ward Road</v>
      </c>
      <c r="R2044" s="3">
        <f>OrdersTable!C2044</f>
        <v>44708</v>
      </c>
      <c r="S2044" s="15">
        <f>OrdersTable!E2044</f>
        <v>1</v>
      </c>
      <c r="T2044" s="15">
        <f t="shared" si="696"/>
        <v>295.99</v>
      </c>
      <c r="U2044" s="15">
        <f t="shared" si="697"/>
        <v>403.84</v>
      </c>
      <c r="V2044" s="15">
        <f t="shared" si="698"/>
        <v>479.5</v>
      </c>
      <c r="W2044" s="15">
        <f>IF(MarkupType="Store Markup",ROUND(V2044+V2044*StoreMarkup,2),IF(MarkupType="Supplier Markup",V2044+V2044*SupplierMarkup,"Error at finding value"))</f>
        <v>755.21</v>
      </c>
      <c r="X2044" s="32" t="str">
        <f t="shared" si="700"/>
        <v>0.00</v>
      </c>
      <c r="Y2044" s="15">
        <f t="shared" si="701"/>
        <v>479.5</v>
      </c>
      <c r="Z2044" s="15">
        <f t="shared" si="702"/>
        <v>755.21</v>
      </c>
      <c r="AA2044" s="15">
        <f>IF(FreightType="Lethbridge-Stewart Freight ",ROUND(2.99+IF(N2044&gt;0.75,(N2044-0.75)*2.25,0)*S2044,2),IF(MarkupType="Supplier Markup",V2044+V2044*SupplierMarkup,"Error at finding value"))</f>
        <v>34.6</v>
      </c>
      <c r="AB2044" s="15">
        <f t="shared" si="703"/>
        <v>0</v>
      </c>
    </row>
    <row r="2045" spans="1:28" x14ac:dyDescent="0.25">
      <c r="A2045" s="16">
        <f>OrdersTable!A2045</f>
        <v>180</v>
      </c>
      <c r="B2045" s="15" t="str">
        <f t="shared" si="683"/>
        <v>Mrs</v>
      </c>
      <c r="C2045" s="15" t="str">
        <f t="shared" si="704"/>
        <v>Feeney</v>
      </c>
      <c r="D2045" s="15" t="str">
        <f t="shared" si="684"/>
        <v>Jennifer Ruth</v>
      </c>
      <c r="E2045" s="15" t="str">
        <f t="shared" si="685"/>
        <v>18 Cook Avenue</v>
      </c>
      <c r="F2045" s="15" t="str">
        <f t="shared" si="686"/>
        <v>Nayook</v>
      </c>
      <c r="G2045" s="15" t="str">
        <f t="shared" si="687"/>
        <v>VIC</v>
      </c>
      <c r="H2045" s="15">
        <f t="shared" si="688"/>
        <v>3832</v>
      </c>
      <c r="I2045" s="15">
        <f t="shared" si="699"/>
        <v>1552</v>
      </c>
      <c r="J2045" s="15">
        <f>OrdersTable!B2045</f>
        <v>358</v>
      </c>
      <c r="K2045" s="15" t="str">
        <f t="shared" si="689"/>
        <v>Clothing and Apparel</v>
      </c>
      <c r="L2045" s="15" t="str">
        <f t="shared" si="690"/>
        <v xml:space="preserve">Doctor Who: T-Shirts: 5th Doctor Costume </v>
      </c>
      <c r="M2045" s="15" t="str">
        <f t="shared" si="691"/>
        <v>M</v>
      </c>
      <c r="N2045" s="15">
        <f t="shared" si="692"/>
        <v>0.8</v>
      </c>
      <c r="O2045" s="15" t="str">
        <f t="shared" si="693"/>
        <v>A30</v>
      </c>
      <c r="P2045" s="15" t="str">
        <f t="shared" si="694"/>
        <v>Chesterton Enterprises</v>
      </c>
      <c r="Q2045" s="15" t="str">
        <f t="shared" si="695"/>
        <v>41 William Russell Road</v>
      </c>
      <c r="R2045" s="3">
        <f>OrdersTable!C2045</f>
        <v>44708</v>
      </c>
      <c r="S2045" s="15">
        <f>OrdersTable!E2045</f>
        <v>6</v>
      </c>
      <c r="T2045" s="15">
        <f t="shared" si="696"/>
        <v>15.99</v>
      </c>
      <c r="U2045" s="15">
        <f t="shared" si="697"/>
        <v>21.96</v>
      </c>
      <c r="V2045" s="15">
        <f t="shared" si="698"/>
        <v>25.9</v>
      </c>
      <c r="W2045" s="15">
        <f>IF(MarkupType="Store Markup",ROUND(V2045+V2045*StoreMarkup,2),IF(MarkupType="Supplier Markup",V2045+V2045*SupplierMarkup,"Error at finding value"))</f>
        <v>40.79</v>
      </c>
      <c r="X2045" s="32" t="str">
        <f t="shared" si="700"/>
        <v>0.00</v>
      </c>
      <c r="Y2045" s="15">
        <f t="shared" si="701"/>
        <v>155.4</v>
      </c>
      <c r="Z2045" s="15">
        <f t="shared" si="702"/>
        <v>244.74</v>
      </c>
      <c r="AA2045" s="15">
        <f>IF(FreightType="Lethbridge-Stewart Freight ",ROUND(2.99+IF(N2045&gt;0.75,(N2045-0.75)*2.25,0)*S2045,2),IF(MarkupType="Supplier Markup",V2045+V2045*SupplierMarkup,"Error at finding value"))</f>
        <v>3.67</v>
      </c>
      <c r="AB2045" s="15">
        <f t="shared" si="703"/>
        <v>0</v>
      </c>
    </row>
    <row r="2046" spans="1:28" x14ac:dyDescent="0.25">
      <c r="A2046" s="16">
        <f>OrdersTable!A2046</f>
        <v>284</v>
      </c>
      <c r="B2046" s="15" t="str">
        <f t="shared" si="683"/>
        <v>Mr</v>
      </c>
      <c r="C2046" s="15" t="str">
        <f t="shared" si="704"/>
        <v>Aitcheson</v>
      </c>
      <c r="D2046" s="15" t="str">
        <f t="shared" si="684"/>
        <v>Ben James</v>
      </c>
      <c r="E2046" s="15" t="str">
        <f t="shared" si="685"/>
        <v>32 Evans Avenue</v>
      </c>
      <c r="F2046" s="15" t="str">
        <f t="shared" si="686"/>
        <v>Batlow</v>
      </c>
      <c r="G2046" s="15" t="str">
        <f t="shared" si="687"/>
        <v>NSW</v>
      </c>
      <c r="H2046" s="15">
        <f t="shared" si="688"/>
        <v>2730</v>
      </c>
      <c r="I2046" s="15">
        <f t="shared" si="699"/>
        <v>1138</v>
      </c>
      <c r="J2046" s="15">
        <f>OrdersTable!B2046</f>
        <v>377</v>
      </c>
      <c r="K2046" s="15" t="str">
        <f t="shared" si="689"/>
        <v>Clothing and Apparel</v>
      </c>
      <c r="L2046" s="15" t="str">
        <f t="shared" si="690"/>
        <v xml:space="preserve">Doctor Who: T-Shirts: 7th Doctor Costume </v>
      </c>
      <c r="M2046" s="15" t="str">
        <f t="shared" si="691"/>
        <v>M</v>
      </c>
      <c r="N2046" s="15">
        <f t="shared" si="692"/>
        <v>0.8</v>
      </c>
      <c r="O2046" s="15" t="str">
        <f t="shared" si="693"/>
        <v>A40</v>
      </c>
      <c r="P2046" s="15" t="str">
        <f t="shared" si="694"/>
        <v>Romana Imports</v>
      </c>
      <c r="Q2046" s="15" t="str">
        <f t="shared" si="695"/>
        <v>17 Lalla Ward Road</v>
      </c>
      <c r="R2046" s="3">
        <f>OrdersTable!C2046</f>
        <v>44708</v>
      </c>
      <c r="S2046" s="15">
        <f>OrdersTable!E2046</f>
        <v>9</v>
      </c>
      <c r="T2046" s="15">
        <f t="shared" si="696"/>
        <v>15.99</v>
      </c>
      <c r="U2046" s="15">
        <f t="shared" si="697"/>
        <v>21.95</v>
      </c>
      <c r="V2046" s="15">
        <f t="shared" si="698"/>
        <v>25.9</v>
      </c>
      <c r="W2046" s="15">
        <f>IF(MarkupType="Store Markup",ROUND(V2046+V2046*StoreMarkup,2),IF(MarkupType="Supplier Markup",V2046+V2046*SupplierMarkup,"Error at finding value"))</f>
        <v>40.79</v>
      </c>
      <c r="X2046" s="32" t="str">
        <f t="shared" si="700"/>
        <v>0.00</v>
      </c>
      <c r="Y2046" s="15">
        <f t="shared" si="701"/>
        <v>233.1</v>
      </c>
      <c r="Z2046" s="15">
        <f t="shared" si="702"/>
        <v>367.11</v>
      </c>
      <c r="AA2046" s="15">
        <f>IF(FreightType="Lethbridge-Stewart Freight ",ROUND(2.99+IF(N2046&gt;0.75,(N2046-0.75)*2.25,0)*S2046,2),IF(MarkupType="Supplier Markup",V2046+V2046*SupplierMarkup,"Error at finding value"))</f>
        <v>4</v>
      </c>
      <c r="AB2046" s="15">
        <f t="shared" si="703"/>
        <v>0</v>
      </c>
    </row>
    <row r="2047" spans="1:28" x14ac:dyDescent="0.25">
      <c r="A2047" s="16">
        <f>OrdersTable!A2047</f>
        <v>284</v>
      </c>
      <c r="B2047" s="15" t="str">
        <f t="shared" si="683"/>
        <v>Mr</v>
      </c>
      <c r="C2047" s="15" t="str">
        <f t="shared" si="704"/>
        <v>Aitcheson</v>
      </c>
      <c r="D2047" s="15" t="str">
        <f t="shared" si="684"/>
        <v>Ben James</v>
      </c>
      <c r="E2047" s="15" t="str">
        <f t="shared" si="685"/>
        <v>32 Evans Avenue</v>
      </c>
      <c r="F2047" s="15" t="str">
        <f t="shared" si="686"/>
        <v>Batlow</v>
      </c>
      <c r="G2047" s="15" t="str">
        <f t="shared" si="687"/>
        <v>NSW</v>
      </c>
      <c r="H2047" s="15">
        <f t="shared" si="688"/>
        <v>2730</v>
      </c>
      <c r="I2047" s="15">
        <f t="shared" si="699"/>
        <v>1138</v>
      </c>
      <c r="J2047" s="15">
        <f>OrdersTable!B2047</f>
        <v>709</v>
      </c>
      <c r="K2047" s="15" t="str">
        <f t="shared" si="689"/>
        <v>Posters, Prints and Standees</v>
      </c>
      <c r="L2047" s="15" t="str">
        <f t="shared" si="690"/>
        <v>Doctor Who: Poster: Metallic TARDIS</v>
      </c>
      <c r="M2047" s="15" t="str">
        <f t="shared" si="691"/>
        <v>-</v>
      </c>
      <c r="N2047" s="15">
        <f t="shared" si="692"/>
        <v>0.2</v>
      </c>
      <c r="O2047" s="15" t="str">
        <f t="shared" si="693"/>
        <v>A10</v>
      </c>
      <c r="P2047" s="15" t="str">
        <f t="shared" si="694"/>
        <v>Gallifrey International</v>
      </c>
      <c r="Q2047" s="15" t="str">
        <f t="shared" si="695"/>
        <v>181 Arcadia Street</v>
      </c>
      <c r="R2047" s="3">
        <f>OrdersTable!C2047</f>
        <v>44708</v>
      </c>
      <c r="S2047" s="15">
        <f>OrdersTable!E2047</f>
        <v>5</v>
      </c>
      <c r="T2047" s="15">
        <f t="shared" si="696"/>
        <v>3.99</v>
      </c>
      <c r="U2047" s="15">
        <f t="shared" si="697"/>
        <v>5.71</v>
      </c>
      <c r="V2047" s="15">
        <f t="shared" si="698"/>
        <v>6.46</v>
      </c>
      <c r="W2047" s="15">
        <f>IF(MarkupType="Store Markup",ROUND(V2047+V2047*StoreMarkup,2),IF(MarkupType="Supplier Markup",V2047+V2047*SupplierMarkup,"Error at finding value"))</f>
        <v>10.17</v>
      </c>
      <c r="X2047" s="32" t="str">
        <f t="shared" si="700"/>
        <v>0.00</v>
      </c>
      <c r="Y2047" s="15">
        <f t="shared" si="701"/>
        <v>32.299999999999997</v>
      </c>
      <c r="Z2047" s="15">
        <f t="shared" si="702"/>
        <v>50.85</v>
      </c>
      <c r="AA2047" s="15">
        <f>IF(FreightType="Lethbridge-Stewart Freight ",ROUND(2.99+IF(N2047&gt;0.75,(N2047-0.75)*2.25,0)*S2047,2),IF(MarkupType="Supplier Markup",V2047+V2047*SupplierMarkup,"Error at finding value"))</f>
        <v>2.99</v>
      </c>
      <c r="AB2047" s="15">
        <f t="shared" si="703"/>
        <v>0</v>
      </c>
    </row>
    <row r="2048" spans="1:28" x14ac:dyDescent="0.25">
      <c r="A2048" s="16">
        <f>OrdersTable!A2048</f>
        <v>285</v>
      </c>
      <c r="B2048" s="15" t="str">
        <f t="shared" si="683"/>
        <v>Mr</v>
      </c>
      <c r="C2048" s="15" t="str">
        <f t="shared" si="704"/>
        <v>Temple Morgan</v>
      </c>
      <c r="D2048" s="15" t="str">
        <f t="shared" si="684"/>
        <v>Mathew Peter</v>
      </c>
      <c r="E2048" s="15" t="str">
        <f t="shared" si="685"/>
        <v>19 Tansky Court</v>
      </c>
      <c r="F2048" s="15" t="str">
        <f t="shared" si="686"/>
        <v>Belford</v>
      </c>
      <c r="G2048" s="15" t="str">
        <f t="shared" si="687"/>
        <v>NSW</v>
      </c>
      <c r="H2048" s="15">
        <f t="shared" si="688"/>
        <v>2335</v>
      </c>
      <c r="I2048" s="15">
        <f t="shared" si="699"/>
        <v>716</v>
      </c>
      <c r="J2048" s="15">
        <f>OrdersTable!B2048</f>
        <v>692</v>
      </c>
      <c r="K2048" s="15" t="str">
        <f t="shared" si="689"/>
        <v>Posters, Prints and Standees</v>
      </c>
      <c r="L2048" s="15" t="str">
        <f t="shared" si="690"/>
        <v>Doctor Who: 16'x12' Framed Print: Exploding TARDIS</v>
      </c>
      <c r="M2048" s="15" t="str">
        <f t="shared" si="691"/>
        <v>-</v>
      </c>
      <c r="N2048" s="15">
        <f t="shared" si="692"/>
        <v>0.75</v>
      </c>
      <c r="O2048" s="15" t="str">
        <f t="shared" si="693"/>
        <v>A30</v>
      </c>
      <c r="P2048" s="15" t="str">
        <f t="shared" si="694"/>
        <v>Chesterton Enterprises</v>
      </c>
      <c r="Q2048" s="15" t="str">
        <f t="shared" si="695"/>
        <v>41 William Russell Road</v>
      </c>
      <c r="R2048" s="3">
        <f>OrdersTable!C2048</f>
        <v>44708</v>
      </c>
      <c r="S2048" s="15">
        <f>OrdersTable!E2048</f>
        <v>6</v>
      </c>
      <c r="T2048" s="15">
        <f t="shared" si="696"/>
        <v>14.99</v>
      </c>
      <c r="U2048" s="15">
        <f t="shared" si="697"/>
        <v>20.54</v>
      </c>
      <c r="V2048" s="15">
        <f t="shared" si="698"/>
        <v>24.28</v>
      </c>
      <c r="W2048" s="15">
        <f>IF(MarkupType="Store Markup",ROUND(V2048+V2048*StoreMarkup,2),IF(MarkupType="Supplier Markup",V2048+V2048*SupplierMarkup,"Error at finding value"))</f>
        <v>38.24</v>
      </c>
      <c r="X2048" s="32" t="str">
        <f t="shared" si="700"/>
        <v>0.00</v>
      </c>
      <c r="Y2048" s="15">
        <f t="shared" si="701"/>
        <v>145.68</v>
      </c>
      <c r="Z2048" s="15">
        <f t="shared" si="702"/>
        <v>229.44</v>
      </c>
      <c r="AA2048" s="15">
        <f>IF(FreightType="Lethbridge-Stewart Freight ",ROUND(2.99+IF(N2048&gt;0.75,(N2048-0.75)*2.25,0)*S2048,2),IF(MarkupType="Supplier Markup",V2048+V2048*SupplierMarkup,"Error at finding value"))</f>
        <v>2.99</v>
      </c>
      <c r="AB2048" s="15">
        <f t="shared" si="703"/>
        <v>0</v>
      </c>
    </row>
    <row r="2049" spans="1:28" x14ac:dyDescent="0.25">
      <c r="A2049" s="16">
        <f>OrdersTable!A2049</f>
        <v>302</v>
      </c>
      <c r="B2049" s="15" t="str">
        <f t="shared" si="683"/>
        <v>Ms</v>
      </c>
      <c r="C2049" s="15" t="str">
        <f t="shared" si="704"/>
        <v>Lamshed</v>
      </c>
      <c r="D2049" s="15" t="str">
        <f t="shared" si="684"/>
        <v>Laura Clare</v>
      </c>
      <c r="E2049" s="15" t="str">
        <f t="shared" si="685"/>
        <v>22 Edser Drive</v>
      </c>
      <c r="F2049" s="15" t="str">
        <f t="shared" si="686"/>
        <v>Caliph</v>
      </c>
      <c r="G2049" s="15" t="str">
        <f t="shared" si="687"/>
        <v>SA</v>
      </c>
      <c r="H2049" s="15">
        <f t="shared" si="688"/>
        <v>5310</v>
      </c>
      <c r="I2049" s="15">
        <f t="shared" si="699"/>
        <v>1720</v>
      </c>
      <c r="J2049" s="15">
        <f>OrdersTable!B2049</f>
        <v>316</v>
      </c>
      <c r="K2049" s="15" t="str">
        <f t="shared" si="689"/>
        <v>Clothing and Apparel</v>
      </c>
      <c r="L2049" s="15" t="str">
        <f t="shared" si="690"/>
        <v xml:space="preserve">Doctor Who: T-Shirts: 4th Doctor Costume </v>
      </c>
      <c r="M2049" s="15" t="str">
        <f t="shared" si="691"/>
        <v>S</v>
      </c>
      <c r="N2049" s="15">
        <f t="shared" si="692"/>
        <v>0.8</v>
      </c>
      <c r="O2049" s="15" t="str">
        <f t="shared" si="693"/>
        <v>A30</v>
      </c>
      <c r="P2049" s="15" t="str">
        <f t="shared" si="694"/>
        <v>Chesterton Enterprises</v>
      </c>
      <c r="Q2049" s="15" t="str">
        <f t="shared" si="695"/>
        <v>41 William Russell Road</v>
      </c>
      <c r="R2049" s="3">
        <f>OrdersTable!C2049</f>
        <v>44708</v>
      </c>
      <c r="S2049" s="15">
        <f>OrdersTable!E2049</f>
        <v>8</v>
      </c>
      <c r="T2049" s="15">
        <f t="shared" si="696"/>
        <v>15.99</v>
      </c>
      <c r="U2049" s="15">
        <f t="shared" si="697"/>
        <v>21.94</v>
      </c>
      <c r="V2049" s="15">
        <f t="shared" si="698"/>
        <v>25.9</v>
      </c>
      <c r="W2049" s="15">
        <f>IF(MarkupType="Store Markup",ROUND(V2049+V2049*StoreMarkup,2),IF(MarkupType="Supplier Markup",V2049+V2049*SupplierMarkup,"Error at finding value"))</f>
        <v>40.79</v>
      </c>
      <c r="X2049" s="32" t="str">
        <f t="shared" si="700"/>
        <v>0.00</v>
      </c>
      <c r="Y2049" s="15">
        <f t="shared" si="701"/>
        <v>207.2</v>
      </c>
      <c r="Z2049" s="15">
        <f t="shared" si="702"/>
        <v>326.32</v>
      </c>
      <c r="AA2049" s="15">
        <f>IF(FreightType="Lethbridge-Stewart Freight ",ROUND(2.99+IF(N2049&gt;0.75,(N2049-0.75)*2.25,0)*S2049,2),IF(MarkupType="Supplier Markup",V2049+V2049*SupplierMarkup,"Error at finding value"))</f>
        <v>3.89</v>
      </c>
      <c r="AB2049" s="15">
        <f t="shared" si="703"/>
        <v>0</v>
      </c>
    </row>
    <row r="2050" spans="1:28" x14ac:dyDescent="0.25">
      <c r="A2050" s="16">
        <f>OrdersTable!A2050</f>
        <v>328</v>
      </c>
      <c r="B2050" s="15" t="str">
        <f t="shared" si="683"/>
        <v>Dr</v>
      </c>
      <c r="C2050" s="15" t="str">
        <f t="shared" si="704"/>
        <v>Ward</v>
      </c>
      <c r="D2050" s="15" t="str">
        <f t="shared" si="684"/>
        <v>Keiren Nicholas</v>
      </c>
      <c r="E2050" s="15" t="str">
        <f t="shared" si="685"/>
        <v>13 Green Crescent</v>
      </c>
      <c r="F2050" s="15" t="str">
        <f t="shared" si="686"/>
        <v>Breakwater</v>
      </c>
      <c r="G2050" s="15" t="str">
        <f t="shared" si="687"/>
        <v>VIC</v>
      </c>
      <c r="H2050" s="15">
        <f t="shared" si="688"/>
        <v>3219</v>
      </c>
      <c r="I2050" s="15">
        <f t="shared" si="699"/>
        <v>1596</v>
      </c>
      <c r="J2050" s="15">
        <f>OrdersTable!B2050</f>
        <v>620</v>
      </c>
      <c r="K2050" s="15" t="str">
        <f t="shared" si="689"/>
        <v>iPhone Skins</v>
      </c>
      <c r="L2050" s="15" t="str">
        <f t="shared" si="690"/>
        <v>Doctor Who: iPhone Skin: TARDIS Water Colour</v>
      </c>
      <c r="M2050" s="15" t="str">
        <f t="shared" si="691"/>
        <v>-</v>
      </c>
      <c r="N2050" s="15">
        <f t="shared" si="692"/>
        <v>0.5</v>
      </c>
      <c r="O2050" s="15" t="str">
        <f t="shared" si="693"/>
        <v>A30</v>
      </c>
      <c r="P2050" s="15" t="str">
        <f t="shared" si="694"/>
        <v>Chesterton Enterprises</v>
      </c>
      <c r="Q2050" s="15" t="str">
        <f t="shared" si="695"/>
        <v>41 William Russell Road</v>
      </c>
      <c r="R2050" s="3">
        <f>OrdersTable!C2050</f>
        <v>44708</v>
      </c>
      <c r="S2050" s="15">
        <f>OrdersTable!E2050</f>
        <v>7</v>
      </c>
      <c r="T2050" s="15">
        <f t="shared" si="696"/>
        <v>9.99</v>
      </c>
      <c r="U2050" s="15">
        <f t="shared" si="697"/>
        <v>13.81</v>
      </c>
      <c r="V2050" s="15">
        <f t="shared" si="698"/>
        <v>16.18</v>
      </c>
      <c r="W2050" s="15">
        <f>IF(MarkupType="Store Markup",ROUND(V2050+V2050*StoreMarkup,2),IF(MarkupType="Supplier Markup",V2050+V2050*SupplierMarkup,"Error at finding value"))</f>
        <v>25.48</v>
      </c>
      <c r="X2050" s="32" t="str">
        <f t="shared" si="700"/>
        <v>0.00</v>
      </c>
      <c r="Y2050" s="15">
        <f t="shared" si="701"/>
        <v>113.26</v>
      </c>
      <c r="Z2050" s="15">
        <f t="shared" si="702"/>
        <v>178.36</v>
      </c>
      <c r="AA2050" s="15">
        <f>IF(FreightType="Lethbridge-Stewart Freight ",ROUND(2.99+IF(N2050&gt;0.75,(N2050-0.75)*2.25,0)*S2050,2),IF(MarkupType="Supplier Markup",V2050+V2050*SupplierMarkup,"Error at finding value"))</f>
        <v>2.99</v>
      </c>
      <c r="AB2050" s="15">
        <f t="shared" si="703"/>
        <v>0</v>
      </c>
    </row>
    <row r="2051" spans="1:28" x14ac:dyDescent="0.25">
      <c r="A2051" s="16">
        <f>OrdersTable!A2051</f>
        <v>333</v>
      </c>
      <c r="B2051" s="15" t="str">
        <f t="shared" si="683"/>
        <v>Mr</v>
      </c>
      <c r="C2051" s="15" t="str">
        <f t="shared" si="704"/>
        <v>Martin</v>
      </c>
      <c r="D2051" s="15" t="str">
        <f t="shared" si="684"/>
        <v>Damien Roger</v>
      </c>
      <c r="E2051" s="15" t="str">
        <f t="shared" si="685"/>
        <v>23 Quennell Way</v>
      </c>
      <c r="F2051" s="15" t="str">
        <f t="shared" si="686"/>
        <v>Aberfoyle</v>
      </c>
      <c r="G2051" s="15" t="str">
        <f t="shared" si="687"/>
        <v>NSW</v>
      </c>
      <c r="H2051" s="15">
        <f t="shared" si="688"/>
        <v>2350</v>
      </c>
      <c r="I2051" s="15">
        <f t="shared" si="699"/>
        <v>363</v>
      </c>
      <c r="J2051" s="15">
        <f>OrdersTable!B2051</f>
        <v>740</v>
      </c>
      <c r="K2051" s="15" t="str">
        <f t="shared" si="689"/>
        <v>Props and Replicas</v>
      </c>
      <c r="L2051" s="15" t="str">
        <f t="shared" si="690"/>
        <v>Doctor Who: River Song Squareness Blaster</v>
      </c>
      <c r="M2051" s="15" t="str">
        <f t="shared" si="691"/>
        <v>-</v>
      </c>
      <c r="N2051" s="15">
        <f t="shared" si="692"/>
        <v>14.8</v>
      </c>
      <c r="O2051" s="15" t="str">
        <f t="shared" si="693"/>
        <v>A40</v>
      </c>
      <c r="P2051" s="15" t="str">
        <f t="shared" si="694"/>
        <v>Romana Imports</v>
      </c>
      <c r="Q2051" s="15" t="str">
        <f t="shared" si="695"/>
        <v>17 Lalla Ward Road</v>
      </c>
      <c r="R2051" s="3">
        <f>OrdersTable!C2051</f>
        <v>44708</v>
      </c>
      <c r="S2051" s="15">
        <f>OrdersTable!E2051</f>
        <v>1</v>
      </c>
      <c r="T2051" s="15">
        <f t="shared" si="696"/>
        <v>295.99</v>
      </c>
      <c r="U2051" s="15">
        <f t="shared" si="697"/>
        <v>403.84</v>
      </c>
      <c r="V2051" s="15">
        <f t="shared" si="698"/>
        <v>479.5</v>
      </c>
      <c r="W2051" s="15">
        <f>IF(MarkupType="Store Markup",ROUND(V2051+V2051*StoreMarkup,2),IF(MarkupType="Supplier Markup",V2051+V2051*SupplierMarkup,"Error at finding value"))</f>
        <v>755.21</v>
      </c>
      <c r="X2051" s="32" t="str">
        <f t="shared" si="700"/>
        <v>0.00</v>
      </c>
      <c r="Y2051" s="15">
        <f t="shared" si="701"/>
        <v>479.5</v>
      </c>
      <c r="Z2051" s="15">
        <f t="shared" si="702"/>
        <v>755.21</v>
      </c>
      <c r="AA2051" s="15">
        <f>IF(FreightType="Lethbridge-Stewart Freight ",ROUND(2.99+IF(N2051&gt;0.75,(N2051-0.75)*2.25,0)*S2051,2),IF(MarkupType="Supplier Markup",V2051+V2051*SupplierMarkup,"Error at finding value"))</f>
        <v>34.6</v>
      </c>
      <c r="AB2051" s="15">
        <f t="shared" si="703"/>
        <v>0</v>
      </c>
    </row>
    <row r="2052" spans="1:28" x14ac:dyDescent="0.25">
      <c r="A2052" s="16">
        <f>OrdersTable!A2052</f>
        <v>416</v>
      </c>
      <c r="B2052" s="15" t="str">
        <f t="shared" ref="B2052:B2115" si="705">VLOOKUP($A2052,Cust,2,0)</f>
        <v>Mr</v>
      </c>
      <c r="C2052" s="15" t="str">
        <f t="shared" si="704"/>
        <v>Mohammed</v>
      </c>
      <c r="D2052" s="15" t="str">
        <f t="shared" ref="D2052:D2115" si="706">VLOOKUP($A2052,Cust,4,0)</f>
        <v>Ahmed</v>
      </c>
      <c r="E2052" s="15" t="str">
        <f t="shared" ref="E2052:E2115" si="707">VLOOKUP($A2052,Cust,6,0)</f>
        <v>35 Ridley Avenue</v>
      </c>
      <c r="F2052" s="15" t="str">
        <f t="shared" ref="F2052:F2115" si="708">VLOOKUP($A2052,Cust,7,0)</f>
        <v>Iluka</v>
      </c>
      <c r="G2052" s="15" t="str">
        <f t="shared" ref="G2052:G2115" si="709">VLOOKUP($A2052,Cust,8,0)</f>
        <v>NSW</v>
      </c>
      <c r="H2052" s="15">
        <f t="shared" ref="H2052:H2115" si="710">VLOOKUP($A2052,Cust,9,0)</f>
        <v>2466</v>
      </c>
      <c r="I2052" s="15">
        <f t="shared" si="699"/>
        <v>347</v>
      </c>
      <c r="J2052" s="15">
        <f>OrdersTable!B2052</f>
        <v>213</v>
      </c>
      <c r="K2052" s="15" t="str">
        <f t="shared" ref="K2052:K2115" si="711">VLOOKUP($J2052,Itms,2,0)</f>
        <v>Clothing and Apparel</v>
      </c>
      <c r="L2052" s="15" t="str">
        <f t="shared" ref="L2052:L2115" si="712">VLOOKUP($J2052,Itms,3,0)</f>
        <v>Doctor Who: Fez and Bow Tie</v>
      </c>
      <c r="M2052" s="15" t="str">
        <f t="shared" ref="M2052:M2115" si="713">VLOOKUP($J2052,Itms,4,0)</f>
        <v>-</v>
      </c>
      <c r="N2052" s="15">
        <f t="shared" ref="N2052:N2115" si="714">VLOOKUP($J2052,Itms,5,0)</f>
        <v>0.97499999999999998</v>
      </c>
      <c r="O2052" s="15" t="str">
        <f t="shared" ref="O2052:O2115" si="715">VLOOKUP($J2052,Itms,6,0)</f>
        <v>A50</v>
      </c>
      <c r="P2052" s="15" t="str">
        <f t="shared" ref="P2052:P2115" si="716">VLOOKUP($O2052,Supp,2,0)</f>
        <v>Rassilon Ltd.</v>
      </c>
      <c r="Q2052" s="15" t="str">
        <f t="shared" ref="Q2052:Q2115" si="717">VLOOKUP($O2052,Supp,3,0)</f>
        <v>82 Richard Mathews Road</v>
      </c>
      <c r="R2052" s="3">
        <f>OrdersTable!C2052</f>
        <v>44708</v>
      </c>
      <c r="S2052" s="15">
        <f>OrdersTable!E2052</f>
        <v>6</v>
      </c>
      <c r="T2052" s="15">
        <f t="shared" ref="T2052:T2115" si="718">VLOOKUP($J2052,Itms,9,0)</f>
        <v>19.5</v>
      </c>
      <c r="U2052" s="15">
        <f t="shared" ref="U2052:U2115" si="719">VLOOKUP($J2052,Itms,10,0)</f>
        <v>26.88</v>
      </c>
      <c r="V2052" s="15">
        <f t="shared" ref="V2052:V2115" si="720">IF(ExchRateType="IR",ROUND(T2052*ExchRateIR,2),IF(ExchRateType="CA",ROUND(U2052*ExchRateCA,2),"Error at finding value"))</f>
        <v>31.59</v>
      </c>
      <c r="W2052" s="15">
        <f>IF(MarkupType="Store Markup",ROUND(V2052+V2052*StoreMarkup,2),IF(MarkupType="Supplier Markup",V2052+V2052*SupplierMarkup,"Error at finding value"))</f>
        <v>49.75</v>
      </c>
      <c r="X2052" s="32" t="str">
        <f t="shared" si="700"/>
        <v>0.00</v>
      </c>
      <c r="Y2052" s="15">
        <f t="shared" si="701"/>
        <v>189.54</v>
      </c>
      <c r="Z2052" s="15">
        <f t="shared" si="702"/>
        <v>298.5</v>
      </c>
      <c r="AA2052" s="15">
        <f>IF(FreightType="Lethbridge-Stewart Freight ",ROUND(2.99+IF(N2052&gt;0.75,(N2052-0.75)*2.25,0)*S2052,2),IF(MarkupType="Supplier Markup",V2052+V2052*SupplierMarkup,"Error at finding value"))</f>
        <v>6.03</v>
      </c>
      <c r="AB2052" s="15">
        <f t="shared" si="703"/>
        <v>0</v>
      </c>
    </row>
    <row r="2053" spans="1:28" x14ac:dyDescent="0.25">
      <c r="A2053" s="16">
        <f>OrdersTable!A2053</f>
        <v>538</v>
      </c>
      <c r="B2053" s="15" t="str">
        <f t="shared" si="705"/>
        <v>Dr</v>
      </c>
      <c r="C2053" s="15" t="str">
        <f t="shared" si="704"/>
        <v>Radovic</v>
      </c>
      <c r="D2053" s="15" t="str">
        <f t="shared" si="706"/>
        <v>Harley Benjamin</v>
      </c>
      <c r="E2053" s="15" t="str">
        <f t="shared" si="707"/>
        <v>50 Hocking Way</v>
      </c>
      <c r="F2053" s="15" t="str">
        <f t="shared" si="708"/>
        <v>Bray Park</v>
      </c>
      <c r="G2053" s="15" t="str">
        <f t="shared" si="709"/>
        <v>QLD</v>
      </c>
      <c r="H2053" s="15">
        <f t="shared" si="710"/>
        <v>4500</v>
      </c>
      <c r="I2053" s="15">
        <f t="shared" ref="I2053:I2116" si="721">VLOOKUP($A2053,Cust,10,0)</f>
        <v>139</v>
      </c>
      <c r="J2053" s="15">
        <f>OrdersTable!B2053</f>
        <v>580</v>
      </c>
      <c r="K2053" s="15" t="str">
        <f t="shared" si="711"/>
        <v>Giftware</v>
      </c>
      <c r="L2053" s="15" t="str">
        <f t="shared" si="712"/>
        <v>Doctor Who: Wallpaper: Classic TARDIS Columns</v>
      </c>
      <c r="M2053" s="15" t="str">
        <f t="shared" si="713"/>
        <v>-</v>
      </c>
      <c r="N2053" s="15">
        <f t="shared" si="714"/>
        <v>0.65500000000000003</v>
      </c>
      <c r="O2053" s="15" t="str">
        <f t="shared" si="715"/>
        <v>A50</v>
      </c>
      <c r="P2053" s="15" t="str">
        <f t="shared" si="716"/>
        <v>Rassilon Ltd.</v>
      </c>
      <c r="Q2053" s="15" t="str">
        <f t="shared" si="717"/>
        <v>82 Richard Mathews Road</v>
      </c>
      <c r="R2053" s="3">
        <f>OrdersTable!C2053</f>
        <v>44708</v>
      </c>
      <c r="S2053" s="15">
        <f>OrdersTable!E2053</f>
        <v>4</v>
      </c>
      <c r="T2053" s="15">
        <f t="shared" si="718"/>
        <v>13.11</v>
      </c>
      <c r="U2053" s="15">
        <f t="shared" si="719"/>
        <v>18.18</v>
      </c>
      <c r="V2053" s="15">
        <f t="shared" si="720"/>
        <v>21.24</v>
      </c>
      <c r="W2053" s="15">
        <f>IF(MarkupType="Store Markup",ROUND(V2053+V2053*StoreMarkup,2),IF(MarkupType="Supplier Markup",V2053+V2053*SupplierMarkup,"Error at finding value"))</f>
        <v>33.450000000000003</v>
      </c>
      <c r="X2053" s="32" t="str">
        <f t="shared" ref="X2053:X2116" si="722">IF(AND(W2053&gt;100,S2053&gt;=3),ROUND(0.07125*W2053,2),"0.00")</f>
        <v>0.00</v>
      </c>
      <c r="Y2053" s="15">
        <f t="shared" ref="Y2053:Y2116" si="723">ROUND(V2053*S2053,2)</f>
        <v>84.96</v>
      </c>
      <c r="Z2053" s="15">
        <f t="shared" ref="Z2053:Z2116" si="724">ROUND((W2053-X2053)*S2053,2)</f>
        <v>133.80000000000001</v>
      </c>
      <c r="AA2053" s="15">
        <f>IF(FreightType="Lethbridge-Stewart Freight ",ROUND(2.99+IF(N2053&gt;0.75,(N2053-0.75)*2.25,0)*S2053,2),IF(MarkupType="Supplier Markup",V2053+V2053*SupplierMarkup,"Error at finding value"))</f>
        <v>2.99</v>
      </c>
      <c r="AB2053" s="15">
        <f t="shared" ref="AB2053:AB2116" si="725">ROUND(X2053*S2053,2)</f>
        <v>0</v>
      </c>
    </row>
    <row r="2054" spans="1:28" x14ac:dyDescent="0.25">
      <c r="A2054" s="16">
        <f>OrdersTable!A2054</f>
        <v>585</v>
      </c>
      <c r="B2054" s="15" t="str">
        <f t="shared" si="705"/>
        <v>Miss</v>
      </c>
      <c r="C2054" s="15" t="str">
        <f t="shared" si="704"/>
        <v>Long</v>
      </c>
      <c r="D2054" s="15" t="str">
        <f t="shared" si="706"/>
        <v>Bellinda May</v>
      </c>
      <c r="E2054" s="15" t="str">
        <f t="shared" si="707"/>
        <v>5 Hutcheson Avenue</v>
      </c>
      <c r="F2054" s="15" t="str">
        <f t="shared" si="708"/>
        <v>Glenfern</v>
      </c>
      <c r="G2054" s="15" t="str">
        <f t="shared" si="709"/>
        <v>QLD</v>
      </c>
      <c r="H2054" s="15">
        <f t="shared" si="710"/>
        <v>4515</v>
      </c>
      <c r="I2054" s="15">
        <f t="shared" si="721"/>
        <v>128</v>
      </c>
      <c r="J2054" s="15">
        <f>OrdersTable!B2054</f>
        <v>219</v>
      </c>
      <c r="K2054" s="15" t="str">
        <f t="shared" si="711"/>
        <v>Clothing and Apparel</v>
      </c>
      <c r="L2054" s="15" t="str">
        <f t="shared" si="712"/>
        <v>Doctor Who: Men's Winter Pyjamas</v>
      </c>
      <c r="M2054" s="15" t="str">
        <f t="shared" si="713"/>
        <v>M</v>
      </c>
      <c r="N2054" s="15">
        <f t="shared" si="714"/>
        <v>1.5</v>
      </c>
      <c r="O2054" s="15" t="str">
        <f t="shared" si="715"/>
        <v>A40</v>
      </c>
      <c r="P2054" s="15" t="str">
        <f t="shared" si="716"/>
        <v>Romana Imports</v>
      </c>
      <c r="Q2054" s="15" t="str">
        <f t="shared" si="717"/>
        <v>17 Lalla Ward Road</v>
      </c>
      <c r="R2054" s="3">
        <f>OrdersTable!C2054</f>
        <v>44708</v>
      </c>
      <c r="S2054" s="15">
        <f>OrdersTable!E2054</f>
        <v>2</v>
      </c>
      <c r="T2054" s="15">
        <f t="shared" si="718"/>
        <v>29.99</v>
      </c>
      <c r="U2054" s="15">
        <f t="shared" si="719"/>
        <v>41.24</v>
      </c>
      <c r="V2054" s="15">
        <f t="shared" si="720"/>
        <v>48.58</v>
      </c>
      <c r="W2054" s="15">
        <f>IF(MarkupType="Store Markup",ROUND(V2054+V2054*StoreMarkup,2),IF(MarkupType="Supplier Markup",V2054+V2054*SupplierMarkup,"Error at finding value"))</f>
        <v>76.510000000000005</v>
      </c>
      <c r="X2054" s="32" t="str">
        <f t="shared" si="722"/>
        <v>0.00</v>
      </c>
      <c r="Y2054" s="15">
        <f t="shared" si="723"/>
        <v>97.16</v>
      </c>
      <c r="Z2054" s="15">
        <f t="shared" si="724"/>
        <v>153.02000000000001</v>
      </c>
      <c r="AA2054" s="15">
        <f>IF(FreightType="Lethbridge-Stewart Freight ",ROUND(2.99+IF(N2054&gt;0.75,(N2054-0.75)*2.25,0)*S2054,2),IF(MarkupType="Supplier Markup",V2054+V2054*SupplierMarkup,"Error at finding value"))</f>
        <v>6.37</v>
      </c>
      <c r="AB2054" s="15">
        <f t="shared" si="725"/>
        <v>0</v>
      </c>
    </row>
    <row r="2055" spans="1:28" x14ac:dyDescent="0.25">
      <c r="A2055" s="16">
        <f>OrdersTable!A2055</f>
        <v>657</v>
      </c>
      <c r="B2055" s="15" t="str">
        <f t="shared" si="705"/>
        <v>Mr</v>
      </c>
      <c r="C2055" s="15" t="str">
        <f t="shared" si="704"/>
        <v>Poljak</v>
      </c>
      <c r="D2055" s="15" t="str">
        <f t="shared" si="706"/>
        <v>Anthony</v>
      </c>
      <c r="E2055" s="15" t="str">
        <f t="shared" si="707"/>
        <v>45 Robertson Boulevard</v>
      </c>
      <c r="F2055" s="15" t="str">
        <f t="shared" si="708"/>
        <v>Iluka</v>
      </c>
      <c r="G2055" s="15" t="str">
        <f t="shared" si="709"/>
        <v>NSW</v>
      </c>
      <c r="H2055" s="15">
        <f t="shared" si="710"/>
        <v>2466</v>
      </c>
      <c r="I2055" s="15">
        <f t="shared" si="721"/>
        <v>347</v>
      </c>
      <c r="J2055" s="15">
        <f>OrdersTable!B2055</f>
        <v>331</v>
      </c>
      <c r="K2055" s="15" t="str">
        <f t="shared" si="711"/>
        <v>Clothing and Apparel</v>
      </c>
      <c r="L2055" s="15" t="str">
        <f t="shared" si="712"/>
        <v xml:space="preserve">Doctor Who: T-Shirts: 4th Doctor Costume </v>
      </c>
      <c r="M2055" s="15" t="str">
        <f t="shared" si="713"/>
        <v>L</v>
      </c>
      <c r="N2055" s="15">
        <f t="shared" si="714"/>
        <v>0.8</v>
      </c>
      <c r="O2055" s="15" t="str">
        <f t="shared" si="715"/>
        <v>A20</v>
      </c>
      <c r="P2055" s="15" t="str">
        <f t="shared" si="716"/>
        <v>Morbius Inc.</v>
      </c>
      <c r="Q2055" s="15" t="str">
        <f t="shared" si="717"/>
        <v>56 Michael Spice Hwy</v>
      </c>
      <c r="R2055" s="3">
        <f>OrdersTable!C2055</f>
        <v>44708</v>
      </c>
      <c r="S2055" s="15">
        <f>OrdersTable!E2055</f>
        <v>1</v>
      </c>
      <c r="T2055" s="15">
        <f t="shared" si="718"/>
        <v>15.99</v>
      </c>
      <c r="U2055" s="15">
        <f t="shared" si="719"/>
        <v>22.08</v>
      </c>
      <c r="V2055" s="15">
        <f t="shared" si="720"/>
        <v>25.9</v>
      </c>
      <c r="W2055" s="15">
        <f>IF(MarkupType="Store Markup",ROUND(V2055+V2055*StoreMarkup,2),IF(MarkupType="Supplier Markup",V2055+V2055*SupplierMarkup,"Error at finding value"))</f>
        <v>40.79</v>
      </c>
      <c r="X2055" s="32" t="str">
        <f t="shared" si="722"/>
        <v>0.00</v>
      </c>
      <c r="Y2055" s="15">
        <f t="shared" si="723"/>
        <v>25.9</v>
      </c>
      <c r="Z2055" s="15">
        <f t="shared" si="724"/>
        <v>40.79</v>
      </c>
      <c r="AA2055" s="15">
        <f>IF(FreightType="Lethbridge-Stewart Freight ",ROUND(2.99+IF(N2055&gt;0.75,(N2055-0.75)*2.25,0)*S2055,2),IF(MarkupType="Supplier Markup",V2055+V2055*SupplierMarkup,"Error at finding value"))</f>
        <v>3.1</v>
      </c>
      <c r="AB2055" s="15">
        <f t="shared" si="725"/>
        <v>0</v>
      </c>
    </row>
    <row r="2056" spans="1:28" x14ac:dyDescent="0.25">
      <c r="A2056" s="16">
        <f>OrdersTable!A2056</f>
        <v>841</v>
      </c>
      <c r="B2056" s="15" t="str">
        <f t="shared" si="705"/>
        <v>Miss</v>
      </c>
      <c r="C2056" s="15" t="str">
        <f t="shared" si="704"/>
        <v>Donaghy</v>
      </c>
      <c r="D2056" s="15" t="str">
        <f t="shared" si="706"/>
        <v>Elizabeth Mathilde Jane</v>
      </c>
      <c r="E2056" s="15" t="str">
        <f t="shared" si="707"/>
        <v>31 Johnson Boulevard</v>
      </c>
      <c r="F2056" s="15" t="str">
        <f t="shared" si="708"/>
        <v>Belford</v>
      </c>
      <c r="G2056" s="15" t="str">
        <f t="shared" si="709"/>
        <v>NSW</v>
      </c>
      <c r="H2056" s="15">
        <f t="shared" si="710"/>
        <v>2335</v>
      </c>
      <c r="I2056" s="15">
        <f t="shared" si="721"/>
        <v>716</v>
      </c>
      <c r="J2056" s="15">
        <f>OrdersTable!B2056</f>
        <v>709</v>
      </c>
      <c r="K2056" s="15" t="str">
        <f t="shared" si="711"/>
        <v>Posters, Prints and Standees</v>
      </c>
      <c r="L2056" s="15" t="str">
        <f t="shared" si="712"/>
        <v>Doctor Who: Poster: Metallic TARDIS</v>
      </c>
      <c r="M2056" s="15" t="str">
        <f t="shared" si="713"/>
        <v>-</v>
      </c>
      <c r="N2056" s="15">
        <f t="shared" si="714"/>
        <v>0.2</v>
      </c>
      <c r="O2056" s="15" t="str">
        <f t="shared" si="715"/>
        <v>A10</v>
      </c>
      <c r="P2056" s="15" t="str">
        <f t="shared" si="716"/>
        <v>Gallifrey International</v>
      </c>
      <c r="Q2056" s="15" t="str">
        <f t="shared" si="717"/>
        <v>181 Arcadia Street</v>
      </c>
      <c r="R2056" s="3">
        <f>OrdersTable!C2056</f>
        <v>44708</v>
      </c>
      <c r="S2056" s="15">
        <f>OrdersTable!E2056</f>
        <v>1</v>
      </c>
      <c r="T2056" s="15">
        <f t="shared" si="718"/>
        <v>3.99</v>
      </c>
      <c r="U2056" s="15">
        <f t="shared" si="719"/>
        <v>5.71</v>
      </c>
      <c r="V2056" s="15">
        <f t="shared" si="720"/>
        <v>6.46</v>
      </c>
      <c r="W2056" s="15">
        <f>IF(MarkupType="Store Markup",ROUND(V2056+V2056*StoreMarkup,2),IF(MarkupType="Supplier Markup",V2056+V2056*SupplierMarkup,"Error at finding value"))</f>
        <v>10.17</v>
      </c>
      <c r="X2056" s="32" t="str">
        <f t="shared" si="722"/>
        <v>0.00</v>
      </c>
      <c r="Y2056" s="15">
        <f t="shared" si="723"/>
        <v>6.46</v>
      </c>
      <c r="Z2056" s="15">
        <f t="shared" si="724"/>
        <v>10.17</v>
      </c>
      <c r="AA2056" s="15">
        <f>IF(FreightType="Lethbridge-Stewart Freight ",ROUND(2.99+IF(N2056&gt;0.75,(N2056-0.75)*2.25,0)*S2056,2),IF(MarkupType="Supplier Markup",V2056+V2056*SupplierMarkup,"Error at finding value"))</f>
        <v>2.99</v>
      </c>
      <c r="AB2056" s="15">
        <f t="shared" si="725"/>
        <v>0</v>
      </c>
    </row>
    <row r="2057" spans="1:28" x14ac:dyDescent="0.25">
      <c r="A2057" s="16">
        <f>OrdersTable!A2057</f>
        <v>923</v>
      </c>
      <c r="B2057" s="15" t="str">
        <f t="shared" si="705"/>
        <v>Ms</v>
      </c>
      <c r="C2057" s="15" t="str">
        <f t="shared" si="704"/>
        <v>Savage</v>
      </c>
      <c r="D2057" s="15" t="str">
        <f t="shared" si="706"/>
        <v>Eliza Margaret</v>
      </c>
      <c r="E2057" s="15" t="str">
        <f t="shared" si="707"/>
        <v>28 Whisson Crescent</v>
      </c>
      <c r="F2057" s="15" t="str">
        <f t="shared" si="708"/>
        <v>Belconnen</v>
      </c>
      <c r="G2057" s="15" t="str">
        <f t="shared" si="709"/>
        <v>ACT</v>
      </c>
      <c r="H2057" s="15">
        <f t="shared" si="710"/>
        <v>2617</v>
      </c>
      <c r="I2057" s="15">
        <f t="shared" si="721"/>
        <v>1194</v>
      </c>
      <c r="J2057" s="15">
        <f>OrdersTable!B2057</f>
        <v>792</v>
      </c>
      <c r="K2057" s="15" t="str">
        <f t="shared" si="711"/>
        <v>Statues and Busts</v>
      </c>
      <c r="L2057" s="15" t="str">
        <f t="shared" si="712"/>
        <v>Doctor Who: Masterpiece Collection Maxi Bust: 3rd Doctor</v>
      </c>
      <c r="M2057" s="15" t="str">
        <f t="shared" si="713"/>
        <v>-</v>
      </c>
      <c r="N2057" s="15">
        <f t="shared" si="714"/>
        <v>2.5</v>
      </c>
      <c r="O2057" s="15" t="str">
        <f t="shared" si="715"/>
        <v>A20</v>
      </c>
      <c r="P2057" s="15" t="str">
        <f t="shared" si="716"/>
        <v>Morbius Inc.</v>
      </c>
      <c r="Q2057" s="15" t="str">
        <f t="shared" si="717"/>
        <v>56 Michael Spice Hwy</v>
      </c>
      <c r="R2057" s="3">
        <f>OrdersTable!C2057</f>
        <v>44708</v>
      </c>
      <c r="S2057" s="15">
        <f>OrdersTable!E2057</f>
        <v>10</v>
      </c>
      <c r="T2057" s="15">
        <f t="shared" si="718"/>
        <v>49.99</v>
      </c>
      <c r="U2057" s="15">
        <f t="shared" si="719"/>
        <v>68.39</v>
      </c>
      <c r="V2057" s="15">
        <f t="shared" si="720"/>
        <v>80.98</v>
      </c>
      <c r="W2057" s="15">
        <f>IF(MarkupType="Store Markup",ROUND(V2057+V2057*StoreMarkup,2),IF(MarkupType="Supplier Markup",V2057+V2057*SupplierMarkup,"Error at finding value"))</f>
        <v>127.54</v>
      </c>
      <c r="X2057" s="32">
        <f t="shared" si="722"/>
        <v>9.09</v>
      </c>
      <c r="Y2057" s="15">
        <f t="shared" si="723"/>
        <v>809.8</v>
      </c>
      <c r="Z2057" s="15">
        <f t="shared" si="724"/>
        <v>1184.5</v>
      </c>
      <c r="AA2057" s="15">
        <f>IF(FreightType="Lethbridge-Stewart Freight ",ROUND(2.99+IF(N2057&gt;0.75,(N2057-0.75)*2.25,0)*S2057,2),IF(MarkupType="Supplier Markup",V2057+V2057*SupplierMarkup,"Error at finding value"))</f>
        <v>42.37</v>
      </c>
      <c r="AB2057" s="15">
        <f t="shared" si="725"/>
        <v>90.9</v>
      </c>
    </row>
    <row r="2058" spans="1:28" x14ac:dyDescent="0.25">
      <c r="A2058" s="16">
        <f>OrdersTable!A2058</f>
        <v>972</v>
      </c>
      <c r="B2058" s="15" t="str">
        <f t="shared" si="705"/>
        <v>Miss</v>
      </c>
      <c r="C2058" s="15" t="str">
        <f t="shared" si="704"/>
        <v>Walsh</v>
      </c>
      <c r="D2058" s="15" t="str">
        <f t="shared" si="706"/>
        <v>Alana Jane</v>
      </c>
      <c r="E2058" s="15" t="str">
        <f t="shared" si="707"/>
        <v>40 Betts Crescent</v>
      </c>
      <c r="F2058" s="15" t="str">
        <f t="shared" si="708"/>
        <v>Alleena</v>
      </c>
      <c r="G2058" s="15" t="str">
        <f t="shared" si="709"/>
        <v>NSW</v>
      </c>
      <c r="H2058" s="15">
        <f t="shared" si="710"/>
        <v>2671</v>
      </c>
      <c r="I2058" s="15">
        <f t="shared" si="721"/>
        <v>988</v>
      </c>
      <c r="J2058" s="15">
        <f>OrdersTable!B2058</f>
        <v>752</v>
      </c>
      <c r="K2058" s="15" t="str">
        <f t="shared" si="711"/>
        <v>Statues and Busts</v>
      </c>
      <c r="L2058" s="15" t="str">
        <f t="shared" si="712"/>
        <v>Doctor Who: Helmet: Cyberman Leader</v>
      </c>
      <c r="M2058" s="15" t="str">
        <f t="shared" si="713"/>
        <v>-</v>
      </c>
      <c r="N2058" s="15">
        <f t="shared" si="714"/>
        <v>2</v>
      </c>
      <c r="O2058" s="15" t="str">
        <f t="shared" si="715"/>
        <v>A30</v>
      </c>
      <c r="P2058" s="15" t="str">
        <f t="shared" si="716"/>
        <v>Chesterton Enterprises</v>
      </c>
      <c r="Q2058" s="15" t="str">
        <f t="shared" si="717"/>
        <v>41 William Russell Road</v>
      </c>
      <c r="R2058" s="3">
        <f>OrdersTable!C2058</f>
        <v>44708</v>
      </c>
      <c r="S2058" s="15">
        <f>OrdersTable!E2058</f>
        <v>8</v>
      </c>
      <c r="T2058" s="15">
        <f t="shared" si="718"/>
        <v>39.99</v>
      </c>
      <c r="U2058" s="15">
        <f t="shared" si="719"/>
        <v>54.85</v>
      </c>
      <c r="V2058" s="15">
        <f t="shared" si="720"/>
        <v>64.78</v>
      </c>
      <c r="W2058" s="15">
        <f>IF(MarkupType="Store Markup",ROUND(V2058+V2058*StoreMarkup,2),IF(MarkupType="Supplier Markup",V2058+V2058*SupplierMarkup,"Error at finding value"))</f>
        <v>102.03</v>
      </c>
      <c r="X2058" s="32">
        <f t="shared" si="722"/>
        <v>7.27</v>
      </c>
      <c r="Y2058" s="15">
        <f t="shared" si="723"/>
        <v>518.24</v>
      </c>
      <c r="Z2058" s="15">
        <f t="shared" si="724"/>
        <v>758.08</v>
      </c>
      <c r="AA2058" s="15">
        <f>IF(FreightType="Lethbridge-Stewart Freight ",ROUND(2.99+IF(N2058&gt;0.75,(N2058-0.75)*2.25,0)*S2058,2),IF(MarkupType="Supplier Markup",V2058+V2058*SupplierMarkup,"Error at finding value"))</f>
        <v>25.49</v>
      </c>
      <c r="AB2058" s="15">
        <f t="shared" si="725"/>
        <v>58.16</v>
      </c>
    </row>
    <row r="2059" spans="1:28" x14ac:dyDescent="0.25">
      <c r="A2059" s="16">
        <f>OrdersTable!A2059</f>
        <v>302</v>
      </c>
      <c r="B2059" s="15" t="str">
        <f t="shared" si="705"/>
        <v>Ms</v>
      </c>
      <c r="C2059" s="15" t="str">
        <f t="shared" ref="C2059:C2122" si="726">VLOOKUP($A2059,Cust,3,0)</f>
        <v>Lamshed</v>
      </c>
      <c r="D2059" s="15" t="str">
        <f t="shared" si="706"/>
        <v>Laura Clare</v>
      </c>
      <c r="E2059" s="15" t="str">
        <f t="shared" si="707"/>
        <v>22 Edser Drive</v>
      </c>
      <c r="F2059" s="15" t="str">
        <f t="shared" si="708"/>
        <v>Caliph</v>
      </c>
      <c r="G2059" s="15" t="str">
        <f t="shared" si="709"/>
        <v>SA</v>
      </c>
      <c r="H2059" s="15">
        <f t="shared" si="710"/>
        <v>5310</v>
      </c>
      <c r="I2059" s="15">
        <f t="shared" si="721"/>
        <v>1720</v>
      </c>
      <c r="J2059" s="15">
        <f>OrdersTable!B2059</f>
        <v>699</v>
      </c>
      <c r="K2059" s="15" t="str">
        <f t="shared" si="711"/>
        <v>Posters, Prints and Standees</v>
      </c>
      <c r="L2059" s="15" t="str">
        <f t="shared" si="712"/>
        <v>Doctor Who: Half Sized Standee: The Master</v>
      </c>
      <c r="M2059" s="15" t="str">
        <f t="shared" si="713"/>
        <v>-</v>
      </c>
      <c r="N2059" s="15">
        <f t="shared" si="714"/>
        <v>0.5</v>
      </c>
      <c r="O2059" s="15" t="str">
        <f t="shared" si="715"/>
        <v>A20</v>
      </c>
      <c r="P2059" s="15" t="str">
        <f t="shared" si="716"/>
        <v>Morbius Inc.</v>
      </c>
      <c r="Q2059" s="15" t="str">
        <f t="shared" si="717"/>
        <v>56 Michael Spice Hwy</v>
      </c>
      <c r="R2059" s="3">
        <f>OrdersTable!C2059</f>
        <v>44709</v>
      </c>
      <c r="S2059" s="15">
        <f>OrdersTable!E2059</f>
        <v>2</v>
      </c>
      <c r="T2059" s="15">
        <f t="shared" si="718"/>
        <v>9.99</v>
      </c>
      <c r="U2059" s="15">
        <f t="shared" si="719"/>
        <v>13.79</v>
      </c>
      <c r="V2059" s="15">
        <f t="shared" si="720"/>
        <v>16.18</v>
      </c>
      <c r="W2059" s="15">
        <f>IF(MarkupType="Store Markup",ROUND(V2059+V2059*StoreMarkup,2),IF(MarkupType="Supplier Markup",V2059+V2059*SupplierMarkup,"Error at finding value"))</f>
        <v>25.48</v>
      </c>
      <c r="X2059" s="32" t="str">
        <f t="shared" si="722"/>
        <v>0.00</v>
      </c>
      <c r="Y2059" s="15">
        <f t="shared" si="723"/>
        <v>32.36</v>
      </c>
      <c r="Z2059" s="15">
        <f t="shared" si="724"/>
        <v>50.96</v>
      </c>
      <c r="AA2059" s="15">
        <f>IF(FreightType="Lethbridge-Stewart Freight ",ROUND(2.99+IF(N2059&gt;0.75,(N2059-0.75)*2.25,0)*S2059,2),IF(MarkupType="Supplier Markup",V2059+V2059*SupplierMarkup,"Error at finding value"))</f>
        <v>2.99</v>
      </c>
      <c r="AB2059" s="15">
        <f t="shared" si="725"/>
        <v>0</v>
      </c>
    </row>
    <row r="2060" spans="1:28" x14ac:dyDescent="0.25">
      <c r="A2060" s="16">
        <f>OrdersTable!A2060</f>
        <v>416</v>
      </c>
      <c r="B2060" s="15" t="str">
        <f t="shared" si="705"/>
        <v>Mr</v>
      </c>
      <c r="C2060" s="15" t="str">
        <f t="shared" si="726"/>
        <v>Mohammed</v>
      </c>
      <c r="D2060" s="15" t="str">
        <f t="shared" si="706"/>
        <v>Ahmed</v>
      </c>
      <c r="E2060" s="15" t="str">
        <f t="shared" si="707"/>
        <v>35 Ridley Avenue</v>
      </c>
      <c r="F2060" s="15" t="str">
        <f t="shared" si="708"/>
        <v>Iluka</v>
      </c>
      <c r="G2060" s="15" t="str">
        <f t="shared" si="709"/>
        <v>NSW</v>
      </c>
      <c r="H2060" s="15">
        <f t="shared" si="710"/>
        <v>2466</v>
      </c>
      <c r="I2060" s="15">
        <f t="shared" si="721"/>
        <v>347</v>
      </c>
      <c r="J2060" s="15">
        <f>OrdersTable!B2060</f>
        <v>377</v>
      </c>
      <c r="K2060" s="15" t="str">
        <f t="shared" si="711"/>
        <v>Clothing and Apparel</v>
      </c>
      <c r="L2060" s="15" t="str">
        <f t="shared" si="712"/>
        <v xml:space="preserve">Doctor Who: T-Shirts: 7th Doctor Costume </v>
      </c>
      <c r="M2060" s="15" t="str">
        <f t="shared" si="713"/>
        <v>M</v>
      </c>
      <c r="N2060" s="15">
        <f t="shared" si="714"/>
        <v>0.8</v>
      </c>
      <c r="O2060" s="15" t="str">
        <f t="shared" si="715"/>
        <v>A40</v>
      </c>
      <c r="P2060" s="15" t="str">
        <f t="shared" si="716"/>
        <v>Romana Imports</v>
      </c>
      <c r="Q2060" s="15" t="str">
        <f t="shared" si="717"/>
        <v>17 Lalla Ward Road</v>
      </c>
      <c r="R2060" s="3">
        <f>OrdersTable!C2060</f>
        <v>44709</v>
      </c>
      <c r="S2060" s="15">
        <f>OrdersTable!E2060</f>
        <v>3</v>
      </c>
      <c r="T2060" s="15">
        <f t="shared" si="718"/>
        <v>15.99</v>
      </c>
      <c r="U2060" s="15">
        <f t="shared" si="719"/>
        <v>21.95</v>
      </c>
      <c r="V2060" s="15">
        <f t="shared" si="720"/>
        <v>25.9</v>
      </c>
      <c r="W2060" s="15">
        <f>IF(MarkupType="Store Markup",ROUND(V2060+V2060*StoreMarkup,2),IF(MarkupType="Supplier Markup",V2060+V2060*SupplierMarkup,"Error at finding value"))</f>
        <v>40.79</v>
      </c>
      <c r="X2060" s="32" t="str">
        <f t="shared" si="722"/>
        <v>0.00</v>
      </c>
      <c r="Y2060" s="15">
        <f t="shared" si="723"/>
        <v>77.7</v>
      </c>
      <c r="Z2060" s="15">
        <f t="shared" si="724"/>
        <v>122.37</v>
      </c>
      <c r="AA2060" s="15">
        <f>IF(FreightType="Lethbridge-Stewart Freight ",ROUND(2.99+IF(N2060&gt;0.75,(N2060-0.75)*2.25,0)*S2060,2),IF(MarkupType="Supplier Markup",V2060+V2060*SupplierMarkup,"Error at finding value"))</f>
        <v>3.33</v>
      </c>
      <c r="AB2060" s="15">
        <f t="shared" si="725"/>
        <v>0</v>
      </c>
    </row>
    <row r="2061" spans="1:28" x14ac:dyDescent="0.25">
      <c r="A2061" s="16">
        <f>OrdersTable!A2061</f>
        <v>491</v>
      </c>
      <c r="B2061" s="15" t="str">
        <f t="shared" si="705"/>
        <v>Miss</v>
      </c>
      <c r="C2061" s="15" t="str">
        <f t="shared" si="726"/>
        <v>Winks</v>
      </c>
      <c r="D2061" s="15" t="str">
        <f t="shared" si="706"/>
        <v>Lori-Ann</v>
      </c>
      <c r="E2061" s="15" t="str">
        <f t="shared" si="707"/>
        <v>40 Lyne Street</v>
      </c>
      <c r="F2061" s="15" t="str">
        <f t="shared" si="708"/>
        <v>Bray Park</v>
      </c>
      <c r="G2061" s="15" t="str">
        <f t="shared" si="709"/>
        <v>QLD</v>
      </c>
      <c r="H2061" s="15">
        <f t="shared" si="710"/>
        <v>4500</v>
      </c>
      <c r="I2061" s="15">
        <f t="shared" si="721"/>
        <v>139</v>
      </c>
      <c r="J2061" s="15">
        <f>OrdersTable!B2061</f>
        <v>724</v>
      </c>
      <c r="K2061" s="15" t="str">
        <f t="shared" si="711"/>
        <v>Posters, Prints and Standees</v>
      </c>
      <c r="L2061" s="15" t="str">
        <f t="shared" si="712"/>
        <v>Doctor Who: Standee: The 10th Doctor</v>
      </c>
      <c r="M2061" s="15" t="str">
        <f t="shared" si="713"/>
        <v>-</v>
      </c>
      <c r="N2061" s="15">
        <f t="shared" si="714"/>
        <v>1.125</v>
      </c>
      <c r="O2061" s="15" t="str">
        <f t="shared" si="715"/>
        <v>A50</v>
      </c>
      <c r="P2061" s="15" t="str">
        <f t="shared" si="716"/>
        <v>Rassilon Ltd.</v>
      </c>
      <c r="Q2061" s="15" t="str">
        <f t="shared" si="717"/>
        <v>82 Richard Mathews Road</v>
      </c>
      <c r="R2061" s="3">
        <f>OrdersTable!C2061</f>
        <v>44709</v>
      </c>
      <c r="S2061" s="15">
        <f>OrdersTable!E2061</f>
        <v>1</v>
      </c>
      <c r="T2061" s="15">
        <f t="shared" si="718"/>
        <v>22.49</v>
      </c>
      <c r="U2061" s="15">
        <f t="shared" si="719"/>
        <v>30.77</v>
      </c>
      <c r="V2061" s="15">
        <f t="shared" si="720"/>
        <v>36.43</v>
      </c>
      <c r="W2061" s="15">
        <f>IF(MarkupType="Store Markup",ROUND(V2061+V2061*StoreMarkup,2),IF(MarkupType="Supplier Markup",V2061+V2061*SupplierMarkup,"Error at finding value"))</f>
        <v>57.38</v>
      </c>
      <c r="X2061" s="32" t="str">
        <f t="shared" si="722"/>
        <v>0.00</v>
      </c>
      <c r="Y2061" s="15">
        <f t="shared" si="723"/>
        <v>36.43</v>
      </c>
      <c r="Z2061" s="15">
        <f t="shared" si="724"/>
        <v>57.38</v>
      </c>
      <c r="AA2061" s="15">
        <f>IF(FreightType="Lethbridge-Stewart Freight ",ROUND(2.99+IF(N2061&gt;0.75,(N2061-0.75)*2.25,0)*S2061,2),IF(MarkupType="Supplier Markup",V2061+V2061*SupplierMarkup,"Error at finding value"))</f>
        <v>3.83</v>
      </c>
      <c r="AB2061" s="15">
        <f t="shared" si="725"/>
        <v>0</v>
      </c>
    </row>
    <row r="2062" spans="1:28" x14ac:dyDescent="0.25">
      <c r="A2062" s="16">
        <f>OrdersTable!A2062</f>
        <v>500</v>
      </c>
      <c r="B2062" s="15" t="str">
        <f t="shared" si="705"/>
        <v>Ms</v>
      </c>
      <c r="C2062" s="15" t="str">
        <f t="shared" si="726"/>
        <v>Helmers</v>
      </c>
      <c r="D2062" s="15" t="str">
        <f t="shared" si="706"/>
        <v>Kristy-Lee</v>
      </c>
      <c r="E2062" s="15" t="str">
        <f t="shared" si="707"/>
        <v>43 Welthagen Court</v>
      </c>
      <c r="F2062" s="15" t="str">
        <f t="shared" si="708"/>
        <v>Areegra</v>
      </c>
      <c r="G2062" s="15" t="str">
        <f t="shared" si="709"/>
        <v>VIC</v>
      </c>
      <c r="H2062" s="15">
        <f t="shared" si="710"/>
        <v>3480</v>
      </c>
      <c r="I2062" s="15">
        <f t="shared" si="721"/>
        <v>1559</v>
      </c>
      <c r="J2062" s="15">
        <f>OrdersTable!B2062</f>
        <v>787</v>
      </c>
      <c r="K2062" s="15" t="str">
        <f t="shared" si="711"/>
        <v>Statues and Busts</v>
      </c>
      <c r="L2062" s="15" t="str">
        <f t="shared" si="712"/>
        <v>Doctor Who: Masterpiece Collection Maxi Bust: 1st Doctor</v>
      </c>
      <c r="M2062" s="15" t="str">
        <f t="shared" si="713"/>
        <v>-</v>
      </c>
      <c r="N2062" s="15">
        <f t="shared" si="714"/>
        <v>2.5</v>
      </c>
      <c r="O2062" s="15" t="str">
        <f t="shared" si="715"/>
        <v>A10</v>
      </c>
      <c r="P2062" s="15" t="str">
        <f t="shared" si="716"/>
        <v>Gallifrey International</v>
      </c>
      <c r="Q2062" s="15" t="str">
        <f t="shared" si="717"/>
        <v>181 Arcadia Street</v>
      </c>
      <c r="R2062" s="3">
        <f>OrdersTable!C2062</f>
        <v>44709</v>
      </c>
      <c r="S2062" s="15">
        <f>OrdersTable!E2062</f>
        <v>9</v>
      </c>
      <c r="T2062" s="15">
        <f t="shared" si="718"/>
        <v>49.99</v>
      </c>
      <c r="U2062" s="15">
        <f t="shared" si="719"/>
        <v>68.290000000000006</v>
      </c>
      <c r="V2062" s="15">
        <f t="shared" si="720"/>
        <v>80.98</v>
      </c>
      <c r="W2062" s="15">
        <f>IF(MarkupType="Store Markup",ROUND(V2062+V2062*StoreMarkup,2),IF(MarkupType="Supplier Markup",V2062+V2062*SupplierMarkup,"Error at finding value"))</f>
        <v>127.54</v>
      </c>
      <c r="X2062" s="32">
        <f t="shared" si="722"/>
        <v>9.09</v>
      </c>
      <c r="Y2062" s="15">
        <f t="shared" si="723"/>
        <v>728.82</v>
      </c>
      <c r="Z2062" s="15">
        <f t="shared" si="724"/>
        <v>1066.05</v>
      </c>
      <c r="AA2062" s="15">
        <f>IF(FreightType="Lethbridge-Stewart Freight ",ROUND(2.99+IF(N2062&gt;0.75,(N2062-0.75)*2.25,0)*S2062,2),IF(MarkupType="Supplier Markup",V2062+V2062*SupplierMarkup,"Error at finding value"))</f>
        <v>38.43</v>
      </c>
      <c r="AB2062" s="15">
        <f t="shared" si="725"/>
        <v>81.81</v>
      </c>
    </row>
    <row r="2063" spans="1:28" x14ac:dyDescent="0.25">
      <c r="A2063" s="16">
        <f>OrdersTable!A2063</f>
        <v>500</v>
      </c>
      <c r="B2063" s="15" t="str">
        <f t="shared" si="705"/>
        <v>Ms</v>
      </c>
      <c r="C2063" s="15" t="str">
        <f t="shared" si="726"/>
        <v>Helmers</v>
      </c>
      <c r="D2063" s="15" t="str">
        <f t="shared" si="706"/>
        <v>Kristy-Lee</v>
      </c>
      <c r="E2063" s="15" t="str">
        <f t="shared" si="707"/>
        <v>43 Welthagen Court</v>
      </c>
      <c r="F2063" s="15" t="str">
        <f t="shared" si="708"/>
        <v>Areegra</v>
      </c>
      <c r="G2063" s="15" t="str">
        <f t="shared" si="709"/>
        <v>VIC</v>
      </c>
      <c r="H2063" s="15">
        <f t="shared" si="710"/>
        <v>3480</v>
      </c>
      <c r="I2063" s="15">
        <f t="shared" si="721"/>
        <v>1559</v>
      </c>
      <c r="J2063" s="15">
        <f>OrdersTable!B2063</f>
        <v>849</v>
      </c>
      <c r="K2063" s="15" t="str">
        <f t="shared" si="711"/>
        <v>Statues and Busts</v>
      </c>
      <c r="L2063" s="15" t="str">
        <f t="shared" si="712"/>
        <v>Doctor Who: Statue: Cyber Controller</v>
      </c>
      <c r="M2063" s="15" t="str">
        <f t="shared" si="713"/>
        <v>-</v>
      </c>
      <c r="N2063" s="15">
        <f t="shared" si="714"/>
        <v>5</v>
      </c>
      <c r="O2063" s="15" t="str">
        <f t="shared" si="715"/>
        <v>A10</v>
      </c>
      <c r="P2063" s="15" t="str">
        <f t="shared" si="716"/>
        <v>Gallifrey International</v>
      </c>
      <c r="Q2063" s="15" t="str">
        <f t="shared" si="717"/>
        <v>181 Arcadia Street</v>
      </c>
      <c r="R2063" s="3">
        <f>OrdersTable!C2063</f>
        <v>44709</v>
      </c>
      <c r="S2063" s="15">
        <f>OrdersTable!E2063</f>
        <v>3</v>
      </c>
      <c r="T2063" s="15">
        <f t="shared" si="718"/>
        <v>99.99</v>
      </c>
      <c r="U2063" s="15">
        <f t="shared" si="719"/>
        <v>136.41</v>
      </c>
      <c r="V2063" s="15">
        <f t="shared" si="720"/>
        <v>161.97999999999999</v>
      </c>
      <c r="W2063" s="15">
        <f>IF(MarkupType="Store Markup",ROUND(V2063+V2063*StoreMarkup,2),IF(MarkupType="Supplier Markup",V2063+V2063*SupplierMarkup,"Error at finding value"))</f>
        <v>255.12</v>
      </c>
      <c r="X2063" s="32">
        <f t="shared" si="722"/>
        <v>18.18</v>
      </c>
      <c r="Y2063" s="15">
        <f t="shared" si="723"/>
        <v>485.94</v>
      </c>
      <c r="Z2063" s="15">
        <f t="shared" si="724"/>
        <v>710.82</v>
      </c>
      <c r="AA2063" s="15">
        <f>IF(FreightType="Lethbridge-Stewart Freight ",ROUND(2.99+IF(N2063&gt;0.75,(N2063-0.75)*2.25,0)*S2063,2),IF(MarkupType="Supplier Markup",V2063+V2063*SupplierMarkup,"Error at finding value"))</f>
        <v>31.68</v>
      </c>
      <c r="AB2063" s="15">
        <f t="shared" si="725"/>
        <v>54.54</v>
      </c>
    </row>
    <row r="2064" spans="1:28" x14ac:dyDescent="0.25">
      <c r="A2064" s="16">
        <f>OrdersTable!A2064</f>
        <v>501</v>
      </c>
      <c r="B2064" s="15" t="str">
        <f t="shared" si="705"/>
        <v>Miss</v>
      </c>
      <c r="C2064" s="15" t="str">
        <f t="shared" si="726"/>
        <v>Tharenou</v>
      </c>
      <c r="D2064" s="15" t="str">
        <f t="shared" si="706"/>
        <v>Kimberley Jacinta</v>
      </c>
      <c r="E2064" s="15" t="str">
        <f t="shared" si="707"/>
        <v>49 Moncada Circuit</v>
      </c>
      <c r="F2064" s="15" t="str">
        <f t="shared" si="708"/>
        <v>Belford</v>
      </c>
      <c r="G2064" s="15" t="str">
        <f t="shared" si="709"/>
        <v>NSW</v>
      </c>
      <c r="H2064" s="15">
        <f t="shared" si="710"/>
        <v>2335</v>
      </c>
      <c r="I2064" s="15">
        <f t="shared" si="721"/>
        <v>716</v>
      </c>
      <c r="J2064" s="15">
        <f>OrdersTable!B2064</f>
        <v>676</v>
      </c>
      <c r="K2064" s="15" t="str">
        <f t="shared" si="711"/>
        <v>Mugs</v>
      </c>
      <c r="L2064" s="15" t="str">
        <f t="shared" si="712"/>
        <v>Doctor Who: Mug: The Eleventh Doctor</v>
      </c>
      <c r="M2064" s="15" t="str">
        <f t="shared" si="713"/>
        <v>-</v>
      </c>
      <c r="N2064" s="15">
        <f t="shared" si="714"/>
        <v>0.45</v>
      </c>
      <c r="O2064" s="15" t="str">
        <f t="shared" si="715"/>
        <v>A20</v>
      </c>
      <c r="P2064" s="15" t="str">
        <f t="shared" si="716"/>
        <v>Morbius Inc.</v>
      </c>
      <c r="Q2064" s="15" t="str">
        <f t="shared" si="717"/>
        <v>56 Michael Spice Hwy</v>
      </c>
      <c r="R2064" s="3">
        <f>OrdersTable!C2064</f>
        <v>44709</v>
      </c>
      <c r="S2064" s="15">
        <f>OrdersTable!E2064</f>
        <v>10</v>
      </c>
      <c r="T2064" s="15">
        <f t="shared" si="718"/>
        <v>8.99</v>
      </c>
      <c r="U2064" s="15">
        <f t="shared" si="719"/>
        <v>12.55</v>
      </c>
      <c r="V2064" s="15">
        <f t="shared" si="720"/>
        <v>14.56</v>
      </c>
      <c r="W2064" s="15">
        <f>IF(MarkupType="Store Markup",ROUND(V2064+V2064*StoreMarkup,2),IF(MarkupType="Supplier Markup",V2064+V2064*SupplierMarkup,"Error at finding value"))</f>
        <v>22.93</v>
      </c>
      <c r="X2064" s="32" t="str">
        <f t="shared" si="722"/>
        <v>0.00</v>
      </c>
      <c r="Y2064" s="15">
        <f t="shared" si="723"/>
        <v>145.6</v>
      </c>
      <c r="Z2064" s="15">
        <f t="shared" si="724"/>
        <v>229.3</v>
      </c>
      <c r="AA2064" s="15">
        <f>IF(FreightType="Lethbridge-Stewart Freight ",ROUND(2.99+IF(N2064&gt;0.75,(N2064-0.75)*2.25,0)*S2064,2),IF(MarkupType="Supplier Markup",V2064+V2064*SupplierMarkup,"Error at finding value"))</f>
        <v>2.99</v>
      </c>
      <c r="AB2064" s="15">
        <f t="shared" si="725"/>
        <v>0</v>
      </c>
    </row>
    <row r="2065" spans="1:28" x14ac:dyDescent="0.25">
      <c r="A2065" s="16">
        <f>OrdersTable!A2065</f>
        <v>527</v>
      </c>
      <c r="B2065" s="15" t="str">
        <f t="shared" si="705"/>
        <v>Mr</v>
      </c>
      <c r="C2065" s="15" t="str">
        <f t="shared" si="726"/>
        <v>McTaggart</v>
      </c>
      <c r="D2065" s="15" t="str">
        <f t="shared" si="706"/>
        <v>Daniel</v>
      </c>
      <c r="E2065" s="15" t="str">
        <f t="shared" si="707"/>
        <v>24 Mulholland Avenue</v>
      </c>
      <c r="F2065" s="15" t="str">
        <f t="shared" si="708"/>
        <v>Belconnen</v>
      </c>
      <c r="G2065" s="15" t="str">
        <f t="shared" si="709"/>
        <v>ACT</v>
      </c>
      <c r="H2065" s="15">
        <f t="shared" si="710"/>
        <v>2617</v>
      </c>
      <c r="I2065" s="15">
        <f t="shared" si="721"/>
        <v>1194</v>
      </c>
      <c r="J2065" s="15">
        <f>OrdersTable!B2065</f>
        <v>701</v>
      </c>
      <c r="K2065" s="15" t="str">
        <f t="shared" si="711"/>
        <v>Posters, Prints and Standees</v>
      </c>
      <c r="L2065" s="15" t="str">
        <f t="shared" si="712"/>
        <v>Doctor Who: Half Sized Standee: The TARDIS</v>
      </c>
      <c r="M2065" s="15" t="str">
        <f t="shared" si="713"/>
        <v>-</v>
      </c>
      <c r="N2065" s="15">
        <f t="shared" si="714"/>
        <v>0.5</v>
      </c>
      <c r="O2065" s="15" t="str">
        <f t="shared" si="715"/>
        <v>A40</v>
      </c>
      <c r="P2065" s="15" t="str">
        <f t="shared" si="716"/>
        <v>Romana Imports</v>
      </c>
      <c r="Q2065" s="15" t="str">
        <f t="shared" si="717"/>
        <v>17 Lalla Ward Road</v>
      </c>
      <c r="R2065" s="3">
        <f>OrdersTable!C2065</f>
        <v>44709</v>
      </c>
      <c r="S2065" s="15">
        <f>OrdersTable!E2065</f>
        <v>6</v>
      </c>
      <c r="T2065" s="15">
        <f t="shared" si="718"/>
        <v>9.99</v>
      </c>
      <c r="U2065" s="15">
        <f t="shared" si="719"/>
        <v>13.83</v>
      </c>
      <c r="V2065" s="15">
        <f t="shared" si="720"/>
        <v>16.18</v>
      </c>
      <c r="W2065" s="15">
        <f>IF(MarkupType="Store Markup",ROUND(V2065+V2065*StoreMarkup,2),IF(MarkupType="Supplier Markup",V2065+V2065*SupplierMarkup,"Error at finding value"))</f>
        <v>25.48</v>
      </c>
      <c r="X2065" s="32" t="str">
        <f t="shared" si="722"/>
        <v>0.00</v>
      </c>
      <c r="Y2065" s="15">
        <f t="shared" si="723"/>
        <v>97.08</v>
      </c>
      <c r="Z2065" s="15">
        <f t="shared" si="724"/>
        <v>152.88</v>
      </c>
      <c r="AA2065" s="15">
        <f>IF(FreightType="Lethbridge-Stewart Freight ",ROUND(2.99+IF(N2065&gt;0.75,(N2065-0.75)*2.25,0)*S2065,2),IF(MarkupType="Supplier Markup",V2065+V2065*SupplierMarkup,"Error at finding value"))</f>
        <v>2.99</v>
      </c>
      <c r="AB2065" s="15">
        <f t="shared" si="725"/>
        <v>0</v>
      </c>
    </row>
    <row r="2066" spans="1:28" x14ac:dyDescent="0.25">
      <c r="A2066" s="16">
        <f>OrdersTable!A2066</f>
        <v>823</v>
      </c>
      <c r="B2066" s="15" t="str">
        <f t="shared" si="705"/>
        <v>Mrs</v>
      </c>
      <c r="C2066" s="15" t="str">
        <f t="shared" si="726"/>
        <v>Riordan</v>
      </c>
      <c r="D2066" s="15" t="str">
        <f t="shared" si="706"/>
        <v>Brianna Leigh</v>
      </c>
      <c r="E2066" s="15" t="str">
        <f t="shared" si="707"/>
        <v>7 Boyd Crescent</v>
      </c>
      <c r="F2066" s="15" t="str">
        <f t="shared" si="708"/>
        <v>Bamboo</v>
      </c>
      <c r="G2066" s="15" t="str">
        <f t="shared" si="709"/>
        <v>QLD</v>
      </c>
      <c r="H2066" s="15">
        <f t="shared" si="710"/>
        <v>4873</v>
      </c>
      <c r="I2066" s="15">
        <f t="shared" si="721"/>
        <v>1741</v>
      </c>
      <c r="J2066" s="15">
        <f>OrdersTable!B2066</f>
        <v>834</v>
      </c>
      <c r="K2066" s="15" t="str">
        <f t="shared" si="711"/>
        <v>Statues and Busts</v>
      </c>
      <c r="L2066" s="15" t="str">
        <f t="shared" si="712"/>
        <v>Doctor Who: Signature Edition Statue: Gallifrey Edition: Matt Smith</v>
      </c>
      <c r="M2066" s="15" t="str">
        <f t="shared" si="713"/>
        <v>-</v>
      </c>
      <c r="N2066" s="15">
        <f t="shared" si="714"/>
        <v>2.5</v>
      </c>
      <c r="O2066" s="15" t="str">
        <f t="shared" si="715"/>
        <v>A30</v>
      </c>
      <c r="P2066" s="15" t="str">
        <f t="shared" si="716"/>
        <v>Chesterton Enterprises</v>
      </c>
      <c r="Q2066" s="15" t="str">
        <f t="shared" si="717"/>
        <v>41 William Russell Road</v>
      </c>
      <c r="R2066" s="3">
        <f>OrdersTable!C2066</f>
        <v>44709</v>
      </c>
      <c r="S2066" s="15">
        <f>OrdersTable!E2066</f>
        <v>6</v>
      </c>
      <c r="T2066" s="15">
        <f t="shared" si="718"/>
        <v>49.99</v>
      </c>
      <c r="U2066" s="15">
        <f t="shared" si="719"/>
        <v>68.52</v>
      </c>
      <c r="V2066" s="15">
        <f t="shared" si="720"/>
        <v>80.98</v>
      </c>
      <c r="W2066" s="15">
        <f>IF(MarkupType="Store Markup",ROUND(V2066+V2066*StoreMarkup,2),IF(MarkupType="Supplier Markup",V2066+V2066*SupplierMarkup,"Error at finding value"))</f>
        <v>127.54</v>
      </c>
      <c r="X2066" s="32">
        <f t="shared" si="722"/>
        <v>9.09</v>
      </c>
      <c r="Y2066" s="15">
        <f t="shared" si="723"/>
        <v>485.88</v>
      </c>
      <c r="Z2066" s="15">
        <f t="shared" si="724"/>
        <v>710.7</v>
      </c>
      <c r="AA2066" s="15">
        <f>IF(FreightType="Lethbridge-Stewart Freight ",ROUND(2.99+IF(N2066&gt;0.75,(N2066-0.75)*2.25,0)*S2066,2),IF(MarkupType="Supplier Markup",V2066+V2066*SupplierMarkup,"Error at finding value"))</f>
        <v>26.62</v>
      </c>
      <c r="AB2066" s="15">
        <f t="shared" si="725"/>
        <v>54.54</v>
      </c>
    </row>
    <row r="2067" spans="1:28" x14ac:dyDescent="0.25">
      <c r="A2067" s="16">
        <f>OrdersTable!A2067</f>
        <v>906</v>
      </c>
      <c r="B2067" s="15" t="str">
        <f t="shared" si="705"/>
        <v>Mrs</v>
      </c>
      <c r="C2067" s="15" t="str">
        <f t="shared" si="726"/>
        <v>Turner</v>
      </c>
      <c r="D2067" s="15" t="str">
        <f t="shared" si="706"/>
        <v>Courtney</v>
      </c>
      <c r="E2067" s="15" t="str">
        <f t="shared" si="707"/>
        <v>42 Fearon Avenue</v>
      </c>
      <c r="F2067" s="15" t="str">
        <f t="shared" si="708"/>
        <v>Breakwater</v>
      </c>
      <c r="G2067" s="15" t="str">
        <f t="shared" si="709"/>
        <v>VIC</v>
      </c>
      <c r="H2067" s="15">
        <f t="shared" si="710"/>
        <v>3219</v>
      </c>
      <c r="I2067" s="15">
        <f t="shared" si="721"/>
        <v>1596</v>
      </c>
      <c r="J2067" s="15">
        <f>OrdersTable!B2067</f>
        <v>259</v>
      </c>
      <c r="K2067" s="15" t="str">
        <f t="shared" si="711"/>
        <v>Clothing and Apparel</v>
      </c>
      <c r="L2067" s="15" t="str">
        <f t="shared" si="712"/>
        <v>Doctor Who: Men's Winter Pyjamas</v>
      </c>
      <c r="M2067" s="15" t="str">
        <f t="shared" si="713"/>
        <v>XL</v>
      </c>
      <c r="N2067" s="15">
        <f t="shared" si="714"/>
        <v>1.5</v>
      </c>
      <c r="O2067" s="15" t="str">
        <f t="shared" si="715"/>
        <v>A50</v>
      </c>
      <c r="P2067" s="15" t="str">
        <f t="shared" si="716"/>
        <v>Rassilon Ltd.</v>
      </c>
      <c r="Q2067" s="15" t="str">
        <f t="shared" si="717"/>
        <v>82 Richard Mathews Road</v>
      </c>
      <c r="R2067" s="3">
        <f>OrdersTable!C2067</f>
        <v>44709</v>
      </c>
      <c r="S2067" s="15">
        <f>OrdersTable!E2067</f>
        <v>3</v>
      </c>
      <c r="T2067" s="15">
        <f t="shared" si="718"/>
        <v>29.99</v>
      </c>
      <c r="U2067" s="15">
        <f t="shared" si="719"/>
        <v>41.15</v>
      </c>
      <c r="V2067" s="15">
        <f t="shared" si="720"/>
        <v>48.58</v>
      </c>
      <c r="W2067" s="15">
        <f>IF(MarkupType="Store Markup",ROUND(V2067+V2067*StoreMarkup,2),IF(MarkupType="Supplier Markup",V2067+V2067*SupplierMarkup,"Error at finding value"))</f>
        <v>76.510000000000005</v>
      </c>
      <c r="X2067" s="32" t="str">
        <f t="shared" si="722"/>
        <v>0.00</v>
      </c>
      <c r="Y2067" s="15">
        <f t="shared" si="723"/>
        <v>145.74</v>
      </c>
      <c r="Z2067" s="15">
        <f t="shared" si="724"/>
        <v>229.53</v>
      </c>
      <c r="AA2067" s="15">
        <f>IF(FreightType="Lethbridge-Stewart Freight ",ROUND(2.99+IF(N2067&gt;0.75,(N2067-0.75)*2.25,0)*S2067,2),IF(MarkupType="Supplier Markup",V2067+V2067*SupplierMarkup,"Error at finding value"))</f>
        <v>8.0500000000000007</v>
      </c>
      <c r="AB2067" s="15">
        <f t="shared" si="725"/>
        <v>0</v>
      </c>
    </row>
    <row r="2068" spans="1:28" x14ac:dyDescent="0.25">
      <c r="A2068" s="16">
        <f>OrdersTable!A2068</f>
        <v>961</v>
      </c>
      <c r="B2068" s="15" t="str">
        <f t="shared" si="705"/>
        <v>Ms</v>
      </c>
      <c r="C2068" s="15" t="str">
        <f t="shared" si="726"/>
        <v>Schuh</v>
      </c>
      <c r="D2068" s="15" t="str">
        <f t="shared" si="706"/>
        <v>Rebecca Anne</v>
      </c>
      <c r="E2068" s="15" t="str">
        <f t="shared" si="707"/>
        <v>48 Wilson Court</v>
      </c>
      <c r="F2068" s="15" t="str">
        <f t="shared" si="708"/>
        <v>Breakwater</v>
      </c>
      <c r="G2068" s="15" t="str">
        <f t="shared" si="709"/>
        <v>VIC</v>
      </c>
      <c r="H2068" s="15">
        <f t="shared" si="710"/>
        <v>3219</v>
      </c>
      <c r="I2068" s="15">
        <f t="shared" si="721"/>
        <v>1596</v>
      </c>
      <c r="J2068" s="15">
        <f>OrdersTable!B2068</f>
        <v>862</v>
      </c>
      <c r="K2068" s="15" t="str">
        <f t="shared" si="711"/>
        <v>Statues and Busts</v>
      </c>
      <c r="L2068" s="15" t="str">
        <f t="shared" si="712"/>
        <v>Doctor Who: TITANS: The 10th Doctor</v>
      </c>
      <c r="M2068" s="15" t="str">
        <f t="shared" si="713"/>
        <v>-</v>
      </c>
      <c r="N2068" s="15">
        <f t="shared" si="714"/>
        <v>0.4</v>
      </c>
      <c r="O2068" s="15" t="str">
        <f t="shared" si="715"/>
        <v>A40</v>
      </c>
      <c r="P2068" s="15" t="str">
        <f t="shared" si="716"/>
        <v>Romana Imports</v>
      </c>
      <c r="Q2068" s="15" t="str">
        <f t="shared" si="717"/>
        <v>17 Lalla Ward Road</v>
      </c>
      <c r="R2068" s="3">
        <f>OrdersTable!C2068</f>
        <v>44709</v>
      </c>
      <c r="S2068" s="15">
        <f>OrdersTable!E2068</f>
        <v>7</v>
      </c>
      <c r="T2068" s="15">
        <f t="shared" si="718"/>
        <v>7.99</v>
      </c>
      <c r="U2068" s="15">
        <f t="shared" si="719"/>
        <v>11.01</v>
      </c>
      <c r="V2068" s="15">
        <f t="shared" si="720"/>
        <v>12.94</v>
      </c>
      <c r="W2068" s="15">
        <f>IF(MarkupType="Store Markup",ROUND(V2068+V2068*StoreMarkup,2),IF(MarkupType="Supplier Markup",V2068+V2068*SupplierMarkup,"Error at finding value"))</f>
        <v>20.38</v>
      </c>
      <c r="X2068" s="32" t="str">
        <f t="shared" si="722"/>
        <v>0.00</v>
      </c>
      <c r="Y2068" s="15">
        <f t="shared" si="723"/>
        <v>90.58</v>
      </c>
      <c r="Z2068" s="15">
        <f t="shared" si="724"/>
        <v>142.66</v>
      </c>
      <c r="AA2068" s="15">
        <f>IF(FreightType="Lethbridge-Stewart Freight ",ROUND(2.99+IF(N2068&gt;0.75,(N2068-0.75)*2.25,0)*S2068,2),IF(MarkupType="Supplier Markup",V2068+V2068*SupplierMarkup,"Error at finding value"))</f>
        <v>2.99</v>
      </c>
      <c r="AB2068" s="15">
        <f t="shared" si="725"/>
        <v>0</v>
      </c>
    </row>
    <row r="2069" spans="1:28" x14ac:dyDescent="0.25">
      <c r="A2069" s="16">
        <f>OrdersTable!A2069</f>
        <v>972</v>
      </c>
      <c r="B2069" s="15" t="str">
        <f t="shared" si="705"/>
        <v>Miss</v>
      </c>
      <c r="C2069" s="15" t="str">
        <f t="shared" si="726"/>
        <v>Walsh</v>
      </c>
      <c r="D2069" s="15" t="str">
        <f t="shared" si="706"/>
        <v>Alana Jane</v>
      </c>
      <c r="E2069" s="15" t="str">
        <f t="shared" si="707"/>
        <v>40 Betts Crescent</v>
      </c>
      <c r="F2069" s="15" t="str">
        <f t="shared" si="708"/>
        <v>Alleena</v>
      </c>
      <c r="G2069" s="15" t="str">
        <f t="shared" si="709"/>
        <v>NSW</v>
      </c>
      <c r="H2069" s="15">
        <f t="shared" si="710"/>
        <v>2671</v>
      </c>
      <c r="I2069" s="15">
        <f t="shared" si="721"/>
        <v>988</v>
      </c>
      <c r="J2069" s="15">
        <f>OrdersTable!B2069</f>
        <v>707</v>
      </c>
      <c r="K2069" s="15" t="str">
        <f t="shared" si="711"/>
        <v>Posters, Prints and Standees</v>
      </c>
      <c r="L2069" s="15" t="str">
        <f t="shared" si="712"/>
        <v>Doctor Who: Poster: Ironside Dalek Blueprint</v>
      </c>
      <c r="M2069" s="15" t="str">
        <f t="shared" si="713"/>
        <v>-</v>
      </c>
      <c r="N2069" s="15">
        <f t="shared" si="714"/>
        <v>0.2</v>
      </c>
      <c r="O2069" s="15" t="str">
        <f t="shared" si="715"/>
        <v>A20</v>
      </c>
      <c r="P2069" s="15" t="str">
        <f t="shared" si="716"/>
        <v>Morbius Inc.</v>
      </c>
      <c r="Q2069" s="15" t="str">
        <f t="shared" si="717"/>
        <v>56 Michael Spice Hwy</v>
      </c>
      <c r="R2069" s="3">
        <f>OrdersTable!C2069</f>
        <v>44709</v>
      </c>
      <c r="S2069" s="15">
        <f>OrdersTable!E2069</f>
        <v>7</v>
      </c>
      <c r="T2069" s="15">
        <f t="shared" si="718"/>
        <v>3.99</v>
      </c>
      <c r="U2069" s="15">
        <f t="shared" si="719"/>
        <v>5.48</v>
      </c>
      <c r="V2069" s="15">
        <f t="shared" si="720"/>
        <v>6.46</v>
      </c>
      <c r="W2069" s="15">
        <f>IF(MarkupType="Store Markup",ROUND(V2069+V2069*StoreMarkup,2),IF(MarkupType="Supplier Markup",V2069+V2069*SupplierMarkup,"Error at finding value"))</f>
        <v>10.17</v>
      </c>
      <c r="X2069" s="32" t="str">
        <f t="shared" si="722"/>
        <v>0.00</v>
      </c>
      <c r="Y2069" s="15">
        <f t="shared" si="723"/>
        <v>45.22</v>
      </c>
      <c r="Z2069" s="15">
        <f t="shared" si="724"/>
        <v>71.19</v>
      </c>
      <c r="AA2069" s="15">
        <f>IF(FreightType="Lethbridge-Stewart Freight ",ROUND(2.99+IF(N2069&gt;0.75,(N2069-0.75)*2.25,0)*S2069,2),IF(MarkupType="Supplier Markup",V2069+V2069*SupplierMarkup,"Error at finding value"))</f>
        <v>2.99</v>
      </c>
      <c r="AB2069" s="15">
        <f t="shared" si="725"/>
        <v>0</v>
      </c>
    </row>
    <row r="2070" spans="1:28" x14ac:dyDescent="0.25">
      <c r="A2070" s="16">
        <f>OrdersTable!A2070</f>
        <v>47</v>
      </c>
      <c r="B2070" s="15" t="str">
        <f t="shared" si="705"/>
        <v>Dr</v>
      </c>
      <c r="C2070" s="15" t="str">
        <f t="shared" si="726"/>
        <v>Kaur</v>
      </c>
      <c r="D2070" s="15" t="str">
        <f t="shared" si="706"/>
        <v>Jasleen</v>
      </c>
      <c r="E2070" s="15" t="str">
        <f t="shared" si="707"/>
        <v>7 Hong Road</v>
      </c>
      <c r="F2070" s="15" t="str">
        <f t="shared" si="708"/>
        <v>Belconnen</v>
      </c>
      <c r="G2070" s="15" t="str">
        <f t="shared" si="709"/>
        <v>ACT</v>
      </c>
      <c r="H2070" s="15">
        <f t="shared" si="710"/>
        <v>2617</v>
      </c>
      <c r="I2070" s="15">
        <f t="shared" si="721"/>
        <v>1194</v>
      </c>
      <c r="J2070" s="15">
        <f>OrdersTable!B2070</f>
        <v>725</v>
      </c>
      <c r="K2070" s="15" t="str">
        <f t="shared" si="711"/>
        <v>Props and Replicas</v>
      </c>
      <c r="L2070" s="15" t="str">
        <f t="shared" si="712"/>
        <v>Doctor Who: Captain Jack Sonic Blaster</v>
      </c>
      <c r="M2070" s="15" t="str">
        <f t="shared" si="713"/>
        <v>-</v>
      </c>
      <c r="N2070" s="15">
        <f t="shared" si="714"/>
        <v>14.8</v>
      </c>
      <c r="O2070" s="15" t="str">
        <f t="shared" si="715"/>
        <v>A30</v>
      </c>
      <c r="P2070" s="15" t="str">
        <f t="shared" si="716"/>
        <v>Chesterton Enterprises</v>
      </c>
      <c r="Q2070" s="15" t="str">
        <f t="shared" si="717"/>
        <v>41 William Russell Road</v>
      </c>
      <c r="R2070" s="3">
        <f>OrdersTable!C2070</f>
        <v>44710</v>
      </c>
      <c r="S2070" s="15">
        <f>OrdersTable!E2070</f>
        <v>7</v>
      </c>
      <c r="T2070" s="15">
        <f t="shared" si="718"/>
        <v>295.99</v>
      </c>
      <c r="U2070" s="15">
        <f t="shared" si="719"/>
        <v>403.88</v>
      </c>
      <c r="V2070" s="15">
        <f t="shared" si="720"/>
        <v>479.5</v>
      </c>
      <c r="W2070" s="15">
        <f>IF(MarkupType="Store Markup",ROUND(V2070+V2070*StoreMarkup,2),IF(MarkupType="Supplier Markup",V2070+V2070*SupplierMarkup,"Error at finding value"))</f>
        <v>755.21</v>
      </c>
      <c r="X2070" s="32">
        <f t="shared" si="722"/>
        <v>53.81</v>
      </c>
      <c r="Y2070" s="15">
        <f t="shared" si="723"/>
        <v>3356.5</v>
      </c>
      <c r="Z2070" s="15">
        <f t="shared" si="724"/>
        <v>4909.8</v>
      </c>
      <c r="AA2070" s="15">
        <f>IF(FreightType="Lethbridge-Stewart Freight ",ROUND(2.99+IF(N2070&gt;0.75,(N2070-0.75)*2.25,0)*S2070,2),IF(MarkupType="Supplier Markup",V2070+V2070*SupplierMarkup,"Error at finding value"))</f>
        <v>224.28</v>
      </c>
      <c r="AB2070" s="15">
        <f t="shared" si="725"/>
        <v>376.67</v>
      </c>
    </row>
    <row r="2071" spans="1:28" x14ac:dyDescent="0.25">
      <c r="A2071" s="16">
        <f>OrdersTable!A2071</f>
        <v>226</v>
      </c>
      <c r="B2071" s="15" t="str">
        <f t="shared" si="705"/>
        <v>Ms</v>
      </c>
      <c r="C2071" s="15" t="str">
        <f t="shared" si="726"/>
        <v>Stewart</v>
      </c>
      <c r="D2071" s="15" t="str">
        <f t="shared" si="706"/>
        <v>Jodi Louise</v>
      </c>
      <c r="E2071" s="15" t="str">
        <f t="shared" si="707"/>
        <v>33 Abington Court</v>
      </c>
      <c r="F2071" s="15" t="str">
        <f t="shared" si="708"/>
        <v>Iluka</v>
      </c>
      <c r="G2071" s="15" t="str">
        <f t="shared" si="709"/>
        <v>NSW</v>
      </c>
      <c r="H2071" s="15">
        <f t="shared" si="710"/>
        <v>2466</v>
      </c>
      <c r="I2071" s="15">
        <f t="shared" si="721"/>
        <v>347</v>
      </c>
      <c r="J2071" s="15">
        <f>OrdersTable!B2071</f>
        <v>358</v>
      </c>
      <c r="K2071" s="15" t="str">
        <f t="shared" si="711"/>
        <v>Clothing and Apparel</v>
      </c>
      <c r="L2071" s="15" t="str">
        <f t="shared" si="712"/>
        <v xml:space="preserve">Doctor Who: T-Shirts: 5th Doctor Costume </v>
      </c>
      <c r="M2071" s="15" t="str">
        <f t="shared" si="713"/>
        <v>M</v>
      </c>
      <c r="N2071" s="15">
        <f t="shared" si="714"/>
        <v>0.8</v>
      </c>
      <c r="O2071" s="15" t="str">
        <f t="shared" si="715"/>
        <v>A30</v>
      </c>
      <c r="P2071" s="15" t="str">
        <f t="shared" si="716"/>
        <v>Chesterton Enterprises</v>
      </c>
      <c r="Q2071" s="15" t="str">
        <f t="shared" si="717"/>
        <v>41 William Russell Road</v>
      </c>
      <c r="R2071" s="3">
        <f>OrdersTable!C2071</f>
        <v>44710</v>
      </c>
      <c r="S2071" s="15">
        <f>OrdersTable!E2071</f>
        <v>3</v>
      </c>
      <c r="T2071" s="15">
        <f t="shared" si="718"/>
        <v>15.99</v>
      </c>
      <c r="U2071" s="15">
        <f t="shared" si="719"/>
        <v>21.96</v>
      </c>
      <c r="V2071" s="15">
        <f t="shared" si="720"/>
        <v>25.9</v>
      </c>
      <c r="W2071" s="15">
        <f>IF(MarkupType="Store Markup",ROUND(V2071+V2071*StoreMarkup,2),IF(MarkupType="Supplier Markup",V2071+V2071*SupplierMarkup,"Error at finding value"))</f>
        <v>40.79</v>
      </c>
      <c r="X2071" s="32" t="str">
        <f t="shared" si="722"/>
        <v>0.00</v>
      </c>
      <c r="Y2071" s="15">
        <f t="shared" si="723"/>
        <v>77.7</v>
      </c>
      <c r="Z2071" s="15">
        <f t="shared" si="724"/>
        <v>122.37</v>
      </c>
      <c r="AA2071" s="15">
        <f>IF(FreightType="Lethbridge-Stewart Freight ",ROUND(2.99+IF(N2071&gt;0.75,(N2071-0.75)*2.25,0)*S2071,2),IF(MarkupType="Supplier Markup",V2071+V2071*SupplierMarkup,"Error at finding value"))</f>
        <v>3.33</v>
      </c>
      <c r="AB2071" s="15">
        <f t="shared" si="725"/>
        <v>0</v>
      </c>
    </row>
    <row r="2072" spans="1:28" x14ac:dyDescent="0.25">
      <c r="A2072" s="16">
        <f>OrdersTable!A2072</f>
        <v>226</v>
      </c>
      <c r="B2072" s="15" t="str">
        <f t="shared" si="705"/>
        <v>Ms</v>
      </c>
      <c r="C2072" s="15" t="str">
        <f t="shared" si="726"/>
        <v>Stewart</v>
      </c>
      <c r="D2072" s="15" t="str">
        <f t="shared" si="706"/>
        <v>Jodi Louise</v>
      </c>
      <c r="E2072" s="15" t="str">
        <f t="shared" si="707"/>
        <v>33 Abington Court</v>
      </c>
      <c r="F2072" s="15" t="str">
        <f t="shared" si="708"/>
        <v>Iluka</v>
      </c>
      <c r="G2072" s="15" t="str">
        <f t="shared" si="709"/>
        <v>NSW</v>
      </c>
      <c r="H2072" s="15">
        <f t="shared" si="710"/>
        <v>2466</v>
      </c>
      <c r="I2072" s="15">
        <f t="shared" si="721"/>
        <v>347</v>
      </c>
      <c r="J2072" s="15">
        <f>OrdersTable!B2072</f>
        <v>725</v>
      </c>
      <c r="K2072" s="15" t="str">
        <f t="shared" si="711"/>
        <v>Props and Replicas</v>
      </c>
      <c r="L2072" s="15" t="str">
        <f t="shared" si="712"/>
        <v>Doctor Who: Captain Jack Sonic Blaster</v>
      </c>
      <c r="M2072" s="15" t="str">
        <f t="shared" si="713"/>
        <v>-</v>
      </c>
      <c r="N2072" s="15">
        <f t="shared" si="714"/>
        <v>14.8</v>
      </c>
      <c r="O2072" s="15" t="str">
        <f t="shared" si="715"/>
        <v>A30</v>
      </c>
      <c r="P2072" s="15" t="str">
        <f t="shared" si="716"/>
        <v>Chesterton Enterprises</v>
      </c>
      <c r="Q2072" s="15" t="str">
        <f t="shared" si="717"/>
        <v>41 William Russell Road</v>
      </c>
      <c r="R2072" s="3">
        <f>OrdersTable!C2072</f>
        <v>44710</v>
      </c>
      <c r="S2072" s="15">
        <f>OrdersTable!E2072</f>
        <v>4</v>
      </c>
      <c r="T2072" s="15">
        <f t="shared" si="718"/>
        <v>295.99</v>
      </c>
      <c r="U2072" s="15">
        <f t="shared" si="719"/>
        <v>403.88</v>
      </c>
      <c r="V2072" s="15">
        <f t="shared" si="720"/>
        <v>479.5</v>
      </c>
      <c r="W2072" s="15">
        <f>IF(MarkupType="Store Markup",ROUND(V2072+V2072*StoreMarkup,2),IF(MarkupType="Supplier Markup",V2072+V2072*SupplierMarkup,"Error at finding value"))</f>
        <v>755.21</v>
      </c>
      <c r="X2072" s="32">
        <f t="shared" si="722"/>
        <v>53.81</v>
      </c>
      <c r="Y2072" s="15">
        <f t="shared" si="723"/>
        <v>1918</v>
      </c>
      <c r="Z2072" s="15">
        <f t="shared" si="724"/>
        <v>2805.6</v>
      </c>
      <c r="AA2072" s="15">
        <f>IF(FreightType="Lethbridge-Stewart Freight ",ROUND(2.99+IF(N2072&gt;0.75,(N2072-0.75)*2.25,0)*S2072,2),IF(MarkupType="Supplier Markup",V2072+V2072*SupplierMarkup,"Error at finding value"))</f>
        <v>129.44</v>
      </c>
      <c r="AB2072" s="15">
        <f t="shared" si="725"/>
        <v>215.24</v>
      </c>
    </row>
    <row r="2073" spans="1:28" x14ac:dyDescent="0.25">
      <c r="A2073" s="16">
        <f>OrdersTable!A2073</f>
        <v>226</v>
      </c>
      <c r="B2073" s="15" t="str">
        <f t="shared" si="705"/>
        <v>Ms</v>
      </c>
      <c r="C2073" s="15" t="str">
        <f t="shared" si="726"/>
        <v>Stewart</v>
      </c>
      <c r="D2073" s="15" t="str">
        <f t="shared" si="706"/>
        <v>Jodi Louise</v>
      </c>
      <c r="E2073" s="15" t="str">
        <f t="shared" si="707"/>
        <v>33 Abington Court</v>
      </c>
      <c r="F2073" s="15" t="str">
        <f t="shared" si="708"/>
        <v>Iluka</v>
      </c>
      <c r="G2073" s="15" t="str">
        <f t="shared" si="709"/>
        <v>NSW</v>
      </c>
      <c r="H2073" s="15">
        <f t="shared" si="710"/>
        <v>2466</v>
      </c>
      <c r="I2073" s="15">
        <f t="shared" si="721"/>
        <v>347</v>
      </c>
      <c r="J2073" s="15">
        <f>OrdersTable!B2073</f>
        <v>826</v>
      </c>
      <c r="K2073" s="15" t="str">
        <f t="shared" si="711"/>
        <v>Statues and Busts</v>
      </c>
      <c r="L2073" s="15" t="str">
        <f t="shared" si="712"/>
        <v>Doctor Who: Mini Bust: Cyberman</v>
      </c>
      <c r="M2073" s="15" t="str">
        <f t="shared" si="713"/>
        <v>-</v>
      </c>
      <c r="N2073" s="15">
        <f t="shared" si="714"/>
        <v>1.8</v>
      </c>
      <c r="O2073" s="15" t="str">
        <f t="shared" si="715"/>
        <v>A40</v>
      </c>
      <c r="P2073" s="15" t="str">
        <f t="shared" si="716"/>
        <v>Romana Imports</v>
      </c>
      <c r="Q2073" s="15" t="str">
        <f t="shared" si="717"/>
        <v>17 Lalla Ward Road</v>
      </c>
      <c r="R2073" s="3">
        <f>OrdersTable!C2073</f>
        <v>44710</v>
      </c>
      <c r="S2073" s="15">
        <f>OrdersTable!E2073</f>
        <v>6</v>
      </c>
      <c r="T2073" s="15">
        <f t="shared" si="718"/>
        <v>35.99</v>
      </c>
      <c r="U2073" s="15">
        <f t="shared" si="719"/>
        <v>49.13</v>
      </c>
      <c r="V2073" s="15">
        <f t="shared" si="720"/>
        <v>58.3</v>
      </c>
      <c r="W2073" s="15">
        <f>IF(MarkupType="Store Markup",ROUND(V2073+V2073*StoreMarkup,2),IF(MarkupType="Supplier Markup",V2073+V2073*SupplierMarkup,"Error at finding value"))</f>
        <v>91.82</v>
      </c>
      <c r="X2073" s="32" t="str">
        <f t="shared" si="722"/>
        <v>0.00</v>
      </c>
      <c r="Y2073" s="15">
        <f t="shared" si="723"/>
        <v>349.8</v>
      </c>
      <c r="Z2073" s="15">
        <f t="shared" si="724"/>
        <v>550.91999999999996</v>
      </c>
      <c r="AA2073" s="15">
        <f>IF(FreightType="Lethbridge-Stewart Freight ",ROUND(2.99+IF(N2073&gt;0.75,(N2073-0.75)*2.25,0)*S2073,2),IF(MarkupType="Supplier Markup",V2073+V2073*SupplierMarkup,"Error at finding value"))</f>
        <v>17.170000000000002</v>
      </c>
      <c r="AB2073" s="15">
        <f t="shared" si="725"/>
        <v>0</v>
      </c>
    </row>
    <row r="2074" spans="1:28" x14ac:dyDescent="0.25">
      <c r="A2074" s="16">
        <f>OrdersTable!A2074</f>
        <v>302</v>
      </c>
      <c r="B2074" s="15" t="str">
        <f t="shared" si="705"/>
        <v>Ms</v>
      </c>
      <c r="C2074" s="15" t="str">
        <f t="shared" si="726"/>
        <v>Lamshed</v>
      </c>
      <c r="D2074" s="15" t="str">
        <f t="shared" si="706"/>
        <v>Laura Clare</v>
      </c>
      <c r="E2074" s="15" t="str">
        <f t="shared" si="707"/>
        <v>22 Edser Drive</v>
      </c>
      <c r="F2074" s="15" t="str">
        <f t="shared" si="708"/>
        <v>Caliph</v>
      </c>
      <c r="G2074" s="15" t="str">
        <f t="shared" si="709"/>
        <v>SA</v>
      </c>
      <c r="H2074" s="15">
        <f t="shared" si="710"/>
        <v>5310</v>
      </c>
      <c r="I2074" s="15">
        <f t="shared" si="721"/>
        <v>1720</v>
      </c>
      <c r="J2074" s="15">
        <f>OrdersTable!B2074</f>
        <v>840</v>
      </c>
      <c r="K2074" s="15" t="str">
        <f t="shared" si="711"/>
        <v>Statues and Busts</v>
      </c>
      <c r="L2074" s="15" t="str">
        <f t="shared" si="712"/>
        <v>Doctor Who: Signature Edition Statue: Gallifrey Edition: Patrick Troughton</v>
      </c>
      <c r="M2074" s="15" t="str">
        <f t="shared" si="713"/>
        <v>-</v>
      </c>
      <c r="N2074" s="15">
        <f t="shared" si="714"/>
        <v>2.5</v>
      </c>
      <c r="O2074" s="15" t="str">
        <f t="shared" si="715"/>
        <v>A40</v>
      </c>
      <c r="P2074" s="15" t="str">
        <f t="shared" si="716"/>
        <v>Romana Imports</v>
      </c>
      <c r="Q2074" s="15" t="str">
        <f t="shared" si="717"/>
        <v>17 Lalla Ward Road</v>
      </c>
      <c r="R2074" s="3">
        <f>OrdersTable!C2074</f>
        <v>44710</v>
      </c>
      <c r="S2074" s="15">
        <f>OrdersTable!E2074</f>
        <v>7</v>
      </c>
      <c r="T2074" s="15">
        <f t="shared" si="718"/>
        <v>49.99</v>
      </c>
      <c r="U2074" s="15">
        <f t="shared" si="719"/>
        <v>68.510000000000005</v>
      </c>
      <c r="V2074" s="15">
        <f t="shared" si="720"/>
        <v>80.98</v>
      </c>
      <c r="W2074" s="15">
        <f>IF(MarkupType="Store Markup",ROUND(V2074+V2074*StoreMarkup,2),IF(MarkupType="Supplier Markup",V2074+V2074*SupplierMarkup,"Error at finding value"))</f>
        <v>127.54</v>
      </c>
      <c r="X2074" s="32">
        <f t="shared" si="722"/>
        <v>9.09</v>
      </c>
      <c r="Y2074" s="15">
        <f t="shared" si="723"/>
        <v>566.86</v>
      </c>
      <c r="Z2074" s="15">
        <f t="shared" si="724"/>
        <v>829.15</v>
      </c>
      <c r="AA2074" s="15">
        <f>IF(FreightType="Lethbridge-Stewart Freight ",ROUND(2.99+IF(N2074&gt;0.75,(N2074-0.75)*2.25,0)*S2074,2),IF(MarkupType="Supplier Markup",V2074+V2074*SupplierMarkup,"Error at finding value"))</f>
        <v>30.55</v>
      </c>
      <c r="AB2074" s="15">
        <f t="shared" si="725"/>
        <v>63.63</v>
      </c>
    </row>
    <row r="2075" spans="1:28" x14ac:dyDescent="0.25">
      <c r="A2075" s="16">
        <f>OrdersTable!A2075</f>
        <v>312</v>
      </c>
      <c r="B2075" s="15" t="str">
        <f t="shared" si="705"/>
        <v>Mr</v>
      </c>
      <c r="C2075" s="15" t="str">
        <f t="shared" si="726"/>
        <v>Lloyd</v>
      </c>
      <c r="D2075" s="15" t="str">
        <f t="shared" si="706"/>
        <v>Ben</v>
      </c>
      <c r="E2075" s="15" t="str">
        <f t="shared" si="707"/>
        <v>13 Stark Avenue</v>
      </c>
      <c r="F2075" s="15" t="str">
        <f t="shared" si="708"/>
        <v>Iluka</v>
      </c>
      <c r="G2075" s="15" t="str">
        <f t="shared" si="709"/>
        <v>NSW</v>
      </c>
      <c r="H2075" s="15">
        <f t="shared" si="710"/>
        <v>2466</v>
      </c>
      <c r="I2075" s="15">
        <f t="shared" si="721"/>
        <v>347</v>
      </c>
      <c r="J2075" s="15">
        <f>OrdersTable!B2075</f>
        <v>702</v>
      </c>
      <c r="K2075" s="15" t="str">
        <f t="shared" si="711"/>
        <v>Posters, Prints and Standees</v>
      </c>
      <c r="L2075" s="15" t="str">
        <f t="shared" si="712"/>
        <v>Doctor Who: Poster: Daleks</v>
      </c>
      <c r="M2075" s="15" t="str">
        <f t="shared" si="713"/>
        <v>-</v>
      </c>
      <c r="N2075" s="15">
        <f t="shared" si="714"/>
        <v>0.2</v>
      </c>
      <c r="O2075" s="15" t="str">
        <f t="shared" si="715"/>
        <v>A50</v>
      </c>
      <c r="P2075" s="15" t="str">
        <f t="shared" si="716"/>
        <v>Rassilon Ltd.</v>
      </c>
      <c r="Q2075" s="15" t="str">
        <f t="shared" si="717"/>
        <v>82 Richard Mathews Road</v>
      </c>
      <c r="R2075" s="3">
        <f>OrdersTable!C2075</f>
        <v>44710</v>
      </c>
      <c r="S2075" s="15">
        <f>OrdersTable!E2075</f>
        <v>10</v>
      </c>
      <c r="T2075" s="15">
        <f t="shared" si="718"/>
        <v>3.99</v>
      </c>
      <c r="U2075" s="15">
        <f t="shared" si="719"/>
        <v>5.46</v>
      </c>
      <c r="V2075" s="15">
        <f t="shared" si="720"/>
        <v>6.46</v>
      </c>
      <c r="W2075" s="15">
        <f>IF(MarkupType="Store Markup",ROUND(V2075+V2075*StoreMarkup,2),IF(MarkupType="Supplier Markup",V2075+V2075*SupplierMarkup,"Error at finding value"))</f>
        <v>10.17</v>
      </c>
      <c r="X2075" s="32" t="str">
        <f t="shared" si="722"/>
        <v>0.00</v>
      </c>
      <c r="Y2075" s="15">
        <f t="shared" si="723"/>
        <v>64.599999999999994</v>
      </c>
      <c r="Z2075" s="15">
        <f t="shared" si="724"/>
        <v>101.7</v>
      </c>
      <c r="AA2075" s="15">
        <f>IF(FreightType="Lethbridge-Stewart Freight ",ROUND(2.99+IF(N2075&gt;0.75,(N2075-0.75)*2.25,0)*S2075,2),IF(MarkupType="Supplier Markup",V2075+V2075*SupplierMarkup,"Error at finding value"))</f>
        <v>2.99</v>
      </c>
      <c r="AB2075" s="15">
        <f t="shared" si="725"/>
        <v>0</v>
      </c>
    </row>
    <row r="2076" spans="1:28" x14ac:dyDescent="0.25">
      <c r="A2076" s="16">
        <f>OrdersTable!A2076</f>
        <v>332</v>
      </c>
      <c r="B2076" s="15" t="str">
        <f t="shared" si="705"/>
        <v>Mr</v>
      </c>
      <c r="C2076" s="15" t="str">
        <f t="shared" si="726"/>
        <v>Selman</v>
      </c>
      <c r="D2076" s="15" t="str">
        <f t="shared" si="706"/>
        <v>Jack Ryan</v>
      </c>
      <c r="E2076" s="15" t="str">
        <f t="shared" si="707"/>
        <v>17 Van Essen Street</v>
      </c>
      <c r="F2076" s="15" t="str">
        <f t="shared" si="708"/>
        <v>Airly</v>
      </c>
      <c r="G2076" s="15" t="str">
        <f t="shared" si="709"/>
        <v>VIC</v>
      </c>
      <c r="H2076" s="15">
        <f t="shared" si="710"/>
        <v>3851</v>
      </c>
      <c r="I2076" s="15">
        <f t="shared" si="721"/>
        <v>1583</v>
      </c>
      <c r="J2076" s="15">
        <f>OrdersTable!B2076</f>
        <v>810</v>
      </c>
      <c r="K2076" s="15" t="str">
        <f t="shared" si="711"/>
        <v>Statues and Busts</v>
      </c>
      <c r="L2076" s="15" t="str">
        <f t="shared" si="712"/>
        <v>Doctor Who: Masterpiece Collection Maxi Bust: Amy Pond</v>
      </c>
      <c r="M2076" s="15" t="str">
        <f t="shared" si="713"/>
        <v>-</v>
      </c>
      <c r="N2076" s="15">
        <f t="shared" si="714"/>
        <v>2.5</v>
      </c>
      <c r="O2076" s="15" t="str">
        <f t="shared" si="715"/>
        <v>A50</v>
      </c>
      <c r="P2076" s="15" t="str">
        <f t="shared" si="716"/>
        <v>Rassilon Ltd.</v>
      </c>
      <c r="Q2076" s="15" t="str">
        <f t="shared" si="717"/>
        <v>82 Richard Mathews Road</v>
      </c>
      <c r="R2076" s="3">
        <f>OrdersTable!C2076</f>
        <v>44710</v>
      </c>
      <c r="S2076" s="15">
        <f>OrdersTable!E2076</f>
        <v>8</v>
      </c>
      <c r="T2076" s="15">
        <f t="shared" si="718"/>
        <v>49.99</v>
      </c>
      <c r="U2076" s="15">
        <f t="shared" si="719"/>
        <v>68.260000000000005</v>
      </c>
      <c r="V2076" s="15">
        <f t="shared" si="720"/>
        <v>80.98</v>
      </c>
      <c r="W2076" s="15">
        <f>IF(MarkupType="Store Markup",ROUND(V2076+V2076*StoreMarkup,2),IF(MarkupType="Supplier Markup",V2076+V2076*SupplierMarkup,"Error at finding value"))</f>
        <v>127.54</v>
      </c>
      <c r="X2076" s="32">
        <f t="shared" si="722"/>
        <v>9.09</v>
      </c>
      <c r="Y2076" s="15">
        <f t="shared" si="723"/>
        <v>647.84</v>
      </c>
      <c r="Z2076" s="15">
        <f t="shared" si="724"/>
        <v>947.6</v>
      </c>
      <c r="AA2076" s="15">
        <f>IF(FreightType="Lethbridge-Stewart Freight ",ROUND(2.99+IF(N2076&gt;0.75,(N2076-0.75)*2.25,0)*S2076,2),IF(MarkupType="Supplier Markup",V2076+V2076*SupplierMarkup,"Error at finding value"))</f>
        <v>34.49</v>
      </c>
      <c r="AB2076" s="15">
        <f t="shared" si="725"/>
        <v>72.72</v>
      </c>
    </row>
    <row r="2077" spans="1:28" x14ac:dyDescent="0.25">
      <c r="A2077" s="16">
        <f>OrdersTable!A2077</f>
        <v>527</v>
      </c>
      <c r="B2077" s="15" t="str">
        <f t="shared" si="705"/>
        <v>Mr</v>
      </c>
      <c r="C2077" s="15" t="str">
        <f t="shared" si="726"/>
        <v>McTaggart</v>
      </c>
      <c r="D2077" s="15" t="str">
        <f t="shared" si="706"/>
        <v>Daniel</v>
      </c>
      <c r="E2077" s="15" t="str">
        <f t="shared" si="707"/>
        <v>24 Mulholland Avenue</v>
      </c>
      <c r="F2077" s="15" t="str">
        <f t="shared" si="708"/>
        <v>Belconnen</v>
      </c>
      <c r="G2077" s="15" t="str">
        <f t="shared" si="709"/>
        <v>ACT</v>
      </c>
      <c r="H2077" s="15">
        <f t="shared" si="710"/>
        <v>2617</v>
      </c>
      <c r="I2077" s="15">
        <f t="shared" si="721"/>
        <v>1194</v>
      </c>
      <c r="J2077" s="15">
        <f>OrdersTable!B2077</f>
        <v>709</v>
      </c>
      <c r="K2077" s="15" t="str">
        <f t="shared" si="711"/>
        <v>Posters, Prints and Standees</v>
      </c>
      <c r="L2077" s="15" t="str">
        <f t="shared" si="712"/>
        <v>Doctor Who: Poster: Metallic TARDIS</v>
      </c>
      <c r="M2077" s="15" t="str">
        <f t="shared" si="713"/>
        <v>-</v>
      </c>
      <c r="N2077" s="15">
        <f t="shared" si="714"/>
        <v>0.2</v>
      </c>
      <c r="O2077" s="15" t="str">
        <f t="shared" si="715"/>
        <v>A10</v>
      </c>
      <c r="P2077" s="15" t="str">
        <f t="shared" si="716"/>
        <v>Gallifrey International</v>
      </c>
      <c r="Q2077" s="15" t="str">
        <f t="shared" si="717"/>
        <v>181 Arcadia Street</v>
      </c>
      <c r="R2077" s="3">
        <f>OrdersTable!C2077</f>
        <v>44710</v>
      </c>
      <c r="S2077" s="15">
        <f>OrdersTable!E2077</f>
        <v>9</v>
      </c>
      <c r="T2077" s="15">
        <f t="shared" si="718"/>
        <v>3.99</v>
      </c>
      <c r="U2077" s="15">
        <f t="shared" si="719"/>
        <v>5.71</v>
      </c>
      <c r="V2077" s="15">
        <f t="shared" si="720"/>
        <v>6.46</v>
      </c>
      <c r="W2077" s="15">
        <f>IF(MarkupType="Store Markup",ROUND(V2077+V2077*StoreMarkup,2),IF(MarkupType="Supplier Markup",V2077+V2077*SupplierMarkup,"Error at finding value"))</f>
        <v>10.17</v>
      </c>
      <c r="X2077" s="32" t="str">
        <f t="shared" si="722"/>
        <v>0.00</v>
      </c>
      <c r="Y2077" s="15">
        <f t="shared" si="723"/>
        <v>58.14</v>
      </c>
      <c r="Z2077" s="15">
        <f t="shared" si="724"/>
        <v>91.53</v>
      </c>
      <c r="AA2077" s="15">
        <f>IF(FreightType="Lethbridge-Stewart Freight ",ROUND(2.99+IF(N2077&gt;0.75,(N2077-0.75)*2.25,0)*S2077,2),IF(MarkupType="Supplier Markup",V2077+V2077*SupplierMarkup,"Error at finding value"))</f>
        <v>2.99</v>
      </c>
      <c r="AB2077" s="15">
        <f t="shared" si="725"/>
        <v>0</v>
      </c>
    </row>
    <row r="2078" spans="1:28" x14ac:dyDescent="0.25">
      <c r="A2078" s="16">
        <f>OrdersTable!A2078</f>
        <v>538</v>
      </c>
      <c r="B2078" s="15" t="str">
        <f t="shared" si="705"/>
        <v>Dr</v>
      </c>
      <c r="C2078" s="15" t="str">
        <f t="shared" si="726"/>
        <v>Radovic</v>
      </c>
      <c r="D2078" s="15" t="str">
        <f t="shared" si="706"/>
        <v>Harley Benjamin</v>
      </c>
      <c r="E2078" s="15" t="str">
        <f t="shared" si="707"/>
        <v>50 Hocking Way</v>
      </c>
      <c r="F2078" s="15" t="str">
        <f t="shared" si="708"/>
        <v>Bray Park</v>
      </c>
      <c r="G2078" s="15" t="str">
        <f t="shared" si="709"/>
        <v>QLD</v>
      </c>
      <c r="H2078" s="15">
        <f t="shared" si="710"/>
        <v>4500</v>
      </c>
      <c r="I2078" s="15">
        <f t="shared" si="721"/>
        <v>139</v>
      </c>
      <c r="J2078" s="15">
        <f>OrdersTable!B2078</f>
        <v>676</v>
      </c>
      <c r="K2078" s="15" t="str">
        <f t="shared" si="711"/>
        <v>Mugs</v>
      </c>
      <c r="L2078" s="15" t="str">
        <f t="shared" si="712"/>
        <v>Doctor Who: Mug: The Eleventh Doctor</v>
      </c>
      <c r="M2078" s="15" t="str">
        <f t="shared" si="713"/>
        <v>-</v>
      </c>
      <c r="N2078" s="15">
        <f t="shared" si="714"/>
        <v>0.45</v>
      </c>
      <c r="O2078" s="15" t="str">
        <f t="shared" si="715"/>
        <v>A20</v>
      </c>
      <c r="P2078" s="15" t="str">
        <f t="shared" si="716"/>
        <v>Morbius Inc.</v>
      </c>
      <c r="Q2078" s="15" t="str">
        <f t="shared" si="717"/>
        <v>56 Michael Spice Hwy</v>
      </c>
      <c r="R2078" s="3">
        <f>OrdersTable!C2078</f>
        <v>44710</v>
      </c>
      <c r="S2078" s="15">
        <f>OrdersTable!E2078</f>
        <v>10</v>
      </c>
      <c r="T2078" s="15">
        <f t="shared" si="718"/>
        <v>8.99</v>
      </c>
      <c r="U2078" s="15">
        <f t="shared" si="719"/>
        <v>12.55</v>
      </c>
      <c r="V2078" s="15">
        <f t="shared" si="720"/>
        <v>14.56</v>
      </c>
      <c r="W2078" s="15">
        <f>IF(MarkupType="Store Markup",ROUND(V2078+V2078*StoreMarkup,2),IF(MarkupType="Supplier Markup",V2078+V2078*SupplierMarkup,"Error at finding value"))</f>
        <v>22.93</v>
      </c>
      <c r="X2078" s="32" t="str">
        <f t="shared" si="722"/>
        <v>0.00</v>
      </c>
      <c r="Y2078" s="15">
        <f t="shared" si="723"/>
        <v>145.6</v>
      </c>
      <c r="Z2078" s="15">
        <f t="shared" si="724"/>
        <v>229.3</v>
      </c>
      <c r="AA2078" s="15">
        <f>IF(FreightType="Lethbridge-Stewart Freight ",ROUND(2.99+IF(N2078&gt;0.75,(N2078-0.75)*2.25,0)*S2078,2),IF(MarkupType="Supplier Markup",V2078+V2078*SupplierMarkup,"Error at finding value"))</f>
        <v>2.99</v>
      </c>
      <c r="AB2078" s="15">
        <f t="shared" si="725"/>
        <v>0</v>
      </c>
    </row>
    <row r="2079" spans="1:28" x14ac:dyDescent="0.25">
      <c r="A2079" s="16">
        <f>OrdersTable!A2079</f>
        <v>544</v>
      </c>
      <c r="B2079" s="15" t="str">
        <f t="shared" si="705"/>
        <v>Mr</v>
      </c>
      <c r="C2079" s="15" t="str">
        <f t="shared" si="726"/>
        <v>Sullivan</v>
      </c>
      <c r="D2079" s="15" t="str">
        <f t="shared" si="706"/>
        <v>Lawrence Bernard</v>
      </c>
      <c r="E2079" s="15" t="str">
        <f t="shared" si="707"/>
        <v>11 Haydon Boulevard</v>
      </c>
      <c r="F2079" s="15" t="str">
        <f t="shared" si="708"/>
        <v>Breakwater</v>
      </c>
      <c r="G2079" s="15" t="str">
        <f t="shared" si="709"/>
        <v>VIC</v>
      </c>
      <c r="H2079" s="15">
        <f t="shared" si="710"/>
        <v>3219</v>
      </c>
      <c r="I2079" s="15">
        <f t="shared" si="721"/>
        <v>1596</v>
      </c>
      <c r="J2079" s="15">
        <f>OrdersTable!B2079</f>
        <v>830</v>
      </c>
      <c r="K2079" s="15" t="str">
        <f t="shared" si="711"/>
        <v>Statues and Busts</v>
      </c>
      <c r="L2079" s="15" t="str">
        <f t="shared" si="712"/>
        <v>Doctor Who: Mini Bust: Weeping Angel</v>
      </c>
      <c r="M2079" s="15" t="str">
        <f t="shared" si="713"/>
        <v>-</v>
      </c>
      <c r="N2079" s="15">
        <f t="shared" si="714"/>
        <v>1.8</v>
      </c>
      <c r="O2079" s="15" t="str">
        <f t="shared" si="715"/>
        <v>A50</v>
      </c>
      <c r="P2079" s="15" t="str">
        <f t="shared" si="716"/>
        <v>Rassilon Ltd.</v>
      </c>
      <c r="Q2079" s="15" t="str">
        <f t="shared" si="717"/>
        <v>82 Richard Mathews Road</v>
      </c>
      <c r="R2079" s="3">
        <f>OrdersTable!C2079</f>
        <v>44710</v>
      </c>
      <c r="S2079" s="15">
        <f>OrdersTable!E2079</f>
        <v>7</v>
      </c>
      <c r="T2079" s="15">
        <f t="shared" si="718"/>
        <v>35.99</v>
      </c>
      <c r="U2079" s="15">
        <f t="shared" si="719"/>
        <v>49.35</v>
      </c>
      <c r="V2079" s="15">
        <f t="shared" si="720"/>
        <v>58.3</v>
      </c>
      <c r="W2079" s="15">
        <f>IF(MarkupType="Store Markup",ROUND(V2079+V2079*StoreMarkup,2),IF(MarkupType="Supplier Markup",V2079+V2079*SupplierMarkup,"Error at finding value"))</f>
        <v>91.82</v>
      </c>
      <c r="X2079" s="32" t="str">
        <f t="shared" si="722"/>
        <v>0.00</v>
      </c>
      <c r="Y2079" s="15">
        <f t="shared" si="723"/>
        <v>408.1</v>
      </c>
      <c r="Z2079" s="15">
        <f t="shared" si="724"/>
        <v>642.74</v>
      </c>
      <c r="AA2079" s="15">
        <f>IF(FreightType="Lethbridge-Stewart Freight ",ROUND(2.99+IF(N2079&gt;0.75,(N2079-0.75)*2.25,0)*S2079,2),IF(MarkupType="Supplier Markup",V2079+V2079*SupplierMarkup,"Error at finding value"))</f>
        <v>19.53</v>
      </c>
      <c r="AB2079" s="15">
        <f t="shared" si="725"/>
        <v>0</v>
      </c>
    </row>
    <row r="2080" spans="1:28" x14ac:dyDescent="0.25">
      <c r="A2080" s="16">
        <f>OrdersTable!A2080</f>
        <v>546</v>
      </c>
      <c r="B2080" s="15" t="str">
        <f t="shared" si="705"/>
        <v>Ms</v>
      </c>
      <c r="C2080" s="15" t="str">
        <f t="shared" si="726"/>
        <v>Shortt</v>
      </c>
      <c r="D2080" s="15" t="str">
        <f t="shared" si="706"/>
        <v>Rickylee Sidonia</v>
      </c>
      <c r="E2080" s="15" t="str">
        <f t="shared" si="707"/>
        <v>4 Hughes Road</v>
      </c>
      <c r="F2080" s="15" t="str">
        <f t="shared" si="708"/>
        <v>Glenfern</v>
      </c>
      <c r="G2080" s="15" t="str">
        <f t="shared" si="709"/>
        <v>QLD</v>
      </c>
      <c r="H2080" s="15">
        <f t="shared" si="710"/>
        <v>4515</v>
      </c>
      <c r="I2080" s="15">
        <f t="shared" si="721"/>
        <v>128</v>
      </c>
      <c r="J2080" s="15">
        <f>OrdersTable!B2080</f>
        <v>801</v>
      </c>
      <c r="K2080" s="15" t="str">
        <f t="shared" si="711"/>
        <v>Statues and Busts</v>
      </c>
      <c r="L2080" s="15" t="str">
        <f t="shared" si="712"/>
        <v>Doctor Who: Masterpiece Collection Maxi Bust: 4th Doctor</v>
      </c>
      <c r="M2080" s="15" t="str">
        <f t="shared" si="713"/>
        <v>-</v>
      </c>
      <c r="N2080" s="15">
        <f t="shared" si="714"/>
        <v>2.5</v>
      </c>
      <c r="O2080" s="15" t="str">
        <f t="shared" si="715"/>
        <v>A30</v>
      </c>
      <c r="P2080" s="15" t="str">
        <f t="shared" si="716"/>
        <v>Chesterton Enterprises</v>
      </c>
      <c r="Q2080" s="15" t="str">
        <f t="shared" si="717"/>
        <v>41 William Russell Road</v>
      </c>
      <c r="R2080" s="3">
        <f>OrdersTable!C2080</f>
        <v>44710</v>
      </c>
      <c r="S2080" s="15">
        <f>OrdersTable!E2080</f>
        <v>9</v>
      </c>
      <c r="T2080" s="15">
        <f t="shared" si="718"/>
        <v>49.99</v>
      </c>
      <c r="U2080" s="15">
        <f t="shared" si="719"/>
        <v>68.180000000000007</v>
      </c>
      <c r="V2080" s="15">
        <f t="shared" si="720"/>
        <v>80.98</v>
      </c>
      <c r="W2080" s="15">
        <f>IF(MarkupType="Store Markup",ROUND(V2080+V2080*StoreMarkup,2),IF(MarkupType="Supplier Markup",V2080+V2080*SupplierMarkup,"Error at finding value"))</f>
        <v>127.54</v>
      </c>
      <c r="X2080" s="32">
        <f t="shared" si="722"/>
        <v>9.09</v>
      </c>
      <c r="Y2080" s="15">
        <f t="shared" si="723"/>
        <v>728.82</v>
      </c>
      <c r="Z2080" s="15">
        <f t="shared" si="724"/>
        <v>1066.05</v>
      </c>
      <c r="AA2080" s="15">
        <f>IF(FreightType="Lethbridge-Stewart Freight ",ROUND(2.99+IF(N2080&gt;0.75,(N2080-0.75)*2.25,0)*S2080,2),IF(MarkupType="Supplier Markup",V2080+V2080*SupplierMarkup,"Error at finding value"))</f>
        <v>38.43</v>
      </c>
      <c r="AB2080" s="15">
        <f t="shared" si="725"/>
        <v>81.81</v>
      </c>
    </row>
    <row r="2081" spans="1:28" x14ac:dyDescent="0.25">
      <c r="A2081" s="16">
        <f>OrdersTable!A2081</f>
        <v>600</v>
      </c>
      <c r="B2081" s="15" t="str">
        <f t="shared" si="705"/>
        <v>Dr</v>
      </c>
      <c r="C2081" s="15" t="str">
        <f t="shared" si="726"/>
        <v>McConnell</v>
      </c>
      <c r="D2081" s="15" t="str">
        <f t="shared" si="706"/>
        <v>Hannah Clair</v>
      </c>
      <c r="E2081" s="15" t="str">
        <f t="shared" si="707"/>
        <v>27 Mccarthy Circuit</v>
      </c>
      <c r="F2081" s="15" t="str">
        <f t="shared" si="708"/>
        <v>Ashford</v>
      </c>
      <c r="G2081" s="15" t="str">
        <f t="shared" si="709"/>
        <v>SA</v>
      </c>
      <c r="H2081" s="15">
        <f t="shared" si="710"/>
        <v>5035</v>
      </c>
      <c r="I2081" s="15">
        <f t="shared" si="721"/>
        <v>1877</v>
      </c>
      <c r="J2081" s="15">
        <f>OrdersTable!B2081</f>
        <v>128</v>
      </c>
      <c r="K2081" s="15" t="str">
        <f t="shared" si="711"/>
        <v>Bobbleheads</v>
      </c>
      <c r="L2081" s="15" t="str">
        <f t="shared" si="712"/>
        <v>Doctor Who: Bobblehead: Davros</v>
      </c>
      <c r="M2081" s="15" t="str">
        <f t="shared" si="713"/>
        <v>-</v>
      </c>
      <c r="N2081" s="15">
        <f t="shared" si="714"/>
        <v>0.85</v>
      </c>
      <c r="O2081" s="15" t="str">
        <f t="shared" si="715"/>
        <v>A50</v>
      </c>
      <c r="P2081" s="15" t="str">
        <f t="shared" si="716"/>
        <v>Rassilon Ltd.</v>
      </c>
      <c r="Q2081" s="15" t="str">
        <f t="shared" si="717"/>
        <v>82 Richard Mathews Road</v>
      </c>
      <c r="R2081" s="3">
        <f>OrdersTable!C2081</f>
        <v>44710</v>
      </c>
      <c r="S2081" s="15">
        <f>OrdersTable!E2081</f>
        <v>4</v>
      </c>
      <c r="T2081" s="15">
        <f t="shared" si="718"/>
        <v>16.989999999999998</v>
      </c>
      <c r="U2081" s="15">
        <f t="shared" si="719"/>
        <v>23.27</v>
      </c>
      <c r="V2081" s="15">
        <f t="shared" si="720"/>
        <v>27.52</v>
      </c>
      <c r="W2081" s="15">
        <f>IF(MarkupType="Store Markup",ROUND(V2081+V2081*StoreMarkup,2),IF(MarkupType="Supplier Markup",V2081+V2081*SupplierMarkup,"Error at finding value"))</f>
        <v>43.34</v>
      </c>
      <c r="X2081" s="32" t="str">
        <f t="shared" si="722"/>
        <v>0.00</v>
      </c>
      <c r="Y2081" s="15">
        <f t="shared" si="723"/>
        <v>110.08</v>
      </c>
      <c r="Z2081" s="15">
        <f t="shared" si="724"/>
        <v>173.36</v>
      </c>
      <c r="AA2081" s="15">
        <f>IF(FreightType="Lethbridge-Stewart Freight ",ROUND(2.99+IF(N2081&gt;0.75,(N2081-0.75)*2.25,0)*S2081,2),IF(MarkupType="Supplier Markup",V2081+V2081*SupplierMarkup,"Error at finding value"))</f>
        <v>3.89</v>
      </c>
      <c r="AB2081" s="15">
        <f t="shared" si="725"/>
        <v>0</v>
      </c>
    </row>
    <row r="2082" spans="1:28" x14ac:dyDescent="0.25">
      <c r="A2082" s="16">
        <f>OrdersTable!A2082</f>
        <v>47</v>
      </c>
      <c r="B2082" s="15" t="str">
        <f t="shared" si="705"/>
        <v>Dr</v>
      </c>
      <c r="C2082" s="15" t="str">
        <f t="shared" si="726"/>
        <v>Kaur</v>
      </c>
      <c r="D2082" s="15" t="str">
        <f t="shared" si="706"/>
        <v>Jasleen</v>
      </c>
      <c r="E2082" s="15" t="str">
        <f t="shared" si="707"/>
        <v>7 Hong Road</v>
      </c>
      <c r="F2082" s="15" t="str">
        <f t="shared" si="708"/>
        <v>Belconnen</v>
      </c>
      <c r="G2082" s="15" t="str">
        <f t="shared" si="709"/>
        <v>ACT</v>
      </c>
      <c r="H2082" s="15">
        <f t="shared" si="710"/>
        <v>2617</v>
      </c>
      <c r="I2082" s="15">
        <f t="shared" si="721"/>
        <v>1194</v>
      </c>
      <c r="J2082" s="15">
        <f>OrdersTable!B2082</f>
        <v>810</v>
      </c>
      <c r="K2082" s="15" t="str">
        <f t="shared" si="711"/>
        <v>Statues and Busts</v>
      </c>
      <c r="L2082" s="15" t="str">
        <f t="shared" si="712"/>
        <v>Doctor Who: Masterpiece Collection Maxi Bust: Amy Pond</v>
      </c>
      <c r="M2082" s="15" t="str">
        <f t="shared" si="713"/>
        <v>-</v>
      </c>
      <c r="N2082" s="15">
        <f t="shared" si="714"/>
        <v>2.5</v>
      </c>
      <c r="O2082" s="15" t="str">
        <f t="shared" si="715"/>
        <v>A50</v>
      </c>
      <c r="P2082" s="15" t="str">
        <f t="shared" si="716"/>
        <v>Rassilon Ltd.</v>
      </c>
      <c r="Q2082" s="15" t="str">
        <f t="shared" si="717"/>
        <v>82 Richard Mathews Road</v>
      </c>
      <c r="R2082" s="3">
        <f>OrdersTable!C2082</f>
        <v>44711</v>
      </c>
      <c r="S2082" s="15">
        <f>OrdersTable!E2082</f>
        <v>8</v>
      </c>
      <c r="T2082" s="15">
        <f t="shared" si="718"/>
        <v>49.99</v>
      </c>
      <c r="U2082" s="15">
        <f t="shared" si="719"/>
        <v>68.260000000000005</v>
      </c>
      <c r="V2082" s="15">
        <f t="shared" si="720"/>
        <v>80.98</v>
      </c>
      <c r="W2082" s="15">
        <f>IF(MarkupType="Store Markup",ROUND(V2082+V2082*StoreMarkup,2),IF(MarkupType="Supplier Markup",V2082+V2082*SupplierMarkup,"Error at finding value"))</f>
        <v>127.54</v>
      </c>
      <c r="X2082" s="32">
        <f t="shared" si="722"/>
        <v>9.09</v>
      </c>
      <c r="Y2082" s="15">
        <f t="shared" si="723"/>
        <v>647.84</v>
      </c>
      <c r="Z2082" s="15">
        <f t="shared" si="724"/>
        <v>947.6</v>
      </c>
      <c r="AA2082" s="15">
        <f>IF(FreightType="Lethbridge-Stewart Freight ",ROUND(2.99+IF(N2082&gt;0.75,(N2082-0.75)*2.25,0)*S2082,2),IF(MarkupType="Supplier Markup",V2082+V2082*SupplierMarkup,"Error at finding value"))</f>
        <v>34.49</v>
      </c>
      <c r="AB2082" s="15">
        <f t="shared" si="725"/>
        <v>72.72</v>
      </c>
    </row>
    <row r="2083" spans="1:28" x14ac:dyDescent="0.25">
      <c r="A2083" s="16">
        <f>OrdersTable!A2083</f>
        <v>66</v>
      </c>
      <c r="B2083" s="15" t="str">
        <f t="shared" si="705"/>
        <v>Mr</v>
      </c>
      <c r="C2083" s="15" t="str">
        <f t="shared" si="726"/>
        <v>Bachmann</v>
      </c>
      <c r="D2083" s="15" t="str">
        <f t="shared" si="706"/>
        <v>Aaron</v>
      </c>
      <c r="E2083" s="15" t="str">
        <f t="shared" si="707"/>
        <v>3 Csabai Avenue</v>
      </c>
      <c r="F2083" s="15" t="str">
        <f t="shared" si="708"/>
        <v>Bridgewater</v>
      </c>
      <c r="G2083" s="15" t="str">
        <f t="shared" si="709"/>
        <v>VIC</v>
      </c>
      <c r="H2083" s="15">
        <f t="shared" si="710"/>
        <v>3516</v>
      </c>
      <c r="I2083" s="15">
        <f t="shared" si="721"/>
        <v>1486</v>
      </c>
      <c r="J2083" s="15">
        <f>OrdersTable!B2083</f>
        <v>762</v>
      </c>
      <c r="K2083" s="15" t="str">
        <f t="shared" si="711"/>
        <v>Statues and Busts</v>
      </c>
      <c r="L2083" s="15" t="str">
        <f t="shared" si="712"/>
        <v>Doctor Who: Legends Forever Bust: Patrick Troughton</v>
      </c>
      <c r="M2083" s="15" t="str">
        <f t="shared" si="713"/>
        <v>-</v>
      </c>
      <c r="N2083" s="15">
        <f t="shared" si="714"/>
        <v>1.375</v>
      </c>
      <c r="O2083" s="15" t="str">
        <f t="shared" si="715"/>
        <v>A40</v>
      </c>
      <c r="P2083" s="15" t="str">
        <f t="shared" si="716"/>
        <v>Romana Imports</v>
      </c>
      <c r="Q2083" s="15" t="str">
        <f t="shared" si="717"/>
        <v>17 Lalla Ward Road</v>
      </c>
      <c r="R2083" s="3">
        <f>OrdersTable!C2083</f>
        <v>44711</v>
      </c>
      <c r="S2083" s="15">
        <f>OrdersTable!E2083</f>
        <v>9</v>
      </c>
      <c r="T2083" s="15">
        <f t="shared" si="718"/>
        <v>27.5</v>
      </c>
      <c r="U2083" s="15">
        <f t="shared" si="719"/>
        <v>37.799999999999997</v>
      </c>
      <c r="V2083" s="15">
        <f t="shared" si="720"/>
        <v>44.55</v>
      </c>
      <c r="W2083" s="15">
        <f>IF(MarkupType="Store Markup",ROUND(V2083+V2083*StoreMarkup,2),IF(MarkupType="Supplier Markup",V2083+V2083*SupplierMarkup,"Error at finding value"))</f>
        <v>70.17</v>
      </c>
      <c r="X2083" s="32" t="str">
        <f t="shared" si="722"/>
        <v>0.00</v>
      </c>
      <c r="Y2083" s="15">
        <f t="shared" si="723"/>
        <v>400.95</v>
      </c>
      <c r="Z2083" s="15">
        <f t="shared" si="724"/>
        <v>631.53</v>
      </c>
      <c r="AA2083" s="15">
        <f>IF(FreightType="Lethbridge-Stewart Freight ",ROUND(2.99+IF(N2083&gt;0.75,(N2083-0.75)*2.25,0)*S2083,2),IF(MarkupType="Supplier Markup",V2083+V2083*SupplierMarkup,"Error at finding value"))</f>
        <v>15.65</v>
      </c>
      <c r="AB2083" s="15">
        <f t="shared" si="725"/>
        <v>0</v>
      </c>
    </row>
    <row r="2084" spans="1:28" x14ac:dyDescent="0.25">
      <c r="A2084" s="16">
        <f>OrdersTable!A2084</f>
        <v>150</v>
      </c>
      <c r="B2084" s="15" t="str">
        <f t="shared" si="705"/>
        <v>Dr</v>
      </c>
      <c r="C2084" s="15" t="str">
        <f t="shared" si="726"/>
        <v>Taumalolo</v>
      </c>
      <c r="D2084" s="15" t="str">
        <f t="shared" si="706"/>
        <v>Latai Fono-Ki-Moana</v>
      </c>
      <c r="E2084" s="15" t="str">
        <f t="shared" si="707"/>
        <v>13 Taylor Way</v>
      </c>
      <c r="F2084" s="15" t="str">
        <f t="shared" si="708"/>
        <v>Bamboo</v>
      </c>
      <c r="G2084" s="15" t="str">
        <f t="shared" si="709"/>
        <v>QLD</v>
      </c>
      <c r="H2084" s="15">
        <f t="shared" si="710"/>
        <v>4873</v>
      </c>
      <c r="I2084" s="15">
        <f t="shared" si="721"/>
        <v>1741</v>
      </c>
      <c r="J2084" s="15">
        <f>OrdersTable!B2084</f>
        <v>757</v>
      </c>
      <c r="K2084" s="15" t="str">
        <f t="shared" si="711"/>
        <v>Statues and Busts</v>
      </c>
      <c r="L2084" s="15" t="str">
        <f t="shared" si="712"/>
        <v>Doctor Who: Helmet: Ice Warrior</v>
      </c>
      <c r="M2084" s="15" t="str">
        <f t="shared" si="713"/>
        <v>-</v>
      </c>
      <c r="N2084" s="15">
        <f t="shared" si="714"/>
        <v>1.75</v>
      </c>
      <c r="O2084" s="15" t="str">
        <f t="shared" si="715"/>
        <v>A20</v>
      </c>
      <c r="P2084" s="15" t="str">
        <f t="shared" si="716"/>
        <v>Morbius Inc.</v>
      </c>
      <c r="Q2084" s="15" t="str">
        <f t="shared" si="717"/>
        <v>56 Michael Spice Hwy</v>
      </c>
      <c r="R2084" s="3">
        <f>OrdersTable!C2084</f>
        <v>44711</v>
      </c>
      <c r="S2084" s="15">
        <f>OrdersTable!E2084</f>
        <v>6</v>
      </c>
      <c r="T2084" s="15">
        <f t="shared" si="718"/>
        <v>34.99</v>
      </c>
      <c r="U2084" s="15">
        <f t="shared" si="719"/>
        <v>47.88</v>
      </c>
      <c r="V2084" s="15">
        <f t="shared" si="720"/>
        <v>56.68</v>
      </c>
      <c r="W2084" s="15">
        <f>IF(MarkupType="Store Markup",ROUND(V2084+V2084*StoreMarkup,2),IF(MarkupType="Supplier Markup",V2084+V2084*SupplierMarkup,"Error at finding value"))</f>
        <v>89.27</v>
      </c>
      <c r="X2084" s="32" t="str">
        <f t="shared" si="722"/>
        <v>0.00</v>
      </c>
      <c r="Y2084" s="15">
        <f t="shared" si="723"/>
        <v>340.08</v>
      </c>
      <c r="Z2084" s="15">
        <f t="shared" si="724"/>
        <v>535.62</v>
      </c>
      <c r="AA2084" s="15">
        <f>IF(FreightType="Lethbridge-Stewart Freight ",ROUND(2.99+IF(N2084&gt;0.75,(N2084-0.75)*2.25,0)*S2084,2),IF(MarkupType="Supplier Markup",V2084+V2084*SupplierMarkup,"Error at finding value"))</f>
        <v>16.489999999999998</v>
      </c>
      <c r="AB2084" s="15">
        <f t="shared" si="725"/>
        <v>0</v>
      </c>
    </row>
    <row r="2085" spans="1:28" x14ac:dyDescent="0.25">
      <c r="A2085" s="16">
        <f>OrdersTable!A2085</f>
        <v>224</v>
      </c>
      <c r="B2085" s="15" t="str">
        <f t="shared" si="705"/>
        <v>Miss</v>
      </c>
      <c r="C2085" s="15" t="str">
        <f t="shared" si="726"/>
        <v>Baruwal</v>
      </c>
      <c r="D2085" s="15" t="str">
        <f t="shared" si="706"/>
        <v>Pratikshya</v>
      </c>
      <c r="E2085" s="15" t="str">
        <f t="shared" si="707"/>
        <v>43 Gilloway Street</v>
      </c>
      <c r="F2085" s="15" t="str">
        <f t="shared" si="708"/>
        <v>Iluka</v>
      </c>
      <c r="G2085" s="15" t="str">
        <f t="shared" si="709"/>
        <v>NSW</v>
      </c>
      <c r="H2085" s="15">
        <f t="shared" si="710"/>
        <v>2466</v>
      </c>
      <c r="I2085" s="15">
        <f t="shared" si="721"/>
        <v>347</v>
      </c>
      <c r="J2085" s="15">
        <f>OrdersTable!B2085</f>
        <v>316</v>
      </c>
      <c r="K2085" s="15" t="str">
        <f t="shared" si="711"/>
        <v>Clothing and Apparel</v>
      </c>
      <c r="L2085" s="15" t="str">
        <f t="shared" si="712"/>
        <v xml:space="preserve">Doctor Who: T-Shirts: 4th Doctor Costume </v>
      </c>
      <c r="M2085" s="15" t="str">
        <f t="shared" si="713"/>
        <v>S</v>
      </c>
      <c r="N2085" s="15">
        <f t="shared" si="714"/>
        <v>0.8</v>
      </c>
      <c r="O2085" s="15" t="str">
        <f t="shared" si="715"/>
        <v>A30</v>
      </c>
      <c r="P2085" s="15" t="str">
        <f t="shared" si="716"/>
        <v>Chesterton Enterprises</v>
      </c>
      <c r="Q2085" s="15" t="str">
        <f t="shared" si="717"/>
        <v>41 William Russell Road</v>
      </c>
      <c r="R2085" s="3">
        <f>OrdersTable!C2085</f>
        <v>44711</v>
      </c>
      <c r="S2085" s="15">
        <f>OrdersTable!E2085</f>
        <v>4</v>
      </c>
      <c r="T2085" s="15">
        <f t="shared" si="718"/>
        <v>15.99</v>
      </c>
      <c r="U2085" s="15">
        <f t="shared" si="719"/>
        <v>21.94</v>
      </c>
      <c r="V2085" s="15">
        <f t="shared" si="720"/>
        <v>25.9</v>
      </c>
      <c r="W2085" s="15">
        <f>IF(MarkupType="Store Markup",ROUND(V2085+V2085*StoreMarkup,2),IF(MarkupType="Supplier Markup",V2085+V2085*SupplierMarkup,"Error at finding value"))</f>
        <v>40.79</v>
      </c>
      <c r="X2085" s="32" t="str">
        <f t="shared" si="722"/>
        <v>0.00</v>
      </c>
      <c r="Y2085" s="15">
        <f t="shared" si="723"/>
        <v>103.6</v>
      </c>
      <c r="Z2085" s="15">
        <f t="shared" si="724"/>
        <v>163.16</v>
      </c>
      <c r="AA2085" s="15">
        <f>IF(FreightType="Lethbridge-Stewart Freight ",ROUND(2.99+IF(N2085&gt;0.75,(N2085-0.75)*2.25,0)*S2085,2),IF(MarkupType="Supplier Markup",V2085+V2085*SupplierMarkup,"Error at finding value"))</f>
        <v>3.44</v>
      </c>
      <c r="AB2085" s="15">
        <f t="shared" si="725"/>
        <v>0</v>
      </c>
    </row>
    <row r="2086" spans="1:28" x14ac:dyDescent="0.25">
      <c r="A2086" s="16">
        <f>OrdersTable!A2086</f>
        <v>224</v>
      </c>
      <c r="B2086" s="15" t="str">
        <f t="shared" si="705"/>
        <v>Miss</v>
      </c>
      <c r="C2086" s="15" t="str">
        <f t="shared" si="726"/>
        <v>Baruwal</v>
      </c>
      <c r="D2086" s="15" t="str">
        <f t="shared" si="706"/>
        <v>Pratikshya</v>
      </c>
      <c r="E2086" s="15" t="str">
        <f t="shared" si="707"/>
        <v>43 Gilloway Street</v>
      </c>
      <c r="F2086" s="15" t="str">
        <f t="shared" si="708"/>
        <v>Iluka</v>
      </c>
      <c r="G2086" s="15" t="str">
        <f t="shared" si="709"/>
        <v>NSW</v>
      </c>
      <c r="H2086" s="15">
        <f t="shared" si="710"/>
        <v>2466</v>
      </c>
      <c r="I2086" s="15">
        <f t="shared" si="721"/>
        <v>347</v>
      </c>
      <c r="J2086" s="15">
        <f>OrdersTable!B2086</f>
        <v>418</v>
      </c>
      <c r="K2086" s="15" t="str">
        <f t="shared" si="711"/>
        <v>Clothing and Apparel</v>
      </c>
      <c r="L2086" s="15" t="str">
        <f t="shared" si="712"/>
        <v>Doctor Who: Women's Winter Pyjamas</v>
      </c>
      <c r="M2086" s="15" t="str">
        <f t="shared" si="713"/>
        <v>M</v>
      </c>
      <c r="N2086" s="15">
        <f t="shared" si="714"/>
        <v>1.5</v>
      </c>
      <c r="O2086" s="15" t="str">
        <f t="shared" si="715"/>
        <v>A30</v>
      </c>
      <c r="P2086" s="15" t="str">
        <f t="shared" si="716"/>
        <v>Chesterton Enterprises</v>
      </c>
      <c r="Q2086" s="15" t="str">
        <f t="shared" si="717"/>
        <v>41 William Russell Road</v>
      </c>
      <c r="R2086" s="3">
        <f>OrdersTable!C2086</f>
        <v>44711</v>
      </c>
      <c r="S2086" s="15">
        <f>OrdersTable!E2086</f>
        <v>4</v>
      </c>
      <c r="T2086" s="15">
        <f t="shared" si="718"/>
        <v>29.99</v>
      </c>
      <c r="U2086" s="15">
        <f t="shared" si="719"/>
        <v>40.96</v>
      </c>
      <c r="V2086" s="15">
        <f t="shared" si="720"/>
        <v>48.58</v>
      </c>
      <c r="W2086" s="15">
        <f>IF(MarkupType="Store Markup",ROUND(V2086+V2086*StoreMarkup,2),IF(MarkupType="Supplier Markup",V2086+V2086*SupplierMarkup,"Error at finding value"))</f>
        <v>76.510000000000005</v>
      </c>
      <c r="X2086" s="32" t="str">
        <f t="shared" si="722"/>
        <v>0.00</v>
      </c>
      <c r="Y2086" s="15">
        <f t="shared" si="723"/>
        <v>194.32</v>
      </c>
      <c r="Z2086" s="15">
        <f t="shared" si="724"/>
        <v>306.04000000000002</v>
      </c>
      <c r="AA2086" s="15">
        <f>IF(FreightType="Lethbridge-Stewart Freight ",ROUND(2.99+IF(N2086&gt;0.75,(N2086-0.75)*2.25,0)*S2086,2),IF(MarkupType="Supplier Markup",V2086+V2086*SupplierMarkup,"Error at finding value"))</f>
        <v>9.74</v>
      </c>
      <c r="AB2086" s="15">
        <f t="shared" si="725"/>
        <v>0</v>
      </c>
    </row>
    <row r="2087" spans="1:28" x14ac:dyDescent="0.25">
      <c r="A2087" s="16">
        <f>OrdersTable!A2087</f>
        <v>448</v>
      </c>
      <c r="B2087" s="15" t="str">
        <f t="shared" si="705"/>
        <v>Mr</v>
      </c>
      <c r="C2087" s="15" t="str">
        <f t="shared" si="726"/>
        <v>Earl</v>
      </c>
      <c r="D2087" s="15" t="str">
        <f t="shared" si="706"/>
        <v>Benn Robert</v>
      </c>
      <c r="E2087" s="15" t="str">
        <f t="shared" si="707"/>
        <v>31 Kae Drive</v>
      </c>
      <c r="F2087" s="15" t="str">
        <f t="shared" si="708"/>
        <v>Belford</v>
      </c>
      <c r="G2087" s="15" t="str">
        <f t="shared" si="709"/>
        <v>NSW</v>
      </c>
      <c r="H2087" s="15">
        <f t="shared" si="710"/>
        <v>2335</v>
      </c>
      <c r="I2087" s="15">
        <f t="shared" si="721"/>
        <v>716</v>
      </c>
      <c r="J2087" s="15">
        <f>OrdersTable!B2087</f>
        <v>867</v>
      </c>
      <c r="K2087" s="15" t="str">
        <f t="shared" si="711"/>
        <v>Statues and Busts</v>
      </c>
      <c r="L2087" s="15" t="str">
        <f t="shared" si="712"/>
        <v>Doctor Who: TITANS: The 11th Doctor</v>
      </c>
      <c r="M2087" s="15" t="str">
        <f t="shared" si="713"/>
        <v>-</v>
      </c>
      <c r="N2087" s="15">
        <f t="shared" si="714"/>
        <v>0.4</v>
      </c>
      <c r="O2087" s="15" t="str">
        <f t="shared" si="715"/>
        <v>A20</v>
      </c>
      <c r="P2087" s="15" t="str">
        <f t="shared" si="716"/>
        <v>Morbius Inc.</v>
      </c>
      <c r="Q2087" s="15" t="str">
        <f t="shared" si="717"/>
        <v>56 Michael Spice Hwy</v>
      </c>
      <c r="R2087" s="3">
        <f>OrdersTable!C2087</f>
        <v>44711</v>
      </c>
      <c r="S2087" s="15">
        <f>OrdersTable!E2087</f>
        <v>8</v>
      </c>
      <c r="T2087" s="15">
        <f t="shared" si="718"/>
        <v>7.99</v>
      </c>
      <c r="U2087" s="15">
        <f t="shared" si="719"/>
        <v>11.1</v>
      </c>
      <c r="V2087" s="15">
        <f t="shared" si="720"/>
        <v>12.94</v>
      </c>
      <c r="W2087" s="15">
        <f>IF(MarkupType="Store Markup",ROUND(V2087+V2087*StoreMarkup,2),IF(MarkupType="Supplier Markup",V2087+V2087*SupplierMarkup,"Error at finding value"))</f>
        <v>20.38</v>
      </c>
      <c r="X2087" s="32" t="str">
        <f t="shared" si="722"/>
        <v>0.00</v>
      </c>
      <c r="Y2087" s="15">
        <f t="shared" si="723"/>
        <v>103.52</v>
      </c>
      <c r="Z2087" s="15">
        <f t="shared" si="724"/>
        <v>163.04</v>
      </c>
      <c r="AA2087" s="15">
        <f>IF(FreightType="Lethbridge-Stewart Freight ",ROUND(2.99+IF(N2087&gt;0.75,(N2087-0.75)*2.25,0)*S2087,2),IF(MarkupType="Supplier Markup",V2087+V2087*SupplierMarkup,"Error at finding value"))</f>
        <v>2.99</v>
      </c>
      <c r="AB2087" s="15">
        <f t="shared" si="725"/>
        <v>0</v>
      </c>
    </row>
    <row r="2088" spans="1:28" x14ac:dyDescent="0.25">
      <c r="A2088" s="16">
        <f>OrdersTable!A2088</f>
        <v>500</v>
      </c>
      <c r="B2088" s="15" t="str">
        <f t="shared" si="705"/>
        <v>Ms</v>
      </c>
      <c r="C2088" s="15" t="str">
        <f t="shared" si="726"/>
        <v>Helmers</v>
      </c>
      <c r="D2088" s="15" t="str">
        <f t="shared" si="706"/>
        <v>Kristy-Lee</v>
      </c>
      <c r="E2088" s="15" t="str">
        <f t="shared" si="707"/>
        <v>43 Welthagen Court</v>
      </c>
      <c r="F2088" s="15" t="str">
        <f t="shared" si="708"/>
        <v>Areegra</v>
      </c>
      <c r="G2088" s="15" t="str">
        <f t="shared" si="709"/>
        <v>VIC</v>
      </c>
      <c r="H2088" s="15">
        <f t="shared" si="710"/>
        <v>3480</v>
      </c>
      <c r="I2088" s="15">
        <f t="shared" si="721"/>
        <v>1559</v>
      </c>
      <c r="J2088" s="15">
        <f>OrdersTable!B2088</f>
        <v>740</v>
      </c>
      <c r="K2088" s="15" t="str">
        <f t="shared" si="711"/>
        <v>Props and Replicas</v>
      </c>
      <c r="L2088" s="15" t="str">
        <f t="shared" si="712"/>
        <v>Doctor Who: River Song Squareness Blaster</v>
      </c>
      <c r="M2088" s="15" t="str">
        <f t="shared" si="713"/>
        <v>-</v>
      </c>
      <c r="N2088" s="15">
        <f t="shared" si="714"/>
        <v>14.8</v>
      </c>
      <c r="O2088" s="15" t="str">
        <f t="shared" si="715"/>
        <v>A40</v>
      </c>
      <c r="P2088" s="15" t="str">
        <f t="shared" si="716"/>
        <v>Romana Imports</v>
      </c>
      <c r="Q2088" s="15" t="str">
        <f t="shared" si="717"/>
        <v>17 Lalla Ward Road</v>
      </c>
      <c r="R2088" s="3">
        <f>OrdersTable!C2088</f>
        <v>44711</v>
      </c>
      <c r="S2088" s="15">
        <f>OrdersTable!E2088</f>
        <v>6</v>
      </c>
      <c r="T2088" s="15">
        <f t="shared" si="718"/>
        <v>295.99</v>
      </c>
      <c r="U2088" s="15">
        <f t="shared" si="719"/>
        <v>403.84</v>
      </c>
      <c r="V2088" s="15">
        <f t="shared" si="720"/>
        <v>479.5</v>
      </c>
      <c r="W2088" s="15">
        <f>IF(MarkupType="Store Markup",ROUND(V2088+V2088*StoreMarkup,2),IF(MarkupType="Supplier Markup",V2088+V2088*SupplierMarkup,"Error at finding value"))</f>
        <v>755.21</v>
      </c>
      <c r="X2088" s="32">
        <f t="shared" si="722"/>
        <v>53.81</v>
      </c>
      <c r="Y2088" s="15">
        <f t="shared" si="723"/>
        <v>2877</v>
      </c>
      <c r="Z2088" s="15">
        <f t="shared" si="724"/>
        <v>4208.3999999999996</v>
      </c>
      <c r="AA2088" s="15">
        <f>IF(FreightType="Lethbridge-Stewart Freight ",ROUND(2.99+IF(N2088&gt;0.75,(N2088-0.75)*2.25,0)*S2088,2),IF(MarkupType="Supplier Markup",V2088+V2088*SupplierMarkup,"Error at finding value"))</f>
        <v>192.67</v>
      </c>
      <c r="AB2088" s="15">
        <f t="shared" si="725"/>
        <v>322.86</v>
      </c>
    </row>
    <row r="2089" spans="1:28" x14ac:dyDescent="0.25">
      <c r="A2089" s="16">
        <f>OrdersTable!A2089</f>
        <v>515</v>
      </c>
      <c r="B2089" s="15" t="str">
        <f t="shared" si="705"/>
        <v>Mr</v>
      </c>
      <c r="C2089" s="15" t="str">
        <f t="shared" si="726"/>
        <v>Noffke</v>
      </c>
      <c r="D2089" s="15" t="str">
        <f t="shared" si="706"/>
        <v>William Thomas</v>
      </c>
      <c r="E2089" s="15" t="str">
        <f t="shared" si="707"/>
        <v>20 Tyler Drive</v>
      </c>
      <c r="F2089" s="15" t="str">
        <f t="shared" si="708"/>
        <v>Areegra</v>
      </c>
      <c r="G2089" s="15" t="str">
        <f t="shared" si="709"/>
        <v>VIC</v>
      </c>
      <c r="H2089" s="15">
        <f t="shared" si="710"/>
        <v>3480</v>
      </c>
      <c r="I2089" s="15">
        <f t="shared" si="721"/>
        <v>1559</v>
      </c>
      <c r="J2089" s="15">
        <f>OrdersTable!B2089</f>
        <v>805</v>
      </c>
      <c r="K2089" s="15" t="str">
        <f t="shared" si="711"/>
        <v>Statues and Busts</v>
      </c>
      <c r="L2089" s="15" t="str">
        <f t="shared" si="712"/>
        <v>Doctor Who: Masterpiece Collection Maxi Bust: 5th Doctor</v>
      </c>
      <c r="M2089" s="15" t="str">
        <f t="shared" si="713"/>
        <v>-</v>
      </c>
      <c r="N2089" s="15">
        <f t="shared" si="714"/>
        <v>2.5</v>
      </c>
      <c r="O2089" s="15" t="str">
        <f t="shared" si="715"/>
        <v>A20</v>
      </c>
      <c r="P2089" s="15" t="str">
        <f t="shared" si="716"/>
        <v>Morbius Inc.</v>
      </c>
      <c r="Q2089" s="15" t="str">
        <f t="shared" si="717"/>
        <v>56 Michael Spice Hwy</v>
      </c>
      <c r="R2089" s="3">
        <f>OrdersTable!C2089</f>
        <v>44711</v>
      </c>
      <c r="S2089" s="15">
        <f>OrdersTable!E2089</f>
        <v>7</v>
      </c>
      <c r="T2089" s="15">
        <f t="shared" si="718"/>
        <v>49.99</v>
      </c>
      <c r="U2089" s="15">
        <f t="shared" si="719"/>
        <v>68.42</v>
      </c>
      <c r="V2089" s="15">
        <f t="shared" si="720"/>
        <v>80.98</v>
      </c>
      <c r="W2089" s="15">
        <f>IF(MarkupType="Store Markup",ROUND(V2089+V2089*StoreMarkup,2),IF(MarkupType="Supplier Markup",V2089+V2089*SupplierMarkup,"Error at finding value"))</f>
        <v>127.54</v>
      </c>
      <c r="X2089" s="32">
        <f t="shared" si="722"/>
        <v>9.09</v>
      </c>
      <c r="Y2089" s="15">
        <f t="shared" si="723"/>
        <v>566.86</v>
      </c>
      <c r="Z2089" s="15">
        <f t="shared" si="724"/>
        <v>829.15</v>
      </c>
      <c r="AA2089" s="15">
        <f>IF(FreightType="Lethbridge-Stewart Freight ",ROUND(2.99+IF(N2089&gt;0.75,(N2089-0.75)*2.25,0)*S2089,2),IF(MarkupType="Supplier Markup",V2089+V2089*SupplierMarkup,"Error at finding value"))</f>
        <v>30.55</v>
      </c>
      <c r="AB2089" s="15">
        <f t="shared" si="725"/>
        <v>63.63</v>
      </c>
    </row>
    <row r="2090" spans="1:28" x14ac:dyDescent="0.25">
      <c r="A2090" s="16">
        <f>OrdersTable!A2090</f>
        <v>531</v>
      </c>
      <c r="B2090" s="15" t="str">
        <f t="shared" si="705"/>
        <v>Ms</v>
      </c>
      <c r="C2090" s="15" t="str">
        <f t="shared" si="726"/>
        <v>Stanton</v>
      </c>
      <c r="D2090" s="15" t="str">
        <f t="shared" si="706"/>
        <v>Sharaze</v>
      </c>
      <c r="E2090" s="15" t="str">
        <f t="shared" si="707"/>
        <v>1 Siddons Crescent</v>
      </c>
      <c r="F2090" s="15" t="str">
        <f t="shared" si="708"/>
        <v>Alfredtown</v>
      </c>
      <c r="G2090" s="15" t="str">
        <f t="shared" si="709"/>
        <v>NSW</v>
      </c>
      <c r="H2090" s="15">
        <f t="shared" si="710"/>
        <v>2650</v>
      </c>
      <c r="I2090" s="15">
        <f t="shared" si="721"/>
        <v>1124</v>
      </c>
      <c r="J2090" s="15">
        <f>OrdersTable!B2090</f>
        <v>702</v>
      </c>
      <c r="K2090" s="15" t="str">
        <f t="shared" si="711"/>
        <v>Posters, Prints and Standees</v>
      </c>
      <c r="L2090" s="15" t="str">
        <f t="shared" si="712"/>
        <v>Doctor Who: Poster: Daleks</v>
      </c>
      <c r="M2090" s="15" t="str">
        <f t="shared" si="713"/>
        <v>-</v>
      </c>
      <c r="N2090" s="15">
        <f t="shared" si="714"/>
        <v>0.2</v>
      </c>
      <c r="O2090" s="15" t="str">
        <f t="shared" si="715"/>
        <v>A50</v>
      </c>
      <c r="P2090" s="15" t="str">
        <f t="shared" si="716"/>
        <v>Rassilon Ltd.</v>
      </c>
      <c r="Q2090" s="15" t="str">
        <f t="shared" si="717"/>
        <v>82 Richard Mathews Road</v>
      </c>
      <c r="R2090" s="3">
        <f>OrdersTable!C2090</f>
        <v>44711</v>
      </c>
      <c r="S2090" s="15">
        <f>OrdersTable!E2090</f>
        <v>8</v>
      </c>
      <c r="T2090" s="15">
        <f t="shared" si="718"/>
        <v>3.99</v>
      </c>
      <c r="U2090" s="15">
        <f t="shared" si="719"/>
        <v>5.46</v>
      </c>
      <c r="V2090" s="15">
        <f t="shared" si="720"/>
        <v>6.46</v>
      </c>
      <c r="W2090" s="15">
        <f>IF(MarkupType="Store Markup",ROUND(V2090+V2090*StoreMarkup,2),IF(MarkupType="Supplier Markup",V2090+V2090*SupplierMarkup,"Error at finding value"))</f>
        <v>10.17</v>
      </c>
      <c r="X2090" s="32" t="str">
        <f t="shared" si="722"/>
        <v>0.00</v>
      </c>
      <c r="Y2090" s="15">
        <f t="shared" si="723"/>
        <v>51.68</v>
      </c>
      <c r="Z2090" s="15">
        <f t="shared" si="724"/>
        <v>81.36</v>
      </c>
      <c r="AA2090" s="15">
        <f>IF(FreightType="Lethbridge-Stewart Freight ",ROUND(2.99+IF(N2090&gt;0.75,(N2090-0.75)*2.25,0)*S2090,2),IF(MarkupType="Supplier Markup",V2090+V2090*SupplierMarkup,"Error at finding value"))</f>
        <v>2.99</v>
      </c>
      <c r="AB2090" s="15">
        <f t="shared" si="725"/>
        <v>0</v>
      </c>
    </row>
    <row r="2091" spans="1:28" x14ac:dyDescent="0.25">
      <c r="A2091" s="16">
        <f>OrdersTable!A2091</f>
        <v>567</v>
      </c>
      <c r="B2091" s="15" t="str">
        <f t="shared" si="705"/>
        <v>Ms</v>
      </c>
      <c r="C2091" s="15" t="str">
        <f t="shared" si="726"/>
        <v>Perkins</v>
      </c>
      <c r="D2091" s="15" t="str">
        <f t="shared" si="706"/>
        <v>Sarah</v>
      </c>
      <c r="E2091" s="15" t="str">
        <f t="shared" si="707"/>
        <v>7 Tengdahl Road</v>
      </c>
      <c r="F2091" s="15" t="str">
        <f t="shared" si="708"/>
        <v>Areegra</v>
      </c>
      <c r="G2091" s="15" t="str">
        <f t="shared" si="709"/>
        <v>VIC</v>
      </c>
      <c r="H2091" s="15">
        <f t="shared" si="710"/>
        <v>3480</v>
      </c>
      <c r="I2091" s="15">
        <f t="shared" si="721"/>
        <v>1559</v>
      </c>
      <c r="J2091" s="15">
        <f>OrdersTable!B2091</f>
        <v>849</v>
      </c>
      <c r="K2091" s="15" t="str">
        <f t="shared" si="711"/>
        <v>Statues and Busts</v>
      </c>
      <c r="L2091" s="15" t="str">
        <f t="shared" si="712"/>
        <v>Doctor Who: Statue: Cyber Controller</v>
      </c>
      <c r="M2091" s="15" t="str">
        <f t="shared" si="713"/>
        <v>-</v>
      </c>
      <c r="N2091" s="15">
        <f t="shared" si="714"/>
        <v>5</v>
      </c>
      <c r="O2091" s="15" t="str">
        <f t="shared" si="715"/>
        <v>A10</v>
      </c>
      <c r="P2091" s="15" t="str">
        <f t="shared" si="716"/>
        <v>Gallifrey International</v>
      </c>
      <c r="Q2091" s="15" t="str">
        <f t="shared" si="717"/>
        <v>181 Arcadia Street</v>
      </c>
      <c r="R2091" s="3">
        <f>OrdersTable!C2091</f>
        <v>44711</v>
      </c>
      <c r="S2091" s="15">
        <f>OrdersTable!E2091</f>
        <v>5</v>
      </c>
      <c r="T2091" s="15">
        <f t="shared" si="718"/>
        <v>99.99</v>
      </c>
      <c r="U2091" s="15">
        <f t="shared" si="719"/>
        <v>136.41</v>
      </c>
      <c r="V2091" s="15">
        <f t="shared" si="720"/>
        <v>161.97999999999999</v>
      </c>
      <c r="W2091" s="15">
        <f>IF(MarkupType="Store Markup",ROUND(V2091+V2091*StoreMarkup,2),IF(MarkupType="Supplier Markup",V2091+V2091*SupplierMarkup,"Error at finding value"))</f>
        <v>255.12</v>
      </c>
      <c r="X2091" s="32">
        <f t="shared" si="722"/>
        <v>18.18</v>
      </c>
      <c r="Y2091" s="15">
        <f t="shared" si="723"/>
        <v>809.9</v>
      </c>
      <c r="Z2091" s="15">
        <f t="shared" si="724"/>
        <v>1184.7</v>
      </c>
      <c r="AA2091" s="15">
        <f>IF(FreightType="Lethbridge-Stewart Freight ",ROUND(2.99+IF(N2091&gt;0.75,(N2091-0.75)*2.25,0)*S2091,2),IF(MarkupType="Supplier Markup",V2091+V2091*SupplierMarkup,"Error at finding value"))</f>
        <v>50.8</v>
      </c>
      <c r="AB2091" s="15">
        <f t="shared" si="725"/>
        <v>90.9</v>
      </c>
    </row>
    <row r="2092" spans="1:28" x14ac:dyDescent="0.25">
      <c r="A2092" s="16">
        <f>OrdersTable!A2092</f>
        <v>594</v>
      </c>
      <c r="B2092" s="15" t="str">
        <f t="shared" si="705"/>
        <v>Mrs</v>
      </c>
      <c r="C2092" s="15" t="str">
        <f t="shared" si="726"/>
        <v>Entriken</v>
      </c>
      <c r="D2092" s="15" t="str">
        <f t="shared" si="706"/>
        <v>Gwenda Dawn</v>
      </c>
      <c r="E2092" s="15" t="str">
        <f t="shared" si="707"/>
        <v>8 Miljkovic Drive</v>
      </c>
      <c r="F2092" s="15" t="str">
        <f t="shared" si="708"/>
        <v>Nayook</v>
      </c>
      <c r="G2092" s="15" t="str">
        <f t="shared" si="709"/>
        <v>VIC</v>
      </c>
      <c r="H2092" s="15">
        <f t="shared" si="710"/>
        <v>3832</v>
      </c>
      <c r="I2092" s="15">
        <f t="shared" si="721"/>
        <v>1552</v>
      </c>
      <c r="J2092" s="15">
        <f>OrdersTable!B2092</f>
        <v>219</v>
      </c>
      <c r="K2092" s="15" t="str">
        <f t="shared" si="711"/>
        <v>Clothing and Apparel</v>
      </c>
      <c r="L2092" s="15" t="str">
        <f t="shared" si="712"/>
        <v>Doctor Who: Men's Winter Pyjamas</v>
      </c>
      <c r="M2092" s="15" t="str">
        <f t="shared" si="713"/>
        <v>M</v>
      </c>
      <c r="N2092" s="15">
        <f t="shared" si="714"/>
        <v>1.5</v>
      </c>
      <c r="O2092" s="15" t="str">
        <f t="shared" si="715"/>
        <v>A40</v>
      </c>
      <c r="P2092" s="15" t="str">
        <f t="shared" si="716"/>
        <v>Romana Imports</v>
      </c>
      <c r="Q2092" s="15" t="str">
        <f t="shared" si="717"/>
        <v>17 Lalla Ward Road</v>
      </c>
      <c r="R2092" s="3">
        <f>OrdersTable!C2092</f>
        <v>44711</v>
      </c>
      <c r="S2092" s="15">
        <f>OrdersTable!E2092</f>
        <v>6</v>
      </c>
      <c r="T2092" s="15">
        <f t="shared" si="718"/>
        <v>29.99</v>
      </c>
      <c r="U2092" s="15">
        <f t="shared" si="719"/>
        <v>41.24</v>
      </c>
      <c r="V2092" s="15">
        <f t="shared" si="720"/>
        <v>48.58</v>
      </c>
      <c r="W2092" s="15">
        <f>IF(MarkupType="Store Markup",ROUND(V2092+V2092*StoreMarkup,2),IF(MarkupType="Supplier Markup",V2092+V2092*SupplierMarkup,"Error at finding value"))</f>
        <v>76.510000000000005</v>
      </c>
      <c r="X2092" s="32" t="str">
        <f t="shared" si="722"/>
        <v>0.00</v>
      </c>
      <c r="Y2092" s="15">
        <f t="shared" si="723"/>
        <v>291.48</v>
      </c>
      <c r="Z2092" s="15">
        <f t="shared" si="724"/>
        <v>459.06</v>
      </c>
      <c r="AA2092" s="15">
        <f>IF(FreightType="Lethbridge-Stewart Freight ",ROUND(2.99+IF(N2092&gt;0.75,(N2092-0.75)*2.25,0)*S2092,2),IF(MarkupType="Supplier Markup",V2092+V2092*SupplierMarkup,"Error at finding value"))</f>
        <v>13.12</v>
      </c>
      <c r="AB2092" s="15">
        <f t="shared" si="725"/>
        <v>0</v>
      </c>
    </row>
    <row r="2093" spans="1:28" x14ac:dyDescent="0.25">
      <c r="A2093" s="16">
        <f>OrdersTable!A2093</f>
        <v>669</v>
      </c>
      <c r="B2093" s="15" t="str">
        <f t="shared" si="705"/>
        <v>Dr</v>
      </c>
      <c r="C2093" s="15" t="str">
        <f t="shared" si="726"/>
        <v>Ferjani</v>
      </c>
      <c r="D2093" s="15" t="str">
        <f t="shared" si="706"/>
        <v>Rabah</v>
      </c>
      <c r="E2093" s="15" t="str">
        <f t="shared" si="707"/>
        <v>2 Codrington Street</v>
      </c>
      <c r="F2093" s="15" t="str">
        <f t="shared" si="708"/>
        <v>Belford</v>
      </c>
      <c r="G2093" s="15" t="str">
        <f t="shared" si="709"/>
        <v>NSW</v>
      </c>
      <c r="H2093" s="15">
        <f t="shared" si="710"/>
        <v>2335</v>
      </c>
      <c r="I2093" s="15">
        <f t="shared" si="721"/>
        <v>716</v>
      </c>
      <c r="J2093" s="15">
        <f>OrdersTable!B2093</f>
        <v>757</v>
      </c>
      <c r="K2093" s="15" t="str">
        <f t="shared" si="711"/>
        <v>Statues and Busts</v>
      </c>
      <c r="L2093" s="15" t="str">
        <f t="shared" si="712"/>
        <v>Doctor Who: Helmet: Ice Warrior</v>
      </c>
      <c r="M2093" s="15" t="str">
        <f t="shared" si="713"/>
        <v>-</v>
      </c>
      <c r="N2093" s="15">
        <f t="shared" si="714"/>
        <v>1.75</v>
      </c>
      <c r="O2093" s="15" t="str">
        <f t="shared" si="715"/>
        <v>A20</v>
      </c>
      <c r="P2093" s="15" t="str">
        <f t="shared" si="716"/>
        <v>Morbius Inc.</v>
      </c>
      <c r="Q2093" s="15" t="str">
        <f t="shared" si="717"/>
        <v>56 Michael Spice Hwy</v>
      </c>
      <c r="R2093" s="3">
        <f>OrdersTable!C2093</f>
        <v>44711</v>
      </c>
      <c r="S2093" s="15">
        <f>OrdersTable!E2093</f>
        <v>2</v>
      </c>
      <c r="T2093" s="15">
        <f t="shared" si="718"/>
        <v>34.99</v>
      </c>
      <c r="U2093" s="15">
        <f t="shared" si="719"/>
        <v>47.88</v>
      </c>
      <c r="V2093" s="15">
        <f t="shared" si="720"/>
        <v>56.68</v>
      </c>
      <c r="W2093" s="15">
        <f>IF(MarkupType="Store Markup",ROUND(V2093+V2093*StoreMarkup,2),IF(MarkupType="Supplier Markup",V2093+V2093*SupplierMarkup,"Error at finding value"))</f>
        <v>89.27</v>
      </c>
      <c r="X2093" s="32" t="str">
        <f t="shared" si="722"/>
        <v>0.00</v>
      </c>
      <c r="Y2093" s="15">
        <f t="shared" si="723"/>
        <v>113.36</v>
      </c>
      <c r="Z2093" s="15">
        <f t="shared" si="724"/>
        <v>178.54</v>
      </c>
      <c r="AA2093" s="15">
        <f>IF(FreightType="Lethbridge-Stewart Freight ",ROUND(2.99+IF(N2093&gt;0.75,(N2093-0.75)*2.25,0)*S2093,2),IF(MarkupType="Supplier Markup",V2093+V2093*SupplierMarkup,"Error at finding value"))</f>
        <v>7.49</v>
      </c>
      <c r="AB2093" s="15">
        <f t="shared" si="725"/>
        <v>0</v>
      </c>
    </row>
    <row r="2094" spans="1:28" x14ac:dyDescent="0.25">
      <c r="A2094" s="16">
        <f>OrdersTable!A2094</f>
        <v>830</v>
      </c>
      <c r="B2094" s="15" t="str">
        <f t="shared" si="705"/>
        <v>Miss</v>
      </c>
      <c r="C2094" s="15" t="str">
        <f t="shared" si="726"/>
        <v>Blakeney</v>
      </c>
      <c r="D2094" s="15" t="str">
        <f t="shared" si="706"/>
        <v>Hannah</v>
      </c>
      <c r="E2094" s="15" t="str">
        <f t="shared" si="707"/>
        <v>31 Sproule Street</v>
      </c>
      <c r="F2094" s="15" t="str">
        <f t="shared" si="708"/>
        <v>Belford</v>
      </c>
      <c r="G2094" s="15" t="str">
        <f t="shared" si="709"/>
        <v>NSW</v>
      </c>
      <c r="H2094" s="15">
        <f t="shared" si="710"/>
        <v>2335</v>
      </c>
      <c r="I2094" s="15">
        <f t="shared" si="721"/>
        <v>716</v>
      </c>
      <c r="J2094" s="15">
        <f>OrdersTable!B2094</f>
        <v>464</v>
      </c>
      <c r="K2094" s="15" t="str">
        <f t="shared" si="711"/>
        <v>Giftware</v>
      </c>
      <c r="L2094" s="15" t="str">
        <f t="shared" si="712"/>
        <v>Doctor Who: Collectable License Plate: My Other Car Is A TARDIS</v>
      </c>
      <c r="M2094" s="15" t="str">
        <f t="shared" si="713"/>
        <v>-</v>
      </c>
      <c r="N2094" s="15">
        <f t="shared" si="714"/>
        <v>0.6</v>
      </c>
      <c r="O2094" s="15" t="str">
        <f t="shared" si="715"/>
        <v>A50</v>
      </c>
      <c r="P2094" s="15" t="str">
        <f t="shared" si="716"/>
        <v>Rassilon Ltd.</v>
      </c>
      <c r="Q2094" s="15" t="str">
        <f t="shared" si="717"/>
        <v>82 Richard Mathews Road</v>
      </c>
      <c r="R2094" s="3">
        <f>OrdersTable!C2094</f>
        <v>44711</v>
      </c>
      <c r="S2094" s="15">
        <f>OrdersTable!E2094</f>
        <v>10</v>
      </c>
      <c r="T2094" s="15">
        <f t="shared" si="718"/>
        <v>11.99</v>
      </c>
      <c r="U2094" s="15">
        <f t="shared" si="719"/>
        <v>16.579999999999998</v>
      </c>
      <c r="V2094" s="15">
        <f t="shared" si="720"/>
        <v>19.420000000000002</v>
      </c>
      <c r="W2094" s="15">
        <f>IF(MarkupType="Store Markup",ROUND(V2094+V2094*StoreMarkup,2),IF(MarkupType="Supplier Markup",V2094+V2094*SupplierMarkup,"Error at finding value"))</f>
        <v>30.59</v>
      </c>
      <c r="X2094" s="32" t="str">
        <f t="shared" si="722"/>
        <v>0.00</v>
      </c>
      <c r="Y2094" s="15">
        <f t="shared" si="723"/>
        <v>194.2</v>
      </c>
      <c r="Z2094" s="15">
        <f t="shared" si="724"/>
        <v>305.89999999999998</v>
      </c>
      <c r="AA2094" s="15">
        <f>IF(FreightType="Lethbridge-Stewart Freight ",ROUND(2.99+IF(N2094&gt;0.75,(N2094-0.75)*2.25,0)*S2094,2),IF(MarkupType="Supplier Markup",V2094+V2094*SupplierMarkup,"Error at finding value"))</f>
        <v>2.99</v>
      </c>
      <c r="AB2094" s="15">
        <f t="shared" si="725"/>
        <v>0</v>
      </c>
    </row>
    <row r="2095" spans="1:28" x14ac:dyDescent="0.25">
      <c r="A2095" s="16">
        <f>OrdersTable!A2095</f>
        <v>961</v>
      </c>
      <c r="B2095" s="15" t="str">
        <f t="shared" si="705"/>
        <v>Ms</v>
      </c>
      <c r="C2095" s="15" t="str">
        <f t="shared" si="726"/>
        <v>Schuh</v>
      </c>
      <c r="D2095" s="15" t="str">
        <f t="shared" si="706"/>
        <v>Rebecca Anne</v>
      </c>
      <c r="E2095" s="15" t="str">
        <f t="shared" si="707"/>
        <v>48 Wilson Court</v>
      </c>
      <c r="F2095" s="15" t="str">
        <f t="shared" si="708"/>
        <v>Breakwater</v>
      </c>
      <c r="G2095" s="15" t="str">
        <f t="shared" si="709"/>
        <v>VIC</v>
      </c>
      <c r="H2095" s="15">
        <f t="shared" si="710"/>
        <v>3219</v>
      </c>
      <c r="I2095" s="15">
        <f t="shared" si="721"/>
        <v>1596</v>
      </c>
      <c r="J2095" s="15">
        <f>OrdersTable!B2095</f>
        <v>594</v>
      </c>
      <c r="K2095" s="15" t="str">
        <f t="shared" si="711"/>
        <v>iPhone Skins</v>
      </c>
      <c r="L2095" s="15" t="str">
        <f t="shared" si="712"/>
        <v>Doctor Who: iPhone Skin: Keep Calm And Don't Blink</v>
      </c>
      <c r="M2095" s="15" t="str">
        <f t="shared" si="713"/>
        <v>-</v>
      </c>
      <c r="N2095" s="15">
        <f t="shared" si="714"/>
        <v>0.5</v>
      </c>
      <c r="O2095" s="15" t="str">
        <f t="shared" si="715"/>
        <v>A20</v>
      </c>
      <c r="P2095" s="15" t="str">
        <f t="shared" si="716"/>
        <v>Morbius Inc.</v>
      </c>
      <c r="Q2095" s="15" t="str">
        <f t="shared" si="717"/>
        <v>56 Michael Spice Hwy</v>
      </c>
      <c r="R2095" s="3">
        <f>OrdersTable!C2095</f>
        <v>44711</v>
      </c>
      <c r="S2095" s="15">
        <f>OrdersTable!E2095</f>
        <v>7</v>
      </c>
      <c r="T2095" s="15">
        <f t="shared" si="718"/>
        <v>9.99</v>
      </c>
      <c r="U2095" s="15">
        <f t="shared" si="719"/>
        <v>13.88</v>
      </c>
      <c r="V2095" s="15">
        <f t="shared" si="720"/>
        <v>16.18</v>
      </c>
      <c r="W2095" s="15">
        <f>IF(MarkupType="Store Markup",ROUND(V2095+V2095*StoreMarkup,2),IF(MarkupType="Supplier Markup",V2095+V2095*SupplierMarkup,"Error at finding value"))</f>
        <v>25.48</v>
      </c>
      <c r="X2095" s="32" t="str">
        <f t="shared" si="722"/>
        <v>0.00</v>
      </c>
      <c r="Y2095" s="15">
        <f t="shared" si="723"/>
        <v>113.26</v>
      </c>
      <c r="Z2095" s="15">
        <f t="shared" si="724"/>
        <v>178.36</v>
      </c>
      <c r="AA2095" s="15">
        <f>IF(FreightType="Lethbridge-Stewart Freight ",ROUND(2.99+IF(N2095&gt;0.75,(N2095-0.75)*2.25,0)*S2095,2),IF(MarkupType="Supplier Markup",V2095+V2095*SupplierMarkup,"Error at finding value"))</f>
        <v>2.99</v>
      </c>
      <c r="AB2095" s="15">
        <f t="shared" si="725"/>
        <v>0</v>
      </c>
    </row>
    <row r="2096" spans="1:28" x14ac:dyDescent="0.25">
      <c r="A2096" s="16">
        <f>OrdersTable!A2096</f>
        <v>42</v>
      </c>
      <c r="B2096" s="15" t="str">
        <f t="shared" si="705"/>
        <v>Mr</v>
      </c>
      <c r="C2096" s="15" t="str">
        <f t="shared" si="726"/>
        <v>Ballantyne</v>
      </c>
      <c r="D2096" s="15" t="str">
        <f t="shared" si="706"/>
        <v>Barry John</v>
      </c>
      <c r="E2096" s="15" t="str">
        <f t="shared" si="707"/>
        <v>14 Bachmann Drive</v>
      </c>
      <c r="F2096" s="15" t="str">
        <f t="shared" si="708"/>
        <v>Alleena</v>
      </c>
      <c r="G2096" s="15" t="str">
        <f t="shared" si="709"/>
        <v>NSW</v>
      </c>
      <c r="H2096" s="15">
        <f t="shared" si="710"/>
        <v>2671</v>
      </c>
      <c r="I2096" s="15">
        <f t="shared" si="721"/>
        <v>988</v>
      </c>
      <c r="J2096" s="15">
        <f>OrdersTable!B2096</f>
        <v>164</v>
      </c>
      <c r="K2096" s="15" t="str">
        <f t="shared" si="711"/>
        <v>Bobbleheads</v>
      </c>
      <c r="L2096" s="15" t="str">
        <f t="shared" si="712"/>
        <v>Doctor Who: Bobblehead: Fourth Doctor</v>
      </c>
      <c r="M2096" s="15" t="str">
        <f t="shared" si="713"/>
        <v>-</v>
      </c>
      <c r="N2096" s="15">
        <f t="shared" si="714"/>
        <v>0.75</v>
      </c>
      <c r="O2096" s="15" t="str">
        <f t="shared" si="715"/>
        <v>A40</v>
      </c>
      <c r="P2096" s="15" t="str">
        <f t="shared" si="716"/>
        <v>Romana Imports</v>
      </c>
      <c r="Q2096" s="15" t="str">
        <f t="shared" si="717"/>
        <v>17 Lalla Ward Road</v>
      </c>
      <c r="R2096" s="3">
        <f>OrdersTable!C2096</f>
        <v>44712</v>
      </c>
      <c r="S2096" s="15">
        <f>OrdersTable!E2096</f>
        <v>7</v>
      </c>
      <c r="T2096" s="15">
        <f t="shared" si="718"/>
        <v>14.99</v>
      </c>
      <c r="U2096" s="15">
        <f t="shared" si="719"/>
        <v>20.53</v>
      </c>
      <c r="V2096" s="15">
        <f t="shared" si="720"/>
        <v>24.28</v>
      </c>
      <c r="W2096" s="15">
        <f>IF(MarkupType="Store Markup",ROUND(V2096+V2096*StoreMarkup,2),IF(MarkupType="Supplier Markup",V2096+V2096*SupplierMarkup,"Error at finding value"))</f>
        <v>38.24</v>
      </c>
      <c r="X2096" s="32" t="str">
        <f t="shared" si="722"/>
        <v>0.00</v>
      </c>
      <c r="Y2096" s="15">
        <f t="shared" si="723"/>
        <v>169.96</v>
      </c>
      <c r="Z2096" s="15">
        <f t="shared" si="724"/>
        <v>267.68</v>
      </c>
      <c r="AA2096" s="15">
        <f>IF(FreightType="Lethbridge-Stewart Freight ",ROUND(2.99+IF(N2096&gt;0.75,(N2096-0.75)*2.25,0)*S2096,2),IF(MarkupType="Supplier Markup",V2096+V2096*SupplierMarkup,"Error at finding value"))</f>
        <v>2.99</v>
      </c>
      <c r="AB2096" s="15">
        <f t="shared" si="725"/>
        <v>0</v>
      </c>
    </row>
    <row r="2097" spans="1:28" x14ac:dyDescent="0.25">
      <c r="A2097" s="16">
        <f>OrdersTable!A2097</f>
        <v>141</v>
      </c>
      <c r="B2097" s="15" t="str">
        <f t="shared" si="705"/>
        <v>Mr</v>
      </c>
      <c r="C2097" s="15" t="str">
        <f t="shared" si="726"/>
        <v>Bergmann</v>
      </c>
      <c r="D2097" s="15" t="str">
        <f t="shared" si="706"/>
        <v>Beau Jay</v>
      </c>
      <c r="E2097" s="15" t="str">
        <f t="shared" si="707"/>
        <v>47 McCullough Circuit</v>
      </c>
      <c r="F2097" s="15" t="str">
        <f t="shared" si="708"/>
        <v>Breakwater</v>
      </c>
      <c r="G2097" s="15" t="str">
        <f t="shared" si="709"/>
        <v>VIC</v>
      </c>
      <c r="H2097" s="15">
        <f t="shared" si="710"/>
        <v>3219</v>
      </c>
      <c r="I2097" s="15">
        <f t="shared" si="721"/>
        <v>1596</v>
      </c>
      <c r="J2097" s="15">
        <f>OrdersTable!B2097</f>
        <v>740</v>
      </c>
      <c r="K2097" s="15" t="str">
        <f t="shared" si="711"/>
        <v>Props and Replicas</v>
      </c>
      <c r="L2097" s="15" t="str">
        <f t="shared" si="712"/>
        <v>Doctor Who: River Song Squareness Blaster</v>
      </c>
      <c r="M2097" s="15" t="str">
        <f t="shared" si="713"/>
        <v>-</v>
      </c>
      <c r="N2097" s="15">
        <f t="shared" si="714"/>
        <v>14.8</v>
      </c>
      <c r="O2097" s="15" t="str">
        <f t="shared" si="715"/>
        <v>A40</v>
      </c>
      <c r="P2097" s="15" t="str">
        <f t="shared" si="716"/>
        <v>Romana Imports</v>
      </c>
      <c r="Q2097" s="15" t="str">
        <f t="shared" si="717"/>
        <v>17 Lalla Ward Road</v>
      </c>
      <c r="R2097" s="3">
        <f>OrdersTable!C2097</f>
        <v>44712</v>
      </c>
      <c r="S2097" s="15">
        <f>OrdersTable!E2097</f>
        <v>10</v>
      </c>
      <c r="T2097" s="15">
        <f t="shared" si="718"/>
        <v>295.99</v>
      </c>
      <c r="U2097" s="15">
        <f t="shared" si="719"/>
        <v>403.84</v>
      </c>
      <c r="V2097" s="15">
        <f t="shared" si="720"/>
        <v>479.5</v>
      </c>
      <c r="W2097" s="15">
        <f>IF(MarkupType="Store Markup",ROUND(V2097+V2097*StoreMarkup,2),IF(MarkupType="Supplier Markup",V2097+V2097*SupplierMarkup,"Error at finding value"))</f>
        <v>755.21</v>
      </c>
      <c r="X2097" s="32">
        <f t="shared" si="722"/>
        <v>53.81</v>
      </c>
      <c r="Y2097" s="15">
        <f t="shared" si="723"/>
        <v>4795</v>
      </c>
      <c r="Z2097" s="15">
        <f t="shared" si="724"/>
        <v>7014</v>
      </c>
      <c r="AA2097" s="15">
        <f>IF(FreightType="Lethbridge-Stewart Freight ",ROUND(2.99+IF(N2097&gt;0.75,(N2097-0.75)*2.25,0)*S2097,2),IF(MarkupType="Supplier Markup",V2097+V2097*SupplierMarkup,"Error at finding value"))</f>
        <v>319.12</v>
      </c>
      <c r="AB2097" s="15">
        <f t="shared" si="725"/>
        <v>538.1</v>
      </c>
    </row>
    <row r="2098" spans="1:28" x14ac:dyDescent="0.25">
      <c r="A2098" s="16">
        <f>OrdersTable!A2098</f>
        <v>146</v>
      </c>
      <c r="B2098" s="15" t="str">
        <f t="shared" si="705"/>
        <v>Miss</v>
      </c>
      <c r="C2098" s="15" t="str">
        <f t="shared" si="726"/>
        <v>Brown</v>
      </c>
      <c r="D2098" s="15" t="str">
        <f t="shared" si="706"/>
        <v>Sarah Danielle</v>
      </c>
      <c r="E2098" s="15" t="str">
        <f t="shared" si="707"/>
        <v>50 Brieschke Court</v>
      </c>
      <c r="F2098" s="15" t="str">
        <f t="shared" si="708"/>
        <v>Bray Park</v>
      </c>
      <c r="G2098" s="15" t="str">
        <f t="shared" si="709"/>
        <v>QLD</v>
      </c>
      <c r="H2098" s="15">
        <f t="shared" si="710"/>
        <v>4500</v>
      </c>
      <c r="I2098" s="15">
        <f t="shared" si="721"/>
        <v>139</v>
      </c>
      <c r="J2098" s="15">
        <f>OrdersTable!B2098</f>
        <v>515</v>
      </c>
      <c r="K2098" s="15" t="str">
        <f t="shared" si="711"/>
        <v>Giftware</v>
      </c>
      <c r="L2098" s="15" t="str">
        <f t="shared" si="712"/>
        <v>Doctor Who: Keyring K9</v>
      </c>
      <c r="M2098" s="15" t="str">
        <f t="shared" si="713"/>
        <v>-</v>
      </c>
      <c r="N2098" s="15">
        <f t="shared" si="714"/>
        <v>0.25</v>
      </c>
      <c r="O2098" s="15" t="str">
        <f t="shared" si="715"/>
        <v>A50</v>
      </c>
      <c r="P2098" s="15" t="str">
        <f t="shared" si="716"/>
        <v>Rassilon Ltd.</v>
      </c>
      <c r="Q2098" s="15" t="str">
        <f t="shared" si="717"/>
        <v>82 Richard Mathews Road</v>
      </c>
      <c r="R2098" s="3">
        <f>OrdersTable!C2098</f>
        <v>44712</v>
      </c>
      <c r="S2098" s="15">
        <f>OrdersTable!E2098</f>
        <v>1</v>
      </c>
      <c r="T2098" s="15">
        <f t="shared" si="718"/>
        <v>4.99</v>
      </c>
      <c r="U2098" s="15">
        <f t="shared" si="719"/>
        <v>6.91</v>
      </c>
      <c r="V2098" s="15">
        <f t="shared" si="720"/>
        <v>8.08</v>
      </c>
      <c r="W2098" s="15">
        <f>IF(MarkupType="Store Markup",ROUND(V2098+V2098*StoreMarkup,2),IF(MarkupType="Supplier Markup",V2098+V2098*SupplierMarkup,"Error at finding value"))</f>
        <v>12.73</v>
      </c>
      <c r="X2098" s="32" t="str">
        <f t="shared" si="722"/>
        <v>0.00</v>
      </c>
      <c r="Y2098" s="15">
        <f t="shared" si="723"/>
        <v>8.08</v>
      </c>
      <c r="Z2098" s="15">
        <f t="shared" si="724"/>
        <v>12.73</v>
      </c>
      <c r="AA2098" s="15">
        <f>IF(FreightType="Lethbridge-Stewart Freight ",ROUND(2.99+IF(N2098&gt;0.75,(N2098-0.75)*2.25,0)*S2098,2),IF(MarkupType="Supplier Markup",V2098+V2098*SupplierMarkup,"Error at finding value"))</f>
        <v>2.99</v>
      </c>
      <c r="AB2098" s="15">
        <f t="shared" si="725"/>
        <v>0</v>
      </c>
    </row>
    <row r="2099" spans="1:28" x14ac:dyDescent="0.25">
      <c r="A2099" s="16">
        <f>OrdersTable!A2099</f>
        <v>224</v>
      </c>
      <c r="B2099" s="15" t="str">
        <f t="shared" si="705"/>
        <v>Miss</v>
      </c>
      <c r="C2099" s="15" t="str">
        <f t="shared" si="726"/>
        <v>Baruwal</v>
      </c>
      <c r="D2099" s="15" t="str">
        <f t="shared" si="706"/>
        <v>Pratikshya</v>
      </c>
      <c r="E2099" s="15" t="str">
        <f t="shared" si="707"/>
        <v>43 Gilloway Street</v>
      </c>
      <c r="F2099" s="15" t="str">
        <f t="shared" si="708"/>
        <v>Iluka</v>
      </c>
      <c r="G2099" s="15" t="str">
        <f t="shared" si="709"/>
        <v>NSW</v>
      </c>
      <c r="H2099" s="15">
        <f t="shared" si="710"/>
        <v>2466</v>
      </c>
      <c r="I2099" s="15">
        <f t="shared" si="721"/>
        <v>347</v>
      </c>
      <c r="J2099" s="15">
        <f>OrdersTable!B2099</f>
        <v>834</v>
      </c>
      <c r="K2099" s="15" t="str">
        <f t="shared" si="711"/>
        <v>Statues and Busts</v>
      </c>
      <c r="L2099" s="15" t="str">
        <f t="shared" si="712"/>
        <v>Doctor Who: Signature Edition Statue: Gallifrey Edition: Matt Smith</v>
      </c>
      <c r="M2099" s="15" t="str">
        <f t="shared" si="713"/>
        <v>-</v>
      </c>
      <c r="N2099" s="15">
        <f t="shared" si="714"/>
        <v>2.5</v>
      </c>
      <c r="O2099" s="15" t="str">
        <f t="shared" si="715"/>
        <v>A30</v>
      </c>
      <c r="P2099" s="15" t="str">
        <f t="shared" si="716"/>
        <v>Chesterton Enterprises</v>
      </c>
      <c r="Q2099" s="15" t="str">
        <f t="shared" si="717"/>
        <v>41 William Russell Road</v>
      </c>
      <c r="R2099" s="3">
        <f>OrdersTable!C2099</f>
        <v>44712</v>
      </c>
      <c r="S2099" s="15">
        <f>OrdersTable!E2099</f>
        <v>1</v>
      </c>
      <c r="T2099" s="15">
        <f t="shared" si="718"/>
        <v>49.99</v>
      </c>
      <c r="U2099" s="15">
        <f t="shared" si="719"/>
        <v>68.52</v>
      </c>
      <c r="V2099" s="15">
        <f t="shared" si="720"/>
        <v>80.98</v>
      </c>
      <c r="W2099" s="15">
        <f>IF(MarkupType="Store Markup",ROUND(V2099+V2099*StoreMarkup,2),IF(MarkupType="Supplier Markup",V2099+V2099*SupplierMarkup,"Error at finding value"))</f>
        <v>127.54</v>
      </c>
      <c r="X2099" s="32" t="str">
        <f t="shared" si="722"/>
        <v>0.00</v>
      </c>
      <c r="Y2099" s="15">
        <f t="shared" si="723"/>
        <v>80.98</v>
      </c>
      <c r="Z2099" s="15">
        <f t="shared" si="724"/>
        <v>127.54</v>
      </c>
      <c r="AA2099" s="15">
        <f>IF(FreightType="Lethbridge-Stewart Freight ",ROUND(2.99+IF(N2099&gt;0.75,(N2099-0.75)*2.25,0)*S2099,2),IF(MarkupType="Supplier Markup",V2099+V2099*SupplierMarkup,"Error at finding value"))</f>
        <v>6.93</v>
      </c>
      <c r="AB2099" s="15">
        <f t="shared" si="725"/>
        <v>0</v>
      </c>
    </row>
    <row r="2100" spans="1:28" x14ac:dyDescent="0.25">
      <c r="A2100" s="16">
        <f>OrdersTable!A2100</f>
        <v>328</v>
      </c>
      <c r="B2100" s="15" t="str">
        <f t="shared" si="705"/>
        <v>Dr</v>
      </c>
      <c r="C2100" s="15" t="str">
        <f t="shared" si="726"/>
        <v>Ward</v>
      </c>
      <c r="D2100" s="15" t="str">
        <f t="shared" si="706"/>
        <v>Keiren Nicholas</v>
      </c>
      <c r="E2100" s="15" t="str">
        <f t="shared" si="707"/>
        <v>13 Green Crescent</v>
      </c>
      <c r="F2100" s="15" t="str">
        <f t="shared" si="708"/>
        <v>Breakwater</v>
      </c>
      <c r="G2100" s="15" t="str">
        <f t="shared" si="709"/>
        <v>VIC</v>
      </c>
      <c r="H2100" s="15">
        <f t="shared" si="710"/>
        <v>3219</v>
      </c>
      <c r="I2100" s="15">
        <f t="shared" si="721"/>
        <v>1596</v>
      </c>
      <c r="J2100" s="15">
        <f>OrdersTable!B2100</f>
        <v>757</v>
      </c>
      <c r="K2100" s="15" t="str">
        <f t="shared" si="711"/>
        <v>Statues and Busts</v>
      </c>
      <c r="L2100" s="15" t="str">
        <f t="shared" si="712"/>
        <v>Doctor Who: Helmet: Ice Warrior</v>
      </c>
      <c r="M2100" s="15" t="str">
        <f t="shared" si="713"/>
        <v>-</v>
      </c>
      <c r="N2100" s="15">
        <f t="shared" si="714"/>
        <v>1.75</v>
      </c>
      <c r="O2100" s="15" t="str">
        <f t="shared" si="715"/>
        <v>A20</v>
      </c>
      <c r="P2100" s="15" t="str">
        <f t="shared" si="716"/>
        <v>Morbius Inc.</v>
      </c>
      <c r="Q2100" s="15" t="str">
        <f t="shared" si="717"/>
        <v>56 Michael Spice Hwy</v>
      </c>
      <c r="R2100" s="3">
        <f>OrdersTable!C2100</f>
        <v>44712</v>
      </c>
      <c r="S2100" s="15">
        <f>OrdersTable!E2100</f>
        <v>1</v>
      </c>
      <c r="T2100" s="15">
        <f t="shared" si="718"/>
        <v>34.99</v>
      </c>
      <c r="U2100" s="15">
        <f t="shared" si="719"/>
        <v>47.88</v>
      </c>
      <c r="V2100" s="15">
        <f t="shared" si="720"/>
        <v>56.68</v>
      </c>
      <c r="W2100" s="15">
        <f>IF(MarkupType="Store Markup",ROUND(V2100+V2100*StoreMarkup,2),IF(MarkupType="Supplier Markup",V2100+V2100*SupplierMarkup,"Error at finding value"))</f>
        <v>89.27</v>
      </c>
      <c r="X2100" s="32" t="str">
        <f t="shared" si="722"/>
        <v>0.00</v>
      </c>
      <c r="Y2100" s="15">
        <f t="shared" si="723"/>
        <v>56.68</v>
      </c>
      <c r="Z2100" s="15">
        <f t="shared" si="724"/>
        <v>89.27</v>
      </c>
      <c r="AA2100" s="15">
        <f>IF(FreightType="Lethbridge-Stewart Freight ",ROUND(2.99+IF(N2100&gt;0.75,(N2100-0.75)*2.25,0)*S2100,2),IF(MarkupType="Supplier Markup",V2100+V2100*SupplierMarkup,"Error at finding value"))</f>
        <v>5.24</v>
      </c>
      <c r="AB2100" s="15">
        <f t="shared" si="725"/>
        <v>0</v>
      </c>
    </row>
    <row r="2101" spans="1:28" x14ac:dyDescent="0.25">
      <c r="A2101" s="16">
        <f>OrdersTable!A2101</f>
        <v>334</v>
      </c>
      <c r="B2101" s="15" t="str">
        <f t="shared" si="705"/>
        <v>Mrs</v>
      </c>
      <c r="C2101" s="15" t="str">
        <f t="shared" si="726"/>
        <v>Wilson</v>
      </c>
      <c r="D2101" s="15" t="str">
        <f t="shared" si="706"/>
        <v>Hayley Lauren</v>
      </c>
      <c r="E2101" s="15" t="str">
        <f t="shared" si="707"/>
        <v>3 Ashley Crescent</v>
      </c>
      <c r="F2101" s="15" t="str">
        <f t="shared" si="708"/>
        <v>Black Hills</v>
      </c>
      <c r="G2101" s="15" t="str">
        <f t="shared" si="709"/>
        <v>TAS</v>
      </c>
      <c r="H2101" s="15">
        <f t="shared" si="710"/>
        <v>7140</v>
      </c>
      <c r="I2101" s="15">
        <f t="shared" si="721"/>
        <v>2191</v>
      </c>
      <c r="J2101" s="15">
        <f>OrdersTable!B2101</f>
        <v>673</v>
      </c>
      <c r="K2101" s="15" t="str">
        <f t="shared" si="711"/>
        <v>Mugs</v>
      </c>
      <c r="L2101" s="15" t="str">
        <f t="shared" si="712"/>
        <v>Doctor Who: Mug: TARDIS With Lid</v>
      </c>
      <c r="M2101" s="15" t="str">
        <f t="shared" si="713"/>
        <v>-</v>
      </c>
      <c r="N2101" s="15">
        <f t="shared" si="714"/>
        <v>0.58499999999999996</v>
      </c>
      <c r="O2101" s="15" t="str">
        <f t="shared" si="715"/>
        <v>A10</v>
      </c>
      <c r="P2101" s="15" t="str">
        <f t="shared" si="716"/>
        <v>Gallifrey International</v>
      </c>
      <c r="Q2101" s="15" t="str">
        <f t="shared" si="717"/>
        <v>181 Arcadia Street</v>
      </c>
      <c r="R2101" s="3">
        <f>OrdersTable!C2101</f>
        <v>44712</v>
      </c>
      <c r="S2101" s="15">
        <f>OrdersTable!E2101</f>
        <v>6</v>
      </c>
      <c r="T2101" s="15">
        <f t="shared" si="718"/>
        <v>11.69</v>
      </c>
      <c r="U2101" s="15">
        <f t="shared" si="719"/>
        <v>16.190000000000001</v>
      </c>
      <c r="V2101" s="15">
        <f t="shared" si="720"/>
        <v>18.940000000000001</v>
      </c>
      <c r="W2101" s="15">
        <f>IF(MarkupType="Store Markup",ROUND(V2101+V2101*StoreMarkup,2),IF(MarkupType="Supplier Markup",V2101+V2101*SupplierMarkup,"Error at finding value"))</f>
        <v>29.83</v>
      </c>
      <c r="X2101" s="32" t="str">
        <f t="shared" si="722"/>
        <v>0.00</v>
      </c>
      <c r="Y2101" s="15">
        <f t="shared" si="723"/>
        <v>113.64</v>
      </c>
      <c r="Z2101" s="15">
        <f t="shared" si="724"/>
        <v>178.98</v>
      </c>
      <c r="AA2101" s="15">
        <f>IF(FreightType="Lethbridge-Stewart Freight ",ROUND(2.99+IF(N2101&gt;0.75,(N2101-0.75)*2.25,0)*S2101,2),IF(MarkupType="Supplier Markup",V2101+V2101*SupplierMarkup,"Error at finding value"))</f>
        <v>2.99</v>
      </c>
      <c r="AB2101" s="15">
        <f t="shared" si="725"/>
        <v>0</v>
      </c>
    </row>
    <row r="2102" spans="1:28" x14ac:dyDescent="0.25">
      <c r="A2102" s="16">
        <f>OrdersTable!A2102</f>
        <v>364</v>
      </c>
      <c r="B2102" s="15" t="str">
        <f t="shared" si="705"/>
        <v>Dr</v>
      </c>
      <c r="C2102" s="15" t="str">
        <f t="shared" si="726"/>
        <v>Reibelt</v>
      </c>
      <c r="D2102" s="15" t="str">
        <f t="shared" si="706"/>
        <v>Corey James</v>
      </c>
      <c r="E2102" s="15" t="str">
        <f t="shared" si="707"/>
        <v>23 Burns Drive</v>
      </c>
      <c r="F2102" s="15" t="str">
        <f t="shared" si="708"/>
        <v>Caliph</v>
      </c>
      <c r="G2102" s="15" t="str">
        <f t="shared" si="709"/>
        <v>SA</v>
      </c>
      <c r="H2102" s="15">
        <f t="shared" si="710"/>
        <v>5310</v>
      </c>
      <c r="I2102" s="15">
        <f t="shared" si="721"/>
        <v>1720</v>
      </c>
      <c r="J2102" s="15">
        <f>OrdersTable!B2102</f>
        <v>702</v>
      </c>
      <c r="K2102" s="15" t="str">
        <f t="shared" si="711"/>
        <v>Posters, Prints and Standees</v>
      </c>
      <c r="L2102" s="15" t="str">
        <f t="shared" si="712"/>
        <v>Doctor Who: Poster: Daleks</v>
      </c>
      <c r="M2102" s="15" t="str">
        <f t="shared" si="713"/>
        <v>-</v>
      </c>
      <c r="N2102" s="15">
        <f t="shared" si="714"/>
        <v>0.2</v>
      </c>
      <c r="O2102" s="15" t="str">
        <f t="shared" si="715"/>
        <v>A50</v>
      </c>
      <c r="P2102" s="15" t="str">
        <f t="shared" si="716"/>
        <v>Rassilon Ltd.</v>
      </c>
      <c r="Q2102" s="15" t="str">
        <f t="shared" si="717"/>
        <v>82 Richard Mathews Road</v>
      </c>
      <c r="R2102" s="3">
        <f>OrdersTable!C2102</f>
        <v>44712</v>
      </c>
      <c r="S2102" s="15">
        <f>OrdersTable!E2102</f>
        <v>7</v>
      </c>
      <c r="T2102" s="15">
        <f t="shared" si="718"/>
        <v>3.99</v>
      </c>
      <c r="U2102" s="15">
        <f t="shared" si="719"/>
        <v>5.46</v>
      </c>
      <c r="V2102" s="15">
        <f t="shared" si="720"/>
        <v>6.46</v>
      </c>
      <c r="W2102" s="15">
        <f>IF(MarkupType="Store Markup",ROUND(V2102+V2102*StoreMarkup,2),IF(MarkupType="Supplier Markup",V2102+V2102*SupplierMarkup,"Error at finding value"))</f>
        <v>10.17</v>
      </c>
      <c r="X2102" s="32" t="str">
        <f t="shared" si="722"/>
        <v>0.00</v>
      </c>
      <c r="Y2102" s="15">
        <f t="shared" si="723"/>
        <v>45.22</v>
      </c>
      <c r="Z2102" s="15">
        <f t="shared" si="724"/>
        <v>71.19</v>
      </c>
      <c r="AA2102" s="15">
        <f>IF(FreightType="Lethbridge-Stewart Freight ",ROUND(2.99+IF(N2102&gt;0.75,(N2102-0.75)*2.25,0)*S2102,2),IF(MarkupType="Supplier Markup",V2102+V2102*SupplierMarkup,"Error at finding value"))</f>
        <v>2.99</v>
      </c>
      <c r="AB2102" s="15">
        <f t="shared" si="725"/>
        <v>0</v>
      </c>
    </row>
    <row r="2103" spans="1:28" x14ac:dyDescent="0.25">
      <c r="A2103" s="16">
        <f>OrdersTable!A2103</f>
        <v>370</v>
      </c>
      <c r="B2103" s="15" t="str">
        <f t="shared" si="705"/>
        <v>Mr</v>
      </c>
      <c r="C2103" s="15" t="str">
        <f t="shared" si="726"/>
        <v>Kennedy</v>
      </c>
      <c r="D2103" s="15" t="str">
        <f t="shared" si="706"/>
        <v>Joseph Dominic</v>
      </c>
      <c r="E2103" s="15" t="str">
        <f t="shared" si="707"/>
        <v>43 Barton Road</v>
      </c>
      <c r="F2103" s="15" t="str">
        <f t="shared" si="708"/>
        <v>Boston</v>
      </c>
      <c r="G2103" s="15" t="str">
        <f t="shared" si="709"/>
        <v>SA</v>
      </c>
      <c r="H2103" s="15">
        <f t="shared" si="710"/>
        <v>5607</v>
      </c>
      <c r="I2103" s="15">
        <f t="shared" si="721"/>
        <v>2076</v>
      </c>
      <c r="J2103" s="15">
        <f>OrdersTable!B2103</f>
        <v>128</v>
      </c>
      <c r="K2103" s="15" t="str">
        <f t="shared" si="711"/>
        <v>Bobbleheads</v>
      </c>
      <c r="L2103" s="15" t="str">
        <f t="shared" si="712"/>
        <v>Doctor Who: Bobblehead: Davros</v>
      </c>
      <c r="M2103" s="15" t="str">
        <f t="shared" si="713"/>
        <v>-</v>
      </c>
      <c r="N2103" s="15">
        <f t="shared" si="714"/>
        <v>0.85</v>
      </c>
      <c r="O2103" s="15" t="str">
        <f t="shared" si="715"/>
        <v>A50</v>
      </c>
      <c r="P2103" s="15" t="str">
        <f t="shared" si="716"/>
        <v>Rassilon Ltd.</v>
      </c>
      <c r="Q2103" s="15" t="str">
        <f t="shared" si="717"/>
        <v>82 Richard Mathews Road</v>
      </c>
      <c r="R2103" s="3">
        <f>OrdersTable!C2103</f>
        <v>44712</v>
      </c>
      <c r="S2103" s="15">
        <f>OrdersTable!E2103</f>
        <v>6</v>
      </c>
      <c r="T2103" s="15">
        <f t="shared" si="718"/>
        <v>16.989999999999998</v>
      </c>
      <c r="U2103" s="15">
        <f t="shared" si="719"/>
        <v>23.27</v>
      </c>
      <c r="V2103" s="15">
        <f t="shared" si="720"/>
        <v>27.52</v>
      </c>
      <c r="W2103" s="15">
        <f>IF(MarkupType="Store Markup",ROUND(V2103+V2103*StoreMarkup,2),IF(MarkupType="Supplier Markup",V2103+V2103*SupplierMarkup,"Error at finding value"))</f>
        <v>43.34</v>
      </c>
      <c r="X2103" s="32" t="str">
        <f t="shared" si="722"/>
        <v>0.00</v>
      </c>
      <c r="Y2103" s="15">
        <f t="shared" si="723"/>
        <v>165.12</v>
      </c>
      <c r="Z2103" s="15">
        <f t="shared" si="724"/>
        <v>260.04000000000002</v>
      </c>
      <c r="AA2103" s="15">
        <f>IF(FreightType="Lethbridge-Stewart Freight ",ROUND(2.99+IF(N2103&gt;0.75,(N2103-0.75)*2.25,0)*S2103,2),IF(MarkupType="Supplier Markup",V2103+V2103*SupplierMarkup,"Error at finding value"))</f>
        <v>4.34</v>
      </c>
      <c r="AB2103" s="15">
        <f t="shared" si="725"/>
        <v>0</v>
      </c>
    </row>
    <row r="2104" spans="1:28" x14ac:dyDescent="0.25">
      <c r="A2104" s="16">
        <f>OrdersTable!A2104</f>
        <v>526</v>
      </c>
      <c r="B2104" s="15" t="str">
        <f t="shared" si="705"/>
        <v>Mrs</v>
      </c>
      <c r="C2104" s="15" t="str">
        <f t="shared" si="726"/>
        <v>Bradford</v>
      </c>
      <c r="D2104" s="15" t="str">
        <f t="shared" si="706"/>
        <v>Haleigh Renae Ann</v>
      </c>
      <c r="E2104" s="15" t="str">
        <f t="shared" si="707"/>
        <v>31 Johnston Road</v>
      </c>
      <c r="F2104" s="15" t="str">
        <f t="shared" si="708"/>
        <v>Ashford</v>
      </c>
      <c r="G2104" s="15" t="str">
        <f t="shared" si="709"/>
        <v>SA</v>
      </c>
      <c r="H2104" s="15">
        <f t="shared" si="710"/>
        <v>5035</v>
      </c>
      <c r="I2104" s="15">
        <f t="shared" si="721"/>
        <v>1877</v>
      </c>
      <c r="J2104" s="15">
        <f>OrdersTable!B2104</f>
        <v>759</v>
      </c>
      <c r="K2104" s="15" t="str">
        <f t="shared" si="711"/>
        <v>Statues and Busts</v>
      </c>
      <c r="L2104" s="15" t="str">
        <f t="shared" si="712"/>
        <v>Doctor Who: Legends Forever Bust: Jon Pertwee</v>
      </c>
      <c r="M2104" s="15" t="str">
        <f t="shared" si="713"/>
        <v>-</v>
      </c>
      <c r="N2104" s="15">
        <f t="shared" si="714"/>
        <v>1.375</v>
      </c>
      <c r="O2104" s="15" t="str">
        <f t="shared" si="715"/>
        <v>A30</v>
      </c>
      <c r="P2104" s="15" t="str">
        <f t="shared" si="716"/>
        <v>Chesterton Enterprises</v>
      </c>
      <c r="Q2104" s="15" t="str">
        <f t="shared" si="717"/>
        <v>41 William Russell Road</v>
      </c>
      <c r="R2104" s="3">
        <f>OrdersTable!C2104</f>
        <v>44712</v>
      </c>
      <c r="S2104" s="15">
        <f>OrdersTable!E2104</f>
        <v>3</v>
      </c>
      <c r="T2104" s="15">
        <f t="shared" si="718"/>
        <v>27.5</v>
      </c>
      <c r="U2104" s="15">
        <f t="shared" si="719"/>
        <v>37.630000000000003</v>
      </c>
      <c r="V2104" s="15">
        <f t="shared" si="720"/>
        <v>44.55</v>
      </c>
      <c r="W2104" s="15">
        <f>IF(MarkupType="Store Markup",ROUND(V2104+V2104*StoreMarkup,2),IF(MarkupType="Supplier Markup",V2104+V2104*SupplierMarkup,"Error at finding value"))</f>
        <v>70.17</v>
      </c>
      <c r="X2104" s="32" t="str">
        <f t="shared" si="722"/>
        <v>0.00</v>
      </c>
      <c r="Y2104" s="15">
        <f t="shared" si="723"/>
        <v>133.65</v>
      </c>
      <c r="Z2104" s="15">
        <f t="shared" si="724"/>
        <v>210.51</v>
      </c>
      <c r="AA2104" s="15">
        <f>IF(FreightType="Lethbridge-Stewart Freight ",ROUND(2.99+IF(N2104&gt;0.75,(N2104-0.75)*2.25,0)*S2104,2),IF(MarkupType="Supplier Markup",V2104+V2104*SupplierMarkup,"Error at finding value"))</f>
        <v>7.21</v>
      </c>
      <c r="AB2104" s="15">
        <f t="shared" si="725"/>
        <v>0</v>
      </c>
    </row>
    <row r="2105" spans="1:28" x14ac:dyDescent="0.25">
      <c r="A2105" s="16">
        <f>OrdersTable!A2105</f>
        <v>561</v>
      </c>
      <c r="B2105" s="15" t="str">
        <f t="shared" si="705"/>
        <v>Ms</v>
      </c>
      <c r="C2105" s="15" t="str">
        <f t="shared" si="726"/>
        <v>Mulcahy</v>
      </c>
      <c r="D2105" s="15" t="str">
        <f t="shared" si="706"/>
        <v>Jodie Leigh</v>
      </c>
      <c r="E2105" s="15" t="str">
        <f t="shared" si="707"/>
        <v>32 Scott Crescent</v>
      </c>
      <c r="F2105" s="15" t="str">
        <f t="shared" si="708"/>
        <v>Bray Park</v>
      </c>
      <c r="G2105" s="15" t="str">
        <f t="shared" si="709"/>
        <v>QLD</v>
      </c>
      <c r="H2105" s="15">
        <f t="shared" si="710"/>
        <v>4500</v>
      </c>
      <c r="I2105" s="15">
        <f t="shared" si="721"/>
        <v>139</v>
      </c>
      <c r="J2105" s="15">
        <f>OrdersTable!B2105</f>
        <v>745</v>
      </c>
      <c r="K2105" s="15" t="str">
        <f t="shared" si="711"/>
        <v>Props and Replicas</v>
      </c>
      <c r="L2105" s="15" t="str">
        <f t="shared" si="712"/>
        <v>Doctor Who: TARDIS Type 40 Plaque</v>
      </c>
      <c r="M2105" s="15" t="str">
        <f t="shared" si="713"/>
        <v>-</v>
      </c>
      <c r="N2105" s="15">
        <f t="shared" si="714"/>
        <v>1.75</v>
      </c>
      <c r="O2105" s="15" t="str">
        <f t="shared" si="715"/>
        <v>A30</v>
      </c>
      <c r="P2105" s="15" t="str">
        <f t="shared" si="716"/>
        <v>Chesterton Enterprises</v>
      </c>
      <c r="Q2105" s="15" t="str">
        <f t="shared" si="717"/>
        <v>41 William Russell Road</v>
      </c>
      <c r="R2105" s="3">
        <f>OrdersTable!C2105</f>
        <v>44712</v>
      </c>
      <c r="S2105" s="15">
        <f>OrdersTable!E2105</f>
        <v>2</v>
      </c>
      <c r="T2105" s="15">
        <f t="shared" si="718"/>
        <v>34.99</v>
      </c>
      <c r="U2105" s="15">
        <f t="shared" si="719"/>
        <v>47.86</v>
      </c>
      <c r="V2105" s="15">
        <f t="shared" si="720"/>
        <v>56.68</v>
      </c>
      <c r="W2105" s="15">
        <f>IF(MarkupType="Store Markup",ROUND(V2105+V2105*StoreMarkup,2),IF(MarkupType="Supplier Markup",V2105+V2105*SupplierMarkup,"Error at finding value"))</f>
        <v>89.27</v>
      </c>
      <c r="X2105" s="32" t="str">
        <f t="shared" si="722"/>
        <v>0.00</v>
      </c>
      <c r="Y2105" s="15">
        <f t="shared" si="723"/>
        <v>113.36</v>
      </c>
      <c r="Z2105" s="15">
        <f t="shared" si="724"/>
        <v>178.54</v>
      </c>
      <c r="AA2105" s="15">
        <f>IF(FreightType="Lethbridge-Stewart Freight ",ROUND(2.99+IF(N2105&gt;0.75,(N2105-0.75)*2.25,0)*S2105,2),IF(MarkupType="Supplier Markup",V2105+V2105*SupplierMarkup,"Error at finding value"))</f>
        <v>7.49</v>
      </c>
      <c r="AB2105" s="15">
        <f t="shared" si="725"/>
        <v>0</v>
      </c>
    </row>
    <row r="2106" spans="1:28" x14ac:dyDescent="0.25">
      <c r="A2106" s="16">
        <f>OrdersTable!A2106</f>
        <v>609</v>
      </c>
      <c r="B2106" s="15" t="str">
        <f t="shared" si="705"/>
        <v>Ms</v>
      </c>
      <c r="C2106" s="15" t="str">
        <f t="shared" si="726"/>
        <v>Ashley</v>
      </c>
      <c r="D2106" s="15" t="str">
        <f t="shared" si="706"/>
        <v>Matthew</v>
      </c>
      <c r="E2106" s="15" t="str">
        <f t="shared" si="707"/>
        <v>3 Wagener Crescent</v>
      </c>
      <c r="F2106" s="15" t="str">
        <f t="shared" si="708"/>
        <v>Aberfoyle</v>
      </c>
      <c r="G2106" s="15" t="str">
        <f t="shared" si="709"/>
        <v>NSW</v>
      </c>
      <c r="H2106" s="15">
        <f t="shared" si="710"/>
        <v>2350</v>
      </c>
      <c r="I2106" s="15">
        <f t="shared" si="721"/>
        <v>363</v>
      </c>
      <c r="J2106" s="15">
        <f>OrdersTable!B2106</f>
        <v>594</v>
      </c>
      <c r="K2106" s="15" t="str">
        <f t="shared" si="711"/>
        <v>iPhone Skins</v>
      </c>
      <c r="L2106" s="15" t="str">
        <f t="shared" si="712"/>
        <v>Doctor Who: iPhone Skin: Keep Calm And Don't Blink</v>
      </c>
      <c r="M2106" s="15" t="str">
        <f t="shared" si="713"/>
        <v>-</v>
      </c>
      <c r="N2106" s="15">
        <f t="shared" si="714"/>
        <v>0.5</v>
      </c>
      <c r="O2106" s="15" t="str">
        <f t="shared" si="715"/>
        <v>A20</v>
      </c>
      <c r="P2106" s="15" t="str">
        <f t="shared" si="716"/>
        <v>Morbius Inc.</v>
      </c>
      <c r="Q2106" s="15" t="str">
        <f t="shared" si="717"/>
        <v>56 Michael Spice Hwy</v>
      </c>
      <c r="R2106" s="3">
        <f>OrdersTable!C2106</f>
        <v>44712</v>
      </c>
      <c r="S2106" s="15">
        <f>OrdersTable!E2106</f>
        <v>4</v>
      </c>
      <c r="T2106" s="15">
        <f t="shared" si="718"/>
        <v>9.99</v>
      </c>
      <c r="U2106" s="15">
        <f t="shared" si="719"/>
        <v>13.88</v>
      </c>
      <c r="V2106" s="15">
        <f t="shared" si="720"/>
        <v>16.18</v>
      </c>
      <c r="W2106" s="15">
        <f>IF(MarkupType="Store Markup",ROUND(V2106+V2106*StoreMarkup,2),IF(MarkupType="Supplier Markup",V2106+V2106*SupplierMarkup,"Error at finding value"))</f>
        <v>25.48</v>
      </c>
      <c r="X2106" s="32" t="str">
        <f t="shared" si="722"/>
        <v>0.00</v>
      </c>
      <c r="Y2106" s="15">
        <f t="shared" si="723"/>
        <v>64.72</v>
      </c>
      <c r="Z2106" s="15">
        <f t="shared" si="724"/>
        <v>101.92</v>
      </c>
      <c r="AA2106" s="15">
        <f>IF(FreightType="Lethbridge-Stewart Freight ",ROUND(2.99+IF(N2106&gt;0.75,(N2106-0.75)*2.25,0)*S2106,2),IF(MarkupType="Supplier Markup",V2106+V2106*SupplierMarkup,"Error at finding value"))</f>
        <v>2.99</v>
      </c>
      <c r="AB2106" s="15">
        <f t="shared" si="725"/>
        <v>0</v>
      </c>
    </row>
    <row r="2107" spans="1:28" x14ac:dyDescent="0.25">
      <c r="A2107" s="16">
        <f>OrdersTable!A2107</f>
        <v>983</v>
      </c>
      <c r="B2107" s="15" t="str">
        <f t="shared" si="705"/>
        <v>Mrs</v>
      </c>
      <c r="C2107" s="15" t="str">
        <f t="shared" si="726"/>
        <v>Bennett</v>
      </c>
      <c r="D2107" s="15" t="str">
        <f t="shared" si="706"/>
        <v>Mikayla Elizabeth</v>
      </c>
      <c r="E2107" s="15" t="str">
        <f t="shared" si="707"/>
        <v>35 Khanal Crescent</v>
      </c>
      <c r="F2107" s="15" t="str">
        <f t="shared" si="708"/>
        <v>Bamboo</v>
      </c>
      <c r="G2107" s="15" t="str">
        <f t="shared" si="709"/>
        <v>QLD</v>
      </c>
      <c r="H2107" s="15">
        <f t="shared" si="710"/>
        <v>4873</v>
      </c>
      <c r="I2107" s="15">
        <f t="shared" si="721"/>
        <v>1741</v>
      </c>
      <c r="J2107" s="15">
        <f>OrdersTable!B2107</f>
        <v>164</v>
      </c>
      <c r="K2107" s="15" t="str">
        <f t="shared" si="711"/>
        <v>Bobbleheads</v>
      </c>
      <c r="L2107" s="15" t="str">
        <f t="shared" si="712"/>
        <v>Doctor Who: Bobblehead: Fourth Doctor</v>
      </c>
      <c r="M2107" s="15" t="str">
        <f t="shared" si="713"/>
        <v>-</v>
      </c>
      <c r="N2107" s="15">
        <f t="shared" si="714"/>
        <v>0.75</v>
      </c>
      <c r="O2107" s="15" t="str">
        <f t="shared" si="715"/>
        <v>A40</v>
      </c>
      <c r="P2107" s="15" t="str">
        <f t="shared" si="716"/>
        <v>Romana Imports</v>
      </c>
      <c r="Q2107" s="15" t="str">
        <f t="shared" si="717"/>
        <v>17 Lalla Ward Road</v>
      </c>
      <c r="R2107" s="3">
        <f>OrdersTable!C2107</f>
        <v>44712</v>
      </c>
      <c r="S2107" s="15">
        <f>OrdersTable!E2107</f>
        <v>7</v>
      </c>
      <c r="T2107" s="15">
        <f t="shared" si="718"/>
        <v>14.99</v>
      </c>
      <c r="U2107" s="15">
        <f t="shared" si="719"/>
        <v>20.53</v>
      </c>
      <c r="V2107" s="15">
        <f t="shared" si="720"/>
        <v>24.28</v>
      </c>
      <c r="W2107" s="15">
        <f>IF(MarkupType="Store Markup",ROUND(V2107+V2107*StoreMarkup,2),IF(MarkupType="Supplier Markup",V2107+V2107*SupplierMarkup,"Error at finding value"))</f>
        <v>38.24</v>
      </c>
      <c r="X2107" s="32" t="str">
        <f t="shared" si="722"/>
        <v>0.00</v>
      </c>
      <c r="Y2107" s="15">
        <f t="shared" si="723"/>
        <v>169.96</v>
      </c>
      <c r="Z2107" s="15">
        <f t="shared" si="724"/>
        <v>267.68</v>
      </c>
      <c r="AA2107" s="15">
        <f>IF(FreightType="Lethbridge-Stewart Freight ",ROUND(2.99+IF(N2107&gt;0.75,(N2107-0.75)*2.25,0)*S2107,2),IF(MarkupType="Supplier Markup",V2107+V2107*SupplierMarkup,"Error at finding value"))</f>
        <v>2.99</v>
      </c>
      <c r="AB2107" s="15">
        <f t="shared" si="725"/>
        <v>0</v>
      </c>
    </row>
    <row r="2108" spans="1:28" x14ac:dyDescent="0.25">
      <c r="A2108" s="16">
        <f>OrdersTable!A2108</f>
        <v>46</v>
      </c>
      <c r="B2108" s="15" t="str">
        <f t="shared" si="705"/>
        <v>Mrs</v>
      </c>
      <c r="C2108" s="15" t="str">
        <f t="shared" si="726"/>
        <v>Dovey</v>
      </c>
      <c r="D2108" s="15" t="str">
        <f t="shared" si="706"/>
        <v>Aisha Jade</v>
      </c>
      <c r="E2108" s="15" t="str">
        <f t="shared" si="707"/>
        <v>43 Wilkes Circuit</v>
      </c>
      <c r="F2108" s="15" t="str">
        <f t="shared" si="708"/>
        <v>Alfredtown</v>
      </c>
      <c r="G2108" s="15" t="str">
        <f t="shared" si="709"/>
        <v>NSW</v>
      </c>
      <c r="H2108" s="15">
        <f t="shared" si="710"/>
        <v>2650</v>
      </c>
      <c r="I2108" s="15">
        <f t="shared" si="721"/>
        <v>1124</v>
      </c>
      <c r="J2108" s="15">
        <f>OrdersTable!B2108</f>
        <v>726</v>
      </c>
      <c r="K2108" s="15" t="str">
        <f t="shared" si="711"/>
        <v>Props and Replicas</v>
      </c>
      <c r="L2108" s="15" t="str">
        <f t="shared" si="712"/>
        <v>Doctor Who: Dalek Death Ray</v>
      </c>
      <c r="M2108" s="15" t="str">
        <f t="shared" si="713"/>
        <v>-</v>
      </c>
      <c r="N2108" s="15">
        <f t="shared" si="714"/>
        <v>18</v>
      </c>
      <c r="O2108" s="15" t="str">
        <f t="shared" si="715"/>
        <v>A30</v>
      </c>
      <c r="P2108" s="15" t="str">
        <f t="shared" si="716"/>
        <v>Chesterton Enterprises</v>
      </c>
      <c r="Q2108" s="15" t="str">
        <f t="shared" si="717"/>
        <v>41 William Russell Road</v>
      </c>
      <c r="R2108" s="3">
        <f>OrdersTable!C2108</f>
        <v>44713</v>
      </c>
      <c r="S2108" s="15">
        <f>OrdersTable!E2108</f>
        <v>6</v>
      </c>
      <c r="T2108" s="15">
        <f t="shared" si="718"/>
        <v>359.99</v>
      </c>
      <c r="U2108" s="15">
        <f t="shared" si="719"/>
        <v>491.12</v>
      </c>
      <c r="V2108" s="15">
        <f t="shared" si="720"/>
        <v>583.17999999999995</v>
      </c>
      <c r="W2108" s="15">
        <f>IF(MarkupType="Store Markup",ROUND(V2108+V2108*StoreMarkup,2),IF(MarkupType="Supplier Markup",V2108+V2108*SupplierMarkup,"Error at finding value"))</f>
        <v>918.51</v>
      </c>
      <c r="X2108" s="32">
        <f t="shared" si="722"/>
        <v>65.44</v>
      </c>
      <c r="Y2108" s="15">
        <f t="shared" si="723"/>
        <v>3499.08</v>
      </c>
      <c r="Z2108" s="15">
        <f t="shared" si="724"/>
        <v>5118.42</v>
      </c>
      <c r="AA2108" s="15">
        <f>IF(FreightType="Lethbridge-Stewart Freight ",ROUND(2.99+IF(N2108&gt;0.75,(N2108-0.75)*2.25,0)*S2108,2),IF(MarkupType="Supplier Markup",V2108+V2108*SupplierMarkup,"Error at finding value"))</f>
        <v>235.87</v>
      </c>
      <c r="AB2108" s="15">
        <f t="shared" si="725"/>
        <v>392.64</v>
      </c>
    </row>
    <row r="2109" spans="1:28" x14ac:dyDescent="0.25">
      <c r="A2109" s="16">
        <f>OrdersTable!A2109</f>
        <v>55</v>
      </c>
      <c r="B2109" s="15" t="str">
        <f t="shared" si="705"/>
        <v>Mr</v>
      </c>
      <c r="C2109" s="15" t="str">
        <f t="shared" si="726"/>
        <v>Myers</v>
      </c>
      <c r="D2109" s="15" t="str">
        <f t="shared" si="706"/>
        <v>Luke Charles</v>
      </c>
      <c r="E2109" s="15" t="str">
        <f t="shared" si="707"/>
        <v>25 Penrose Street</v>
      </c>
      <c r="F2109" s="15" t="str">
        <f t="shared" si="708"/>
        <v>Black Hills</v>
      </c>
      <c r="G2109" s="15" t="str">
        <f t="shared" si="709"/>
        <v>TAS</v>
      </c>
      <c r="H2109" s="15">
        <f t="shared" si="710"/>
        <v>7140</v>
      </c>
      <c r="I2109" s="15">
        <f t="shared" si="721"/>
        <v>2191</v>
      </c>
      <c r="J2109" s="15">
        <f>OrdersTable!B2109</f>
        <v>747</v>
      </c>
      <c r="K2109" s="15" t="str">
        <f t="shared" si="711"/>
        <v>Props and Replicas</v>
      </c>
      <c r="L2109" s="15" t="str">
        <f t="shared" si="712"/>
        <v>Doctor Who: The Master's Fob Watch</v>
      </c>
      <c r="M2109" s="15" t="str">
        <f t="shared" si="713"/>
        <v>-</v>
      </c>
      <c r="N2109" s="15">
        <f t="shared" si="714"/>
        <v>2.25</v>
      </c>
      <c r="O2109" s="15" t="str">
        <f t="shared" si="715"/>
        <v>A10</v>
      </c>
      <c r="P2109" s="15" t="str">
        <f t="shared" si="716"/>
        <v>Gallifrey International</v>
      </c>
      <c r="Q2109" s="15" t="str">
        <f t="shared" si="717"/>
        <v>181 Arcadia Street</v>
      </c>
      <c r="R2109" s="3">
        <f>OrdersTable!C2109</f>
        <v>44713</v>
      </c>
      <c r="S2109" s="15">
        <f>OrdersTable!E2109</f>
        <v>3</v>
      </c>
      <c r="T2109" s="15">
        <f t="shared" si="718"/>
        <v>44.99</v>
      </c>
      <c r="U2109" s="15">
        <f t="shared" si="719"/>
        <v>61.7</v>
      </c>
      <c r="V2109" s="15">
        <f t="shared" si="720"/>
        <v>72.88</v>
      </c>
      <c r="W2109" s="15">
        <f>IF(MarkupType="Store Markup",ROUND(V2109+V2109*StoreMarkup,2),IF(MarkupType="Supplier Markup",V2109+V2109*SupplierMarkup,"Error at finding value"))</f>
        <v>114.79</v>
      </c>
      <c r="X2109" s="32">
        <f t="shared" si="722"/>
        <v>8.18</v>
      </c>
      <c r="Y2109" s="15">
        <f t="shared" si="723"/>
        <v>218.64</v>
      </c>
      <c r="Z2109" s="15">
        <f t="shared" si="724"/>
        <v>319.83</v>
      </c>
      <c r="AA2109" s="15">
        <f>IF(FreightType="Lethbridge-Stewart Freight ",ROUND(2.99+IF(N2109&gt;0.75,(N2109-0.75)*2.25,0)*S2109,2),IF(MarkupType="Supplier Markup",V2109+V2109*SupplierMarkup,"Error at finding value"))</f>
        <v>13.12</v>
      </c>
      <c r="AB2109" s="15">
        <f t="shared" si="725"/>
        <v>24.54</v>
      </c>
    </row>
    <row r="2110" spans="1:28" x14ac:dyDescent="0.25">
      <c r="A2110" s="16">
        <f>OrdersTable!A2110</f>
        <v>249</v>
      </c>
      <c r="B2110" s="15" t="str">
        <f t="shared" si="705"/>
        <v>Mr</v>
      </c>
      <c r="C2110" s="15" t="str">
        <f t="shared" si="726"/>
        <v>Sinclair</v>
      </c>
      <c r="D2110" s="15" t="str">
        <f t="shared" si="706"/>
        <v>Travis James Foord</v>
      </c>
      <c r="E2110" s="15" t="str">
        <f t="shared" si="707"/>
        <v>25 Leunen Avenue</v>
      </c>
      <c r="F2110" s="15" t="str">
        <f t="shared" si="708"/>
        <v>Batlow</v>
      </c>
      <c r="G2110" s="15" t="str">
        <f t="shared" si="709"/>
        <v>NSW</v>
      </c>
      <c r="H2110" s="15">
        <f t="shared" si="710"/>
        <v>2730</v>
      </c>
      <c r="I2110" s="15">
        <f t="shared" si="721"/>
        <v>1138</v>
      </c>
      <c r="J2110" s="15">
        <f>OrdersTable!B2110</f>
        <v>373</v>
      </c>
      <c r="K2110" s="15" t="str">
        <f t="shared" si="711"/>
        <v>Clothing and Apparel</v>
      </c>
      <c r="L2110" s="15" t="str">
        <f t="shared" si="712"/>
        <v xml:space="preserve">Doctor Who: T-Shirts: 5th Doctor Costume </v>
      </c>
      <c r="M2110" s="15" t="str">
        <f t="shared" si="713"/>
        <v>L</v>
      </c>
      <c r="N2110" s="15">
        <f t="shared" si="714"/>
        <v>0.8</v>
      </c>
      <c r="O2110" s="15" t="str">
        <f t="shared" si="715"/>
        <v>A20</v>
      </c>
      <c r="P2110" s="15" t="str">
        <f t="shared" si="716"/>
        <v>Morbius Inc.</v>
      </c>
      <c r="Q2110" s="15" t="str">
        <f t="shared" si="717"/>
        <v>56 Michael Spice Hwy</v>
      </c>
      <c r="R2110" s="3">
        <f>OrdersTable!C2110</f>
        <v>44713</v>
      </c>
      <c r="S2110" s="15">
        <f>OrdersTable!E2110</f>
        <v>4</v>
      </c>
      <c r="T2110" s="15">
        <f t="shared" si="718"/>
        <v>15.99</v>
      </c>
      <c r="U2110" s="15">
        <f t="shared" si="719"/>
        <v>22.09</v>
      </c>
      <c r="V2110" s="15">
        <f t="shared" si="720"/>
        <v>25.9</v>
      </c>
      <c r="W2110" s="15">
        <f>IF(MarkupType="Store Markup",ROUND(V2110+V2110*StoreMarkup,2),IF(MarkupType="Supplier Markup",V2110+V2110*SupplierMarkup,"Error at finding value"))</f>
        <v>40.79</v>
      </c>
      <c r="X2110" s="32" t="str">
        <f t="shared" si="722"/>
        <v>0.00</v>
      </c>
      <c r="Y2110" s="15">
        <f t="shared" si="723"/>
        <v>103.6</v>
      </c>
      <c r="Z2110" s="15">
        <f t="shared" si="724"/>
        <v>163.16</v>
      </c>
      <c r="AA2110" s="15">
        <f>IF(FreightType="Lethbridge-Stewart Freight ",ROUND(2.99+IF(N2110&gt;0.75,(N2110-0.75)*2.25,0)*S2110,2),IF(MarkupType="Supplier Markup",V2110+V2110*SupplierMarkup,"Error at finding value"))</f>
        <v>3.44</v>
      </c>
      <c r="AB2110" s="15">
        <f t="shared" si="725"/>
        <v>0</v>
      </c>
    </row>
    <row r="2111" spans="1:28" x14ac:dyDescent="0.25">
      <c r="A2111" s="16">
        <f>OrdersTable!A2111</f>
        <v>282</v>
      </c>
      <c r="B2111" s="15" t="str">
        <f t="shared" si="705"/>
        <v>Dr</v>
      </c>
      <c r="C2111" s="15" t="str">
        <f t="shared" si="726"/>
        <v>Johnson</v>
      </c>
      <c r="D2111" s="15" t="str">
        <f t="shared" si="706"/>
        <v>Samantha Emily Louise</v>
      </c>
      <c r="E2111" s="15" t="str">
        <f t="shared" si="707"/>
        <v>2 Wiggan Avenue</v>
      </c>
      <c r="F2111" s="15" t="str">
        <f t="shared" si="708"/>
        <v>Boston</v>
      </c>
      <c r="G2111" s="15" t="str">
        <f t="shared" si="709"/>
        <v>SA</v>
      </c>
      <c r="H2111" s="15">
        <f t="shared" si="710"/>
        <v>5607</v>
      </c>
      <c r="I2111" s="15">
        <f t="shared" si="721"/>
        <v>2076</v>
      </c>
      <c r="J2111" s="15">
        <f>OrdersTable!B2111</f>
        <v>782</v>
      </c>
      <c r="K2111" s="15" t="str">
        <f t="shared" si="711"/>
        <v>Statues and Busts</v>
      </c>
      <c r="L2111" s="15" t="str">
        <f t="shared" si="712"/>
        <v>Doctor Who: Masterpiece Collection Maxi Bust: 10th Doctor</v>
      </c>
      <c r="M2111" s="15" t="str">
        <f t="shared" si="713"/>
        <v>-</v>
      </c>
      <c r="N2111" s="15">
        <f t="shared" si="714"/>
        <v>2.5</v>
      </c>
      <c r="O2111" s="15" t="str">
        <f t="shared" si="715"/>
        <v>A30</v>
      </c>
      <c r="P2111" s="15" t="str">
        <f t="shared" si="716"/>
        <v>Chesterton Enterprises</v>
      </c>
      <c r="Q2111" s="15" t="str">
        <f t="shared" si="717"/>
        <v>41 William Russell Road</v>
      </c>
      <c r="R2111" s="3">
        <f>OrdersTable!C2111</f>
        <v>44713</v>
      </c>
      <c r="S2111" s="15">
        <f>OrdersTable!E2111</f>
        <v>8</v>
      </c>
      <c r="T2111" s="15">
        <f t="shared" si="718"/>
        <v>49.99</v>
      </c>
      <c r="U2111" s="15">
        <f t="shared" si="719"/>
        <v>68.5</v>
      </c>
      <c r="V2111" s="15">
        <f t="shared" si="720"/>
        <v>80.98</v>
      </c>
      <c r="W2111" s="15">
        <f>IF(MarkupType="Store Markup",ROUND(V2111+V2111*StoreMarkup,2),IF(MarkupType="Supplier Markup",V2111+V2111*SupplierMarkup,"Error at finding value"))</f>
        <v>127.54</v>
      </c>
      <c r="X2111" s="32">
        <f t="shared" si="722"/>
        <v>9.09</v>
      </c>
      <c r="Y2111" s="15">
        <f t="shared" si="723"/>
        <v>647.84</v>
      </c>
      <c r="Z2111" s="15">
        <f t="shared" si="724"/>
        <v>947.6</v>
      </c>
      <c r="AA2111" s="15">
        <f>IF(FreightType="Lethbridge-Stewart Freight ",ROUND(2.99+IF(N2111&gt;0.75,(N2111-0.75)*2.25,0)*S2111,2),IF(MarkupType="Supplier Markup",V2111+V2111*SupplierMarkup,"Error at finding value"))</f>
        <v>34.49</v>
      </c>
      <c r="AB2111" s="15">
        <f t="shared" si="725"/>
        <v>72.72</v>
      </c>
    </row>
    <row r="2112" spans="1:28" x14ac:dyDescent="0.25">
      <c r="A2112" s="16">
        <f>OrdersTable!A2112</f>
        <v>308</v>
      </c>
      <c r="B2112" s="15" t="str">
        <f t="shared" si="705"/>
        <v>Dr</v>
      </c>
      <c r="C2112" s="15" t="str">
        <f t="shared" si="726"/>
        <v>Azar</v>
      </c>
      <c r="D2112" s="15" t="str">
        <f t="shared" si="706"/>
        <v>Mariam</v>
      </c>
      <c r="E2112" s="15" t="str">
        <f t="shared" si="707"/>
        <v>26 Osmond Road</v>
      </c>
      <c r="F2112" s="15" t="str">
        <f t="shared" si="708"/>
        <v>Boston</v>
      </c>
      <c r="G2112" s="15" t="str">
        <f t="shared" si="709"/>
        <v>SA</v>
      </c>
      <c r="H2112" s="15">
        <f t="shared" si="710"/>
        <v>5607</v>
      </c>
      <c r="I2112" s="15">
        <f t="shared" si="721"/>
        <v>2076</v>
      </c>
      <c r="J2112" s="15">
        <f>OrdersTable!B2112</f>
        <v>583</v>
      </c>
      <c r="K2112" s="15" t="str">
        <f t="shared" si="711"/>
        <v>iPhone Skins</v>
      </c>
      <c r="L2112" s="15" t="str">
        <f t="shared" si="712"/>
        <v>Doctor Who: iPhone Skin: Cyberman Delete</v>
      </c>
      <c r="M2112" s="15" t="str">
        <f t="shared" si="713"/>
        <v>-</v>
      </c>
      <c r="N2112" s="15">
        <f t="shared" si="714"/>
        <v>0.3</v>
      </c>
      <c r="O2112" s="15" t="str">
        <f t="shared" si="715"/>
        <v>A50</v>
      </c>
      <c r="P2112" s="15" t="str">
        <f t="shared" si="716"/>
        <v>Rassilon Ltd.</v>
      </c>
      <c r="Q2112" s="15" t="str">
        <f t="shared" si="717"/>
        <v>82 Richard Mathews Road</v>
      </c>
      <c r="R2112" s="3">
        <f>OrdersTable!C2112</f>
        <v>44713</v>
      </c>
      <c r="S2112" s="15">
        <f>OrdersTable!E2112</f>
        <v>5</v>
      </c>
      <c r="T2112" s="15">
        <f t="shared" si="718"/>
        <v>5.99</v>
      </c>
      <c r="U2112" s="15">
        <f t="shared" si="719"/>
        <v>8.23</v>
      </c>
      <c r="V2112" s="15">
        <f t="shared" si="720"/>
        <v>9.6999999999999993</v>
      </c>
      <c r="W2112" s="15">
        <f>IF(MarkupType="Store Markup",ROUND(V2112+V2112*StoreMarkup,2),IF(MarkupType="Supplier Markup",V2112+V2112*SupplierMarkup,"Error at finding value"))</f>
        <v>15.28</v>
      </c>
      <c r="X2112" s="32" t="str">
        <f t="shared" si="722"/>
        <v>0.00</v>
      </c>
      <c r="Y2112" s="15">
        <f t="shared" si="723"/>
        <v>48.5</v>
      </c>
      <c r="Z2112" s="15">
        <f t="shared" si="724"/>
        <v>76.400000000000006</v>
      </c>
      <c r="AA2112" s="15">
        <f>IF(FreightType="Lethbridge-Stewart Freight ",ROUND(2.99+IF(N2112&gt;0.75,(N2112-0.75)*2.25,0)*S2112,2),IF(MarkupType="Supplier Markup",V2112+V2112*SupplierMarkup,"Error at finding value"))</f>
        <v>2.99</v>
      </c>
      <c r="AB2112" s="15">
        <f t="shared" si="725"/>
        <v>0</v>
      </c>
    </row>
    <row r="2113" spans="1:28" x14ac:dyDescent="0.25">
      <c r="A2113" s="16">
        <f>OrdersTable!A2113</f>
        <v>328</v>
      </c>
      <c r="B2113" s="15" t="str">
        <f t="shared" si="705"/>
        <v>Dr</v>
      </c>
      <c r="C2113" s="15" t="str">
        <f t="shared" si="726"/>
        <v>Ward</v>
      </c>
      <c r="D2113" s="15" t="str">
        <f t="shared" si="706"/>
        <v>Keiren Nicholas</v>
      </c>
      <c r="E2113" s="15" t="str">
        <f t="shared" si="707"/>
        <v>13 Green Crescent</v>
      </c>
      <c r="F2113" s="15" t="str">
        <f t="shared" si="708"/>
        <v>Breakwater</v>
      </c>
      <c r="G2113" s="15" t="str">
        <f t="shared" si="709"/>
        <v>VIC</v>
      </c>
      <c r="H2113" s="15">
        <f t="shared" si="710"/>
        <v>3219</v>
      </c>
      <c r="I2113" s="15">
        <f t="shared" si="721"/>
        <v>1596</v>
      </c>
      <c r="J2113" s="15">
        <f>OrdersTable!B2113</f>
        <v>652</v>
      </c>
      <c r="K2113" s="15" t="str">
        <f t="shared" si="711"/>
        <v>Mugs</v>
      </c>
      <c r="L2113" s="15" t="str">
        <f t="shared" si="712"/>
        <v>Doctor Who: Mug: Dalek 2D</v>
      </c>
      <c r="M2113" s="15" t="str">
        <f t="shared" si="713"/>
        <v>-</v>
      </c>
      <c r="N2113" s="15">
        <f t="shared" si="714"/>
        <v>0.35</v>
      </c>
      <c r="O2113" s="15" t="str">
        <f t="shared" si="715"/>
        <v>A10</v>
      </c>
      <c r="P2113" s="15" t="str">
        <f t="shared" si="716"/>
        <v>Gallifrey International</v>
      </c>
      <c r="Q2113" s="15" t="str">
        <f t="shared" si="717"/>
        <v>181 Arcadia Street</v>
      </c>
      <c r="R2113" s="3">
        <f>OrdersTable!C2113</f>
        <v>44713</v>
      </c>
      <c r="S2113" s="15">
        <f>OrdersTable!E2113</f>
        <v>6</v>
      </c>
      <c r="T2113" s="15">
        <f t="shared" si="718"/>
        <v>6.99</v>
      </c>
      <c r="U2113" s="15">
        <f t="shared" si="719"/>
        <v>9.8800000000000008</v>
      </c>
      <c r="V2113" s="15">
        <f t="shared" si="720"/>
        <v>11.32</v>
      </c>
      <c r="W2113" s="15">
        <f>IF(MarkupType="Store Markup",ROUND(V2113+V2113*StoreMarkup,2),IF(MarkupType="Supplier Markup",V2113+V2113*SupplierMarkup,"Error at finding value"))</f>
        <v>17.829999999999998</v>
      </c>
      <c r="X2113" s="32" t="str">
        <f t="shared" si="722"/>
        <v>0.00</v>
      </c>
      <c r="Y2113" s="15">
        <f t="shared" si="723"/>
        <v>67.92</v>
      </c>
      <c r="Z2113" s="15">
        <f t="shared" si="724"/>
        <v>106.98</v>
      </c>
      <c r="AA2113" s="15">
        <f>IF(FreightType="Lethbridge-Stewart Freight ",ROUND(2.99+IF(N2113&gt;0.75,(N2113-0.75)*2.25,0)*S2113,2),IF(MarkupType="Supplier Markup",V2113+V2113*SupplierMarkup,"Error at finding value"))</f>
        <v>2.99</v>
      </c>
      <c r="AB2113" s="15">
        <f t="shared" si="725"/>
        <v>0</v>
      </c>
    </row>
    <row r="2114" spans="1:28" x14ac:dyDescent="0.25">
      <c r="A2114" s="16">
        <f>OrdersTable!A2114</f>
        <v>370</v>
      </c>
      <c r="B2114" s="15" t="str">
        <f t="shared" si="705"/>
        <v>Mr</v>
      </c>
      <c r="C2114" s="15" t="str">
        <f t="shared" si="726"/>
        <v>Kennedy</v>
      </c>
      <c r="D2114" s="15" t="str">
        <f t="shared" si="706"/>
        <v>Joseph Dominic</v>
      </c>
      <c r="E2114" s="15" t="str">
        <f t="shared" si="707"/>
        <v>43 Barton Road</v>
      </c>
      <c r="F2114" s="15" t="str">
        <f t="shared" si="708"/>
        <v>Boston</v>
      </c>
      <c r="G2114" s="15" t="str">
        <f t="shared" si="709"/>
        <v>SA</v>
      </c>
      <c r="H2114" s="15">
        <f t="shared" si="710"/>
        <v>5607</v>
      </c>
      <c r="I2114" s="15">
        <f t="shared" si="721"/>
        <v>2076</v>
      </c>
      <c r="J2114" s="15">
        <f>OrdersTable!B2114</f>
        <v>787</v>
      </c>
      <c r="K2114" s="15" t="str">
        <f t="shared" si="711"/>
        <v>Statues and Busts</v>
      </c>
      <c r="L2114" s="15" t="str">
        <f t="shared" si="712"/>
        <v>Doctor Who: Masterpiece Collection Maxi Bust: 1st Doctor</v>
      </c>
      <c r="M2114" s="15" t="str">
        <f t="shared" si="713"/>
        <v>-</v>
      </c>
      <c r="N2114" s="15">
        <f t="shared" si="714"/>
        <v>2.5</v>
      </c>
      <c r="O2114" s="15" t="str">
        <f t="shared" si="715"/>
        <v>A10</v>
      </c>
      <c r="P2114" s="15" t="str">
        <f t="shared" si="716"/>
        <v>Gallifrey International</v>
      </c>
      <c r="Q2114" s="15" t="str">
        <f t="shared" si="717"/>
        <v>181 Arcadia Street</v>
      </c>
      <c r="R2114" s="3">
        <f>OrdersTable!C2114</f>
        <v>44713</v>
      </c>
      <c r="S2114" s="15">
        <f>OrdersTable!E2114</f>
        <v>10</v>
      </c>
      <c r="T2114" s="15">
        <f t="shared" si="718"/>
        <v>49.99</v>
      </c>
      <c r="U2114" s="15">
        <f t="shared" si="719"/>
        <v>68.290000000000006</v>
      </c>
      <c r="V2114" s="15">
        <f t="shared" si="720"/>
        <v>80.98</v>
      </c>
      <c r="W2114" s="15">
        <f>IF(MarkupType="Store Markup",ROUND(V2114+V2114*StoreMarkup,2),IF(MarkupType="Supplier Markup",V2114+V2114*SupplierMarkup,"Error at finding value"))</f>
        <v>127.54</v>
      </c>
      <c r="X2114" s="32">
        <f t="shared" si="722"/>
        <v>9.09</v>
      </c>
      <c r="Y2114" s="15">
        <f t="shared" si="723"/>
        <v>809.8</v>
      </c>
      <c r="Z2114" s="15">
        <f t="shared" si="724"/>
        <v>1184.5</v>
      </c>
      <c r="AA2114" s="15">
        <f>IF(FreightType="Lethbridge-Stewart Freight ",ROUND(2.99+IF(N2114&gt;0.75,(N2114-0.75)*2.25,0)*S2114,2),IF(MarkupType="Supplier Markup",V2114+V2114*SupplierMarkup,"Error at finding value"))</f>
        <v>42.37</v>
      </c>
      <c r="AB2114" s="15">
        <f t="shared" si="725"/>
        <v>90.9</v>
      </c>
    </row>
    <row r="2115" spans="1:28" x14ac:dyDescent="0.25">
      <c r="A2115" s="16">
        <f>OrdersTable!A2115</f>
        <v>390</v>
      </c>
      <c r="B2115" s="15" t="str">
        <f t="shared" si="705"/>
        <v>Ms</v>
      </c>
      <c r="C2115" s="15" t="str">
        <f t="shared" si="726"/>
        <v>Queen</v>
      </c>
      <c r="D2115" s="15" t="str">
        <f t="shared" si="706"/>
        <v>Joanne</v>
      </c>
      <c r="E2115" s="15" t="str">
        <f t="shared" si="707"/>
        <v>30 Hall Drive</v>
      </c>
      <c r="F2115" s="15" t="str">
        <f t="shared" si="708"/>
        <v>Belconnen</v>
      </c>
      <c r="G2115" s="15" t="str">
        <f t="shared" si="709"/>
        <v>ACT</v>
      </c>
      <c r="H2115" s="15">
        <f t="shared" si="710"/>
        <v>2617</v>
      </c>
      <c r="I2115" s="15">
        <f t="shared" si="721"/>
        <v>1194</v>
      </c>
      <c r="J2115" s="15">
        <f>OrdersTable!B2115</f>
        <v>541</v>
      </c>
      <c r="K2115" s="15" t="str">
        <f t="shared" si="711"/>
        <v>Giftware</v>
      </c>
      <c r="L2115" s="15" t="str">
        <f t="shared" si="712"/>
        <v>Doctor Who: Salt and Pepper Shakers: TARDIS</v>
      </c>
      <c r="M2115" s="15" t="str">
        <f t="shared" si="713"/>
        <v>-</v>
      </c>
      <c r="N2115" s="15">
        <f t="shared" si="714"/>
        <v>0.6</v>
      </c>
      <c r="O2115" s="15" t="str">
        <f t="shared" si="715"/>
        <v>A10</v>
      </c>
      <c r="P2115" s="15" t="str">
        <f t="shared" si="716"/>
        <v>Gallifrey International</v>
      </c>
      <c r="Q2115" s="15" t="str">
        <f t="shared" si="717"/>
        <v>181 Arcadia Street</v>
      </c>
      <c r="R2115" s="3">
        <f>OrdersTable!C2115</f>
        <v>44713</v>
      </c>
      <c r="S2115" s="15">
        <f>OrdersTable!E2115</f>
        <v>7</v>
      </c>
      <c r="T2115" s="15">
        <f t="shared" si="718"/>
        <v>11.99</v>
      </c>
      <c r="U2115" s="15">
        <f t="shared" si="719"/>
        <v>16.62</v>
      </c>
      <c r="V2115" s="15">
        <f t="shared" si="720"/>
        <v>19.420000000000002</v>
      </c>
      <c r="W2115" s="15">
        <f>IF(MarkupType="Store Markup",ROUND(V2115+V2115*StoreMarkup,2),IF(MarkupType="Supplier Markup",V2115+V2115*SupplierMarkup,"Error at finding value"))</f>
        <v>30.59</v>
      </c>
      <c r="X2115" s="32" t="str">
        <f t="shared" si="722"/>
        <v>0.00</v>
      </c>
      <c r="Y2115" s="15">
        <f t="shared" si="723"/>
        <v>135.94</v>
      </c>
      <c r="Z2115" s="15">
        <f t="shared" si="724"/>
        <v>214.13</v>
      </c>
      <c r="AA2115" s="15">
        <f>IF(FreightType="Lethbridge-Stewart Freight ",ROUND(2.99+IF(N2115&gt;0.75,(N2115-0.75)*2.25,0)*S2115,2),IF(MarkupType="Supplier Markup",V2115+V2115*SupplierMarkup,"Error at finding value"))</f>
        <v>2.99</v>
      </c>
      <c r="AB2115" s="15">
        <f t="shared" si="725"/>
        <v>0</v>
      </c>
    </row>
    <row r="2116" spans="1:28" x14ac:dyDescent="0.25">
      <c r="A2116" s="16">
        <f>OrdersTable!A2116</f>
        <v>474</v>
      </c>
      <c r="B2116" s="15" t="str">
        <f t="shared" ref="B2116:B2179" si="727">VLOOKUP($A2116,Cust,2,0)</f>
        <v>Mr</v>
      </c>
      <c r="C2116" s="15" t="str">
        <f t="shared" si="726"/>
        <v>Jooste</v>
      </c>
      <c r="D2116" s="15" t="str">
        <f t="shared" ref="D2116:D2179" si="728">VLOOKUP($A2116,Cust,4,0)</f>
        <v>Nicholas</v>
      </c>
      <c r="E2116" s="15" t="str">
        <f t="shared" ref="E2116:E2179" si="729">VLOOKUP($A2116,Cust,6,0)</f>
        <v>32 Dover Road</v>
      </c>
      <c r="F2116" s="15" t="str">
        <f t="shared" ref="F2116:F2179" si="730">VLOOKUP($A2116,Cust,7,0)</f>
        <v>Belford</v>
      </c>
      <c r="G2116" s="15" t="str">
        <f t="shared" ref="G2116:G2179" si="731">VLOOKUP($A2116,Cust,8,0)</f>
        <v>NSW</v>
      </c>
      <c r="H2116" s="15">
        <f t="shared" ref="H2116:H2179" si="732">VLOOKUP($A2116,Cust,9,0)</f>
        <v>2335</v>
      </c>
      <c r="I2116" s="15">
        <f t="shared" si="721"/>
        <v>716</v>
      </c>
      <c r="J2116" s="15">
        <f>OrdersTable!B2116</f>
        <v>758</v>
      </c>
      <c r="K2116" s="15" t="str">
        <f t="shared" ref="K2116:K2179" si="733">VLOOKUP($J2116,Itms,2,0)</f>
        <v>Statues and Busts</v>
      </c>
      <c r="L2116" s="15" t="str">
        <f t="shared" ref="L2116:L2179" si="734">VLOOKUP($J2116,Itms,3,0)</f>
        <v>Doctor Who: Helmet: Sontaran Officer Linx</v>
      </c>
      <c r="M2116" s="15" t="str">
        <f t="shared" ref="M2116:M2179" si="735">VLOOKUP($J2116,Itms,4,0)</f>
        <v>-</v>
      </c>
      <c r="N2116" s="15">
        <f t="shared" ref="N2116:N2179" si="736">VLOOKUP($J2116,Itms,5,0)</f>
        <v>1.75</v>
      </c>
      <c r="O2116" s="15" t="str">
        <f t="shared" ref="O2116:O2179" si="737">VLOOKUP($J2116,Itms,6,0)</f>
        <v>A50</v>
      </c>
      <c r="P2116" s="15" t="str">
        <f t="shared" ref="P2116:P2179" si="738">VLOOKUP($O2116,Supp,2,0)</f>
        <v>Rassilon Ltd.</v>
      </c>
      <c r="Q2116" s="15" t="str">
        <f t="shared" ref="Q2116:Q2179" si="739">VLOOKUP($O2116,Supp,3,0)</f>
        <v>82 Richard Mathews Road</v>
      </c>
      <c r="R2116" s="3">
        <f>OrdersTable!C2116</f>
        <v>44713</v>
      </c>
      <c r="S2116" s="15">
        <f>OrdersTable!E2116</f>
        <v>8</v>
      </c>
      <c r="T2116" s="15">
        <f t="shared" ref="T2116:T2179" si="740">VLOOKUP($J2116,Itms,9,0)</f>
        <v>34.99</v>
      </c>
      <c r="U2116" s="15">
        <f t="shared" ref="U2116:U2179" si="741">VLOOKUP($J2116,Itms,10,0)</f>
        <v>47.79</v>
      </c>
      <c r="V2116" s="15">
        <f t="shared" ref="V2116:V2179" si="742">IF(ExchRateType="IR",ROUND(T2116*ExchRateIR,2),IF(ExchRateType="CA",ROUND(U2116*ExchRateCA,2),"Error at finding value"))</f>
        <v>56.68</v>
      </c>
      <c r="W2116" s="15">
        <f>IF(MarkupType="Store Markup",ROUND(V2116+V2116*StoreMarkup,2),IF(MarkupType="Supplier Markup",V2116+V2116*SupplierMarkup,"Error at finding value"))</f>
        <v>89.27</v>
      </c>
      <c r="X2116" s="32" t="str">
        <f t="shared" si="722"/>
        <v>0.00</v>
      </c>
      <c r="Y2116" s="15">
        <f t="shared" si="723"/>
        <v>453.44</v>
      </c>
      <c r="Z2116" s="15">
        <f t="shared" si="724"/>
        <v>714.16</v>
      </c>
      <c r="AA2116" s="15">
        <f>IF(FreightType="Lethbridge-Stewart Freight ",ROUND(2.99+IF(N2116&gt;0.75,(N2116-0.75)*2.25,0)*S2116,2),IF(MarkupType="Supplier Markup",V2116+V2116*SupplierMarkup,"Error at finding value"))</f>
        <v>20.99</v>
      </c>
      <c r="AB2116" s="15">
        <f t="shared" si="725"/>
        <v>0</v>
      </c>
    </row>
    <row r="2117" spans="1:28" x14ac:dyDescent="0.25">
      <c r="A2117" s="16">
        <f>OrdersTable!A2117</f>
        <v>538</v>
      </c>
      <c r="B2117" s="15" t="str">
        <f t="shared" si="727"/>
        <v>Dr</v>
      </c>
      <c r="C2117" s="15" t="str">
        <f t="shared" si="726"/>
        <v>Radovic</v>
      </c>
      <c r="D2117" s="15" t="str">
        <f t="shared" si="728"/>
        <v>Harley Benjamin</v>
      </c>
      <c r="E2117" s="15" t="str">
        <f t="shared" si="729"/>
        <v>50 Hocking Way</v>
      </c>
      <c r="F2117" s="15" t="str">
        <f t="shared" si="730"/>
        <v>Bray Park</v>
      </c>
      <c r="G2117" s="15" t="str">
        <f t="shared" si="731"/>
        <v>QLD</v>
      </c>
      <c r="H2117" s="15">
        <f t="shared" si="732"/>
        <v>4500</v>
      </c>
      <c r="I2117" s="15">
        <f t="shared" ref="I2117:I2180" si="743">VLOOKUP($A2117,Cust,10,0)</f>
        <v>139</v>
      </c>
      <c r="J2117" s="15">
        <f>OrdersTable!B2117</f>
        <v>698</v>
      </c>
      <c r="K2117" s="15" t="str">
        <f t="shared" si="733"/>
        <v>Posters, Prints and Standees</v>
      </c>
      <c r="L2117" s="15" t="str">
        <f t="shared" si="734"/>
        <v>Doctor Who: Art Print: My Mysterious Doctor</v>
      </c>
      <c r="M2117" s="15" t="str">
        <f t="shared" si="735"/>
        <v>-</v>
      </c>
      <c r="N2117" s="15">
        <f t="shared" si="736"/>
        <v>0.75</v>
      </c>
      <c r="O2117" s="15" t="str">
        <f t="shared" si="737"/>
        <v>A30</v>
      </c>
      <c r="P2117" s="15" t="str">
        <f t="shared" si="738"/>
        <v>Chesterton Enterprises</v>
      </c>
      <c r="Q2117" s="15" t="str">
        <f t="shared" si="739"/>
        <v>41 William Russell Road</v>
      </c>
      <c r="R2117" s="3">
        <f>OrdersTable!C2117</f>
        <v>44713</v>
      </c>
      <c r="S2117" s="15">
        <f>OrdersTable!E2117</f>
        <v>3</v>
      </c>
      <c r="T2117" s="15">
        <f t="shared" si="740"/>
        <v>14.99</v>
      </c>
      <c r="U2117" s="15">
        <f t="shared" si="741"/>
        <v>20.56</v>
      </c>
      <c r="V2117" s="15">
        <f t="shared" si="742"/>
        <v>24.28</v>
      </c>
      <c r="W2117" s="15">
        <f>IF(MarkupType="Store Markup",ROUND(V2117+V2117*StoreMarkup,2),IF(MarkupType="Supplier Markup",V2117+V2117*SupplierMarkup,"Error at finding value"))</f>
        <v>38.24</v>
      </c>
      <c r="X2117" s="32" t="str">
        <f t="shared" ref="X2117:X2180" si="744">IF(AND(W2117&gt;100,S2117&gt;=3),ROUND(0.07125*W2117,2),"0.00")</f>
        <v>0.00</v>
      </c>
      <c r="Y2117" s="15">
        <f t="shared" ref="Y2117:Y2180" si="745">ROUND(V2117*S2117,2)</f>
        <v>72.84</v>
      </c>
      <c r="Z2117" s="15">
        <f t="shared" ref="Z2117:Z2180" si="746">ROUND((W2117-X2117)*S2117,2)</f>
        <v>114.72</v>
      </c>
      <c r="AA2117" s="15">
        <f>IF(FreightType="Lethbridge-Stewart Freight ",ROUND(2.99+IF(N2117&gt;0.75,(N2117-0.75)*2.25,0)*S2117,2),IF(MarkupType="Supplier Markup",V2117+V2117*SupplierMarkup,"Error at finding value"))</f>
        <v>2.99</v>
      </c>
      <c r="AB2117" s="15">
        <f t="shared" ref="AB2117:AB2180" si="747">ROUND(X2117*S2117,2)</f>
        <v>0</v>
      </c>
    </row>
    <row r="2118" spans="1:28" x14ac:dyDescent="0.25">
      <c r="A2118" s="16">
        <f>OrdersTable!A2118</f>
        <v>659</v>
      </c>
      <c r="B2118" s="15" t="str">
        <f t="shared" si="727"/>
        <v>Mr</v>
      </c>
      <c r="C2118" s="15" t="str">
        <f t="shared" si="726"/>
        <v>Douglas</v>
      </c>
      <c r="D2118" s="15" t="str">
        <f t="shared" si="728"/>
        <v>Jason Richard</v>
      </c>
      <c r="E2118" s="15" t="str">
        <f t="shared" si="729"/>
        <v>14 Young Crescent</v>
      </c>
      <c r="F2118" s="15" t="str">
        <f t="shared" si="730"/>
        <v>Caliph</v>
      </c>
      <c r="G2118" s="15" t="str">
        <f t="shared" si="731"/>
        <v>SA</v>
      </c>
      <c r="H2118" s="15">
        <f t="shared" si="732"/>
        <v>5310</v>
      </c>
      <c r="I2118" s="15">
        <f t="shared" si="743"/>
        <v>1720</v>
      </c>
      <c r="J2118" s="15">
        <f>OrdersTable!B2118</f>
        <v>259</v>
      </c>
      <c r="K2118" s="15" t="str">
        <f t="shared" si="733"/>
        <v>Clothing and Apparel</v>
      </c>
      <c r="L2118" s="15" t="str">
        <f t="shared" si="734"/>
        <v>Doctor Who: Men's Winter Pyjamas</v>
      </c>
      <c r="M2118" s="15" t="str">
        <f t="shared" si="735"/>
        <v>XL</v>
      </c>
      <c r="N2118" s="15">
        <f t="shared" si="736"/>
        <v>1.5</v>
      </c>
      <c r="O2118" s="15" t="str">
        <f t="shared" si="737"/>
        <v>A50</v>
      </c>
      <c r="P2118" s="15" t="str">
        <f t="shared" si="738"/>
        <v>Rassilon Ltd.</v>
      </c>
      <c r="Q2118" s="15" t="str">
        <f t="shared" si="739"/>
        <v>82 Richard Mathews Road</v>
      </c>
      <c r="R2118" s="3">
        <f>OrdersTable!C2118</f>
        <v>44713</v>
      </c>
      <c r="S2118" s="15">
        <f>OrdersTable!E2118</f>
        <v>2</v>
      </c>
      <c r="T2118" s="15">
        <f t="shared" si="740"/>
        <v>29.99</v>
      </c>
      <c r="U2118" s="15">
        <f t="shared" si="741"/>
        <v>41.15</v>
      </c>
      <c r="V2118" s="15">
        <f t="shared" si="742"/>
        <v>48.58</v>
      </c>
      <c r="W2118" s="15">
        <f>IF(MarkupType="Store Markup",ROUND(V2118+V2118*StoreMarkup,2),IF(MarkupType="Supplier Markup",V2118+V2118*SupplierMarkup,"Error at finding value"))</f>
        <v>76.510000000000005</v>
      </c>
      <c r="X2118" s="32" t="str">
        <f t="shared" si="744"/>
        <v>0.00</v>
      </c>
      <c r="Y2118" s="15">
        <f t="shared" si="745"/>
        <v>97.16</v>
      </c>
      <c r="Z2118" s="15">
        <f t="shared" si="746"/>
        <v>153.02000000000001</v>
      </c>
      <c r="AA2118" s="15">
        <f>IF(FreightType="Lethbridge-Stewart Freight ",ROUND(2.99+IF(N2118&gt;0.75,(N2118-0.75)*2.25,0)*S2118,2),IF(MarkupType="Supplier Markup",V2118+V2118*SupplierMarkup,"Error at finding value"))</f>
        <v>6.37</v>
      </c>
      <c r="AB2118" s="15">
        <f t="shared" si="747"/>
        <v>0</v>
      </c>
    </row>
    <row r="2119" spans="1:28" x14ac:dyDescent="0.25">
      <c r="A2119" s="16">
        <f>OrdersTable!A2119</f>
        <v>906</v>
      </c>
      <c r="B2119" s="15" t="str">
        <f t="shared" si="727"/>
        <v>Mrs</v>
      </c>
      <c r="C2119" s="15" t="str">
        <f t="shared" si="726"/>
        <v>Turner</v>
      </c>
      <c r="D2119" s="15" t="str">
        <f t="shared" si="728"/>
        <v>Courtney</v>
      </c>
      <c r="E2119" s="15" t="str">
        <f t="shared" si="729"/>
        <v>42 Fearon Avenue</v>
      </c>
      <c r="F2119" s="15" t="str">
        <f t="shared" si="730"/>
        <v>Breakwater</v>
      </c>
      <c r="G2119" s="15" t="str">
        <f t="shared" si="731"/>
        <v>VIC</v>
      </c>
      <c r="H2119" s="15">
        <f t="shared" si="732"/>
        <v>3219</v>
      </c>
      <c r="I2119" s="15">
        <f t="shared" si="743"/>
        <v>1596</v>
      </c>
      <c r="J2119" s="15">
        <f>OrdersTable!B2119</f>
        <v>732</v>
      </c>
      <c r="K2119" s="15" t="str">
        <f t="shared" si="733"/>
        <v>Props and Replicas</v>
      </c>
      <c r="L2119" s="15" t="str">
        <f t="shared" si="734"/>
        <v>Doctor Who: Eleventh Doctor's Sonic Screwdriver</v>
      </c>
      <c r="M2119" s="15" t="str">
        <f t="shared" si="735"/>
        <v>-</v>
      </c>
      <c r="N2119" s="15">
        <f t="shared" si="736"/>
        <v>3</v>
      </c>
      <c r="O2119" s="15" t="str">
        <f t="shared" si="737"/>
        <v>A40</v>
      </c>
      <c r="P2119" s="15" t="str">
        <f t="shared" si="738"/>
        <v>Romana Imports</v>
      </c>
      <c r="Q2119" s="15" t="str">
        <f t="shared" si="739"/>
        <v>17 Lalla Ward Road</v>
      </c>
      <c r="R2119" s="3">
        <f>OrdersTable!C2119</f>
        <v>44713</v>
      </c>
      <c r="S2119" s="15">
        <f>OrdersTable!E2119</f>
        <v>9</v>
      </c>
      <c r="T2119" s="15">
        <f t="shared" si="740"/>
        <v>59.99</v>
      </c>
      <c r="U2119" s="15">
        <f t="shared" si="741"/>
        <v>81.83</v>
      </c>
      <c r="V2119" s="15">
        <f t="shared" si="742"/>
        <v>97.18</v>
      </c>
      <c r="W2119" s="15">
        <f>IF(MarkupType="Store Markup",ROUND(V2119+V2119*StoreMarkup,2),IF(MarkupType="Supplier Markup",V2119+V2119*SupplierMarkup,"Error at finding value"))</f>
        <v>153.06</v>
      </c>
      <c r="X2119" s="32">
        <f t="shared" si="744"/>
        <v>10.91</v>
      </c>
      <c r="Y2119" s="15">
        <f t="shared" si="745"/>
        <v>874.62</v>
      </c>
      <c r="Z2119" s="15">
        <f t="shared" si="746"/>
        <v>1279.3499999999999</v>
      </c>
      <c r="AA2119" s="15">
        <f>IF(FreightType="Lethbridge-Stewart Freight ",ROUND(2.99+IF(N2119&gt;0.75,(N2119-0.75)*2.25,0)*S2119,2),IF(MarkupType="Supplier Markup",V2119+V2119*SupplierMarkup,"Error at finding value"))</f>
        <v>48.55</v>
      </c>
      <c r="AB2119" s="15">
        <f t="shared" si="747"/>
        <v>98.19</v>
      </c>
    </row>
    <row r="2120" spans="1:28" x14ac:dyDescent="0.25">
      <c r="A2120" s="16">
        <f>OrdersTable!A2120</f>
        <v>22</v>
      </c>
      <c r="B2120" s="15" t="str">
        <f t="shared" si="727"/>
        <v>Mr</v>
      </c>
      <c r="C2120" s="15" t="str">
        <f t="shared" si="726"/>
        <v>Tyrrell</v>
      </c>
      <c r="D2120" s="15" t="str">
        <f t="shared" si="728"/>
        <v>Timothy James</v>
      </c>
      <c r="E2120" s="15" t="str">
        <f t="shared" si="729"/>
        <v>48 Lambourne Crescent</v>
      </c>
      <c r="F2120" s="15" t="str">
        <f t="shared" si="730"/>
        <v>Belford</v>
      </c>
      <c r="G2120" s="15" t="str">
        <f t="shared" si="731"/>
        <v>NSW</v>
      </c>
      <c r="H2120" s="15">
        <f t="shared" si="732"/>
        <v>2335</v>
      </c>
      <c r="I2120" s="15">
        <f t="shared" si="743"/>
        <v>716</v>
      </c>
      <c r="J2120" s="15">
        <f>OrdersTable!B2120</f>
        <v>541</v>
      </c>
      <c r="K2120" s="15" t="str">
        <f t="shared" si="733"/>
        <v>Giftware</v>
      </c>
      <c r="L2120" s="15" t="str">
        <f t="shared" si="734"/>
        <v>Doctor Who: Salt and Pepper Shakers: TARDIS</v>
      </c>
      <c r="M2120" s="15" t="str">
        <f t="shared" si="735"/>
        <v>-</v>
      </c>
      <c r="N2120" s="15">
        <f t="shared" si="736"/>
        <v>0.6</v>
      </c>
      <c r="O2120" s="15" t="str">
        <f t="shared" si="737"/>
        <v>A10</v>
      </c>
      <c r="P2120" s="15" t="str">
        <f t="shared" si="738"/>
        <v>Gallifrey International</v>
      </c>
      <c r="Q2120" s="15" t="str">
        <f t="shared" si="739"/>
        <v>181 Arcadia Street</v>
      </c>
      <c r="R2120" s="3">
        <f>OrdersTable!C2120</f>
        <v>44714</v>
      </c>
      <c r="S2120" s="15">
        <f>OrdersTable!E2120</f>
        <v>3</v>
      </c>
      <c r="T2120" s="15">
        <f t="shared" si="740"/>
        <v>11.99</v>
      </c>
      <c r="U2120" s="15">
        <f t="shared" si="741"/>
        <v>16.62</v>
      </c>
      <c r="V2120" s="15">
        <f t="shared" si="742"/>
        <v>19.420000000000002</v>
      </c>
      <c r="W2120" s="15">
        <f>IF(MarkupType="Store Markup",ROUND(V2120+V2120*StoreMarkup,2),IF(MarkupType="Supplier Markup",V2120+V2120*SupplierMarkup,"Error at finding value"))</f>
        <v>30.59</v>
      </c>
      <c r="X2120" s="32" t="str">
        <f t="shared" si="744"/>
        <v>0.00</v>
      </c>
      <c r="Y2120" s="15">
        <f t="shared" si="745"/>
        <v>58.26</v>
      </c>
      <c r="Z2120" s="15">
        <f t="shared" si="746"/>
        <v>91.77</v>
      </c>
      <c r="AA2120" s="15">
        <f>IF(FreightType="Lethbridge-Stewart Freight ",ROUND(2.99+IF(N2120&gt;0.75,(N2120-0.75)*2.25,0)*S2120,2),IF(MarkupType="Supplier Markup",V2120+V2120*SupplierMarkup,"Error at finding value"))</f>
        <v>2.99</v>
      </c>
      <c r="AB2120" s="15">
        <f t="shared" si="747"/>
        <v>0</v>
      </c>
    </row>
    <row r="2121" spans="1:28" x14ac:dyDescent="0.25">
      <c r="A2121" s="16">
        <f>OrdersTable!A2121</f>
        <v>47</v>
      </c>
      <c r="B2121" s="15" t="str">
        <f t="shared" si="727"/>
        <v>Dr</v>
      </c>
      <c r="C2121" s="15" t="str">
        <f t="shared" si="726"/>
        <v>Kaur</v>
      </c>
      <c r="D2121" s="15" t="str">
        <f t="shared" si="728"/>
        <v>Jasleen</v>
      </c>
      <c r="E2121" s="15" t="str">
        <f t="shared" si="729"/>
        <v>7 Hong Road</v>
      </c>
      <c r="F2121" s="15" t="str">
        <f t="shared" si="730"/>
        <v>Belconnen</v>
      </c>
      <c r="G2121" s="15" t="str">
        <f t="shared" si="731"/>
        <v>ACT</v>
      </c>
      <c r="H2121" s="15">
        <f t="shared" si="732"/>
        <v>2617</v>
      </c>
      <c r="I2121" s="15">
        <f t="shared" si="743"/>
        <v>1194</v>
      </c>
      <c r="J2121" s="15">
        <f>OrdersTable!B2121</f>
        <v>710</v>
      </c>
      <c r="K2121" s="15" t="str">
        <f t="shared" si="733"/>
        <v>Posters, Prints and Standees</v>
      </c>
      <c r="L2121" s="15" t="str">
        <f t="shared" si="734"/>
        <v>Doctor Who: Poster: Regenerate</v>
      </c>
      <c r="M2121" s="15" t="str">
        <f t="shared" si="735"/>
        <v>-</v>
      </c>
      <c r="N2121" s="15">
        <f t="shared" si="736"/>
        <v>0.2</v>
      </c>
      <c r="O2121" s="15" t="str">
        <f t="shared" si="737"/>
        <v>A40</v>
      </c>
      <c r="P2121" s="15" t="str">
        <f t="shared" si="738"/>
        <v>Romana Imports</v>
      </c>
      <c r="Q2121" s="15" t="str">
        <f t="shared" si="739"/>
        <v>17 Lalla Ward Road</v>
      </c>
      <c r="R2121" s="3">
        <f>OrdersTable!C2121</f>
        <v>44714</v>
      </c>
      <c r="S2121" s="15">
        <f>OrdersTable!E2121</f>
        <v>10</v>
      </c>
      <c r="T2121" s="15">
        <f t="shared" si="740"/>
        <v>3.99</v>
      </c>
      <c r="U2121" s="15">
        <f t="shared" si="741"/>
        <v>5.5</v>
      </c>
      <c r="V2121" s="15">
        <f t="shared" si="742"/>
        <v>6.46</v>
      </c>
      <c r="W2121" s="15">
        <f>IF(MarkupType="Store Markup",ROUND(V2121+V2121*StoreMarkup,2),IF(MarkupType="Supplier Markup",V2121+V2121*SupplierMarkup,"Error at finding value"))</f>
        <v>10.17</v>
      </c>
      <c r="X2121" s="32" t="str">
        <f t="shared" si="744"/>
        <v>0.00</v>
      </c>
      <c r="Y2121" s="15">
        <f t="shared" si="745"/>
        <v>64.599999999999994</v>
      </c>
      <c r="Z2121" s="15">
        <f t="shared" si="746"/>
        <v>101.7</v>
      </c>
      <c r="AA2121" s="15">
        <f>IF(FreightType="Lethbridge-Stewart Freight ",ROUND(2.99+IF(N2121&gt;0.75,(N2121-0.75)*2.25,0)*S2121,2),IF(MarkupType="Supplier Markup",V2121+V2121*SupplierMarkup,"Error at finding value"))</f>
        <v>2.99</v>
      </c>
      <c r="AB2121" s="15">
        <f t="shared" si="747"/>
        <v>0</v>
      </c>
    </row>
    <row r="2122" spans="1:28" x14ac:dyDescent="0.25">
      <c r="A2122" s="16">
        <f>OrdersTable!A2122</f>
        <v>81</v>
      </c>
      <c r="B2122" s="15" t="str">
        <f t="shared" si="727"/>
        <v>Ms</v>
      </c>
      <c r="C2122" s="15" t="str">
        <f t="shared" si="726"/>
        <v>Madsen</v>
      </c>
      <c r="D2122" s="15" t="str">
        <f t="shared" si="728"/>
        <v>Kim Marie</v>
      </c>
      <c r="E2122" s="15" t="str">
        <f t="shared" si="729"/>
        <v>42 Singh Drive</v>
      </c>
      <c r="F2122" s="15" t="str">
        <f t="shared" si="730"/>
        <v>Caliph</v>
      </c>
      <c r="G2122" s="15" t="str">
        <f t="shared" si="731"/>
        <v>SA</v>
      </c>
      <c r="H2122" s="15">
        <f t="shared" si="732"/>
        <v>5310</v>
      </c>
      <c r="I2122" s="15">
        <f t="shared" si="743"/>
        <v>1720</v>
      </c>
      <c r="J2122" s="15">
        <f>OrdersTable!B2122</f>
        <v>530</v>
      </c>
      <c r="K2122" s="15" t="str">
        <f t="shared" si="733"/>
        <v>Giftware</v>
      </c>
      <c r="L2122" s="15" t="str">
        <f t="shared" si="734"/>
        <v>Doctor Who: Keyring TARDIS</v>
      </c>
      <c r="M2122" s="15" t="str">
        <f t="shared" si="735"/>
        <v>-</v>
      </c>
      <c r="N2122" s="15">
        <f t="shared" si="736"/>
        <v>0.25</v>
      </c>
      <c r="O2122" s="15" t="str">
        <f t="shared" si="737"/>
        <v>A20</v>
      </c>
      <c r="P2122" s="15" t="str">
        <f t="shared" si="738"/>
        <v>Morbius Inc.</v>
      </c>
      <c r="Q2122" s="15" t="str">
        <f t="shared" si="739"/>
        <v>56 Michael Spice Hwy</v>
      </c>
      <c r="R2122" s="3">
        <f>OrdersTable!C2122</f>
        <v>44714</v>
      </c>
      <c r="S2122" s="15">
        <f>OrdersTable!E2122</f>
        <v>9</v>
      </c>
      <c r="T2122" s="15">
        <f t="shared" si="740"/>
        <v>4.99</v>
      </c>
      <c r="U2122" s="15">
        <f t="shared" si="741"/>
        <v>7.1</v>
      </c>
      <c r="V2122" s="15">
        <f t="shared" si="742"/>
        <v>8.08</v>
      </c>
      <c r="W2122" s="15">
        <f>IF(MarkupType="Store Markup",ROUND(V2122+V2122*StoreMarkup,2),IF(MarkupType="Supplier Markup",V2122+V2122*SupplierMarkup,"Error at finding value"))</f>
        <v>12.73</v>
      </c>
      <c r="X2122" s="32" t="str">
        <f t="shared" si="744"/>
        <v>0.00</v>
      </c>
      <c r="Y2122" s="15">
        <f t="shared" si="745"/>
        <v>72.72</v>
      </c>
      <c r="Z2122" s="15">
        <f t="shared" si="746"/>
        <v>114.57</v>
      </c>
      <c r="AA2122" s="15">
        <f>IF(FreightType="Lethbridge-Stewart Freight ",ROUND(2.99+IF(N2122&gt;0.75,(N2122-0.75)*2.25,0)*S2122,2),IF(MarkupType="Supplier Markup",V2122+V2122*SupplierMarkup,"Error at finding value"))</f>
        <v>2.99</v>
      </c>
      <c r="AB2122" s="15">
        <f t="shared" si="747"/>
        <v>0</v>
      </c>
    </row>
    <row r="2123" spans="1:28" x14ac:dyDescent="0.25">
      <c r="A2123" s="16">
        <f>OrdersTable!A2123</f>
        <v>158</v>
      </c>
      <c r="B2123" s="15" t="str">
        <f t="shared" si="727"/>
        <v>Mr</v>
      </c>
      <c r="C2123" s="15" t="str">
        <f t="shared" ref="C2123:C2186" si="748">VLOOKUP($A2123,Cust,3,0)</f>
        <v>Fowler</v>
      </c>
      <c r="D2123" s="15" t="str">
        <f t="shared" si="728"/>
        <v>James</v>
      </c>
      <c r="E2123" s="15" t="str">
        <f t="shared" si="729"/>
        <v>30 Virk Court</v>
      </c>
      <c r="F2123" s="15" t="str">
        <f t="shared" si="730"/>
        <v>Black Hills</v>
      </c>
      <c r="G2123" s="15" t="str">
        <f t="shared" si="731"/>
        <v>TAS</v>
      </c>
      <c r="H2123" s="15">
        <f t="shared" si="732"/>
        <v>7140</v>
      </c>
      <c r="I2123" s="15">
        <f t="shared" si="743"/>
        <v>2191</v>
      </c>
      <c r="J2123" s="15">
        <f>OrdersTable!B2123</f>
        <v>843</v>
      </c>
      <c r="K2123" s="15" t="str">
        <f t="shared" si="733"/>
        <v>Statues and Busts</v>
      </c>
      <c r="L2123" s="15" t="str">
        <f t="shared" si="734"/>
        <v>Doctor Who: Signature Edition Statue: Gallifrey Edition: Tom Baker</v>
      </c>
      <c r="M2123" s="15" t="str">
        <f t="shared" si="735"/>
        <v>-</v>
      </c>
      <c r="N2123" s="15">
        <f t="shared" si="736"/>
        <v>2.5</v>
      </c>
      <c r="O2123" s="15" t="str">
        <f t="shared" si="737"/>
        <v>A20</v>
      </c>
      <c r="P2123" s="15" t="str">
        <f t="shared" si="738"/>
        <v>Morbius Inc.</v>
      </c>
      <c r="Q2123" s="15" t="str">
        <f t="shared" si="739"/>
        <v>56 Michael Spice Hwy</v>
      </c>
      <c r="R2123" s="3">
        <f>OrdersTable!C2123</f>
        <v>44714</v>
      </c>
      <c r="S2123" s="15">
        <f>OrdersTable!E2123</f>
        <v>8</v>
      </c>
      <c r="T2123" s="15">
        <f t="shared" si="740"/>
        <v>49.99</v>
      </c>
      <c r="U2123" s="15">
        <f t="shared" si="741"/>
        <v>68.33</v>
      </c>
      <c r="V2123" s="15">
        <f t="shared" si="742"/>
        <v>80.98</v>
      </c>
      <c r="W2123" s="15">
        <f>IF(MarkupType="Store Markup",ROUND(V2123+V2123*StoreMarkup,2),IF(MarkupType="Supplier Markup",V2123+V2123*SupplierMarkup,"Error at finding value"))</f>
        <v>127.54</v>
      </c>
      <c r="X2123" s="32">
        <f t="shared" si="744"/>
        <v>9.09</v>
      </c>
      <c r="Y2123" s="15">
        <f t="shared" si="745"/>
        <v>647.84</v>
      </c>
      <c r="Z2123" s="15">
        <f t="shared" si="746"/>
        <v>947.6</v>
      </c>
      <c r="AA2123" s="15">
        <f>IF(FreightType="Lethbridge-Stewart Freight ",ROUND(2.99+IF(N2123&gt;0.75,(N2123-0.75)*2.25,0)*S2123,2),IF(MarkupType="Supplier Markup",V2123+V2123*SupplierMarkup,"Error at finding value"))</f>
        <v>34.49</v>
      </c>
      <c r="AB2123" s="15">
        <f t="shared" si="747"/>
        <v>72.72</v>
      </c>
    </row>
    <row r="2124" spans="1:28" x14ac:dyDescent="0.25">
      <c r="A2124" s="16">
        <f>OrdersTable!A2124</f>
        <v>331</v>
      </c>
      <c r="B2124" s="15" t="str">
        <f t="shared" si="727"/>
        <v>Mrs</v>
      </c>
      <c r="C2124" s="15" t="str">
        <f t="shared" si="748"/>
        <v>McKenzie</v>
      </c>
      <c r="D2124" s="15" t="str">
        <f t="shared" si="728"/>
        <v>Melinda Kate</v>
      </c>
      <c r="E2124" s="15" t="str">
        <f t="shared" si="729"/>
        <v>49 McKay Way</v>
      </c>
      <c r="F2124" s="15" t="str">
        <f t="shared" si="730"/>
        <v>Black Hills</v>
      </c>
      <c r="G2124" s="15" t="str">
        <f t="shared" si="731"/>
        <v>TAS</v>
      </c>
      <c r="H2124" s="15">
        <f t="shared" si="732"/>
        <v>7140</v>
      </c>
      <c r="I2124" s="15">
        <f t="shared" si="743"/>
        <v>2191</v>
      </c>
      <c r="J2124" s="15">
        <f>OrdersTable!B2124</f>
        <v>515</v>
      </c>
      <c r="K2124" s="15" t="str">
        <f t="shared" si="733"/>
        <v>Giftware</v>
      </c>
      <c r="L2124" s="15" t="str">
        <f t="shared" si="734"/>
        <v>Doctor Who: Keyring K9</v>
      </c>
      <c r="M2124" s="15" t="str">
        <f t="shared" si="735"/>
        <v>-</v>
      </c>
      <c r="N2124" s="15">
        <f t="shared" si="736"/>
        <v>0.25</v>
      </c>
      <c r="O2124" s="15" t="str">
        <f t="shared" si="737"/>
        <v>A50</v>
      </c>
      <c r="P2124" s="15" t="str">
        <f t="shared" si="738"/>
        <v>Rassilon Ltd.</v>
      </c>
      <c r="Q2124" s="15" t="str">
        <f t="shared" si="739"/>
        <v>82 Richard Mathews Road</v>
      </c>
      <c r="R2124" s="3">
        <f>OrdersTable!C2124</f>
        <v>44714</v>
      </c>
      <c r="S2124" s="15">
        <f>OrdersTable!E2124</f>
        <v>7</v>
      </c>
      <c r="T2124" s="15">
        <f t="shared" si="740"/>
        <v>4.99</v>
      </c>
      <c r="U2124" s="15">
        <f t="shared" si="741"/>
        <v>6.91</v>
      </c>
      <c r="V2124" s="15">
        <f t="shared" si="742"/>
        <v>8.08</v>
      </c>
      <c r="W2124" s="15">
        <f>IF(MarkupType="Store Markup",ROUND(V2124+V2124*StoreMarkup,2),IF(MarkupType="Supplier Markup",V2124+V2124*SupplierMarkup,"Error at finding value"))</f>
        <v>12.73</v>
      </c>
      <c r="X2124" s="32" t="str">
        <f t="shared" si="744"/>
        <v>0.00</v>
      </c>
      <c r="Y2124" s="15">
        <f t="shared" si="745"/>
        <v>56.56</v>
      </c>
      <c r="Z2124" s="15">
        <f t="shared" si="746"/>
        <v>89.11</v>
      </c>
      <c r="AA2124" s="15">
        <f>IF(FreightType="Lethbridge-Stewart Freight ",ROUND(2.99+IF(N2124&gt;0.75,(N2124-0.75)*2.25,0)*S2124,2),IF(MarkupType="Supplier Markup",V2124+V2124*SupplierMarkup,"Error at finding value"))</f>
        <v>2.99</v>
      </c>
      <c r="AB2124" s="15">
        <f t="shared" si="747"/>
        <v>0</v>
      </c>
    </row>
    <row r="2125" spans="1:28" x14ac:dyDescent="0.25">
      <c r="A2125" s="16">
        <f>OrdersTable!A2125</f>
        <v>334</v>
      </c>
      <c r="B2125" s="15" t="str">
        <f t="shared" si="727"/>
        <v>Mrs</v>
      </c>
      <c r="C2125" s="15" t="str">
        <f t="shared" si="748"/>
        <v>Wilson</v>
      </c>
      <c r="D2125" s="15" t="str">
        <f t="shared" si="728"/>
        <v>Hayley Lauren</v>
      </c>
      <c r="E2125" s="15" t="str">
        <f t="shared" si="729"/>
        <v>3 Ashley Crescent</v>
      </c>
      <c r="F2125" s="15" t="str">
        <f t="shared" si="730"/>
        <v>Black Hills</v>
      </c>
      <c r="G2125" s="15" t="str">
        <f t="shared" si="731"/>
        <v>TAS</v>
      </c>
      <c r="H2125" s="15">
        <f t="shared" si="732"/>
        <v>7140</v>
      </c>
      <c r="I2125" s="15">
        <f t="shared" si="743"/>
        <v>2191</v>
      </c>
      <c r="J2125" s="15">
        <f>OrdersTable!B2125</f>
        <v>681</v>
      </c>
      <c r="K2125" s="15" t="str">
        <f t="shared" si="733"/>
        <v>Mugs</v>
      </c>
      <c r="L2125" s="15" t="str">
        <f t="shared" si="734"/>
        <v>Doctor Who: Mug: The First Doctor</v>
      </c>
      <c r="M2125" s="15" t="str">
        <f t="shared" si="735"/>
        <v>-</v>
      </c>
      <c r="N2125" s="15">
        <f t="shared" si="736"/>
        <v>0.45</v>
      </c>
      <c r="O2125" s="15" t="str">
        <f t="shared" si="737"/>
        <v>A20</v>
      </c>
      <c r="P2125" s="15" t="str">
        <f t="shared" si="738"/>
        <v>Morbius Inc.</v>
      </c>
      <c r="Q2125" s="15" t="str">
        <f t="shared" si="739"/>
        <v>56 Michael Spice Hwy</v>
      </c>
      <c r="R2125" s="3">
        <f>OrdersTable!C2125</f>
        <v>44714</v>
      </c>
      <c r="S2125" s="15">
        <f>OrdersTable!E2125</f>
        <v>8</v>
      </c>
      <c r="T2125" s="15">
        <f t="shared" si="740"/>
        <v>8.99</v>
      </c>
      <c r="U2125" s="15">
        <f t="shared" si="741"/>
        <v>12.51</v>
      </c>
      <c r="V2125" s="15">
        <f t="shared" si="742"/>
        <v>14.56</v>
      </c>
      <c r="W2125" s="15">
        <f>IF(MarkupType="Store Markup",ROUND(V2125+V2125*StoreMarkup,2),IF(MarkupType="Supplier Markup",V2125+V2125*SupplierMarkup,"Error at finding value"))</f>
        <v>22.93</v>
      </c>
      <c r="X2125" s="32" t="str">
        <f t="shared" si="744"/>
        <v>0.00</v>
      </c>
      <c r="Y2125" s="15">
        <f t="shared" si="745"/>
        <v>116.48</v>
      </c>
      <c r="Z2125" s="15">
        <f t="shared" si="746"/>
        <v>183.44</v>
      </c>
      <c r="AA2125" s="15">
        <f>IF(FreightType="Lethbridge-Stewart Freight ",ROUND(2.99+IF(N2125&gt;0.75,(N2125-0.75)*2.25,0)*S2125,2),IF(MarkupType="Supplier Markup",V2125+V2125*SupplierMarkup,"Error at finding value"))</f>
        <v>2.99</v>
      </c>
      <c r="AB2125" s="15">
        <f t="shared" si="747"/>
        <v>0</v>
      </c>
    </row>
    <row r="2126" spans="1:28" x14ac:dyDescent="0.25">
      <c r="A2126" s="16">
        <f>OrdersTable!A2126</f>
        <v>360</v>
      </c>
      <c r="B2126" s="15" t="str">
        <f t="shared" si="727"/>
        <v>Ms</v>
      </c>
      <c r="C2126" s="15" t="str">
        <f t="shared" si="748"/>
        <v>Bobonica</v>
      </c>
      <c r="D2126" s="15" t="str">
        <f t="shared" si="728"/>
        <v>Claudia</v>
      </c>
      <c r="E2126" s="15" t="str">
        <f t="shared" si="729"/>
        <v>47 Klein Way</v>
      </c>
      <c r="F2126" s="15" t="str">
        <f t="shared" si="730"/>
        <v>Avon Plains</v>
      </c>
      <c r="G2126" s="15" t="str">
        <f t="shared" si="731"/>
        <v>VIC</v>
      </c>
      <c r="H2126" s="15">
        <f t="shared" si="732"/>
        <v>3477</v>
      </c>
      <c r="I2126" s="15">
        <f t="shared" si="743"/>
        <v>1565</v>
      </c>
      <c r="J2126" s="15">
        <f>OrdersTable!B2126</f>
        <v>177</v>
      </c>
      <c r="K2126" s="15" t="str">
        <f t="shared" si="733"/>
        <v>Bobbleheads</v>
      </c>
      <c r="L2126" s="15" t="str">
        <f t="shared" si="734"/>
        <v>Doctor Who: Bobblehead: TARDIS (With Sound)</v>
      </c>
      <c r="M2126" s="15" t="str">
        <f t="shared" si="735"/>
        <v>-</v>
      </c>
      <c r="N2126" s="15">
        <f t="shared" si="736"/>
        <v>1</v>
      </c>
      <c r="O2126" s="15" t="str">
        <f t="shared" si="737"/>
        <v>A30</v>
      </c>
      <c r="P2126" s="15" t="str">
        <f t="shared" si="738"/>
        <v>Chesterton Enterprises</v>
      </c>
      <c r="Q2126" s="15" t="str">
        <f t="shared" si="739"/>
        <v>41 William Russell Road</v>
      </c>
      <c r="R2126" s="3">
        <f>OrdersTable!C2126</f>
        <v>44714</v>
      </c>
      <c r="S2126" s="15">
        <f>OrdersTable!E2126</f>
        <v>2</v>
      </c>
      <c r="T2126" s="15">
        <f t="shared" si="740"/>
        <v>19.989999999999998</v>
      </c>
      <c r="U2126" s="15">
        <f t="shared" si="741"/>
        <v>27.6</v>
      </c>
      <c r="V2126" s="15">
        <f t="shared" si="742"/>
        <v>32.380000000000003</v>
      </c>
      <c r="W2126" s="15">
        <f>IF(MarkupType="Store Markup",ROUND(V2126+V2126*StoreMarkup,2),IF(MarkupType="Supplier Markup",V2126+V2126*SupplierMarkup,"Error at finding value"))</f>
        <v>51</v>
      </c>
      <c r="X2126" s="32" t="str">
        <f t="shared" si="744"/>
        <v>0.00</v>
      </c>
      <c r="Y2126" s="15">
        <f t="shared" si="745"/>
        <v>64.760000000000005</v>
      </c>
      <c r="Z2126" s="15">
        <f t="shared" si="746"/>
        <v>102</v>
      </c>
      <c r="AA2126" s="15">
        <f>IF(FreightType="Lethbridge-Stewart Freight ",ROUND(2.99+IF(N2126&gt;0.75,(N2126-0.75)*2.25,0)*S2126,2),IF(MarkupType="Supplier Markup",V2126+V2126*SupplierMarkup,"Error at finding value"))</f>
        <v>4.12</v>
      </c>
      <c r="AB2126" s="15">
        <f t="shared" si="747"/>
        <v>0</v>
      </c>
    </row>
    <row r="2127" spans="1:28" x14ac:dyDescent="0.25">
      <c r="A2127" s="16">
        <f>OrdersTable!A2127</f>
        <v>364</v>
      </c>
      <c r="B2127" s="15" t="str">
        <f t="shared" si="727"/>
        <v>Dr</v>
      </c>
      <c r="C2127" s="15" t="str">
        <f t="shared" si="748"/>
        <v>Reibelt</v>
      </c>
      <c r="D2127" s="15" t="str">
        <f t="shared" si="728"/>
        <v>Corey James</v>
      </c>
      <c r="E2127" s="15" t="str">
        <f t="shared" si="729"/>
        <v>23 Burns Drive</v>
      </c>
      <c r="F2127" s="15" t="str">
        <f t="shared" si="730"/>
        <v>Caliph</v>
      </c>
      <c r="G2127" s="15" t="str">
        <f t="shared" si="731"/>
        <v>SA</v>
      </c>
      <c r="H2127" s="15">
        <f t="shared" si="732"/>
        <v>5310</v>
      </c>
      <c r="I2127" s="15">
        <f t="shared" si="743"/>
        <v>1720</v>
      </c>
      <c r="J2127" s="15">
        <f>OrdersTable!B2127</f>
        <v>590</v>
      </c>
      <c r="K2127" s="15" t="str">
        <f t="shared" si="733"/>
        <v>iPhone Skins</v>
      </c>
      <c r="L2127" s="15" t="str">
        <f t="shared" si="734"/>
        <v>Doctor Who: iPhone Skin: Exploding TARDIS</v>
      </c>
      <c r="M2127" s="15" t="str">
        <f t="shared" si="735"/>
        <v>-</v>
      </c>
      <c r="N2127" s="15">
        <f t="shared" si="736"/>
        <v>0.5</v>
      </c>
      <c r="O2127" s="15" t="str">
        <f t="shared" si="737"/>
        <v>A20</v>
      </c>
      <c r="P2127" s="15" t="str">
        <f t="shared" si="738"/>
        <v>Morbius Inc.</v>
      </c>
      <c r="Q2127" s="15" t="str">
        <f t="shared" si="739"/>
        <v>56 Michael Spice Hwy</v>
      </c>
      <c r="R2127" s="3">
        <f>OrdersTable!C2127</f>
        <v>44714</v>
      </c>
      <c r="S2127" s="15">
        <f>OrdersTable!E2127</f>
        <v>7</v>
      </c>
      <c r="T2127" s="15">
        <f t="shared" si="740"/>
        <v>9.99</v>
      </c>
      <c r="U2127" s="15">
        <f t="shared" si="741"/>
        <v>13.86</v>
      </c>
      <c r="V2127" s="15">
        <f t="shared" si="742"/>
        <v>16.18</v>
      </c>
      <c r="W2127" s="15">
        <f>IF(MarkupType="Store Markup",ROUND(V2127+V2127*StoreMarkup,2),IF(MarkupType="Supplier Markup",V2127+V2127*SupplierMarkup,"Error at finding value"))</f>
        <v>25.48</v>
      </c>
      <c r="X2127" s="32" t="str">
        <f t="shared" si="744"/>
        <v>0.00</v>
      </c>
      <c r="Y2127" s="15">
        <f t="shared" si="745"/>
        <v>113.26</v>
      </c>
      <c r="Z2127" s="15">
        <f t="shared" si="746"/>
        <v>178.36</v>
      </c>
      <c r="AA2127" s="15">
        <f>IF(FreightType="Lethbridge-Stewart Freight ",ROUND(2.99+IF(N2127&gt;0.75,(N2127-0.75)*2.25,0)*S2127,2),IF(MarkupType="Supplier Markup",V2127+V2127*SupplierMarkup,"Error at finding value"))</f>
        <v>2.99</v>
      </c>
      <c r="AB2127" s="15">
        <f t="shared" si="747"/>
        <v>0</v>
      </c>
    </row>
    <row r="2128" spans="1:28" x14ac:dyDescent="0.25">
      <c r="A2128" s="16">
        <f>OrdersTable!A2128</f>
        <v>543</v>
      </c>
      <c r="B2128" s="15" t="str">
        <f t="shared" si="727"/>
        <v>Ms</v>
      </c>
      <c r="C2128" s="15" t="str">
        <f t="shared" si="748"/>
        <v>Mendezona</v>
      </c>
      <c r="D2128" s="15" t="str">
        <f t="shared" si="728"/>
        <v>Tara Colleen-Mary</v>
      </c>
      <c r="E2128" s="15" t="str">
        <f t="shared" si="729"/>
        <v>27 Picone Drive</v>
      </c>
      <c r="F2128" s="15" t="str">
        <f t="shared" si="730"/>
        <v>Aberfoyle</v>
      </c>
      <c r="G2128" s="15" t="str">
        <f t="shared" si="731"/>
        <v>NSW</v>
      </c>
      <c r="H2128" s="15">
        <f t="shared" si="732"/>
        <v>2350</v>
      </c>
      <c r="I2128" s="15">
        <f t="shared" si="743"/>
        <v>363</v>
      </c>
      <c r="J2128" s="15">
        <f>OrdersTable!B2128</f>
        <v>732</v>
      </c>
      <c r="K2128" s="15" t="str">
        <f t="shared" si="733"/>
        <v>Props and Replicas</v>
      </c>
      <c r="L2128" s="15" t="str">
        <f t="shared" si="734"/>
        <v>Doctor Who: Eleventh Doctor's Sonic Screwdriver</v>
      </c>
      <c r="M2128" s="15" t="str">
        <f t="shared" si="735"/>
        <v>-</v>
      </c>
      <c r="N2128" s="15">
        <f t="shared" si="736"/>
        <v>3</v>
      </c>
      <c r="O2128" s="15" t="str">
        <f t="shared" si="737"/>
        <v>A40</v>
      </c>
      <c r="P2128" s="15" t="str">
        <f t="shared" si="738"/>
        <v>Romana Imports</v>
      </c>
      <c r="Q2128" s="15" t="str">
        <f t="shared" si="739"/>
        <v>17 Lalla Ward Road</v>
      </c>
      <c r="R2128" s="3">
        <f>OrdersTable!C2128</f>
        <v>44714</v>
      </c>
      <c r="S2128" s="15">
        <f>OrdersTable!E2128</f>
        <v>4</v>
      </c>
      <c r="T2128" s="15">
        <f t="shared" si="740"/>
        <v>59.99</v>
      </c>
      <c r="U2128" s="15">
        <f t="shared" si="741"/>
        <v>81.83</v>
      </c>
      <c r="V2128" s="15">
        <f t="shared" si="742"/>
        <v>97.18</v>
      </c>
      <c r="W2128" s="15">
        <f>IF(MarkupType="Store Markup",ROUND(V2128+V2128*StoreMarkup,2),IF(MarkupType="Supplier Markup",V2128+V2128*SupplierMarkup,"Error at finding value"))</f>
        <v>153.06</v>
      </c>
      <c r="X2128" s="32">
        <f t="shared" si="744"/>
        <v>10.91</v>
      </c>
      <c r="Y2128" s="15">
        <f t="shared" si="745"/>
        <v>388.72</v>
      </c>
      <c r="Z2128" s="15">
        <f t="shared" si="746"/>
        <v>568.6</v>
      </c>
      <c r="AA2128" s="15">
        <f>IF(FreightType="Lethbridge-Stewart Freight ",ROUND(2.99+IF(N2128&gt;0.75,(N2128-0.75)*2.25,0)*S2128,2),IF(MarkupType="Supplier Markup",V2128+V2128*SupplierMarkup,"Error at finding value"))</f>
        <v>23.24</v>
      </c>
      <c r="AB2128" s="15">
        <f t="shared" si="747"/>
        <v>43.64</v>
      </c>
    </row>
    <row r="2129" spans="1:28" x14ac:dyDescent="0.25">
      <c r="A2129" s="16">
        <f>OrdersTable!A2129</f>
        <v>610</v>
      </c>
      <c r="B2129" s="15" t="str">
        <f t="shared" si="727"/>
        <v>Ms</v>
      </c>
      <c r="C2129" s="15" t="str">
        <f t="shared" si="748"/>
        <v>Bichel</v>
      </c>
      <c r="D2129" s="15" t="str">
        <f t="shared" si="728"/>
        <v>Abbey Kate</v>
      </c>
      <c r="E2129" s="15" t="str">
        <f t="shared" si="729"/>
        <v>32 Rambau Avenue</v>
      </c>
      <c r="F2129" s="15" t="str">
        <f t="shared" si="730"/>
        <v>Bamboo</v>
      </c>
      <c r="G2129" s="15" t="str">
        <f t="shared" si="731"/>
        <v>QLD</v>
      </c>
      <c r="H2129" s="15">
        <f t="shared" si="732"/>
        <v>4873</v>
      </c>
      <c r="I2129" s="15">
        <f t="shared" si="743"/>
        <v>1741</v>
      </c>
      <c r="J2129" s="15">
        <f>OrdersTable!B2129</f>
        <v>186</v>
      </c>
      <c r="K2129" s="15" t="str">
        <f t="shared" si="733"/>
        <v>Bobbleheads</v>
      </c>
      <c r="L2129" s="15" t="str">
        <f t="shared" si="734"/>
        <v>Doctor Who: Monitor Mate: 50th Anniversary Original TARDIS</v>
      </c>
      <c r="M2129" s="15" t="str">
        <f t="shared" si="735"/>
        <v>-</v>
      </c>
      <c r="N2129" s="15">
        <f t="shared" si="736"/>
        <v>0.45</v>
      </c>
      <c r="O2129" s="15" t="str">
        <f t="shared" si="737"/>
        <v>A20</v>
      </c>
      <c r="P2129" s="15" t="str">
        <f t="shared" si="738"/>
        <v>Morbius Inc.</v>
      </c>
      <c r="Q2129" s="15" t="str">
        <f t="shared" si="739"/>
        <v>56 Michael Spice Hwy</v>
      </c>
      <c r="R2129" s="3">
        <f>OrdersTable!C2129</f>
        <v>44714</v>
      </c>
      <c r="S2129" s="15">
        <f>OrdersTable!E2129</f>
        <v>3</v>
      </c>
      <c r="T2129" s="15">
        <f t="shared" si="740"/>
        <v>8.99</v>
      </c>
      <c r="U2129" s="15">
        <f t="shared" si="741"/>
        <v>12.46</v>
      </c>
      <c r="V2129" s="15">
        <f t="shared" si="742"/>
        <v>14.56</v>
      </c>
      <c r="W2129" s="15">
        <f>IF(MarkupType="Store Markup",ROUND(V2129+V2129*StoreMarkup,2),IF(MarkupType="Supplier Markup",V2129+V2129*SupplierMarkup,"Error at finding value"))</f>
        <v>22.93</v>
      </c>
      <c r="X2129" s="32" t="str">
        <f t="shared" si="744"/>
        <v>0.00</v>
      </c>
      <c r="Y2129" s="15">
        <f t="shared" si="745"/>
        <v>43.68</v>
      </c>
      <c r="Z2129" s="15">
        <f t="shared" si="746"/>
        <v>68.790000000000006</v>
      </c>
      <c r="AA2129" s="15">
        <f>IF(FreightType="Lethbridge-Stewart Freight ",ROUND(2.99+IF(N2129&gt;0.75,(N2129-0.75)*2.25,0)*S2129,2),IF(MarkupType="Supplier Markup",V2129+V2129*SupplierMarkup,"Error at finding value"))</f>
        <v>2.99</v>
      </c>
      <c r="AB2129" s="15">
        <f t="shared" si="747"/>
        <v>0</v>
      </c>
    </row>
    <row r="2130" spans="1:28" x14ac:dyDescent="0.25">
      <c r="A2130" s="16">
        <f>OrdersTable!A2130</f>
        <v>841</v>
      </c>
      <c r="B2130" s="15" t="str">
        <f t="shared" si="727"/>
        <v>Miss</v>
      </c>
      <c r="C2130" s="15" t="str">
        <f t="shared" si="748"/>
        <v>Donaghy</v>
      </c>
      <c r="D2130" s="15" t="str">
        <f t="shared" si="728"/>
        <v>Elizabeth Mathilde Jane</v>
      </c>
      <c r="E2130" s="15" t="str">
        <f t="shared" si="729"/>
        <v>31 Johnson Boulevard</v>
      </c>
      <c r="F2130" s="15" t="str">
        <f t="shared" si="730"/>
        <v>Belford</v>
      </c>
      <c r="G2130" s="15" t="str">
        <f t="shared" si="731"/>
        <v>NSW</v>
      </c>
      <c r="H2130" s="15">
        <f t="shared" si="732"/>
        <v>2335</v>
      </c>
      <c r="I2130" s="15">
        <f t="shared" si="743"/>
        <v>716</v>
      </c>
      <c r="J2130" s="15">
        <f>OrdersTable!B2130</f>
        <v>436</v>
      </c>
      <c r="K2130" s="15" t="str">
        <f t="shared" si="733"/>
        <v>Giftware</v>
      </c>
      <c r="L2130" s="15" t="str">
        <f t="shared" si="734"/>
        <v>Doctor Who: Adult Watch: TARDIS</v>
      </c>
      <c r="M2130" s="15" t="str">
        <f t="shared" si="735"/>
        <v>-</v>
      </c>
      <c r="N2130" s="15">
        <f t="shared" si="736"/>
        <v>1.5</v>
      </c>
      <c r="O2130" s="15" t="str">
        <f t="shared" si="737"/>
        <v>A20</v>
      </c>
      <c r="P2130" s="15" t="str">
        <f t="shared" si="738"/>
        <v>Morbius Inc.</v>
      </c>
      <c r="Q2130" s="15" t="str">
        <f t="shared" si="739"/>
        <v>56 Michael Spice Hwy</v>
      </c>
      <c r="R2130" s="3">
        <f>OrdersTable!C2130</f>
        <v>44714</v>
      </c>
      <c r="S2130" s="15">
        <f>OrdersTable!E2130</f>
        <v>6</v>
      </c>
      <c r="T2130" s="15">
        <f t="shared" si="740"/>
        <v>29.99</v>
      </c>
      <c r="U2130" s="15">
        <f t="shared" si="741"/>
        <v>40.96</v>
      </c>
      <c r="V2130" s="15">
        <f t="shared" si="742"/>
        <v>48.58</v>
      </c>
      <c r="W2130" s="15">
        <f>IF(MarkupType="Store Markup",ROUND(V2130+V2130*StoreMarkup,2),IF(MarkupType="Supplier Markup",V2130+V2130*SupplierMarkup,"Error at finding value"))</f>
        <v>76.510000000000005</v>
      </c>
      <c r="X2130" s="32" t="str">
        <f t="shared" si="744"/>
        <v>0.00</v>
      </c>
      <c r="Y2130" s="15">
        <f t="shared" si="745"/>
        <v>291.48</v>
      </c>
      <c r="Z2130" s="15">
        <f t="shared" si="746"/>
        <v>459.06</v>
      </c>
      <c r="AA2130" s="15">
        <f>IF(FreightType="Lethbridge-Stewart Freight ",ROUND(2.99+IF(N2130&gt;0.75,(N2130-0.75)*2.25,0)*S2130,2),IF(MarkupType="Supplier Markup",V2130+V2130*SupplierMarkup,"Error at finding value"))</f>
        <v>13.12</v>
      </c>
      <c r="AB2130" s="15">
        <f t="shared" si="747"/>
        <v>0</v>
      </c>
    </row>
    <row r="2131" spans="1:28" x14ac:dyDescent="0.25">
      <c r="A2131" s="16">
        <f>OrdersTable!A2131</f>
        <v>923</v>
      </c>
      <c r="B2131" s="15" t="str">
        <f t="shared" si="727"/>
        <v>Ms</v>
      </c>
      <c r="C2131" s="15" t="str">
        <f t="shared" si="748"/>
        <v>Savage</v>
      </c>
      <c r="D2131" s="15" t="str">
        <f t="shared" si="728"/>
        <v>Eliza Margaret</v>
      </c>
      <c r="E2131" s="15" t="str">
        <f t="shared" si="729"/>
        <v>28 Whisson Crescent</v>
      </c>
      <c r="F2131" s="15" t="str">
        <f t="shared" si="730"/>
        <v>Belconnen</v>
      </c>
      <c r="G2131" s="15" t="str">
        <f t="shared" si="731"/>
        <v>ACT</v>
      </c>
      <c r="H2131" s="15">
        <f t="shared" si="732"/>
        <v>2617</v>
      </c>
      <c r="I2131" s="15">
        <f t="shared" si="743"/>
        <v>1194</v>
      </c>
      <c r="J2131" s="15">
        <f>OrdersTable!B2131</f>
        <v>330</v>
      </c>
      <c r="K2131" s="15" t="str">
        <f t="shared" si="733"/>
        <v>Clothing and Apparel</v>
      </c>
      <c r="L2131" s="15" t="str">
        <f t="shared" si="734"/>
        <v xml:space="preserve">Doctor Who: T-Shirts: 4th Doctor Costume </v>
      </c>
      <c r="M2131" s="15" t="str">
        <f t="shared" si="735"/>
        <v>M</v>
      </c>
      <c r="N2131" s="15">
        <f t="shared" si="736"/>
        <v>0.8</v>
      </c>
      <c r="O2131" s="15" t="str">
        <f t="shared" si="737"/>
        <v>A20</v>
      </c>
      <c r="P2131" s="15" t="str">
        <f t="shared" si="738"/>
        <v>Morbius Inc.</v>
      </c>
      <c r="Q2131" s="15" t="str">
        <f t="shared" si="739"/>
        <v>56 Michael Spice Hwy</v>
      </c>
      <c r="R2131" s="3">
        <f>OrdersTable!C2131</f>
        <v>44714</v>
      </c>
      <c r="S2131" s="15">
        <f>OrdersTable!E2131</f>
        <v>7</v>
      </c>
      <c r="T2131" s="15">
        <f t="shared" si="740"/>
        <v>15.99</v>
      </c>
      <c r="U2131" s="15">
        <f t="shared" si="741"/>
        <v>22.03</v>
      </c>
      <c r="V2131" s="15">
        <f t="shared" si="742"/>
        <v>25.9</v>
      </c>
      <c r="W2131" s="15">
        <f>IF(MarkupType="Store Markup",ROUND(V2131+V2131*StoreMarkup,2),IF(MarkupType="Supplier Markup",V2131+V2131*SupplierMarkup,"Error at finding value"))</f>
        <v>40.79</v>
      </c>
      <c r="X2131" s="32" t="str">
        <f t="shared" si="744"/>
        <v>0.00</v>
      </c>
      <c r="Y2131" s="15">
        <f t="shared" si="745"/>
        <v>181.3</v>
      </c>
      <c r="Z2131" s="15">
        <f t="shared" si="746"/>
        <v>285.52999999999997</v>
      </c>
      <c r="AA2131" s="15">
        <f>IF(FreightType="Lethbridge-Stewart Freight ",ROUND(2.99+IF(N2131&gt;0.75,(N2131-0.75)*2.25,0)*S2131,2),IF(MarkupType="Supplier Markup",V2131+V2131*SupplierMarkup,"Error at finding value"))</f>
        <v>3.78</v>
      </c>
      <c r="AB2131" s="15">
        <f t="shared" si="747"/>
        <v>0</v>
      </c>
    </row>
    <row r="2132" spans="1:28" x14ac:dyDescent="0.25">
      <c r="A2132" s="16">
        <f>OrdersTable!A2132</f>
        <v>66</v>
      </c>
      <c r="B2132" s="15" t="str">
        <f t="shared" si="727"/>
        <v>Mr</v>
      </c>
      <c r="C2132" s="15" t="str">
        <f t="shared" si="748"/>
        <v>Bachmann</v>
      </c>
      <c r="D2132" s="15" t="str">
        <f t="shared" si="728"/>
        <v>Aaron</v>
      </c>
      <c r="E2132" s="15" t="str">
        <f t="shared" si="729"/>
        <v>3 Csabai Avenue</v>
      </c>
      <c r="F2132" s="15" t="str">
        <f t="shared" si="730"/>
        <v>Bridgewater</v>
      </c>
      <c r="G2132" s="15" t="str">
        <f t="shared" si="731"/>
        <v>VIC</v>
      </c>
      <c r="H2132" s="15">
        <f t="shared" si="732"/>
        <v>3516</v>
      </c>
      <c r="I2132" s="15">
        <f t="shared" si="743"/>
        <v>1486</v>
      </c>
      <c r="J2132" s="15">
        <f>OrdersTable!B2132</f>
        <v>826</v>
      </c>
      <c r="K2132" s="15" t="str">
        <f t="shared" si="733"/>
        <v>Statues and Busts</v>
      </c>
      <c r="L2132" s="15" t="str">
        <f t="shared" si="734"/>
        <v>Doctor Who: Mini Bust: Cyberman</v>
      </c>
      <c r="M2132" s="15" t="str">
        <f t="shared" si="735"/>
        <v>-</v>
      </c>
      <c r="N2132" s="15">
        <f t="shared" si="736"/>
        <v>1.8</v>
      </c>
      <c r="O2132" s="15" t="str">
        <f t="shared" si="737"/>
        <v>A40</v>
      </c>
      <c r="P2132" s="15" t="str">
        <f t="shared" si="738"/>
        <v>Romana Imports</v>
      </c>
      <c r="Q2132" s="15" t="str">
        <f t="shared" si="739"/>
        <v>17 Lalla Ward Road</v>
      </c>
      <c r="R2132" s="3">
        <f>OrdersTable!C2132</f>
        <v>44715</v>
      </c>
      <c r="S2132" s="15">
        <f>OrdersTable!E2132</f>
        <v>10</v>
      </c>
      <c r="T2132" s="15">
        <f t="shared" si="740"/>
        <v>35.99</v>
      </c>
      <c r="U2132" s="15">
        <f t="shared" si="741"/>
        <v>49.13</v>
      </c>
      <c r="V2132" s="15">
        <f t="shared" si="742"/>
        <v>58.3</v>
      </c>
      <c r="W2132" s="15">
        <f>IF(MarkupType="Store Markup",ROUND(V2132+V2132*StoreMarkup,2),IF(MarkupType="Supplier Markup",V2132+V2132*SupplierMarkup,"Error at finding value"))</f>
        <v>91.82</v>
      </c>
      <c r="X2132" s="32" t="str">
        <f t="shared" si="744"/>
        <v>0.00</v>
      </c>
      <c r="Y2132" s="15">
        <f t="shared" si="745"/>
        <v>583</v>
      </c>
      <c r="Z2132" s="15">
        <f t="shared" si="746"/>
        <v>918.2</v>
      </c>
      <c r="AA2132" s="15">
        <f>IF(FreightType="Lethbridge-Stewart Freight ",ROUND(2.99+IF(N2132&gt;0.75,(N2132-0.75)*2.25,0)*S2132,2),IF(MarkupType="Supplier Markup",V2132+V2132*SupplierMarkup,"Error at finding value"))</f>
        <v>26.62</v>
      </c>
      <c r="AB2132" s="15">
        <f t="shared" si="747"/>
        <v>0</v>
      </c>
    </row>
    <row r="2133" spans="1:28" x14ac:dyDescent="0.25">
      <c r="A2133" s="16">
        <f>OrdersTable!A2133</f>
        <v>142</v>
      </c>
      <c r="B2133" s="15" t="str">
        <f t="shared" si="727"/>
        <v>Miss</v>
      </c>
      <c r="C2133" s="15" t="str">
        <f t="shared" si="748"/>
        <v>Western</v>
      </c>
      <c r="D2133" s="15" t="str">
        <f t="shared" si="728"/>
        <v>Lee Reuben</v>
      </c>
      <c r="E2133" s="15" t="str">
        <f t="shared" si="729"/>
        <v>14 Fields Road</v>
      </c>
      <c r="F2133" s="15" t="str">
        <f t="shared" si="730"/>
        <v>Airly</v>
      </c>
      <c r="G2133" s="15" t="str">
        <f t="shared" si="731"/>
        <v>VIC</v>
      </c>
      <c r="H2133" s="15">
        <f t="shared" si="732"/>
        <v>3851</v>
      </c>
      <c r="I2133" s="15">
        <f t="shared" si="743"/>
        <v>1583</v>
      </c>
      <c r="J2133" s="15">
        <f>OrdersTable!B2133</f>
        <v>732</v>
      </c>
      <c r="K2133" s="15" t="str">
        <f t="shared" si="733"/>
        <v>Props and Replicas</v>
      </c>
      <c r="L2133" s="15" t="str">
        <f t="shared" si="734"/>
        <v>Doctor Who: Eleventh Doctor's Sonic Screwdriver</v>
      </c>
      <c r="M2133" s="15" t="str">
        <f t="shared" si="735"/>
        <v>-</v>
      </c>
      <c r="N2133" s="15">
        <f t="shared" si="736"/>
        <v>3</v>
      </c>
      <c r="O2133" s="15" t="str">
        <f t="shared" si="737"/>
        <v>A40</v>
      </c>
      <c r="P2133" s="15" t="str">
        <f t="shared" si="738"/>
        <v>Romana Imports</v>
      </c>
      <c r="Q2133" s="15" t="str">
        <f t="shared" si="739"/>
        <v>17 Lalla Ward Road</v>
      </c>
      <c r="R2133" s="3">
        <f>OrdersTable!C2133</f>
        <v>44715</v>
      </c>
      <c r="S2133" s="15">
        <f>OrdersTable!E2133</f>
        <v>6</v>
      </c>
      <c r="T2133" s="15">
        <f t="shared" si="740"/>
        <v>59.99</v>
      </c>
      <c r="U2133" s="15">
        <f t="shared" si="741"/>
        <v>81.83</v>
      </c>
      <c r="V2133" s="15">
        <f t="shared" si="742"/>
        <v>97.18</v>
      </c>
      <c r="W2133" s="15">
        <f>IF(MarkupType="Store Markup",ROUND(V2133+V2133*StoreMarkup,2),IF(MarkupType="Supplier Markup",V2133+V2133*SupplierMarkup,"Error at finding value"))</f>
        <v>153.06</v>
      </c>
      <c r="X2133" s="32">
        <f t="shared" si="744"/>
        <v>10.91</v>
      </c>
      <c r="Y2133" s="15">
        <f t="shared" si="745"/>
        <v>583.08000000000004</v>
      </c>
      <c r="Z2133" s="15">
        <f t="shared" si="746"/>
        <v>852.9</v>
      </c>
      <c r="AA2133" s="15">
        <f>IF(FreightType="Lethbridge-Stewart Freight ",ROUND(2.99+IF(N2133&gt;0.75,(N2133-0.75)*2.25,0)*S2133,2),IF(MarkupType="Supplier Markup",V2133+V2133*SupplierMarkup,"Error at finding value"))</f>
        <v>33.369999999999997</v>
      </c>
      <c r="AB2133" s="15">
        <f t="shared" si="747"/>
        <v>65.459999999999994</v>
      </c>
    </row>
    <row r="2134" spans="1:28" x14ac:dyDescent="0.25">
      <c r="A2134" s="16">
        <f>OrdersTable!A2134</f>
        <v>180</v>
      </c>
      <c r="B2134" s="15" t="str">
        <f t="shared" si="727"/>
        <v>Mrs</v>
      </c>
      <c r="C2134" s="15" t="str">
        <f t="shared" si="748"/>
        <v>Feeney</v>
      </c>
      <c r="D2134" s="15" t="str">
        <f t="shared" si="728"/>
        <v>Jennifer Ruth</v>
      </c>
      <c r="E2134" s="15" t="str">
        <f t="shared" si="729"/>
        <v>18 Cook Avenue</v>
      </c>
      <c r="F2134" s="15" t="str">
        <f t="shared" si="730"/>
        <v>Nayook</v>
      </c>
      <c r="G2134" s="15" t="str">
        <f t="shared" si="731"/>
        <v>VIC</v>
      </c>
      <c r="H2134" s="15">
        <f t="shared" si="732"/>
        <v>3832</v>
      </c>
      <c r="I2134" s="15">
        <f t="shared" si="743"/>
        <v>1552</v>
      </c>
      <c r="J2134" s="15">
        <f>OrdersTable!B2134</f>
        <v>341</v>
      </c>
      <c r="K2134" s="15" t="str">
        <f t="shared" si="733"/>
        <v>Clothing and Apparel</v>
      </c>
      <c r="L2134" s="15" t="str">
        <f t="shared" si="734"/>
        <v xml:space="preserve">Doctor Who: T-Shirts: 4th Doctor Costume </v>
      </c>
      <c r="M2134" s="15" t="str">
        <f t="shared" si="735"/>
        <v>XL</v>
      </c>
      <c r="N2134" s="15">
        <f t="shared" si="736"/>
        <v>0.8</v>
      </c>
      <c r="O2134" s="15" t="str">
        <f t="shared" si="737"/>
        <v>A20</v>
      </c>
      <c r="P2134" s="15" t="str">
        <f t="shared" si="738"/>
        <v>Morbius Inc.</v>
      </c>
      <c r="Q2134" s="15" t="str">
        <f t="shared" si="739"/>
        <v>56 Michael Spice Hwy</v>
      </c>
      <c r="R2134" s="3">
        <f>OrdersTable!C2134</f>
        <v>44715</v>
      </c>
      <c r="S2134" s="15">
        <f>OrdersTable!E2134</f>
        <v>1</v>
      </c>
      <c r="T2134" s="15">
        <f t="shared" si="740"/>
        <v>15.99</v>
      </c>
      <c r="U2134" s="15">
        <f t="shared" si="741"/>
        <v>22.05</v>
      </c>
      <c r="V2134" s="15">
        <f t="shared" si="742"/>
        <v>25.9</v>
      </c>
      <c r="W2134" s="15">
        <f>IF(MarkupType="Store Markup",ROUND(V2134+V2134*StoreMarkup,2),IF(MarkupType="Supplier Markup",V2134+V2134*SupplierMarkup,"Error at finding value"))</f>
        <v>40.79</v>
      </c>
      <c r="X2134" s="32" t="str">
        <f t="shared" si="744"/>
        <v>0.00</v>
      </c>
      <c r="Y2134" s="15">
        <f t="shared" si="745"/>
        <v>25.9</v>
      </c>
      <c r="Z2134" s="15">
        <f t="shared" si="746"/>
        <v>40.79</v>
      </c>
      <c r="AA2134" s="15">
        <f>IF(FreightType="Lethbridge-Stewart Freight ",ROUND(2.99+IF(N2134&gt;0.75,(N2134-0.75)*2.25,0)*S2134,2),IF(MarkupType="Supplier Markup",V2134+V2134*SupplierMarkup,"Error at finding value"))</f>
        <v>3.1</v>
      </c>
      <c r="AB2134" s="15">
        <f t="shared" si="747"/>
        <v>0</v>
      </c>
    </row>
    <row r="2135" spans="1:28" x14ac:dyDescent="0.25">
      <c r="A2135" s="16">
        <f>OrdersTable!A2135</f>
        <v>331</v>
      </c>
      <c r="B2135" s="15" t="str">
        <f t="shared" si="727"/>
        <v>Mrs</v>
      </c>
      <c r="C2135" s="15" t="str">
        <f t="shared" si="748"/>
        <v>McKenzie</v>
      </c>
      <c r="D2135" s="15" t="str">
        <f t="shared" si="728"/>
        <v>Melinda Kate</v>
      </c>
      <c r="E2135" s="15" t="str">
        <f t="shared" si="729"/>
        <v>49 McKay Way</v>
      </c>
      <c r="F2135" s="15" t="str">
        <f t="shared" si="730"/>
        <v>Black Hills</v>
      </c>
      <c r="G2135" s="15" t="str">
        <f t="shared" si="731"/>
        <v>TAS</v>
      </c>
      <c r="H2135" s="15">
        <f t="shared" si="732"/>
        <v>7140</v>
      </c>
      <c r="I2135" s="15">
        <f t="shared" si="743"/>
        <v>2191</v>
      </c>
      <c r="J2135" s="15">
        <f>OrdersTable!B2135</f>
        <v>701</v>
      </c>
      <c r="K2135" s="15" t="str">
        <f t="shared" si="733"/>
        <v>Posters, Prints and Standees</v>
      </c>
      <c r="L2135" s="15" t="str">
        <f t="shared" si="734"/>
        <v>Doctor Who: Half Sized Standee: The TARDIS</v>
      </c>
      <c r="M2135" s="15" t="str">
        <f t="shared" si="735"/>
        <v>-</v>
      </c>
      <c r="N2135" s="15">
        <f t="shared" si="736"/>
        <v>0.5</v>
      </c>
      <c r="O2135" s="15" t="str">
        <f t="shared" si="737"/>
        <v>A40</v>
      </c>
      <c r="P2135" s="15" t="str">
        <f t="shared" si="738"/>
        <v>Romana Imports</v>
      </c>
      <c r="Q2135" s="15" t="str">
        <f t="shared" si="739"/>
        <v>17 Lalla Ward Road</v>
      </c>
      <c r="R2135" s="3">
        <f>OrdersTable!C2135</f>
        <v>44715</v>
      </c>
      <c r="S2135" s="15">
        <f>OrdersTable!E2135</f>
        <v>6</v>
      </c>
      <c r="T2135" s="15">
        <f t="shared" si="740"/>
        <v>9.99</v>
      </c>
      <c r="U2135" s="15">
        <f t="shared" si="741"/>
        <v>13.83</v>
      </c>
      <c r="V2135" s="15">
        <f t="shared" si="742"/>
        <v>16.18</v>
      </c>
      <c r="W2135" s="15">
        <f>IF(MarkupType="Store Markup",ROUND(V2135+V2135*StoreMarkup,2),IF(MarkupType="Supplier Markup",V2135+V2135*SupplierMarkup,"Error at finding value"))</f>
        <v>25.48</v>
      </c>
      <c r="X2135" s="32" t="str">
        <f t="shared" si="744"/>
        <v>0.00</v>
      </c>
      <c r="Y2135" s="15">
        <f t="shared" si="745"/>
        <v>97.08</v>
      </c>
      <c r="Z2135" s="15">
        <f t="shared" si="746"/>
        <v>152.88</v>
      </c>
      <c r="AA2135" s="15">
        <f>IF(FreightType="Lethbridge-Stewart Freight ",ROUND(2.99+IF(N2135&gt;0.75,(N2135-0.75)*2.25,0)*S2135,2),IF(MarkupType="Supplier Markup",V2135+V2135*SupplierMarkup,"Error at finding value"))</f>
        <v>2.99</v>
      </c>
      <c r="AB2135" s="15">
        <f t="shared" si="747"/>
        <v>0</v>
      </c>
    </row>
    <row r="2136" spans="1:28" x14ac:dyDescent="0.25">
      <c r="A2136" s="16">
        <f>OrdersTable!A2136</f>
        <v>333</v>
      </c>
      <c r="B2136" s="15" t="str">
        <f t="shared" si="727"/>
        <v>Mr</v>
      </c>
      <c r="C2136" s="15" t="str">
        <f t="shared" si="748"/>
        <v>Martin</v>
      </c>
      <c r="D2136" s="15" t="str">
        <f t="shared" si="728"/>
        <v>Damien Roger</v>
      </c>
      <c r="E2136" s="15" t="str">
        <f t="shared" si="729"/>
        <v>23 Quennell Way</v>
      </c>
      <c r="F2136" s="15" t="str">
        <f t="shared" si="730"/>
        <v>Aberfoyle</v>
      </c>
      <c r="G2136" s="15" t="str">
        <f t="shared" si="731"/>
        <v>NSW</v>
      </c>
      <c r="H2136" s="15">
        <f t="shared" si="732"/>
        <v>2350</v>
      </c>
      <c r="I2136" s="15">
        <f t="shared" si="743"/>
        <v>363</v>
      </c>
      <c r="J2136" s="15">
        <f>OrdersTable!B2136</f>
        <v>201</v>
      </c>
      <c r="K2136" s="15" t="str">
        <f t="shared" si="733"/>
        <v>Clothing and Apparel</v>
      </c>
      <c r="L2136" s="15" t="str">
        <f t="shared" si="734"/>
        <v>Doctor Who: Dalek Beanie</v>
      </c>
      <c r="M2136" s="15" t="str">
        <f t="shared" si="735"/>
        <v>-</v>
      </c>
      <c r="N2136" s="15">
        <f t="shared" si="736"/>
        <v>1.1399999999999999</v>
      </c>
      <c r="O2136" s="15" t="str">
        <f t="shared" si="737"/>
        <v>A50</v>
      </c>
      <c r="P2136" s="15" t="str">
        <f t="shared" si="738"/>
        <v>Rassilon Ltd.</v>
      </c>
      <c r="Q2136" s="15" t="str">
        <f t="shared" si="739"/>
        <v>82 Richard Mathews Road</v>
      </c>
      <c r="R2136" s="3">
        <f>OrdersTable!C2136</f>
        <v>44715</v>
      </c>
      <c r="S2136" s="15">
        <f>OrdersTable!E2136</f>
        <v>10</v>
      </c>
      <c r="T2136" s="15">
        <f t="shared" si="740"/>
        <v>22.75</v>
      </c>
      <c r="U2136" s="15">
        <f t="shared" si="741"/>
        <v>31.26</v>
      </c>
      <c r="V2136" s="15">
        <f t="shared" si="742"/>
        <v>36.86</v>
      </c>
      <c r="W2136" s="15">
        <f>IF(MarkupType="Store Markup",ROUND(V2136+V2136*StoreMarkup,2),IF(MarkupType="Supplier Markup",V2136+V2136*SupplierMarkup,"Error at finding value"))</f>
        <v>58.05</v>
      </c>
      <c r="X2136" s="32" t="str">
        <f t="shared" si="744"/>
        <v>0.00</v>
      </c>
      <c r="Y2136" s="15">
        <f t="shared" si="745"/>
        <v>368.6</v>
      </c>
      <c r="Z2136" s="15">
        <f t="shared" si="746"/>
        <v>580.5</v>
      </c>
      <c r="AA2136" s="15">
        <f>IF(FreightType="Lethbridge-Stewart Freight ",ROUND(2.99+IF(N2136&gt;0.75,(N2136-0.75)*2.25,0)*S2136,2),IF(MarkupType="Supplier Markup",V2136+V2136*SupplierMarkup,"Error at finding value"))</f>
        <v>11.77</v>
      </c>
      <c r="AB2136" s="15">
        <f t="shared" si="747"/>
        <v>0</v>
      </c>
    </row>
    <row r="2137" spans="1:28" x14ac:dyDescent="0.25">
      <c r="A2137" s="16">
        <f>OrdersTable!A2137</f>
        <v>364</v>
      </c>
      <c r="B2137" s="15" t="str">
        <f t="shared" si="727"/>
        <v>Dr</v>
      </c>
      <c r="C2137" s="15" t="str">
        <f t="shared" si="748"/>
        <v>Reibelt</v>
      </c>
      <c r="D2137" s="15" t="str">
        <f t="shared" si="728"/>
        <v>Corey James</v>
      </c>
      <c r="E2137" s="15" t="str">
        <f t="shared" si="729"/>
        <v>23 Burns Drive</v>
      </c>
      <c r="F2137" s="15" t="str">
        <f t="shared" si="730"/>
        <v>Caliph</v>
      </c>
      <c r="G2137" s="15" t="str">
        <f t="shared" si="731"/>
        <v>SA</v>
      </c>
      <c r="H2137" s="15">
        <f t="shared" si="732"/>
        <v>5310</v>
      </c>
      <c r="I2137" s="15">
        <f t="shared" si="743"/>
        <v>1720</v>
      </c>
      <c r="J2137" s="15">
        <f>OrdersTable!B2137</f>
        <v>778</v>
      </c>
      <c r="K2137" s="15" t="str">
        <f t="shared" si="733"/>
        <v>Statues and Busts</v>
      </c>
      <c r="L2137" s="15" t="str">
        <f t="shared" si="734"/>
        <v>Doctor Who: Legends Forever Bust: William Hartnell</v>
      </c>
      <c r="M2137" s="15" t="str">
        <f t="shared" si="735"/>
        <v>-</v>
      </c>
      <c r="N2137" s="15">
        <f t="shared" si="736"/>
        <v>1.375</v>
      </c>
      <c r="O2137" s="15" t="str">
        <f t="shared" si="737"/>
        <v>A40</v>
      </c>
      <c r="P2137" s="15" t="str">
        <f t="shared" si="738"/>
        <v>Romana Imports</v>
      </c>
      <c r="Q2137" s="15" t="str">
        <f t="shared" si="739"/>
        <v>17 Lalla Ward Road</v>
      </c>
      <c r="R2137" s="3">
        <f>OrdersTable!C2137</f>
        <v>44715</v>
      </c>
      <c r="S2137" s="15">
        <f>OrdersTable!E2137</f>
        <v>3</v>
      </c>
      <c r="T2137" s="15">
        <f t="shared" si="740"/>
        <v>27.5</v>
      </c>
      <c r="U2137" s="15">
        <f t="shared" si="741"/>
        <v>37.520000000000003</v>
      </c>
      <c r="V2137" s="15">
        <f t="shared" si="742"/>
        <v>44.55</v>
      </c>
      <c r="W2137" s="15">
        <f>IF(MarkupType="Store Markup",ROUND(V2137+V2137*StoreMarkup,2),IF(MarkupType="Supplier Markup",V2137+V2137*SupplierMarkup,"Error at finding value"))</f>
        <v>70.17</v>
      </c>
      <c r="X2137" s="32" t="str">
        <f t="shared" si="744"/>
        <v>0.00</v>
      </c>
      <c r="Y2137" s="15">
        <f t="shared" si="745"/>
        <v>133.65</v>
      </c>
      <c r="Z2137" s="15">
        <f t="shared" si="746"/>
        <v>210.51</v>
      </c>
      <c r="AA2137" s="15">
        <f>IF(FreightType="Lethbridge-Stewart Freight ",ROUND(2.99+IF(N2137&gt;0.75,(N2137-0.75)*2.25,0)*S2137,2),IF(MarkupType="Supplier Markup",V2137+V2137*SupplierMarkup,"Error at finding value"))</f>
        <v>7.21</v>
      </c>
      <c r="AB2137" s="15">
        <f t="shared" si="747"/>
        <v>0</v>
      </c>
    </row>
    <row r="2138" spans="1:28" x14ac:dyDescent="0.25">
      <c r="A2138" s="16">
        <f>OrdersTable!A2138</f>
        <v>412</v>
      </c>
      <c r="B2138" s="15" t="str">
        <f t="shared" si="727"/>
        <v>Miss</v>
      </c>
      <c r="C2138" s="15" t="str">
        <f t="shared" si="748"/>
        <v>Moraitis</v>
      </c>
      <c r="D2138" s="15" t="str">
        <f t="shared" si="728"/>
        <v>Vikki Sue</v>
      </c>
      <c r="E2138" s="15" t="str">
        <f t="shared" si="729"/>
        <v>11 Stuckings Boulevard</v>
      </c>
      <c r="F2138" s="15" t="str">
        <f t="shared" si="730"/>
        <v>Airly</v>
      </c>
      <c r="G2138" s="15" t="str">
        <f t="shared" si="731"/>
        <v>VIC</v>
      </c>
      <c r="H2138" s="15">
        <f t="shared" si="732"/>
        <v>3851</v>
      </c>
      <c r="I2138" s="15">
        <f t="shared" si="743"/>
        <v>1583</v>
      </c>
      <c r="J2138" s="15">
        <f>OrdersTable!B2138</f>
        <v>745</v>
      </c>
      <c r="K2138" s="15" t="str">
        <f t="shared" si="733"/>
        <v>Props and Replicas</v>
      </c>
      <c r="L2138" s="15" t="str">
        <f t="shared" si="734"/>
        <v>Doctor Who: TARDIS Type 40 Plaque</v>
      </c>
      <c r="M2138" s="15" t="str">
        <f t="shared" si="735"/>
        <v>-</v>
      </c>
      <c r="N2138" s="15">
        <f t="shared" si="736"/>
        <v>1.75</v>
      </c>
      <c r="O2138" s="15" t="str">
        <f t="shared" si="737"/>
        <v>A30</v>
      </c>
      <c r="P2138" s="15" t="str">
        <f t="shared" si="738"/>
        <v>Chesterton Enterprises</v>
      </c>
      <c r="Q2138" s="15" t="str">
        <f t="shared" si="739"/>
        <v>41 William Russell Road</v>
      </c>
      <c r="R2138" s="3">
        <f>OrdersTable!C2138</f>
        <v>44715</v>
      </c>
      <c r="S2138" s="15">
        <f>OrdersTable!E2138</f>
        <v>3</v>
      </c>
      <c r="T2138" s="15">
        <f t="shared" si="740"/>
        <v>34.99</v>
      </c>
      <c r="U2138" s="15">
        <f t="shared" si="741"/>
        <v>47.86</v>
      </c>
      <c r="V2138" s="15">
        <f t="shared" si="742"/>
        <v>56.68</v>
      </c>
      <c r="W2138" s="15">
        <f>IF(MarkupType="Store Markup",ROUND(V2138+V2138*StoreMarkup,2),IF(MarkupType="Supplier Markup",V2138+V2138*SupplierMarkup,"Error at finding value"))</f>
        <v>89.27</v>
      </c>
      <c r="X2138" s="32" t="str">
        <f t="shared" si="744"/>
        <v>0.00</v>
      </c>
      <c r="Y2138" s="15">
        <f t="shared" si="745"/>
        <v>170.04</v>
      </c>
      <c r="Z2138" s="15">
        <f t="shared" si="746"/>
        <v>267.81</v>
      </c>
      <c r="AA2138" s="15">
        <f>IF(FreightType="Lethbridge-Stewart Freight ",ROUND(2.99+IF(N2138&gt;0.75,(N2138-0.75)*2.25,0)*S2138,2),IF(MarkupType="Supplier Markup",V2138+V2138*SupplierMarkup,"Error at finding value"))</f>
        <v>9.74</v>
      </c>
      <c r="AB2138" s="15">
        <f t="shared" si="747"/>
        <v>0</v>
      </c>
    </row>
    <row r="2139" spans="1:28" x14ac:dyDescent="0.25">
      <c r="A2139" s="16">
        <f>OrdersTable!A2139</f>
        <v>489</v>
      </c>
      <c r="B2139" s="15" t="str">
        <f t="shared" si="727"/>
        <v>Mr</v>
      </c>
      <c r="C2139" s="15" t="str">
        <f t="shared" si="748"/>
        <v>Edwards</v>
      </c>
      <c r="D2139" s="15" t="str">
        <f t="shared" si="728"/>
        <v>Luke Russell</v>
      </c>
      <c r="E2139" s="15" t="str">
        <f t="shared" si="729"/>
        <v>43 Valusaga Court</v>
      </c>
      <c r="F2139" s="15" t="str">
        <f t="shared" si="730"/>
        <v>Alfredtown</v>
      </c>
      <c r="G2139" s="15" t="str">
        <f t="shared" si="731"/>
        <v>NSW</v>
      </c>
      <c r="H2139" s="15">
        <f t="shared" si="732"/>
        <v>2650</v>
      </c>
      <c r="I2139" s="15">
        <f t="shared" si="743"/>
        <v>1124</v>
      </c>
      <c r="J2139" s="15">
        <f>OrdersTable!B2139</f>
        <v>689</v>
      </c>
      <c r="K2139" s="15" t="str">
        <f t="shared" si="733"/>
        <v>Posters, Prints and Standees</v>
      </c>
      <c r="L2139" s="15" t="str">
        <f t="shared" si="734"/>
        <v>Doctor Who: 16'x12' Framed Print: Cold War</v>
      </c>
      <c r="M2139" s="15" t="str">
        <f t="shared" si="735"/>
        <v>-</v>
      </c>
      <c r="N2139" s="15">
        <f t="shared" si="736"/>
        <v>0.75</v>
      </c>
      <c r="O2139" s="15" t="str">
        <f t="shared" si="737"/>
        <v>A50</v>
      </c>
      <c r="P2139" s="15" t="str">
        <f t="shared" si="738"/>
        <v>Rassilon Ltd.</v>
      </c>
      <c r="Q2139" s="15" t="str">
        <f t="shared" si="739"/>
        <v>82 Richard Mathews Road</v>
      </c>
      <c r="R2139" s="3">
        <f>OrdersTable!C2139</f>
        <v>44715</v>
      </c>
      <c r="S2139" s="15">
        <f>OrdersTable!E2139</f>
        <v>3</v>
      </c>
      <c r="T2139" s="15">
        <f t="shared" si="740"/>
        <v>14.99</v>
      </c>
      <c r="U2139" s="15">
        <f t="shared" si="741"/>
        <v>20.77</v>
      </c>
      <c r="V2139" s="15">
        <f t="shared" si="742"/>
        <v>24.28</v>
      </c>
      <c r="W2139" s="15">
        <f>IF(MarkupType="Store Markup",ROUND(V2139+V2139*StoreMarkup,2),IF(MarkupType="Supplier Markup",V2139+V2139*SupplierMarkup,"Error at finding value"))</f>
        <v>38.24</v>
      </c>
      <c r="X2139" s="32" t="str">
        <f t="shared" si="744"/>
        <v>0.00</v>
      </c>
      <c r="Y2139" s="15">
        <f t="shared" si="745"/>
        <v>72.84</v>
      </c>
      <c r="Z2139" s="15">
        <f t="shared" si="746"/>
        <v>114.72</v>
      </c>
      <c r="AA2139" s="15">
        <f>IF(FreightType="Lethbridge-Stewart Freight ",ROUND(2.99+IF(N2139&gt;0.75,(N2139-0.75)*2.25,0)*S2139,2),IF(MarkupType="Supplier Markup",V2139+V2139*SupplierMarkup,"Error at finding value"))</f>
        <v>2.99</v>
      </c>
      <c r="AB2139" s="15">
        <f t="shared" si="747"/>
        <v>0</v>
      </c>
    </row>
    <row r="2140" spans="1:28" x14ac:dyDescent="0.25">
      <c r="A2140" s="16">
        <f>OrdersTable!A2140</f>
        <v>659</v>
      </c>
      <c r="B2140" s="15" t="str">
        <f t="shared" si="727"/>
        <v>Mr</v>
      </c>
      <c r="C2140" s="15" t="str">
        <f t="shared" si="748"/>
        <v>Douglas</v>
      </c>
      <c r="D2140" s="15" t="str">
        <f t="shared" si="728"/>
        <v>Jason Richard</v>
      </c>
      <c r="E2140" s="15" t="str">
        <f t="shared" si="729"/>
        <v>14 Young Crescent</v>
      </c>
      <c r="F2140" s="15" t="str">
        <f t="shared" si="730"/>
        <v>Caliph</v>
      </c>
      <c r="G2140" s="15" t="str">
        <f t="shared" si="731"/>
        <v>SA</v>
      </c>
      <c r="H2140" s="15">
        <f t="shared" si="732"/>
        <v>5310</v>
      </c>
      <c r="I2140" s="15">
        <f t="shared" si="743"/>
        <v>1720</v>
      </c>
      <c r="J2140" s="15">
        <f>OrdersTable!B2140</f>
        <v>699</v>
      </c>
      <c r="K2140" s="15" t="str">
        <f t="shared" si="733"/>
        <v>Posters, Prints and Standees</v>
      </c>
      <c r="L2140" s="15" t="str">
        <f t="shared" si="734"/>
        <v>Doctor Who: Half Sized Standee: The Master</v>
      </c>
      <c r="M2140" s="15" t="str">
        <f t="shared" si="735"/>
        <v>-</v>
      </c>
      <c r="N2140" s="15">
        <f t="shared" si="736"/>
        <v>0.5</v>
      </c>
      <c r="O2140" s="15" t="str">
        <f t="shared" si="737"/>
        <v>A20</v>
      </c>
      <c r="P2140" s="15" t="str">
        <f t="shared" si="738"/>
        <v>Morbius Inc.</v>
      </c>
      <c r="Q2140" s="15" t="str">
        <f t="shared" si="739"/>
        <v>56 Michael Spice Hwy</v>
      </c>
      <c r="R2140" s="3">
        <f>OrdersTable!C2140</f>
        <v>44715</v>
      </c>
      <c r="S2140" s="15">
        <f>OrdersTable!E2140</f>
        <v>9</v>
      </c>
      <c r="T2140" s="15">
        <f t="shared" si="740"/>
        <v>9.99</v>
      </c>
      <c r="U2140" s="15">
        <f t="shared" si="741"/>
        <v>13.79</v>
      </c>
      <c r="V2140" s="15">
        <f t="shared" si="742"/>
        <v>16.18</v>
      </c>
      <c r="W2140" s="15">
        <f>IF(MarkupType="Store Markup",ROUND(V2140+V2140*StoreMarkup,2),IF(MarkupType="Supplier Markup",V2140+V2140*SupplierMarkup,"Error at finding value"))</f>
        <v>25.48</v>
      </c>
      <c r="X2140" s="32" t="str">
        <f t="shared" si="744"/>
        <v>0.00</v>
      </c>
      <c r="Y2140" s="15">
        <f t="shared" si="745"/>
        <v>145.62</v>
      </c>
      <c r="Z2140" s="15">
        <f t="shared" si="746"/>
        <v>229.32</v>
      </c>
      <c r="AA2140" s="15">
        <f>IF(FreightType="Lethbridge-Stewart Freight ",ROUND(2.99+IF(N2140&gt;0.75,(N2140-0.75)*2.25,0)*S2140,2),IF(MarkupType="Supplier Markup",V2140+V2140*SupplierMarkup,"Error at finding value"))</f>
        <v>2.99</v>
      </c>
      <c r="AB2140" s="15">
        <f t="shared" si="747"/>
        <v>0</v>
      </c>
    </row>
    <row r="2141" spans="1:28" x14ac:dyDescent="0.25">
      <c r="A2141" s="16">
        <f>OrdersTable!A2141</f>
        <v>750</v>
      </c>
      <c r="B2141" s="15" t="str">
        <f t="shared" si="727"/>
        <v>Ms</v>
      </c>
      <c r="C2141" s="15" t="str">
        <f t="shared" si="748"/>
        <v>Talbot</v>
      </c>
      <c r="D2141" s="15" t="str">
        <f t="shared" si="728"/>
        <v>Carlie Wenderly</v>
      </c>
      <c r="E2141" s="15" t="str">
        <f t="shared" si="729"/>
        <v>31 Somerville Way</v>
      </c>
      <c r="F2141" s="15" t="str">
        <f t="shared" si="730"/>
        <v>Boston</v>
      </c>
      <c r="G2141" s="15" t="str">
        <f t="shared" si="731"/>
        <v>SA</v>
      </c>
      <c r="H2141" s="15">
        <f t="shared" si="732"/>
        <v>5607</v>
      </c>
      <c r="I2141" s="15">
        <f t="shared" si="743"/>
        <v>2076</v>
      </c>
      <c r="J2141" s="15">
        <f>OrdersTable!B2141</f>
        <v>667</v>
      </c>
      <c r="K2141" s="15" t="str">
        <f t="shared" si="733"/>
        <v>Mugs</v>
      </c>
      <c r="L2141" s="15" t="str">
        <f t="shared" si="734"/>
        <v>Doctor Who: Mug: Keep Calm And Don't Blink</v>
      </c>
      <c r="M2141" s="15" t="str">
        <f t="shared" si="735"/>
        <v>-</v>
      </c>
      <c r="N2141" s="15">
        <f t="shared" si="736"/>
        <v>0.35</v>
      </c>
      <c r="O2141" s="15" t="str">
        <f t="shared" si="737"/>
        <v>A10</v>
      </c>
      <c r="P2141" s="15" t="str">
        <f t="shared" si="738"/>
        <v>Gallifrey International</v>
      </c>
      <c r="Q2141" s="15" t="str">
        <f t="shared" si="739"/>
        <v>181 Arcadia Street</v>
      </c>
      <c r="R2141" s="3">
        <f>OrdersTable!C2141</f>
        <v>44715</v>
      </c>
      <c r="S2141" s="15">
        <f>OrdersTable!E2141</f>
        <v>1</v>
      </c>
      <c r="T2141" s="15">
        <f t="shared" si="740"/>
        <v>6.99</v>
      </c>
      <c r="U2141" s="15">
        <f t="shared" si="741"/>
        <v>9.84</v>
      </c>
      <c r="V2141" s="15">
        <f t="shared" si="742"/>
        <v>11.32</v>
      </c>
      <c r="W2141" s="15">
        <f>IF(MarkupType="Store Markup",ROUND(V2141+V2141*StoreMarkup,2),IF(MarkupType="Supplier Markup",V2141+V2141*SupplierMarkup,"Error at finding value"))</f>
        <v>17.829999999999998</v>
      </c>
      <c r="X2141" s="32" t="str">
        <f t="shared" si="744"/>
        <v>0.00</v>
      </c>
      <c r="Y2141" s="15">
        <f t="shared" si="745"/>
        <v>11.32</v>
      </c>
      <c r="Z2141" s="15">
        <f t="shared" si="746"/>
        <v>17.829999999999998</v>
      </c>
      <c r="AA2141" s="15">
        <f>IF(FreightType="Lethbridge-Stewart Freight ",ROUND(2.99+IF(N2141&gt;0.75,(N2141-0.75)*2.25,0)*S2141,2),IF(MarkupType="Supplier Markup",V2141+V2141*SupplierMarkup,"Error at finding value"))</f>
        <v>2.99</v>
      </c>
      <c r="AB2141" s="15">
        <f t="shared" si="747"/>
        <v>0</v>
      </c>
    </row>
    <row r="2142" spans="1:28" x14ac:dyDescent="0.25">
      <c r="A2142" s="16">
        <f>OrdersTable!A2142</f>
        <v>849</v>
      </c>
      <c r="B2142" s="15" t="str">
        <f t="shared" si="727"/>
        <v>Dr</v>
      </c>
      <c r="C2142" s="15" t="str">
        <f t="shared" si="748"/>
        <v>Blair</v>
      </c>
      <c r="D2142" s="15" t="str">
        <f t="shared" si="728"/>
        <v>Taylor Ashleigh</v>
      </c>
      <c r="E2142" s="15" t="str">
        <f t="shared" si="729"/>
        <v>42 Ward Avenue</v>
      </c>
      <c r="F2142" s="15" t="str">
        <f t="shared" si="730"/>
        <v>Airly</v>
      </c>
      <c r="G2142" s="15" t="str">
        <f t="shared" si="731"/>
        <v>VIC</v>
      </c>
      <c r="H2142" s="15">
        <f t="shared" si="732"/>
        <v>3851</v>
      </c>
      <c r="I2142" s="15">
        <f t="shared" si="743"/>
        <v>1583</v>
      </c>
      <c r="J2142" s="15">
        <f>OrdersTable!B2142</f>
        <v>699</v>
      </c>
      <c r="K2142" s="15" t="str">
        <f t="shared" si="733"/>
        <v>Posters, Prints and Standees</v>
      </c>
      <c r="L2142" s="15" t="str">
        <f t="shared" si="734"/>
        <v>Doctor Who: Half Sized Standee: The Master</v>
      </c>
      <c r="M2142" s="15" t="str">
        <f t="shared" si="735"/>
        <v>-</v>
      </c>
      <c r="N2142" s="15">
        <f t="shared" si="736"/>
        <v>0.5</v>
      </c>
      <c r="O2142" s="15" t="str">
        <f t="shared" si="737"/>
        <v>A20</v>
      </c>
      <c r="P2142" s="15" t="str">
        <f t="shared" si="738"/>
        <v>Morbius Inc.</v>
      </c>
      <c r="Q2142" s="15" t="str">
        <f t="shared" si="739"/>
        <v>56 Michael Spice Hwy</v>
      </c>
      <c r="R2142" s="3">
        <f>OrdersTable!C2142</f>
        <v>44715</v>
      </c>
      <c r="S2142" s="15">
        <f>OrdersTable!E2142</f>
        <v>4</v>
      </c>
      <c r="T2142" s="15">
        <f t="shared" si="740"/>
        <v>9.99</v>
      </c>
      <c r="U2142" s="15">
        <f t="shared" si="741"/>
        <v>13.79</v>
      </c>
      <c r="V2142" s="15">
        <f t="shared" si="742"/>
        <v>16.18</v>
      </c>
      <c r="W2142" s="15">
        <f>IF(MarkupType="Store Markup",ROUND(V2142+V2142*StoreMarkup,2),IF(MarkupType="Supplier Markup",V2142+V2142*SupplierMarkup,"Error at finding value"))</f>
        <v>25.48</v>
      </c>
      <c r="X2142" s="32" t="str">
        <f t="shared" si="744"/>
        <v>0.00</v>
      </c>
      <c r="Y2142" s="15">
        <f t="shared" si="745"/>
        <v>64.72</v>
      </c>
      <c r="Z2142" s="15">
        <f t="shared" si="746"/>
        <v>101.92</v>
      </c>
      <c r="AA2142" s="15">
        <f>IF(FreightType="Lethbridge-Stewart Freight ",ROUND(2.99+IF(N2142&gt;0.75,(N2142-0.75)*2.25,0)*S2142,2),IF(MarkupType="Supplier Markup",V2142+V2142*SupplierMarkup,"Error at finding value"))</f>
        <v>2.99</v>
      </c>
      <c r="AB2142" s="15">
        <f t="shared" si="747"/>
        <v>0</v>
      </c>
    </row>
    <row r="2143" spans="1:28" x14ac:dyDescent="0.25">
      <c r="A2143" s="16">
        <f>OrdersTable!A2143</f>
        <v>989</v>
      </c>
      <c r="B2143" s="15" t="str">
        <f t="shared" si="727"/>
        <v>Miss</v>
      </c>
      <c r="C2143" s="15" t="str">
        <f t="shared" si="748"/>
        <v>McInnes</v>
      </c>
      <c r="D2143" s="15" t="str">
        <f t="shared" si="728"/>
        <v>Nina Marie</v>
      </c>
      <c r="E2143" s="15" t="str">
        <f t="shared" si="729"/>
        <v>28 Caruss Road</v>
      </c>
      <c r="F2143" s="15" t="str">
        <f t="shared" si="730"/>
        <v>Belford</v>
      </c>
      <c r="G2143" s="15" t="str">
        <f t="shared" si="731"/>
        <v>NSW</v>
      </c>
      <c r="H2143" s="15">
        <f t="shared" si="732"/>
        <v>2335</v>
      </c>
      <c r="I2143" s="15">
        <f t="shared" si="743"/>
        <v>716</v>
      </c>
      <c r="J2143" s="15">
        <f>OrdersTable!B2143</f>
        <v>164</v>
      </c>
      <c r="K2143" s="15" t="str">
        <f t="shared" si="733"/>
        <v>Bobbleheads</v>
      </c>
      <c r="L2143" s="15" t="str">
        <f t="shared" si="734"/>
        <v>Doctor Who: Bobblehead: Fourth Doctor</v>
      </c>
      <c r="M2143" s="15" t="str">
        <f t="shared" si="735"/>
        <v>-</v>
      </c>
      <c r="N2143" s="15">
        <f t="shared" si="736"/>
        <v>0.75</v>
      </c>
      <c r="O2143" s="15" t="str">
        <f t="shared" si="737"/>
        <v>A40</v>
      </c>
      <c r="P2143" s="15" t="str">
        <f t="shared" si="738"/>
        <v>Romana Imports</v>
      </c>
      <c r="Q2143" s="15" t="str">
        <f t="shared" si="739"/>
        <v>17 Lalla Ward Road</v>
      </c>
      <c r="R2143" s="3">
        <f>OrdersTable!C2143</f>
        <v>44715</v>
      </c>
      <c r="S2143" s="15">
        <f>OrdersTable!E2143</f>
        <v>9</v>
      </c>
      <c r="T2143" s="15">
        <f t="shared" si="740"/>
        <v>14.99</v>
      </c>
      <c r="U2143" s="15">
        <f t="shared" si="741"/>
        <v>20.53</v>
      </c>
      <c r="V2143" s="15">
        <f t="shared" si="742"/>
        <v>24.28</v>
      </c>
      <c r="W2143" s="15">
        <f>IF(MarkupType="Store Markup",ROUND(V2143+V2143*StoreMarkup,2),IF(MarkupType="Supplier Markup",V2143+V2143*SupplierMarkup,"Error at finding value"))</f>
        <v>38.24</v>
      </c>
      <c r="X2143" s="32" t="str">
        <f t="shared" si="744"/>
        <v>0.00</v>
      </c>
      <c r="Y2143" s="15">
        <f t="shared" si="745"/>
        <v>218.52</v>
      </c>
      <c r="Z2143" s="15">
        <f t="shared" si="746"/>
        <v>344.16</v>
      </c>
      <c r="AA2143" s="15">
        <f>IF(FreightType="Lethbridge-Stewart Freight ",ROUND(2.99+IF(N2143&gt;0.75,(N2143-0.75)*2.25,0)*S2143,2),IF(MarkupType="Supplier Markup",V2143+V2143*SupplierMarkup,"Error at finding value"))</f>
        <v>2.99</v>
      </c>
      <c r="AB2143" s="15">
        <f t="shared" si="747"/>
        <v>0</v>
      </c>
    </row>
    <row r="2144" spans="1:28" x14ac:dyDescent="0.25">
      <c r="A2144" s="16">
        <f>OrdersTable!A2144</f>
        <v>42</v>
      </c>
      <c r="B2144" s="15" t="str">
        <f t="shared" si="727"/>
        <v>Mr</v>
      </c>
      <c r="C2144" s="15" t="str">
        <f t="shared" si="748"/>
        <v>Ballantyne</v>
      </c>
      <c r="D2144" s="15" t="str">
        <f t="shared" si="728"/>
        <v>Barry John</v>
      </c>
      <c r="E2144" s="15" t="str">
        <f t="shared" si="729"/>
        <v>14 Bachmann Drive</v>
      </c>
      <c r="F2144" s="15" t="str">
        <f t="shared" si="730"/>
        <v>Alleena</v>
      </c>
      <c r="G2144" s="15" t="str">
        <f t="shared" si="731"/>
        <v>NSW</v>
      </c>
      <c r="H2144" s="15">
        <f t="shared" si="732"/>
        <v>2671</v>
      </c>
      <c r="I2144" s="15">
        <f t="shared" si="743"/>
        <v>988</v>
      </c>
      <c r="J2144" s="15">
        <f>OrdersTable!B2144</f>
        <v>826</v>
      </c>
      <c r="K2144" s="15" t="str">
        <f t="shared" si="733"/>
        <v>Statues and Busts</v>
      </c>
      <c r="L2144" s="15" t="str">
        <f t="shared" si="734"/>
        <v>Doctor Who: Mini Bust: Cyberman</v>
      </c>
      <c r="M2144" s="15" t="str">
        <f t="shared" si="735"/>
        <v>-</v>
      </c>
      <c r="N2144" s="15">
        <f t="shared" si="736"/>
        <v>1.8</v>
      </c>
      <c r="O2144" s="15" t="str">
        <f t="shared" si="737"/>
        <v>A40</v>
      </c>
      <c r="P2144" s="15" t="str">
        <f t="shared" si="738"/>
        <v>Romana Imports</v>
      </c>
      <c r="Q2144" s="15" t="str">
        <f t="shared" si="739"/>
        <v>17 Lalla Ward Road</v>
      </c>
      <c r="R2144" s="3">
        <f>OrdersTable!C2144</f>
        <v>44716</v>
      </c>
      <c r="S2144" s="15">
        <f>OrdersTable!E2144</f>
        <v>1</v>
      </c>
      <c r="T2144" s="15">
        <f t="shared" si="740"/>
        <v>35.99</v>
      </c>
      <c r="U2144" s="15">
        <f t="shared" si="741"/>
        <v>49.13</v>
      </c>
      <c r="V2144" s="15">
        <f t="shared" si="742"/>
        <v>58.3</v>
      </c>
      <c r="W2144" s="15">
        <f>IF(MarkupType="Store Markup",ROUND(V2144+V2144*StoreMarkup,2),IF(MarkupType="Supplier Markup",V2144+V2144*SupplierMarkup,"Error at finding value"))</f>
        <v>91.82</v>
      </c>
      <c r="X2144" s="32" t="str">
        <f t="shared" si="744"/>
        <v>0.00</v>
      </c>
      <c r="Y2144" s="15">
        <f t="shared" si="745"/>
        <v>58.3</v>
      </c>
      <c r="Z2144" s="15">
        <f t="shared" si="746"/>
        <v>91.82</v>
      </c>
      <c r="AA2144" s="15">
        <f>IF(FreightType="Lethbridge-Stewart Freight ",ROUND(2.99+IF(N2144&gt;0.75,(N2144-0.75)*2.25,0)*S2144,2),IF(MarkupType="Supplier Markup",V2144+V2144*SupplierMarkup,"Error at finding value"))</f>
        <v>5.35</v>
      </c>
      <c r="AB2144" s="15">
        <f t="shared" si="747"/>
        <v>0</v>
      </c>
    </row>
    <row r="2145" spans="1:28" x14ac:dyDescent="0.25">
      <c r="A2145" s="16">
        <f>OrdersTable!A2145</f>
        <v>55</v>
      </c>
      <c r="B2145" s="15" t="str">
        <f t="shared" si="727"/>
        <v>Mr</v>
      </c>
      <c r="C2145" s="15" t="str">
        <f t="shared" si="748"/>
        <v>Myers</v>
      </c>
      <c r="D2145" s="15" t="str">
        <f t="shared" si="728"/>
        <v>Luke Charles</v>
      </c>
      <c r="E2145" s="15" t="str">
        <f t="shared" si="729"/>
        <v>25 Penrose Street</v>
      </c>
      <c r="F2145" s="15" t="str">
        <f t="shared" si="730"/>
        <v>Black Hills</v>
      </c>
      <c r="G2145" s="15" t="str">
        <f t="shared" si="731"/>
        <v>TAS</v>
      </c>
      <c r="H2145" s="15">
        <f t="shared" si="732"/>
        <v>7140</v>
      </c>
      <c r="I2145" s="15">
        <f t="shared" si="743"/>
        <v>2191</v>
      </c>
      <c r="J2145" s="15">
        <f>OrdersTable!B2145</f>
        <v>213</v>
      </c>
      <c r="K2145" s="15" t="str">
        <f t="shared" si="733"/>
        <v>Clothing and Apparel</v>
      </c>
      <c r="L2145" s="15" t="str">
        <f t="shared" si="734"/>
        <v>Doctor Who: Fez and Bow Tie</v>
      </c>
      <c r="M2145" s="15" t="str">
        <f t="shared" si="735"/>
        <v>-</v>
      </c>
      <c r="N2145" s="15">
        <f t="shared" si="736"/>
        <v>0.97499999999999998</v>
      </c>
      <c r="O2145" s="15" t="str">
        <f t="shared" si="737"/>
        <v>A50</v>
      </c>
      <c r="P2145" s="15" t="str">
        <f t="shared" si="738"/>
        <v>Rassilon Ltd.</v>
      </c>
      <c r="Q2145" s="15" t="str">
        <f t="shared" si="739"/>
        <v>82 Richard Mathews Road</v>
      </c>
      <c r="R2145" s="3">
        <f>OrdersTable!C2145</f>
        <v>44716</v>
      </c>
      <c r="S2145" s="15">
        <f>OrdersTable!E2145</f>
        <v>10</v>
      </c>
      <c r="T2145" s="15">
        <f t="shared" si="740"/>
        <v>19.5</v>
      </c>
      <c r="U2145" s="15">
        <f t="shared" si="741"/>
        <v>26.88</v>
      </c>
      <c r="V2145" s="15">
        <f t="shared" si="742"/>
        <v>31.59</v>
      </c>
      <c r="W2145" s="15">
        <f>IF(MarkupType="Store Markup",ROUND(V2145+V2145*StoreMarkup,2),IF(MarkupType="Supplier Markup",V2145+V2145*SupplierMarkup,"Error at finding value"))</f>
        <v>49.75</v>
      </c>
      <c r="X2145" s="32" t="str">
        <f t="shared" si="744"/>
        <v>0.00</v>
      </c>
      <c r="Y2145" s="15">
        <f t="shared" si="745"/>
        <v>315.89999999999998</v>
      </c>
      <c r="Z2145" s="15">
        <f t="shared" si="746"/>
        <v>497.5</v>
      </c>
      <c r="AA2145" s="15">
        <f>IF(FreightType="Lethbridge-Stewart Freight ",ROUND(2.99+IF(N2145&gt;0.75,(N2145-0.75)*2.25,0)*S2145,2),IF(MarkupType="Supplier Markup",V2145+V2145*SupplierMarkup,"Error at finding value"))</f>
        <v>8.0500000000000007</v>
      </c>
      <c r="AB2145" s="15">
        <f t="shared" si="747"/>
        <v>0</v>
      </c>
    </row>
    <row r="2146" spans="1:28" x14ac:dyDescent="0.25">
      <c r="A2146" s="16">
        <f>OrdersTable!A2146</f>
        <v>226</v>
      </c>
      <c r="B2146" s="15" t="str">
        <f t="shared" si="727"/>
        <v>Ms</v>
      </c>
      <c r="C2146" s="15" t="str">
        <f t="shared" si="748"/>
        <v>Stewart</v>
      </c>
      <c r="D2146" s="15" t="str">
        <f t="shared" si="728"/>
        <v>Jodi Louise</v>
      </c>
      <c r="E2146" s="15" t="str">
        <f t="shared" si="729"/>
        <v>33 Abington Court</v>
      </c>
      <c r="F2146" s="15" t="str">
        <f t="shared" si="730"/>
        <v>Iluka</v>
      </c>
      <c r="G2146" s="15" t="str">
        <f t="shared" si="731"/>
        <v>NSW</v>
      </c>
      <c r="H2146" s="15">
        <f t="shared" si="732"/>
        <v>2466</v>
      </c>
      <c r="I2146" s="15">
        <f t="shared" si="743"/>
        <v>347</v>
      </c>
      <c r="J2146" s="15">
        <f>OrdersTable!B2146</f>
        <v>652</v>
      </c>
      <c r="K2146" s="15" t="str">
        <f t="shared" si="733"/>
        <v>Mugs</v>
      </c>
      <c r="L2146" s="15" t="str">
        <f t="shared" si="734"/>
        <v>Doctor Who: Mug: Dalek 2D</v>
      </c>
      <c r="M2146" s="15" t="str">
        <f t="shared" si="735"/>
        <v>-</v>
      </c>
      <c r="N2146" s="15">
        <f t="shared" si="736"/>
        <v>0.35</v>
      </c>
      <c r="O2146" s="15" t="str">
        <f t="shared" si="737"/>
        <v>A10</v>
      </c>
      <c r="P2146" s="15" t="str">
        <f t="shared" si="738"/>
        <v>Gallifrey International</v>
      </c>
      <c r="Q2146" s="15" t="str">
        <f t="shared" si="739"/>
        <v>181 Arcadia Street</v>
      </c>
      <c r="R2146" s="3">
        <f>OrdersTable!C2146</f>
        <v>44716</v>
      </c>
      <c r="S2146" s="15">
        <f>OrdersTable!E2146</f>
        <v>9</v>
      </c>
      <c r="T2146" s="15">
        <f t="shared" si="740"/>
        <v>6.99</v>
      </c>
      <c r="U2146" s="15">
        <f t="shared" si="741"/>
        <v>9.8800000000000008</v>
      </c>
      <c r="V2146" s="15">
        <f t="shared" si="742"/>
        <v>11.32</v>
      </c>
      <c r="W2146" s="15">
        <f>IF(MarkupType="Store Markup",ROUND(V2146+V2146*StoreMarkup,2),IF(MarkupType="Supplier Markup",V2146+V2146*SupplierMarkup,"Error at finding value"))</f>
        <v>17.829999999999998</v>
      </c>
      <c r="X2146" s="32" t="str">
        <f t="shared" si="744"/>
        <v>0.00</v>
      </c>
      <c r="Y2146" s="15">
        <f t="shared" si="745"/>
        <v>101.88</v>
      </c>
      <c r="Z2146" s="15">
        <f t="shared" si="746"/>
        <v>160.47</v>
      </c>
      <c r="AA2146" s="15">
        <f>IF(FreightType="Lethbridge-Stewart Freight ",ROUND(2.99+IF(N2146&gt;0.75,(N2146-0.75)*2.25,0)*S2146,2),IF(MarkupType="Supplier Markup",V2146+V2146*SupplierMarkup,"Error at finding value"))</f>
        <v>2.99</v>
      </c>
      <c r="AB2146" s="15">
        <f t="shared" si="747"/>
        <v>0</v>
      </c>
    </row>
    <row r="2147" spans="1:28" x14ac:dyDescent="0.25">
      <c r="A2147" s="16">
        <f>OrdersTable!A2147</f>
        <v>296</v>
      </c>
      <c r="B2147" s="15" t="str">
        <f t="shared" si="727"/>
        <v>Miss</v>
      </c>
      <c r="C2147" s="15" t="str">
        <f t="shared" si="748"/>
        <v>Kussrow</v>
      </c>
      <c r="D2147" s="15" t="str">
        <f t="shared" si="728"/>
        <v>Katherine Anne</v>
      </c>
      <c r="E2147" s="15" t="str">
        <f t="shared" si="729"/>
        <v>10 Downes Street</v>
      </c>
      <c r="F2147" s="15" t="str">
        <f t="shared" si="730"/>
        <v>Breakwater</v>
      </c>
      <c r="G2147" s="15" t="str">
        <f t="shared" si="731"/>
        <v>VIC</v>
      </c>
      <c r="H2147" s="15">
        <f t="shared" si="732"/>
        <v>3219</v>
      </c>
      <c r="I2147" s="15">
        <f t="shared" si="743"/>
        <v>1596</v>
      </c>
      <c r="J2147" s="15">
        <f>OrdersTable!B2147</f>
        <v>374</v>
      </c>
      <c r="K2147" s="15" t="str">
        <f t="shared" si="733"/>
        <v>Clothing and Apparel</v>
      </c>
      <c r="L2147" s="15" t="str">
        <f t="shared" si="734"/>
        <v xml:space="preserve">Doctor Who: T-Shirts: 5th Doctor Costume </v>
      </c>
      <c r="M2147" s="15" t="str">
        <f t="shared" si="735"/>
        <v>XL</v>
      </c>
      <c r="N2147" s="15">
        <f t="shared" si="736"/>
        <v>0.8</v>
      </c>
      <c r="O2147" s="15" t="str">
        <f t="shared" si="737"/>
        <v>A50</v>
      </c>
      <c r="P2147" s="15" t="str">
        <f t="shared" si="738"/>
        <v>Rassilon Ltd.</v>
      </c>
      <c r="Q2147" s="15" t="str">
        <f t="shared" si="739"/>
        <v>82 Richard Mathews Road</v>
      </c>
      <c r="R2147" s="3">
        <f>OrdersTable!C2147</f>
        <v>44716</v>
      </c>
      <c r="S2147" s="15">
        <f>OrdersTable!E2147</f>
        <v>10</v>
      </c>
      <c r="T2147" s="15">
        <f t="shared" si="740"/>
        <v>15.99</v>
      </c>
      <c r="U2147" s="15">
        <f t="shared" si="741"/>
        <v>21.97</v>
      </c>
      <c r="V2147" s="15">
        <f t="shared" si="742"/>
        <v>25.9</v>
      </c>
      <c r="W2147" s="15">
        <f>IF(MarkupType="Store Markup",ROUND(V2147+V2147*StoreMarkup,2),IF(MarkupType="Supplier Markup",V2147+V2147*SupplierMarkup,"Error at finding value"))</f>
        <v>40.79</v>
      </c>
      <c r="X2147" s="32" t="str">
        <f t="shared" si="744"/>
        <v>0.00</v>
      </c>
      <c r="Y2147" s="15">
        <f t="shared" si="745"/>
        <v>259</v>
      </c>
      <c r="Z2147" s="15">
        <f t="shared" si="746"/>
        <v>407.9</v>
      </c>
      <c r="AA2147" s="15">
        <f>IF(FreightType="Lethbridge-Stewart Freight ",ROUND(2.99+IF(N2147&gt;0.75,(N2147-0.75)*2.25,0)*S2147,2),IF(MarkupType="Supplier Markup",V2147+V2147*SupplierMarkup,"Error at finding value"))</f>
        <v>4.12</v>
      </c>
      <c r="AB2147" s="15">
        <f t="shared" si="747"/>
        <v>0</v>
      </c>
    </row>
    <row r="2148" spans="1:28" x14ac:dyDescent="0.25">
      <c r="A2148" s="16">
        <f>OrdersTable!A2148</f>
        <v>448</v>
      </c>
      <c r="B2148" s="15" t="str">
        <f t="shared" si="727"/>
        <v>Mr</v>
      </c>
      <c r="C2148" s="15" t="str">
        <f t="shared" si="748"/>
        <v>Earl</v>
      </c>
      <c r="D2148" s="15" t="str">
        <f t="shared" si="728"/>
        <v>Benn Robert</v>
      </c>
      <c r="E2148" s="15" t="str">
        <f t="shared" si="729"/>
        <v>31 Kae Drive</v>
      </c>
      <c r="F2148" s="15" t="str">
        <f t="shared" si="730"/>
        <v>Belford</v>
      </c>
      <c r="G2148" s="15" t="str">
        <f t="shared" si="731"/>
        <v>NSW</v>
      </c>
      <c r="H2148" s="15">
        <f t="shared" si="732"/>
        <v>2335</v>
      </c>
      <c r="I2148" s="15">
        <f t="shared" si="743"/>
        <v>716</v>
      </c>
      <c r="J2148" s="15">
        <f>OrdersTable!B2148</f>
        <v>316</v>
      </c>
      <c r="K2148" s="15" t="str">
        <f t="shared" si="733"/>
        <v>Clothing and Apparel</v>
      </c>
      <c r="L2148" s="15" t="str">
        <f t="shared" si="734"/>
        <v xml:space="preserve">Doctor Who: T-Shirts: 4th Doctor Costume </v>
      </c>
      <c r="M2148" s="15" t="str">
        <f t="shared" si="735"/>
        <v>S</v>
      </c>
      <c r="N2148" s="15">
        <f t="shared" si="736"/>
        <v>0.8</v>
      </c>
      <c r="O2148" s="15" t="str">
        <f t="shared" si="737"/>
        <v>A30</v>
      </c>
      <c r="P2148" s="15" t="str">
        <f t="shared" si="738"/>
        <v>Chesterton Enterprises</v>
      </c>
      <c r="Q2148" s="15" t="str">
        <f t="shared" si="739"/>
        <v>41 William Russell Road</v>
      </c>
      <c r="R2148" s="3">
        <f>OrdersTable!C2148</f>
        <v>44716</v>
      </c>
      <c r="S2148" s="15">
        <f>OrdersTable!E2148</f>
        <v>2</v>
      </c>
      <c r="T2148" s="15">
        <f t="shared" si="740"/>
        <v>15.99</v>
      </c>
      <c r="U2148" s="15">
        <f t="shared" si="741"/>
        <v>21.94</v>
      </c>
      <c r="V2148" s="15">
        <f t="shared" si="742"/>
        <v>25.9</v>
      </c>
      <c r="W2148" s="15">
        <f>IF(MarkupType="Store Markup",ROUND(V2148+V2148*StoreMarkup,2),IF(MarkupType="Supplier Markup",V2148+V2148*SupplierMarkup,"Error at finding value"))</f>
        <v>40.79</v>
      </c>
      <c r="X2148" s="32" t="str">
        <f t="shared" si="744"/>
        <v>0.00</v>
      </c>
      <c r="Y2148" s="15">
        <f t="shared" si="745"/>
        <v>51.8</v>
      </c>
      <c r="Z2148" s="15">
        <f t="shared" si="746"/>
        <v>81.58</v>
      </c>
      <c r="AA2148" s="15">
        <f>IF(FreightType="Lethbridge-Stewart Freight ",ROUND(2.99+IF(N2148&gt;0.75,(N2148-0.75)*2.25,0)*S2148,2),IF(MarkupType="Supplier Markup",V2148+V2148*SupplierMarkup,"Error at finding value"))</f>
        <v>3.22</v>
      </c>
      <c r="AB2148" s="15">
        <f t="shared" si="747"/>
        <v>0</v>
      </c>
    </row>
    <row r="2149" spans="1:28" x14ac:dyDescent="0.25">
      <c r="A2149" s="16">
        <f>OrdersTable!A2149</f>
        <v>468</v>
      </c>
      <c r="B2149" s="15" t="str">
        <f t="shared" si="727"/>
        <v>Mrs</v>
      </c>
      <c r="C2149" s="15" t="str">
        <f t="shared" si="748"/>
        <v>Van Essen</v>
      </c>
      <c r="D2149" s="15" t="str">
        <f t="shared" si="728"/>
        <v>Bianca Jane</v>
      </c>
      <c r="E2149" s="15" t="str">
        <f t="shared" si="729"/>
        <v>47 Ward Circuit</v>
      </c>
      <c r="F2149" s="15" t="str">
        <f t="shared" si="730"/>
        <v>Batlow</v>
      </c>
      <c r="G2149" s="15" t="str">
        <f t="shared" si="731"/>
        <v>NSW</v>
      </c>
      <c r="H2149" s="15">
        <f t="shared" si="732"/>
        <v>2730</v>
      </c>
      <c r="I2149" s="15">
        <f t="shared" si="743"/>
        <v>1138</v>
      </c>
      <c r="J2149" s="15">
        <f>OrdersTable!B2149</f>
        <v>685</v>
      </c>
      <c r="K2149" s="15" t="str">
        <f t="shared" si="733"/>
        <v>Mugs</v>
      </c>
      <c r="L2149" s="15" t="str">
        <f t="shared" si="734"/>
        <v>Doctor Who: Teapot: Sliver TARDIS</v>
      </c>
      <c r="M2149" s="15" t="str">
        <f t="shared" si="735"/>
        <v>-</v>
      </c>
      <c r="N2149" s="15">
        <f t="shared" si="736"/>
        <v>1.35</v>
      </c>
      <c r="O2149" s="15" t="str">
        <f t="shared" si="737"/>
        <v>A30</v>
      </c>
      <c r="P2149" s="15" t="str">
        <f t="shared" si="738"/>
        <v>Chesterton Enterprises</v>
      </c>
      <c r="Q2149" s="15" t="str">
        <f t="shared" si="739"/>
        <v>41 William Russell Road</v>
      </c>
      <c r="R2149" s="3">
        <f>OrdersTable!C2149</f>
        <v>44716</v>
      </c>
      <c r="S2149" s="15">
        <f>OrdersTable!E2149</f>
        <v>8</v>
      </c>
      <c r="T2149" s="15">
        <f t="shared" si="740"/>
        <v>26.99</v>
      </c>
      <c r="U2149" s="15">
        <f t="shared" si="741"/>
        <v>36.869999999999997</v>
      </c>
      <c r="V2149" s="15">
        <f t="shared" si="742"/>
        <v>43.72</v>
      </c>
      <c r="W2149" s="15">
        <f>IF(MarkupType="Store Markup",ROUND(V2149+V2149*StoreMarkup,2),IF(MarkupType="Supplier Markup",V2149+V2149*SupplierMarkup,"Error at finding value"))</f>
        <v>68.86</v>
      </c>
      <c r="X2149" s="32" t="str">
        <f t="shared" si="744"/>
        <v>0.00</v>
      </c>
      <c r="Y2149" s="15">
        <f t="shared" si="745"/>
        <v>349.76</v>
      </c>
      <c r="Z2149" s="15">
        <f t="shared" si="746"/>
        <v>550.88</v>
      </c>
      <c r="AA2149" s="15">
        <f>IF(FreightType="Lethbridge-Stewart Freight ",ROUND(2.99+IF(N2149&gt;0.75,(N2149-0.75)*2.25,0)*S2149,2),IF(MarkupType="Supplier Markup",V2149+V2149*SupplierMarkup,"Error at finding value"))</f>
        <v>13.79</v>
      </c>
      <c r="AB2149" s="15">
        <f t="shared" si="747"/>
        <v>0</v>
      </c>
    </row>
    <row r="2150" spans="1:28" x14ac:dyDescent="0.25">
      <c r="A2150" s="16">
        <f>OrdersTable!A2150</f>
        <v>474</v>
      </c>
      <c r="B2150" s="15" t="str">
        <f t="shared" si="727"/>
        <v>Mr</v>
      </c>
      <c r="C2150" s="15" t="str">
        <f t="shared" si="748"/>
        <v>Jooste</v>
      </c>
      <c r="D2150" s="15" t="str">
        <f t="shared" si="728"/>
        <v>Nicholas</v>
      </c>
      <c r="E2150" s="15" t="str">
        <f t="shared" si="729"/>
        <v>32 Dover Road</v>
      </c>
      <c r="F2150" s="15" t="str">
        <f t="shared" si="730"/>
        <v>Belford</v>
      </c>
      <c r="G2150" s="15" t="str">
        <f t="shared" si="731"/>
        <v>NSW</v>
      </c>
      <c r="H2150" s="15">
        <f t="shared" si="732"/>
        <v>2335</v>
      </c>
      <c r="I2150" s="15">
        <f t="shared" si="743"/>
        <v>716</v>
      </c>
      <c r="J2150" s="15">
        <f>OrdersTable!B2150</f>
        <v>782</v>
      </c>
      <c r="K2150" s="15" t="str">
        <f t="shared" si="733"/>
        <v>Statues and Busts</v>
      </c>
      <c r="L2150" s="15" t="str">
        <f t="shared" si="734"/>
        <v>Doctor Who: Masterpiece Collection Maxi Bust: 10th Doctor</v>
      </c>
      <c r="M2150" s="15" t="str">
        <f t="shared" si="735"/>
        <v>-</v>
      </c>
      <c r="N2150" s="15">
        <f t="shared" si="736"/>
        <v>2.5</v>
      </c>
      <c r="O2150" s="15" t="str">
        <f t="shared" si="737"/>
        <v>A30</v>
      </c>
      <c r="P2150" s="15" t="str">
        <f t="shared" si="738"/>
        <v>Chesterton Enterprises</v>
      </c>
      <c r="Q2150" s="15" t="str">
        <f t="shared" si="739"/>
        <v>41 William Russell Road</v>
      </c>
      <c r="R2150" s="3">
        <f>OrdersTable!C2150</f>
        <v>44716</v>
      </c>
      <c r="S2150" s="15">
        <f>OrdersTable!E2150</f>
        <v>8</v>
      </c>
      <c r="T2150" s="15">
        <f t="shared" si="740"/>
        <v>49.99</v>
      </c>
      <c r="U2150" s="15">
        <f t="shared" si="741"/>
        <v>68.5</v>
      </c>
      <c r="V2150" s="15">
        <f t="shared" si="742"/>
        <v>80.98</v>
      </c>
      <c r="W2150" s="15">
        <f>IF(MarkupType="Store Markup",ROUND(V2150+V2150*StoreMarkup,2),IF(MarkupType="Supplier Markup",V2150+V2150*SupplierMarkup,"Error at finding value"))</f>
        <v>127.54</v>
      </c>
      <c r="X2150" s="32">
        <f t="shared" si="744"/>
        <v>9.09</v>
      </c>
      <c r="Y2150" s="15">
        <f t="shared" si="745"/>
        <v>647.84</v>
      </c>
      <c r="Z2150" s="15">
        <f t="shared" si="746"/>
        <v>947.6</v>
      </c>
      <c r="AA2150" s="15">
        <f>IF(FreightType="Lethbridge-Stewart Freight ",ROUND(2.99+IF(N2150&gt;0.75,(N2150-0.75)*2.25,0)*S2150,2),IF(MarkupType="Supplier Markup",V2150+V2150*SupplierMarkup,"Error at finding value"))</f>
        <v>34.49</v>
      </c>
      <c r="AB2150" s="15">
        <f t="shared" si="747"/>
        <v>72.72</v>
      </c>
    </row>
    <row r="2151" spans="1:28" x14ac:dyDescent="0.25">
      <c r="A2151" s="16">
        <f>OrdersTable!A2151</f>
        <v>501</v>
      </c>
      <c r="B2151" s="15" t="str">
        <f t="shared" si="727"/>
        <v>Miss</v>
      </c>
      <c r="C2151" s="15" t="str">
        <f t="shared" si="748"/>
        <v>Tharenou</v>
      </c>
      <c r="D2151" s="15" t="str">
        <f t="shared" si="728"/>
        <v>Kimberley Jacinta</v>
      </c>
      <c r="E2151" s="15" t="str">
        <f t="shared" si="729"/>
        <v>49 Moncada Circuit</v>
      </c>
      <c r="F2151" s="15" t="str">
        <f t="shared" si="730"/>
        <v>Belford</v>
      </c>
      <c r="G2151" s="15" t="str">
        <f t="shared" si="731"/>
        <v>NSW</v>
      </c>
      <c r="H2151" s="15">
        <f t="shared" si="732"/>
        <v>2335</v>
      </c>
      <c r="I2151" s="15">
        <f t="shared" si="743"/>
        <v>716</v>
      </c>
      <c r="J2151" s="15">
        <f>OrdersTable!B2151</f>
        <v>377</v>
      </c>
      <c r="K2151" s="15" t="str">
        <f t="shared" si="733"/>
        <v>Clothing and Apparel</v>
      </c>
      <c r="L2151" s="15" t="str">
        <f t="shared" si="734"/>
        <v xml:space="preserve">Doctor Who: T-Shirts: 7th Doctor Costume </v>
      </c>
      <c r="M2151" s="15" t="str">
        <f t="shared" si="735"/>
        <v>M</v>
      </c>
      <c r="N2151" s="15">
        <f t="shared" si="736"/>
        <v>0.8</v>
      </c>
      <c r="O2151" s="15" t="str">
        <f t="shared" si="737"/>
        <v>A40</v>
      </c>
      <c r="P2151" s="15" t="str">
        <f t="shared" si="738"/>
        <v>Romana Imports</v>
      </c>
      <c r="Q2151" s="15" t="str">
        <f t="shared" si="739"/>
        <v>17 Lalla Ward Road</v>
      </c>
      <c r="R2151" s="3">
        <f>OrdersTable!C2151</f>
        <v>44716</v>
      </c>
      <c r="S2151" s="15">
        <f>OrdersTable!E2151</f>
        <v>1</v>
      </c>
      <c r="T2151" s="15">
        <f t="shared" si="740"/>
        <v>15.99</v>
      </c>
      <c r="U2151" s="15">
        <f t="shared" si="741"/>
        <v>21.95</v>
      </c>
      <c r="V2151" s="15">
        <f t="shared" si="742"/>
        <v>25.9</v>
      </c>
      <c r="W2151" s="15">
        <f>IF(MarkupType="Store Markup",ROUND(V2151+V2151*StoreMarkup,2),IF(MarkupType="Supplier Markup",V2151+V2151*SupplierMarkup,"Error at finding value"))</f>
        <v>40.79</v>
      </c>
      <c r="X2151" s="32" t="str">
        <f t="shared" si="744"/>
        <v>0.00</v>
      </c>
      <c r="Y2151" s="15">
        <f t="shared" si="745"/>
        <v>25.9</v>
      </c>
      <c r="Z2151" s="15">
        <f t="shared" si="746"/>
        <v>40.79</v>
      </c>
      <c r="AA2151" s="15">
        <f>IF(FreightType="Lethbridge-Stewart Freight ",ROUND(2.99+IF(N2151&gt;0.75,(N2151-0.75)*2.25,0)*S2151,2),IF(MarkupType="Supplier Markup",V2151+V2151*SupplierMarkup,"Error at finding value"))</f>
        <v>3.1</v>
      </c>
      <c r="AB2151" s="15">
        <f t="shared" si="747"/>
        <v>0</v>
      </c>
    </row>
    <row r="2152" spans="1:28" x14ac:dyDescent="0.25">
      <c r="A2152" s="16">
        <f>OrdersTable!A2152</f>
        <v>526</v>
      </c>
      <c r="B2152" s="15" t="str">
        <f t="shared" si="727"/>
        <v>Mrs</v>
      </c>
      <c r="C2152" s="15" t="str">
        <f t="shared" si="748"/>
        <v>Bradford</v>
      </c>
      <c r="D2152" s="15" t="str">
        <f t="shared" si="728"/>
        <v>Haleigh Renae Ann</v>
      </c>
      <c r="E2152" s="15" t="str">
        <f t="shared" si="729"/>
        <v>31 Johnston Road</v>
      </c>
      <c r="F2152" s="15" t="str">
        <f t="shared" si="730"/>
        <v>Ashford</v>
      </c>
      <c r="G2152" s="15" t="str">
        <f t="shared" si="731"/>
        <v>SA</v>
      </c>
      <c r="H2152" s="15">
        <f t="shared" si="732"/>
        <v>5035</v>
      </c>
      <c r="I2152" s="15">
        <f t="shared" si="743"/>
        <v>1877</v>
      </c>
      <c r="J2152" s="15">
        <f>OrdersTable!B2152</f>
        <v>681</v>
      </c>
      <c r="K2152" s="15" t="str">
        <f t="shared" si="733"/>
        <v>Mugs</v>
      </c>
      <c r="L2152" s="15" t="str">
        <f t="shared" si="734"/>
        <v>Doctor Who: Mug: The First Doctor</v>
      </c>
      <c r="M2152" s="15" t="str">
        <f t="shared" si="735"/>
        <v>-</v>
      </c>
      <c r="N2152" s="15">
        <f t="shared" si="736"/>
        <v>0.45</v>
      </c>
      <c r="O2152" s="15" t="str">
        <f t="shared" si="737"/>
        <v>A20</v>
      </c>
      <c r="P2152" s="15" t="str">
        <f t="shared" si="738"/>
        <v>Morbius Inc.</v>
      </c>
      <c r="Q2152" s="15" t="str">
        <f t="shared" si="739"/>
        <v>56 Michael Spice Hwy</v>
      </c>
      <c r="R2152" s="3">
        <f>OrdersTable!C2152</f>
        <v>44716</v>
      </c>
      <c r="S2152" s="15">
        <f>OrdersTable!E2152</f>
        <v>10</v>
      </c>
      <c r="T2152" s="15">
        <f t="shared" si="740"/>
        <v>8.99</v>
      </c>
      <c r="U2152" s="15">
        <f t="shared" si="741"/>
        <v>12.51</v>
      </c>
      <c r="V2152" s="15">
        <f t="shared" si="742"/>
        <v>14.56</v>
      </c>
      <c r="W2152" s="15">
        <f>IF(MarkupType="Store Markup",ROUND(V2152+V2152*StoreMarkup,2),IF(MarkupType="Supplier Markup",V2152+V2152*SupplierMarkup,"Error at finding value"))</f>
        <v>22.93</v>
      </c>
      <c r="X2152" s="32" t="str">
        <f t="shared" si="744"/>
        <v>0.00</v>
      </c>
      <c r="Y2152" s="15">
        <f t="shared" si="745"/>
        <v>145.6</v>
      </c>
      <c r="Z2152" s="15">
        <f t="shared" si="746"/>
        <v>229.3</v>
      </c>
      <c r="AA2152" s="15">
        <f>IF(FreightType="Lethbridge-Stewart Freight ",ROUND(2.99+IF(N2152&gt;0.75,(N2152-0.75)*2.25,0)*S2152,2),IF(MarkupType="Supplier Markup",V2152+V2152*SupplierMarkup,"Error at finding value"))</f>
        <v>2.99</v>
      </c>
      <c r="AB2152" s="15">
        <f t="shared" si="747"/>
        <v>0</v>
      </c>
    </row>
    <row r="2153" spans="1:28" x14ac:dyDescent="0.25">
      <c r="A2153" s="16">
        <f>OrdersTable!A2153</f>
        <v>611</v>
      </c>
      <c r="B2153" s="15" t="str">
        <f t="shared" si="727"/>
        <v>Mr</v>
      </c>
      <c r="C2153" s="15" t="str">
        <f t="shared" si="748"/>
        <v>Wittman</v>
      </c>
      <c r="D2153" s="15" t="str">
        <f t="shared" si="728"/>
        <v>Nicholas Jackson</v>
      </c>
      <c r="E2153" s="15" t="str">
        <f t="shared" si="729"/>
        <v>48 Sheppard-Kadel Way</v>
      </c>
      <c r="F2153" s="15" t="str">
        <f t="shared" si="730"/>
        <v>Nayook</v>
      </c>
      <c r="G2153" s="15" t="str">
        <f t="shared" si="731"/>
        <v>VIC</v>
      </c>
      <c r="H2153" s="15">
        <f t="shared" si="732"/>
        <v>3832</v>
      </c>
      <c r="I2153" s="15">
        <f t="shared" si="743"/>
        <v>1552</v>
      </c>
      <c r="J2153" s="15">
        <f>OrdersTable!B2153</f>
        <v>128</v>
      </c>
      <c r="K2153" s="15" t="str">
        <f t="shared" si="733"/>
        <v>Bobbleheads</v>
      </c>
      <c r="L2153" s="15" t="str">
        <f t="shared" si="734"/>
        <v>Doctor Who: Bobblehead: Davros</v>
      </c>
      <c r="M2153" s="15" t="str">
        <f t="shared" si="735"/>
        <v>-</v>
      </c>
      <c r="N2153" s="15">
        <f t="shared" si="736"/>
        <v>0.85</v>
      </c>
      <c r="O2153" s="15" t="str">
        <f t="shared" si="737"/>
        <v>A50</v>
      </c>
      <c r="P2153" s="15" t="str">
        <f t="shared" si="738"/>
        <v>Rassilon Ltd.</v>
      </c>
      <c r="Q2153" s="15" t="str">
        <f t="shared" si="739"/>
        <v>82 Richard Mathews Road</v>
      </c>
      <c r="R2153" s="3">
        <f>OrdersTable!C2153</f>
        <v>44716</v>
      </c>
      <c r="S2153" s="15">
        <f>OrdersTable!E2153</f>
        <v>6</v>
      </c>
      <c r="T2153" s="15">
        <f t="shared" si="740"/>
        <v>16.989999999999998</v>
      </c>
      <c r="U2153" s="15">
        <f t="shared" si="741"/>
        <v>23.27</v>
      </c>
      <c r="V2153" s="15">
        <f t="shared" si="742"/>
        <v>27.52</v>
      </c>
      <c r="W2153" s="15">
        <f>IF(MarkupType="Store Markup",ROUND(V2153+V2153*StoreMarkup,2),IF(MarkupType="Supplier Markup",V2153+V2153*SupplierMarkup,"Error at finding value"))</f>
        <v>43.34</v>
      </c>
      <c r="X2153" s="32" t="str">
        <f t="shared" si="744"/>
        <v>0.00</v>
      </c>
      <c r="Y2153" s="15">
        <f t="shared" si="745"/>
        <v>165.12</v>
      </c>
      <c r="Z2153" s="15">
        <f t="shared" si="746"/>
        <v>260.04000000000002</v>
      </c>
      <c r="AA2153" s="15">
        <f>IF(FreightType="Lethbridge-Stewart Freight ",ROUND(2.99+IF(N2153&gt;0.75,(N2153-0.75)*2.25,0)*S2153,2),IF(MarkupType="Supplier Markup",V2153+V2153*SupplierMarkup,"Error at finding value"))</f>
        <v>4.34</v>
      </c>
      <c r="AB2153" s="15">
        <f t="shared" si="747"/>
        <v>0</v>
      </c>
    </row>
    <row r="2154" spans="1:28" x14ac:dyDescent="0.25">
      <c r="A2154" s="16">
        <f>OrdersTable!A2154</f>
        <v>657</v>
      </c>
      <c r="B2154" s="15" t="str">
        <f t="shared" si="727"/>
        <v>Mr</v>
      </c>
      <c r="C2154" s="15" t="str">
        <f t="shared" si="748"/>
        <v>Poljak</v>
      </c>
      <c r="D2154" s="15" t="str">
        <f t="shared" si="728"/>
        <v>Anthony</v>
      </c>
      <c r="E2154" s="15" t="str">
        <f t="shared" si="729"/>
        <v>45 Robertson Boulevard</v>
      </c>
      <c r="F2154" s="15" t="str">
        <f t="shared" si="730"/>
        <v>Iluka</v>
      </c>
      <c r="G2154" s="15" t="str">
        <f t="shared" si="731"/>
        <v>NSW</v>
      </c>
      <c r="H2154" s="15">
        <f t="shared" si="732"/>
        <v>2466</v>
      </c>
      <c r="I2154" s="15">
        <f t="shared" si="743"/>
        <v>347</v>
      </c>
      <c r="J2154" s="15">
        <f>OrdersTable!B2154</f>
        <v>732</v>
      </c>
      <c r="K2154" s="15" t="str">
        <f t="shared" si="733"/>
        <v>Props and Replicas</v>
      </c>
      <c r="L2154" s="15" t="str">
        <f t="shared" si="734"/>
        <v>Doctor Who: Eleventh Doctor's Sonic Screwdriver</v>
      </c>
      <c r="M2154" s="15" t="str">
        <f t="shared" si="735"/>
        <v>-</v>
      </c>
      <c r="N2154" s="15">
        <f t="shared" si="736"/>
        <v>3</v>
      </c>
      <c r="O2154" s="15" t="str">
        <f t="shared" si="737"/>
        <v>A40</v>
      </c>
      <c r="P2154" s="15" t="str">
        <f t="shared" si="738"/>
        <v>Romana Imports</v>
      </c>
      <c r="Q2154" s="15" t="str">
        <f t="shared" si="739"/>
        <v>17 Lalla Ward Road</v>
      </c>
      <c r="R2154" s="3">
        <f>OrdersTable!C2154</f>
        <v>44716</v>
      </c>
      <c r="S2154" s="15">
        <f>OrdersTable!E2154</f>
        <v>6</v>
      </c>
      <c r="T2154" s="15">
        <f t="shared" si="740"/>
        <v>59.99</v>
      </c>
      <c r="U2154" s="15">
        <f t="shared" si="741"/>
        <v>81.83</v>
      </c>
      <c r="V2154" s="15">
        <f t="shared" si="742"/>
        <v>97.18</v>
      </c>
      <c r="W2154" s="15">
        <f>IF(MarkupType="Store Markup",ROUND(V2154+V2154*StoreMarkup,2),IF(MarkupType="Supplier Markup",V2154+V2154*SupplierMarkup,"Error at finding value"))</f>
        <v>153.06</v>
      </c>
      <c r="X2154" s="32">
        <f t="shared" si="744"/>
        <v>10.91</v>
      </c>
      <c r="Y2154" s="15">
        <f t="shared" si="745"/>
        <v>583.08000000000004</v>
      </c>
      <c r="Z2154" s="15">
        <f t="shared" si="746"/>
        <v>852.9</v>
      </c>
      <c r="AA2154" s="15">
        <f>IF(FreightType="Lethbridge-Stewart Freight ",ROUND(2.99+IF(N2154&gt;0.75,(N2154-0.75)*2.25,0)*S2154,2),IF(MarkupType="Supplier Markup",V2154+V2154*SupplierMarkup,"Error at finding value"))</f>
        <v>33.369999999999997</v>
      </c>
      <c r="AB2154" s="15">
        <f t="shared" si="747"/>
        <v>65.459999999999994</v>
      </c>
    </row>
    <row r="2155" spans="1:28" x14ac:dyDescent="0.25">
      <c r="A2155" s="16">
        <f>OrdersTable!A2155</f>
        <v>758</v>
      </c>
      <c r="B2155" s="15" t="str">
        <f t="shared" si="727"/>
        <v>Mr</v>
      </c>
      <c r="C2155" s="15" t="str">
        <f t="shared" si="748"/>
        <v>Whitehorn</v>
      </c>
      <c r="D2155" s="15" t="str">
        <f t="shared" si="728"/>
        <v>James</v>
      </c>
      <c r="E2155" s="15" t="str">
        <f t="shared" si="729"/>
        <v>32 Raubenheimer Circuit</v>
      </c>
      <c r="F2155" s="15" t="str">
        <f t="shared" si="730"/>
        <v>Belconnen</v>
      </c>
      <c r="G2155" s="15" t="str">
        <f t="shared" si="731"/>
        <v>ACT</v>
      </c>
      <c r="H2155" s="15">
        <f t="shared" si="732"/>
        <v>2617</v>
      </c>
      <c r="I2155" s="15">
        <f t="shared" si="743"/>
        <v>1194</v>
      </c>
      <c r="J2155" s="15">
        <f>OrdersTable!B2155</f>
        <v>671</v>
      </c>
      <c r="K2155" s="15" t="str">
        <f t="shared" si="733"/>
        <v>Mugs</v>
      </c>
      <c r="L2155" s="15" t="str">
        <f t="shared" si="734"/>
        <v>Doctor Who: Mug: TARDIS Inside</v>
      </c>
      <c r="M2155" s="15" t="str">
        <f t="shared" si="735"/>
        <v>-</v>
      </c>
      <c r="N2155" s="15">
        <f t="shared" si="736"/>
        <v>0.6</v>
      </c>
      <c r="O2155" s="15" t="str">
        <f t="shared" si="737"/>
        <v>A30</v>
      </c>
      <c r="P2155" s="15" t="str">
        <f t="shared" si="738"/>
        <v>Chesterton Enterprises</v>
      </c>
      <c r="Q2155" s="15" t="str">
        <f t="shared" si="739"/>
        <v>41 William Russell Road</v>
      </c>
      <c r="R2155" s="3">
        <f>OrdersTable!C2155</f>
        <v>44716</v>
      </c>
      <c r="S2155" s="15">
        <f>OrdersTable!E2155</f>
        <v>10</v>
      </c>
      <c r="T2155" s="15">
        <f t="shared" si="740"/>
        <v>11.99</v>
      </c>
      <c r="U2155" s="15">
        <f t="shared" si="741"/>
        <v>16.690000000000001</v>
      </c>
      <c r="V2155" s="15">
        <f t="shared" si="742"/>
        <v>19.420000000000002</v>
      </c>
      <c r="W2155" s="15">
        <f>IF(MarkupType="Store Markup",ROUND(V2155+V2155*StoreMarkup,2),IF(MarkupType="Supplier Markup",V2155+V2155*SupplierMarkup,"Error at finding value"))</f>
        <v>30.59</v>
      </c>
      <c r="X2155" s="32" t="str">
        <f t="shared" si="744"/>
        <v>0.00</v>
      </c>
      <c r="Y2155" s="15">
        <f t="shared" si="745"/>
        <v>194.2</v>
      </c>
      <c r="Z2155" s="15">
        <f t="shared" si="746"/>
        <v>305.89999999999998</v>
      </c>
      <c r="AA2155" s="15">
        <f>IF(FreightType="Lethbridge-Stewart Freight ",ROUND(2.99+IF(N2155&gt;0.75,(N2155-0.75)*2.25,0)*S2155,2),IF(MarkupType="Supplier Markup",V2155+V2155*SupplierMarkup,"Error at finding value"))</f>
        <v>2.99</v>
      </c>
      <c r="AB2155" s="15">
        <f t="shared" si="747"/>
        <v>0</v>
      </c>
    </row>
    <row r="2156" spans="1:28" x14ac:dyDescent="0.25">
      <c r="A2156" s="16">
        <f>OrdersTable!A2156</f>
        <v>761</v>
      </c>
      <c r="B2156" s="15" t="str">
        <f t="shared" si="727"/>
        <v>Miss</v>
      </c>
      <c r="C2156" s="15" t="str">
        <f t="shared" si="748"/>
        <v>Randall</v>
      </c>
      <c r="D2156" s="15" t="str">
        <f t="shared" si="728"/>
        <v>Kylee</v>
      </c>
      <c r="E2156" s="15" t="str">
        <f t="shared" si="729"/>
        <v>45 Cremasco Avenue</v>
      </c>
      <c r="F2156" s="15" t="str">
        <f t="shared" si="730"/>
        <v>Breakwater</v>
      </c>
      <c r="G2156" s="15" t="str">
        <f t="shared" si="731"/>
        <v>VIC</v>
      </c>
      <c r="H2156" s="15">
        <f t="shared" si="732"/>
        <v>3219</v>
      </c>
      <c r="I2156" s="15">
        <f t="shared" si="743"/>
        <v>1596</v>
      </c>
      <c r="J2156" s="15">
        <f>OrdersTable!B2156</f>
        <v>752</v>
      </c>
      <c r="K2156" s="15" t="str">
        <f t="shared" si="733"/>
        <v>Statues and Busts</v>
      </c>
      <c r="L2156" s="15" t="str">
        <f t="shared" si="734"/>
        <v>Doctor Who: Helmet: Cyberman Leader</v>
      </c>
      <c r="M2156" s="15" t="str">
        <f t="shared" si="735"/>
        <v>-</v>
      </c>
      <c r="N2156" s="15">
        <f t="shared" si="736"/>
        <v>2</v>
      </c>
      <c r="O2156" s="15" t="str">
        <f t="shared" si="737"/>
        <v>A30</v>
      </c>
      <c r="P2156" s="15" t="str">
        <f t="shared" si="738"/>
        <v>Chesterton Enterprises</v>
      </c>
      <c r="Q2156" s="15" t="str">
        <f t="shared" si="739"/>
        <v>41 William Russell Road</v>
      </c>
      <c r="R2156" s="3">
        <f>OrdersTable!C2156</f>
        <v>44716</v>
      </c>
      <c r="S2156" s="15">
        <f>OrdersTable!E2156</f>
        <v>5</v>
      </c>
      <c r="T2156" s="15">
        <f t="shared" si="740"/>
        <v>39.99</v>
      </c>
      <c r="U2156" s="15">
        <f t="shared" si="741"/>
        <v>54.85</v>
      </c>
      <c r="V2156" s="15">
        <f t="shared" si="742"/>
        <v>64.78</v>
      </c>
      <c r="W2156" s="15">
        <f>IF(MarkupType="Store Markup",ROUND(V2156+V2156*StoreMarkup,2),IF(MarkupType="Supplier Markup",V2156+V2156*SupplierMarkup,"Error at finding value"))</f>
        <v>102.03</v>
      </c>
      <c r="X2156" s="32">
        <f t="shared" si="744"/>
        <v>7.27</v>
      </c>
      <c r="Y2156" s="15">
        <f t="shared" si="745"/>
        <v>323.89999999999998</v>
      </c>
      <c r="Z2156" s="15">
        <f t="shared" si="746"/>
        <v>473.8</v>
      </c>
      <c r="AA2156" s="15">
        <f>IF(FreightType="Lethbridge-Stewart Freight ",ROUND(2.99+IF(N2156&gt;0.75,(N2156-0.75)*2.25,0)*S2156,2),IF(MarkupType="Supplier Markup",V2156+V2156*SupplierMarkup,"Error at finding value"))</f>
        <v>17.05</v>
      </c>
      <c r="AB2156" s="15">
        <f t="shared" si="747"/>
        <v>36.35</v>
      </c>
    </row>
    <row r="2157" spans="1:28" x14ac:dyDescent="0.25">
      <c r="A2157" s="16">
        <f>OrdersTable!A2157</f>
        <v>884</v>
      </c>
      <c r="B2157" s="15" t="str">
        <f t="shared" si="727"/>
        <v>Mr</v>
      </c>
      <c r="C2157" s="15" t="str">
        <f t="shared" si="748"/>
        <v>Smy</v>
      </c>
      <c r="D2157" s="15" t="str">
        <f t="shared" si="728"/>
        <v>Corey Alexander</v>
      </c>
      <c r="E2157" s="15" t="str">
        <f t="shared" si="729"/>
        <v>47 Lindsay Circuit</v>
      </c>
      <c r="F2157" s="15" t="str">
        <f t="shared" si="730"/>
        <v>Boston</v>
      </c>
      <c r="G2157" s="15" t="str">
        <f t="shared" si="731"/>
        <v>SA</v>
      </c>
      <c r="H2157" s="15">
        <f t="shared" si="732"/>
        <v>5607</v>
      </c>
      <c r="I2157" s="15">
        <f t="shared" si="743"/>
        <v>2076</v>
      </c>
      <c r="J2157" s="15">
        <f>OrdersTable!B2157</f>
        <v>787</v>
      </c>
      <c r="K2157" s="15" t="str">
        <f t="shared" si="733"/>
        <v>Statues and Busts</v>
      </c>
      <c r="L2157" s="15" t="str">
        <f t="shared" si="734"/>
        <v>Doctor Who: Masterpiece Collection Maxi Bust: 1st Doctor</v>
      </c>
      <c r="M2157" s="15" t="str">
        <f t="shared" si="735"/>
        <v>-</v>
      </c>
      <c r="N2157" s="15">
        <f t="shared" si="736"/>
        <v>2.5</v>
      </c>
      <c r="O2157" s="15" t="str">
        <f t="shared" si="737"/>
        <v>A10</v>
      </c>
      <c r="P2157" s="15" t="str">
        <f t="shared" si="738"/>
        <v>Gallifrey International</v>
      </c>
      <c r="Q2157" s="15" t="str">
        <f t="shared" si="739"/>
        <v>181 Arcadia Street</v>
      </c>
      <c r="R2157" s="3">
        <f>OrdersTable!C2157</f>
        <v>44716</v>
      </c>
      <c r="S2157" s="15">
        <f>OrdersTable!E2157</f>
        <v>5</v>
      </c>
      <c r="T2157" s="15">
        <f t="shared" si="740"/>
        <v>49.99</v>
      </c>
      <c r="U2157" s="15">
        <f t="shared" si="741"/>
        <v>68.290000000000006</v>
      </c>
      <c r="V2157" s="15">
        <f t="shared" si="742"/>
        <v>80.98</v>
      </c>
      <c r="W2157" s="15">
        <f>IF(MarkupType="Store Markup",ROUND(V2157+V2157*StoreMarkup,2),IF(MarkupType="Supplier Markup",V2157+V2157*SupplierMarkup,"Error at finding value"))</f>
        <v>127.54</v>
      </c>
      <c r="X2157" s="32">
        <f t="shared" si="744"/>
        <v>9.09</v>
      </c>
      <c r="Y2157" s="15">
        <f t="shared" si="745"/>
        <v>404.9</v>
      </c>
      <c r="Z2157" s="15">
        <f t="shared" si="746"/>
        <v>592.25</v>
      </c>
      <c r="AA2157" s="15">
        <f>IF(FreightType="Lethbridge-Stewart Freight ",ROUND(2.99+IF(N2157&gt;0.75,(N2157-0.75)*2.25,0)*S2157,2),IF(MarkupType="Supplier Markup",V2157+V2157*SupplierMarkup,"Error at finding value"))</f>
        <v>22.68</v>
      </c>
      <c r="AB2157" s="15">
        <f t="shared" si="747"/>
        <v>45.45</v>
      </c>
    </row>
    <row r="2158" spans="1:28" x14ac:dyDescent="0.25">
      <c r="A2158" s="16">
        <f>OrdersTable!A2158</f>
        <v>972</v>
      </c>
      <c r="B2158" s="15" t="str">
        <f t="shared" si="727"/>
        <v>Miss</v>
      </c>
      <c r="C2158" s="15" t="str">
        <f t="shared" si="748"/>
        <v>Walsh</v>
      </c>
      <c r="D2158" s="15" t="str">
        <f t="shared" si="728"/>
        <v>Alana Jane</v>
      </c>
      <c r="E2158" s="15" t="str">
        <f t="shared" si="729"/>
        <v>40 Betts Crescent</v>
      </c>
      <c r="F2158" s="15" t="str">
        <f t="shared" si="730"/>
        <v>Alleena</v>
      </c>
      <c r="G2158" s="15" t="str">
        <f t="shared" si="731"/>
        <v>NSW</v>
      </c>
      <c r="H2158" s="15">
        <f t="shared" si="732"/>
        <v>2671</v>
      </c>
      <c r="I2158" s="15">
        <f t="shared" si="743"/>
        <v>988</v>
      </c>
      <c r="J2158" s="15">
        <f>OrdersTable!B2158</f>
        <v>826</v>
      </c>
      <c r="K2158" s="15" t="str">
        <f t="shared" si="733"/>
        <v>Statues and Busts</v>
      </c>
      <c r="L2158" s="15" t="str">
        <f t="shared" si="734"/>
        <v>Doctor Who: Mini Bust: Cyberman</v>
      </c>
      <c r="M2158" s="15" t="str">
        <f t="shared" si="735"/>
        <v>-</v>
      </c>
      <c r="N2158" s="15">
        <f t="shared" si="736"/>
        <v>1.8</v>
      </c>
      <c r="O2158" s="15" t="str">
        <f t="shared" si="737"/>
        <v>A40</v>
      </c>
      <c r="P2158" s="15" t="str">
        <f t="shared" si="738"/>
        <v>Romana Imports</v>
      </c>
      <c r="Q2158" s="15" t="str">
        <f t="shared" si="739"/>
        <v>17 Lalla Ward Road</v>
      </c>
      <c r="R2158" s="3">
        <f>OrdersTable!C2158</f>
        <v>44716</v>
      </c>
      <c r="S2158" s="15">
        <f>OrdersTable!E2158</f>
        <v>10</v>
      </c>
      <c r="T2158" s="15">
        <f t="shared" si="740"/>
        <v>35.99</v>
      </c>
      <c r="U2158" s="15">
        <f t="shared" si="741"/>
        <v>49.13</v>
      </c>
      <c r="V2158" s="15">
        <f t="shared" si="742"/>
        <v>58.3</v>
      </c>
      <c r="W2158" s="15">
        <f>IF(MarkupType="Store Markup",ROUND(V2158+V2158*StoreMarkup,2),IF(MarkupType="Supplier Markup",V2158+V2158*SupplierMarkup,"Error at finding value"))</f>
        <v>91.82</v>
      </c>
      <c r="X2158" s="32" t="str">
        <f t="shared" si="744"/>
        <v>0.00</v>
      </c>
      <c r="Y2158" s="15">
        <f t="shared" si="745"/>
        <v>583</v>
      </c>
      <c r="Z2158" s="15">
        <f t="shared" si="746"/>
        <v>918.2</v>
      </c>
      <c r="AA2158" s="15">
        <f>IF(FreightType="Lethbridge-Stewart Freight ",ROUND(2.99+IF(N2158&gt;0.75,(N2158-0.75)*2.25,0)*S2158,2),IF(MarkupType="Supplier Markup",V2158+V2158*SupplierMarkup,"Error at finding value"))</f>
        <v>26.62</v>
      </c>
      <c r="AB2158" s="15">
        <f t="shared" si="747"/>
        <v>0</v>
      </c>
    </row>
    <row r="2159" spans="1:28" x14ac:dyDescent="0.25">
      <c r="A2159" s="16">
        <f>OrdersTable!A2159</f>
        <v>983</v>
      </c>
      <c r="B2159" s="15" t="str">
        <f t="shared" si="727"/>
        <v>Mrs</v>
      </c>
      <c r="C2159" s="15" t="str">
        <f t="shared" si="748"/>
        <v>Bennett</v>
      </c>
      <c r="D2159" s="15" t="str">
        <f t="shared" si="728"/>
        <v>Mikayla Elizabeth</v>
      </c>
      <c r="E2159" s="15" t="str">
        <f t="shared" si="729"/>
        <v>35 Khanal Crescent</v>
      </c>
      <c r="F2159" s="15" t="str">
        <f t="shared" si="730"/>
        <v>Bamboo</v>
      </c>
      <c r="G2159" s="15" t="str">
        <f t="shared" si="731"/>
        <v>QLD</v>
      </c>
      <c r="H2159" s="15">
        <f t="shared" si="732"/>
        <v>4873</v>
      </c>
      <c r="I2159" s="15">
        <f t="shared" si="743"/>
        <v>1741</v>
      </c>
      <c r="J2159" s="15">
        <f>OrdersTable!B2159</f>
        <v>694</v>
      </c>
      <c r="K2159" s="15" t="str">
        <f t="shared" si="733"/>
        <v>Posters, Prints and Standees</v>
      </c>
      <c r="L2159" s="15" t="str">
        <f t="shared" si="734"/>
        <v>Doctor Who: 16'x12' Framed Print: Hide</v>
      </c>
      <c r="M2159" s="15" t="str">
        <f t="shared" si="735"/>
        <v>-</v>
      </c>
      <c r="N2159" s="15">
        <f t="shared" si="736"/>
        <v>0.75</v>
      </c>
      <c r="O2159" s="15" t="str">
        <f t="shared" si="737"/>
        <v>A40</v>
      </c>
      <c r="P2159" s="15" t="str">
        <f t="shared" si="738"/>
        <v>Romana Imports</v>
      </c>
      <c r="Q2159" s="15" t="str">
        <f t="shared" si="739"/>
        <v>17 Lalla Ward Road</v>
      </c>
      <c r="R2159" s="3">
        <f>OrdersTable!C2159</f>
        <v>44716</v>
      </c>
      <c r="S2159" s="15">
        <f>OrdersTable!E2159</f>
        <v>1</v>
      </c>
      <c r="T2159" s="15">
        <f t="shared" si="740"/>
        <v>14.99</v>
      </c>
      <c r="U2159" s="15">
        <f t="shared" si="741"/>
        <v>20.49</v>
      </c>
      <c r="V2159" s="15">
        <f t="shared" si="742"/>
        <v>24.28</v>
      </c>
      <c r="W2159" s="15">
        <f>IF(MarkupType="Store Markup",ROUND(V2159+V2159*StoreMarkup,2),IF(MarkupType="Supplier Markup",V2159+V2159*SupplierMarkup,"Error at finding value"))</f>
        <v>38.24</v>
      </c>
      <c r="X2159" s="32" t="str">
        <f t="shared" si="744"/>
        <v>0.00</v>
      </c>
      <c r="Y2159" s="15">
        <f t="shared" si="745"/>
        <v>24.28</v>
      </c>
      <c r="Z2159" s="15">
        <f t="shared" si="746"/>
        <v>38.24</v>
      </c>
      <c r="AA2159" s="15">
        <f>IF(FreightType="Lethbridge-Stewart Freight ",ROUND(2.99+IF(N2159&gt;0.75,(N2159-0.75)*2.25,0)*S2159,2),IF(MarkupType="Supplier Markup",V2159+V2159*SupplierMarkup,"Error at finding value"))</f>
        <v>2.99</v>
      </c>
      <c r="AB2159" s="15">
        <f t="shared" si="747"/>
        <v>0</v>
      </c>
    </row>
    <row r="2160" spans="1:28" x14ac:dyDescent="0.25">
      <c r="A2160" s="16">
        <f>OrdersTable!A2160</f>
        <v>42</v>
      </c>
      <c r="B2160" s="15" t="str">
        <f t="shared" si="727"/>
        <v>Mr</v>
      </c>
      <c r="C2160" s="15" t="str">
        <f t="shared" si="748"/>
        <v>Ballantyne</v>
      </c>
      <c r="D2160" s="15" t="str">
        <f t="shared" si="728"/>
        <v>Barry John</v>
      </c>
      <c r="E2160" s="15" t="str">
        <f t="shared" si="729"/>
        <v>14 Bachmann Drive</v>
      </c>
      <c r="F2160" s="15" t="str">
        <f t="shared" si="730"/>
        <v>Alleena</v>
      </c>
      <c r="G2160" s="15" t="str">
        <f t="shared" si="731"/>
        <v>NSW</v>
      </c>
      <c r="H2160" s="15">
        <f t="shared" si="732"/>
        <v>2671</v>
      </c>
      <c r="I2160" s="15">
        <f t="shared" si="743"/>
        <v>988</v>
      </c>
      <c r="J2160" s="15">
        <f>OrdersTable!B2160</f>
        <v>867</v>
      </c>
      <c r="K2160" s="15" t="str">
        <f t="shared" si="733"/>
        <v>Statues and Busts</v>
      </c>
      <c r="L2160" s="15" t="str">
        <f t="shared" si="734"/>
        <v>Doctor Who: TITANS: The 11th Doctor</v>
      </c>
      <c r="M2160" s="15" t="str">
        <f t="shared" si="735"/>
        <v>-</v>
      </c>
      <c r="N2160" s="15">
        <f t="shared" si="736"/>
        <v>0.4</v>
      </c>
      <c r="O2160" s="15" t="str">
        <f t="shared" si="737"/>
        <v>A20</v>
      </c>
      <c r="P2160" s="15" t="str">
        <f t="shared" si="738"/>
        <v>Morbius Inc.</v>
      </c>
      <c r="Q2160" s="15" t="str">
        <f t="shared" si="739"/>
        <v>56 Michael Spice Hwy</v>
      </c>
      <c r="R2160" s="3">
        <f>OrdersTable!C2160</f>
        <v>44717</v>
      </c>
      <c r="S2160" s="15">
        <f>OrdersTable!E2160</f>
        <v>5</v>
      </c>
      <c r="T2160" s="15">
        <f t="shared" si="740"/>
        <v>7.99</v>
      </c>
      <c r="U2160" s="15">
        <f t="shared" si="741"/>
        <v>11.1</v>
      </c>
      <c r="V2160" s="15">
        <f t="shared" si="742"/>
        <v>12.94</v>
      </c>
      <c r="W2160" s="15">
        <f>IF(MarkupType="Store Markup",ROUND(V2160+V2160*StoreMarkup,2),IF(MarkupType="Supplier Markup",V2160+V2160*SupplierMarkup,"Error at finding value"))</f>
        <v>20.38</v>
      </c>
      <c r="X2160" s="32" t="str">
        <f t="shared" si="744"/>
        <v>0.00</v>
      </c>
      <c r="Y2160" s="15">
        <f t="shared" si="745"/>
        <v>64.7</v>
      </c>
      <c r="Z2160" s="15">
        <f t="shared" si="746"/>
        <v>101.9</v>
      </c>
      <c r="AA2160" s="15">
        <f>IF(FreightType="Lethbridge-Stewart Freight ",ROUND(2.99+IF(N2160&gt;0.75,(N2160-0.75)*2.25,0)*S2160,2),IF(MarkupType="Supplier Markup",V2160+V2160*SupplierMarkup,"Error at finding value"))</f>
        <v>2.99</v>
      </c>
      <c r="AB2160" s="15">
        <f t="shared" si="747"/>
        <v>0</v>
      </c>
    </row>
    <row r="2161" spans="1:28" x14ac:dyDescent="0.25">
      <c r="A2161" s="16">
        <f>OrdersTable!A2161</f>
        <v>146</v>
      </c>
      <c r="B2161" s="15" t="str">
        <f t="shared" si="727"/>
        <v>Miss</v>
      </c>
      <c r="C2161" s="15" t="str">
        <f t="shared" si="748"/>
        <v>Brown</v>
      </c>
      <c r="D2161" s="15" t="str">
        <f t="shared" si="728"/>
        <v>Sarah Danielle</v>
      </c>
      <c r="E2161" s="15" t="str">
        <f t="shared" si="729"/>
        <v>50 Brieschke Court</v>
      </c>
      <c r="F2161" s="15" t="str">
        <f t="shared" si="730"/>
        <v>Bray Park</v>
      </c>
      <c r="G2161" s="15" t="str">
        <f t="shared" si="731"/>
        <v>QLD</v>
      </c>
      <c r="H2161" s="15">
        <f t="shared" si="732"/>
        <v>4500</v>
      </c>
      <c r="I2161" s="15">
        <f t="shared" si="743"/>
        <v>139</v>
      </c>
      <c r="J2161" s="15">
        <f>OrdersTable!B2161</f>
        <v>377</v>
      </c>
      <c r="K2161" s="15" t="str">
        <f t="shared" si="733"/>
        <v>Clothing and Apparel</v>
      </c>
      <c r="L2161" s="15" t="str">
        <f t="shared" si="734"/>
        <v xml:space="preserve">Doctor Who: T-Shirts: 7th Doctor Costume </v>
      </c>
      <c r="M2161" s="15" t="str">
        <f t="shared" si="735"/>
        <v>M</v>
      </c>
      <c r="N2161" s="15">
        <f t="shared" si="736"/>
        <v>0.8</v>
      </c>
      <c r="O2161" s="15" t="str">
        <f t="shared" si="737"/>
        <v>A40</v>
      </c>
      <c r="P2161" s="15" t="str">
        <f t="shared" si="738"/>
        <v>Romana Imports</v>
      </c>
      <c r="Q2161" s="15" t="str">
        <f t="shared" si="739"/>
        <v>17 Lalla Ward Road</v>
      </c>
      <c r="R2161" s="3">
        <f>OrdersTable!C2161</f>
        <v>44717</v>
      </c>
      <c r="S2161" s="15">
        <f>OrdersTable!E2161</f>
        <v>10</v>
      </c>
      <c r="T2161" s="15">
        <f t="shared" si="740"/>
        <v>15.99</v>
      </c>
      <c r="U2161" s="15">
        <f t="shared" si="741"/>
        <v>21.95</v>
      </c>
      <c r="V2161" s="15">
        <f t="shared" si="742"/>
        <v>25.9</v>
      </c>
      <c r="W2161" s="15">
        <f>IF(MarkupType="Store Markup",ROUND(V2161+V2161*StoreMarkup,2),IF(MarkupType="Supplier Markup",V2161+V2161*SupplierMarkup,"Error at finding value"))</f>
        <v>40.79</v>
      </c>
      <c r="X2161" s="32" t="str">
        <f t="shared" si="744"/>
        <v>0.00</v>
      </c>
      <c r="Y2161" s="15">
        <f t="shared" si="745"/>
        <v>259</v>
      </c>
      <c r="Z2161" s="15">
        <f t="shared" si="746"/>
        <v>407.9</v>
      </c>
      <c r="AA2161" s="15">
        <f>IF(FreightType="Lethbridge-Stewart Freight ",ROUND(2.99+IF(N2161&gt;0.75,(N2161-0.75)*2.25,0)*S2161,2),IF(MarkupType="Supplier Markup",V2161+V2161*SupplierMarkup,"Error at finding value"))</f>
        <v>4.12</v>
      </c>
      <c r="AB2161" s="15">
        <f t="shared" si="747"/>
        <v>0</v>
      </c>
    </row>
    <row r="2162" spans="1:28" x14ac:dyDescent="0.25">
      <c r="A2162" s="16">
        <f>OrdersTable!A2162</f>
        <v>302</v>
      </c>
      <c r="B2162" s="15" t="str">
        <f t="shared" si="727"/>
        <v>Ms</v>
      </c>
      <c r="C2162" s="15" t="str">
        <f t="shared" si="748"/>
        <v>Lamshed</v>
      </c>
      <c r="D2162" s="15" t="str">
        <f t="shared" si="728"/>
        <v>Laura Clare</v>
      </c>
      <c r="E2162" s="15" t="str">
        <f t="shared" si="729"/>
        <v>22 Edser Drive</v>
      </c>
      <c r="F2162" s="15" t="str">
        <f t="shared" si="730"/>
        <v>Caliph</v>
      </c>
      <c r="G2162" s="15" t="str">
        <f t="shared" si="731"/>
        <v>SA</v>
      </c>
      <c r="H2162" s="15">
        <f t="shared" si="732"/>
        <v>5310</v>
      </c>
      <c r="I2162" s="15">
        <f t="shared" si="743"/>
        <v>1720</v>
      </c>
      <c r="J2162" s="15">
        <f>OrdersTable!B2162</f>
        <v>699</v>
      </c>
      <c r="K2162" s="15" t="str">
        <f t="shared" si="733"/>
        <v>Posters, Prints and Standees</v>
      </c>
      <c r="L2162" s="15" t="str">
        <f t="shared" si="734"/>
        <v>Doctor Who: Half Sized Standee: The Master</v>
      </c>
      <c r="M2162" s="15" t="str">
        <f t="shared" si="735"/>
        <v>-</v>
      </c>
      <c r="N2162" s="15">
        <f t="shared" si="736"/>
        <v>0.5</v>
      </c>
      <c r="O2162" s="15" t="str">
        <f t="shared" si="737"/>
        <v>A20</v>
      </c>
      <c r="P2162" s="15" t="str">
        <f t="shared" si="738"/>
        <v>Morbius Inc.</v>
      </c>
      <c r="Q2162" s="15" t="str">
        <f t="shared" si="739"/>
        <v>56 Michael Spice Hwy</v>
      </c>
      <c r="R2162" s="3">
        <f>OrdersTable!C2162</f>
        <v>44717</v>
      </c>
      <c r="S2162" s="15">
        <f>OrdersTable!E2162</f>
        <v>10</v>
      </c>
      <c r="T2162" s="15">
        <f t="shared" si="740"/>
        <v>9.99</v>
      </c>
      <c r="U2162" s="15">
        <f t="shared" si="741"/>
        <v>13.79</v>
      </c>
      <c r="V2162" s="15">
        <f t="shared" si="742"/>
        <v>16.18</v>
      </c>
      <c r="W2162" s="15">
        <f>IF(MarkupType="Store Markup",ROUND(V2162+V2162*StoreMarkup,2),IF(MarkupType="Supplier Markup",V2162+V2162*SupplierMarkup,"Error at finding value"))</f>
        <v>25.48</v>
      </c>
      <c r="X2162" s="32" t="str">
        <f t="shared" si="744"/>
        <v>0.00</v>
      </c>
      <c r="Y2162" s="15">
        <f t="shared" si="745"/>
        <v>161.80000000000001</v>
      </c>
      <c r="Z2162" s="15">
        <f t="shared" si="746"/>
        <v>254.8</v>
      </c>
      <c r="AA2162" s="15">
        <f>IF(FreightType="Lethbridge-Stewart Freight ",ROUND(2.99+IF(N2162&gt;0.75,(N2162-0.75)*2.25,0)*S2162,2),IF(MarkupType="Supplier Markup",V2162+V2162*SupplierMarkup,"Error at finding value"))</f>
        <v>2.99</v>
      </c>
      <c r="AB2162" s="15">
        <f t="shared" si="747"/>
        <v>0</v>
      </c>
    </row>
    <row r="2163" spans="1:28" x14ac:dyDescent="0.25">
      <c r="A2163" s="16">
        <f>OrdersTable!A2163</f>
        <v>312</v>
      </c>
      <c r="B2163" s="15" t="str">
        <f t="shared" si="727"/>
        <v>Mr</v>
      </c>
      <c r="C2163" s="15" t="str">
        <f t="shared" si="748"/>
        <v>Lloyd</v>
      </c>
      <c r="D2163" s="15" t="str">
        <f t="shared" si="728"/>
        <v>Ben</v>
      </c>
      <c r="E2163" s="15" t="str">
        <f t="shared" si="729"/>
        <v>13 Stark Avenue</v>
      </c>
      <c r="F2163" s="15" t="str">
        <f t="shared" si="730"/>
        <v>Iluka</v>
      </c>
      <c r="G2163" s="15" t="str">
        <f t="shared" si="731"/>
        <v>NSW</v>
      </c>
      <c r="H2163" s="15">
        <f t="shared" si="732"/>
        <v>2466</v>
      </c>
      <c r="I2163" s="15">
        <f t="shared" si="743"/>
        <v>347</v>
      </c>
      <c r="J2163" s="15">
        <f>OrdersTable!B2163</f>
        <v>667</v>
      </c>
      <c r="K2163" s="15" t="str">
        <f t="shared" si="733"/>
        <v>Mugs</v>
      </c>
      <c r="L2163" s="15" t="str">
        <f t="shared" si="734"/>
        <v>Doctor Who: Mug: Keep Calm And Don't Blink</v>
      </c>
      <c r="M2163" s="15" t="str">
        <f t="shared" si="735"/>
        <v>-</v>
      </c>
      <c r="N2163" s="15">
        <f t="shared" si="736"/>
        <v>0.35</v>
      </c>
      <c r="O2163" s="15" t="str">
        <f t="shared" si="737"/>
        <v>A10</v>
      </c>
      <c r="P2163" s="15" t="str">
        <f t="shared" si="738"/>
        <v>Gallifrey International</v>
      </c>
      <c r="Q2163" s="15" t="str">
        <f t="shared" si="739"/>
        <v>181 Arcadia Street</v>
      </c>
      <c r="R2163" s="3">
        <f>OrdersTable!C2163</f>
        <v>44717</v>
      </c>
      <c r="S2163" s="15">
        <f>OrdersTable!E2163</f>
        <v>6</v>
      </c>
      <c r="T2163" s="15">
        <f t="shared" si="740"/>
        <v>6.99</v>
      </c>
      <c r="U2163" s="15">
        <f t="shared" si="741"/>
        <v>9.84</v>
      </c>
      <c r="V2163" s="15">
        <f t="shared" si="742"/>
        <v>11.32</v>
      </c>
      <c r="W2163" s="15">
        <f>IF(MarkupType="Store Markup",ROUND(V2163+V2163*StoreMarkup,2),IF(MarkupType="Supplier Markup",V2163+V2163*SupplierMarkup,"Error at finding value"))</f>
        <v>17.829999999999998</v>
      </c>
      <c r="X2163" s="32" t="str">
        <f t="shared" si="744"/>
        <v>0.00</v>
      </c>
      <c r="Y2163" s="15">
        <f t="shared" si="745"/>
        <v>67.92</v>
      </c>
      <c r="Z2163" s="15">
        <f t="shared" si="746"/>
        <v>106.98</v>
      </c>
      <c r="AA2163" s="15">
        <f>IF(FreightType="Lethbridge-Stewart Freight ",ROUND(2.99+IF(N2163&gt;0.75,(N2163-0.75)*2.25,0)*S2163,2),IF(MarkupType="Supplier Markup",V2163+V2163*SupplierMarkup,"Error at finding value"))</f>
        <v>2.99</v>
      </c>
      <c r="AB2163" s="15">
        <f t="shared" si="747"/>
        <v>0</v>
      </c>
    </row>
    <row r="2164" spans="1:28" x14ac:dyDescent="0.25">
      <c r="A2164" s="16">
        <f>OrdersTable!A2164</f>
        <v>330</v>
      </c>
      <c r="B2164" s="15" t="str">
        <f t="shared" si="727"/>
        <v>Mr</v>
      </c>
      <c r="C2164" s="15" t="str">
        <f t="shared" si="748"/>
        <v>Liesegang</v>
      </c>
      <c r="D2164" s="15" t="str">
        <f t="shared" si="728"/>
        <v>Darcey Michelle</v>
      </c>
      <c r="E2164" s="15" t="str">
        <f t="shared" si="729"/>
        <v>50 McCann Drive</v>
      </c>
      <c r="F2164" s="15" t="str">
        <f t="shared" si="730"/>
        <v>Binduli</v>
      </c>
      <c r="G2164" s="15" t="str">
        <f t="shared" si="731"/>
        <v>WA</v>
      </c>
      <c r="H2164" s="15">
        <f t="shared" si="732"/>
        <v>6430</v>
      </c>
      <c r="I2164" s="15">
        <f t="shared" si="743"/>
        <v>3543</v>
      </c>
      <c r="J2164" s="15">
        <f>OrdersTable!B2164</f>
        <v>128</v>
      </c>
      <c r="K2164" s="15" t="str">
        <f t="shared" si="733"/>
        <v>Bobbleheads</v>
      </c>
      <c r="L2164" s="15" t="str">
        <f t="shared" si="734"/>
        <v>Doctor Who: Bobblehead: Davros</v>
      </c>
      <c r="M2164" s="15" t="str">
        <f t="shared" si="735"/>
        <v>-</v>
      </c>
      <c r="N2164" s="15">
        <f t="shared" si="736"/>
        <v>0.85</v>
      </c>
      <c r="O2164" s="15" t="str">
        <f t="shared" si="737"/>
        <v>A50</v>
      </c>
      <c r="P2164" s="15" t="str">
        <f t="shared" si="738"/>
        <v>Rassilon Ltd.</v>
      </c>
      <c r="Q2164" s="15" t="str">
        <f t="shared" si="739"/>
        <v>82 Richard Mathews Road</v>
      </c>
      <c r="R2164" s="3">
        <f>OrdersTable!C2164</f>
        <v>44717</v>
      </c>
      <c r="S2164" s="15">
        <f>OrdersTable!E2164</f>
        <v>2</v>
      </c>
      <c r="T2164" s="15">
        <f t="shared" si="740"/>
        <v>16.989999999999998</v>
      </c>
      <c r="U2164" s="15">
        <f t="shared" si="741"/>
        <v>23.27</v>
      </c>
      <c r="V2164" s="15">
        <f t="shared" si="742"/>
        <v>27.52</v>
      </c>
      <c r="W2164" s="15">
        <f>IF(MarkupType="Store Markup",ROUND(V2164+V2164*StoreMarkup,2),IF(MarkupType="Supplier Markup",V2164+V2164*SupplierMarkup,"Error at finding value"))</f>
        <v>43.34</v>
      </c>
      <c r="X2164" s="32" t="str">
        <f t="shared" si="744"/>
        <v>0.00</v>
      </c>
      <c r="Y2164" s="15">
        <f t="shared" si="745"/>
        <v>55.04</v>
      </c>
      <c r="Z2164" s="15">
        <f t="shared" si="746"/>
        <v>86.68</v>
      </c>
      <c r="AA2164" s="15">
        <f>IF(FreightType="Lethbridge-Stewart Freight ",ROUND(2.99+IF(N2164&gt;0.75,(N2164-0.75)*2.25,0)*S2164,2),IF(MarkupType="Supplier Markup",V2164+V2164*SupplierMarkup,"Error at finding value"))</f>
        <v>3.44</v>
      </c>
      <c r="AB2164" s="15">
        <f t="shared" si="747"/>
        <v>0</v>
      </c>
    </row>
    <row r="2165" spans="1:28" x14ac:dyDescent="0.25">
      <c r="A2165" s="16">
        <f>OrdersTable!A2165</f>
        <v>491</v>
      </c>
      <c r="B2165" s="15" t="str">
        <f t="shared" si="727"/>
        <v>Miss</v>
      </c>
      <c r="C2165" s="15" t="str">
        <f t="shared" si="748"/>
        <v>Winks</v>
      </c>
      <c r="D2165" s="15" t="str">
        <f t="shared" si="728"/>
        <v>Lori-Ann</v>
      </c>
      <c r="E2165" s="15" t="str">
        <f t="shared" si="729"/>
        <v>40 Lyne Street</v>
      </c>
      <c r="F2165" s="15" t="str">
        <f t="shared" si="730"/>
        <v>Bray Park</v>
      </c>
      <c r="G2165" s="15" t="str">
        <f t="shared" si="731"/>
        <v>QLD</v>
      </c>
      <c r="H2165" s="15">
        <f t="shared" si="732"/>
        <v>4500</v>
      </c>
      <c r="I2165" s="15">
        <f t="shared" si="743"/>
        <v>139</v>
      </c>
      <c r="J2165" s="15">
        <f>OrdersTable!B2165</f>
        <v>652</v>
      </c>
      <c r="K2165" s="15" t="str">
        <f t="shared" si="733"/>
        <v>Mugs</v>
      </c>
      <c r="L2165" s="15" t="str">
        <f t="shared" si="734"/>
        <v>Doctor Who: Mug: Dalek 2D</v>
      </c>
      <c r="M2165" s="15" t="str">
        <f t="shared" si="735"/>
        <v>-</v>
      </c>
      <c r="N2165" s="15">
        <f t="shared" si="736"/>
        <v>0.35</v>
      </c>
      <c r="O2165" s="15" t="str">
        <f t="shared" si="737"/>
        <v>A10</v>
      </c>
      <c r="P2165" s="15" t="str">
        <f t="shared" si="738"/>
        <v>Gallifrey International</v>
      </c>
      <c r="Q2165" s="15" t="str">
        <f t="shared" si="739"/>
        <v>181 Arcadia Street</v>
      </c>
      <c r="R2165" s="3">
        <f>OrdersTable!C2165</f>
        <v>44717</v>
      </c>
      <c r="S2165" s="15">
        <f>OrdersTable!E2165</f>
        <v>1</v>
      </c>
      <c r="T2165" s="15">
        <f t="shared" si="740"/>
        <v>6.99</v>
      </c>
      <c r="U2165" s="15">
        <f t="shared" si="741"/>
        <v>9.8800000000000008</v>
      </c>
      <c r="V2165" s="15">
        <f t="shared" si="742"/>
        <v>11.32</v>
      </c>
      <c r="W2165" s="15">
        <f>IF(MarkupType="Store Markup",ROUND(V2165+V2165*StoreMarkup,2),IF(MarkupType="Supplier Markup",V2165+V2165*SupplierMarkup,"Error at finding value"))</f>
        <v>17.829999999999998</v>
      </c>
      <c r="X2165" s="32" t="str">
        <f t="shared" si="744"/>
        <v>0.00</v>
      </c>
      <c r="Y2165" s="15">
        <f t="shared" si="745"/>
        <v>11.32</v>
      </c>
      <c r="Z2165" s="15">
        <f t="shared" si="746"/>
        <v>17.829999999999998</v>
      </c>
      <c r="AA2165" s="15">
        <f>IF(FreightType="Lethbridge-Stewart Freight ",ROUND(2.99+IF(N2165&gt;0.75,(N2165-0.75)*2.25,0)*S2165,2),IF(MarkupType="Supplier Markup",V2165+V2165*SupplierMarkup,"Error at finding value"))</f>
        <v>2.99</v>
      </c>
      <c r="AB2165" s="15">
        <f t="shared" si="747"/>
        <v>0</v>
      </c>
    </row>
    <row r="2166" spans="1:28" x14ac:dyDescent="0.25">
      <c r="A2166" s="16">
        <f>OrdersTable!A2166</f>
        <v>501</v>
      </c>
      <c r="B2166" s="15" t="str">
        <f t="shared" si="727"/>
        <v>Miss</v>
      </c>
      <c r="C2166" s="15" t="str">
        <f t="shared" si="748"/>
        <v>Tharenou</v>
      </c>
      <c r="D2166" s="15" t="str">
        <f t="shared" si="728"/>
        <v>Kimberley Jacinta</v>
      </c>
      <c r="E2166" s="15" t="str">
        <f t="shared" si="729"/>
        <v>49 Moncada Circuit</v>
      </c>
      <c r="F2166" s="15" t="str">
        <f t="shared" si="730"/>
        <v>Belford</v>
      </c>
      <c r="G2166" s="15" t="str">
        <f t="shared" si="731"/>
        <v>NSW</v>
      </c>
      <c r="H2166" s="15">
        <f t="shared" si="732"/>
        <v>2335</v>
      </c>
      <c r="I2166" s="15">
        <f t="shared" si="743"/>
        <v>716</v>
      </c>
      <c r="J2166" s="15">
        <f>OrdersTable!B2166</f>
        <v>834</v>
      </c>
      <c r="K2166" s="15" t="str">
        <f t="shared" si="733"/>
        <v>Statues and Busts</v>
      </c>
      <c r="L2166" s="15" t="str">
        <f t="shared" si="734"/>
        <v>Doctor Who: Signature Edition Statue: Gallifrey Edition: Matt Smith</v>
      </c>
      <c r="M2166" s="15" t="str">
        <f t="shared" si="735"/>
        <v>-</v>
      </c>
      <c r="N2166" s="15">
        <f t="shared" si="736"/>
        <v>2.5</v>
      </c>
      <c r="O2166" s="15" t="str">
        <f t="shared" si="737"/>
        <v>A30</v>
      </c>
      <c r="P2166" s="15" t="str">
        <f t="shared" si="738"/>
        <v>Chesterton Enterprises</v>
      </c>
      <c r="Q2166" s="15" t="str">
        <f t="shared" si="739"/>
        <v>41 William Russell Road</v>
      </c>
      <c r="R2166" s="3">
        <f>OrdersTable!C2166</f>
        <v>44717</v>
      </c>
      <c r="S2166" s="15">
        <f>OrdersTable!E2166</f>
        <v>5</v>
      </c>
      <c r="T2166" s="15">
        <f t="shared" si="740"/>
        <v>49.99</v>
      </c>
      <c r="U2166" s="15">
        <f t="shared" si="741"/>
        <v>68.52</v>
      </c>
      <c r="V2166" s="15">
        <f t="shared" si="742"/>
        <v>80.98</v>
      </c>
      <c r="W2166" s="15">
        <f>IF(MarkupType="Store Markup",ROUND(V2166+V2166*StoreMarkup,2),IF(MarkupType="Supplier Markup",V2166+V2166*SupplierMarkup,"Error at finding value"))</f>
        <v>127.54</v>
      </c>
      <c r="X2166" s="32">
        <f t="shared" si="744"/>
        <v>9.09</v>
      </c>
      <c r="Y2166" s="15">
        <f t="shared" si="745"/>
        <v>404.9</v>
      </c>
      <c r="Z2166" s="15">
        <f t="shared" si="746"/>
        <v>592.25</v>
      </c>
      <c r="AA2166" s="15">
        <f>IF(FreightType="Lethbridge-Stewart Freight ",ROUND(2.99+IF(N2166&gt;0.75,(N2166-0.75)*2.25,0)*S2166,2),IF(MarkupType="Supplier Markup",V2166+V2166*SupplierMarkup,"Error at finding value"))</f>
        <v>22.68</v>
      </c>
      <c r="AB2166" s="15">
        <f t="shared" si="747"/>
        <v>45.45</v>
      </c>
    </row>
    <row r="2167" spans="1:28" x14ac:dyDescent="0.25">
      <c r="A2167" s="16">
        <f>OrdersTable!A2167</f>
        <v>527</v>
      </c>
      <c r="B2167" s="15" t="str">
        <f t="shared" si="727"/>
        <v>Mr</v>
      </c>
      <c r="C2167" s="15" t="str">
        <f t="shared" si="748"/>
        <v>McTaggart</v>
      </c>
      <c r="D2167" s="15" t="str">
        <f t="shared" si="728"/>
        <v>Daniel</v>
      </c>
      <c r="E2167" s="15" t="str">
        <f t="shared" si="729"/>
        <v>24 Mulholland Avenue</v>
      </c>
      <c r="F2167" s="15" t="str">
        <f t="shared" si="730"/>
        <v>Belconnen</v>
      </c>
      <c r="G2167" s="15" t="str">
        <f t="shared" si="731"/>
        <v>ACT</v>
      </c>
      <c r="H2167" s="15">
        <f t="shared" si="732"/>
        <v>2617</v>
      </c>
      <c r="I2167" s="15">
        <f t="shared" si="743"/>
        <v>1194</v>
      </c>
      <c r="J2167" s="15">
        <f>OrdersTable!B2167</f>
        <v>341</v>
      </c>
      <c r="K2167" s="15" t="str">
        <f t="shared" si="733"/>
        <v>Clothing and Apparel</v>
      </c>
      <c r="L2167" s="15" t="str">
        <f t="shared" si="734"/>
        <v xml:space="preserve">Doctor Who: T-Shirts: 4th Doctor Costume </v>
      </c>
      <c r="M2167" s="15" t="str">
        <f t="shared" si="735"/>
        <v>XL</v>
      </c>
      <c r="N2167" s="15">
        <f t="shared" si="736"/>
        <v>0.8</v>
      </c>
      <c r="O2167" s="15" t="str">
        <f t="shared" si="737"/>
        <v>A20</v>
      </c>
      <c r="P2167" s="15" t="str">
        <f t="shared" si="738"/>
        <v>Morbius Inc.</v>
      </c>
      <c r="Q2167" s="15" t="str">
        <f t="shared" si="739"/>
        <v>56 Michael Spice Hwy</v>
      </c>
      <c r="R2167" s="3">
        <f>OrdersTable!C2167</f>
        <v>44717</v>
      </c>
      <c r="S2167" s="15">
        <f>OrdersTable!E2167</f>
        <v>7</v>
      </c>
      <c r="T2167" s="15">
        <f t="shared" si="740"/>
        <v>15.99</v>
      </c>
      <c r="U2167" s="15">
        <f t="shared" si="741"/>
        <v>22.05</v>
      </c>
      <c r="V2167" s="15">
        <f t="shared" si="742"/>
        <v>25.9</v>
      </c>
      <c r="W2167" s="15">
        <f>IF(MarkupType="Store Markup",ROUND(V2167+V2167*StoreMarkup,2),IF(MarkupType="Supplier Markup",V2167+V2167*SupplierMarkup,"Error at finding value"))</f>
        <v>40.79</v>
      </c>
      <c r="X2167" s="32" t="str">
        <f t="shared" si="744"/>
        <v>0.00</v>
      </c>
      <c r="Y2167" s="15">
        <f t="shared" si="745"/>
        <v>181.3</v>
      </c>
      <c r="Z2167" s="15">
        <f t="shared" si="746"/>
        <v>285.52999999999997</v>
      </c>
      <c r="AA2167" s="15">
        <f>IF(FreightType="Lethbridge-Stewart Freight ",ROUND(2.99+IF(N2167&gt;0.75,(N2167-0.75)*2.25,0)*S2167,2),IF(MarkupType="Supplier Markup",V2167+V2167*SupplierMarkup,"Error at finding value"))</f>
        <v>3.78</v>
      </c>
      <c r="AB2167" s="15">
        <f t="shared" si="747"/>
        <v>0</v>
      </c>
    </row>
    <row r="2168" spans="1:28" x14ac:dyDescent="0.25">
      <c r="A2168" s="16">
        <f>OrdersTable!A2168</f>
        <v>594</v>
      </c>
      <c r="B2168" s="15" t="str">
        <f t="shared" si="727"/>
        <v>Mrs</v>
      </c>
      <c r="C2168" s="15" t="str">
        <f t="shared" si="748"/>
        <v>Entriken</v>
      </c>
      <c r="D2168" s="15" t="str">
        <f t="shared" si="728"/>
        <v>Gwenda Dawn</v>
      </c>
      <c r="E2168" s="15" t="str">
        <f t="shared" si="729"/>
        <v>8 Miljkovic Drive</v>
      </c>
      <c r="F2168" s="15" t="str">
        <f t="shared" si="730"/>
        <v>Nayook</v>
      </c>
      <c r="G2168" s="15" t="str">
        <f t="shared" si="731"/>
        <v>VIC</v>
      </c>
      <c r="H2168" s="15">
        <f t="shared" si="732"/>
        <v>3832</v>
      </c>
      <c r="I2168" s="15">
        <f t="shared" si="743"/>
        <v>1552</v>
      </c>
      <c r="J2168" s="15">
        <f>OrdersTable!B2168</f>
        <v>395</v>
      </c>
      <c r="K2168" s="15" t="str">
        <f t="shared" si="733"/>
        <v>Clothing and Apparel</v>
      </c>
      <c r="L2168" s="15" t="str">
        <f t="shared" si="734"/>
        <v xml:space="preserve">Doctor Who: T-Shirts: 7th Doctor Costume </v>
      </c>
      <c r="M2168" s="15" t="str">
        <f t="shared" si="735"/>
        <v>L</v>
      </c>
      <c r="N2168" s="15">
        <f t="shared" si="736"/>
        <v>0.8</v>
      </c>
      <c r="O2168" s="15" t="str">
        <f t="shared" si="737"/>
        <v>A10</v>
      </c>
      <c r="P2168" s="15" t="str">
        <f t="shared" si="738"/>
        <v>Gallifrey International</v>
      </c>
      <c r="Q2168" s="15" t="str">
        <f t="shared" si="739"/>
        <v>181 Arcadia Street</v>
      </c>
      <c r="R2168" s="3">
        <f>OrdersTable!C2168</f>
        <v>44717</v>
      </c>
      <c r="S2168" s="15">
        <f>OrdersTable!E2168</f>
        <v>4</v>
      </c>
      <c r="T2168" s="15">
        <f t="shared" si="740"/>
        <v>15.99</v>
      </c>
      <c r="U2168" s="15">
        <f t="shared" si="741"/>
        <v>22.07</v>
      </c>
      <c r="V2168" s="15">
        <f t="shared" si="742"/>
        <v>25.9</v>
      </c>
      <c r="W2168" s="15">
        <f>IF(MarkupType="Store Markup",ROUND(V2168+V2168*StoreMarkup,2),IF(MarkupType="Supplier Markup",V2168+V2168*SupplierMarkup,"Error at finding value"))</f>
        <v>40.79</v>
      </c>
      <c r="X2168" s="32" t="str">
        <f t="shared" si="744"/>
        <v>0.00</v>
      </c>
      <c r="Y2168" s="15">
        <f t="shared" si="745"/>
        <v>103.6</v>
      </c>
      <c r="Z2168" s="15">
        <f t="shared" si="746"/>
        <v>163.16</v>
      </c>
      <c r="AA2168" s="15">
        <f>IF(FreightType="Lethbridge-Stewart Freight ",ROUND(2.99+IF(N2168&gt;0.75,(N2168-0.75)*2.25,0)*S2168,2),IF(MarkupType="Supplier Markup",V2168+V2168*SupplierMarkup,"Error at finding value"))</f>
        <v>3.44</v>
      </c>
      <c r="AB2168" s="15">
        <f t="shared" si="747"/>
        <v>0</v>
      </c>
    </row>
    <row r="2169" spans="1:28" x14ac:dyDescent="0.25">
      <c r="A2169" s="16">
        <f>OrdersTable!A2169</f>
        <v>730</v>
      </c>
      <c r="B2169" s="15" t="str">
        <f t="shared" si="727"/>
        <v>Mr</v>
      </c>
      <c r="C2169" s="15" t="str">
        <f t="shared" si="748"/>
        <v>Romer</v>
      </c>
      <c r="D2169" s="15" t="str">
        <f t="shared" si="728"/>
        <v>Leo Alexander</v>
      </c>
      <c r="E2169" s="15" t="str">
        <f t="shared" si="729"/>
        <v>47 Bennett Circuit</v>
      </c>
      <c r="F2169" s="15" t="str">
        <f t="shared" si="730"/>
        <v>Caliph</v>
      </c>
      <c r="G2169" s="15" t="str">
        <f t="shared" si="731"/>
        <v>SA</v>
      </c>
      <c r="H2169" s="15">
        <f t="shared" si="732"/>
        <v>5310</v>
      </c>
      <c r="I2169" s="15">
        <f t="shared" si="743"/>
        <v>1720</v>
      </c>
      <c r="J2169" s="15">
        <f>OrdersTable!B2169</f>
        <v>620</v>
      </c>
      <c r="K2169" s="15" t="str">
        <f t="shared" si="733"/>
        <v>iPhone Skins</v>
      </c>
      <c r="L2169" s="15" t="str">
        <f t="shared" si="734"/>
        <v>Doctor Who: iPhone Skin: TARDIS Water Colour</v>
      </c>
      <c r="M2169" s="15" t="str">
        <f t="shared" si="735"/>
        <v>-</v>
      </c>
      <c r="N2169" s="15">
        <f t="shared" si="736"/>
        <v>0.5</v>
      </c>
      <c r="O2169" s="15" t="str">
        <f t="shared" si="737"/>
        <v>A30</v>
      </c>
      <c r="P2169" s="15" t="str">
        <f t="shared" si="738"/>
        <v>Chesterton Enterprises</v>
      </c>
      <c r="Q2169" s="15" t="str">
        <f t="shared" si="739"/>
        <v>41 William Russell Road</v>
      </c>
      <c r="R2169" s="3">
        <f>OrdersTable!C2169</f>
        <v>44717</v>
      </c>
      <c r="S2169" s="15">
        <f>OrdersTable!E2169</f>
        <v>7</v>
      </c>
      <c r="T2169" s="15">
        <f t="shared" si="740"/>
        <v>9.99</v>
      </c>
      <c r="U2169" s="15">
        <f t="shared" si="741"/>
        <v>13.81</v>
      </c>
      <c r="V2169" s="15">
        <f t="shared" si="742"/>
        <v>16.18</v>
      </c>
      <c r="W2169" s="15">
        <f>IF(MarkupType="Store Markup",ROUND(V2169+V2169*StoreMarkup,2),IF(MarkupType="Supplier Markup",V2169+V2169*SupplierMarkup,"Error at finding value"))</f>
        <v>25.48</v>
      </c>
      <c r="X2169" s="32" t="str">
        <f t="shared" si="744"/>
        <v>0.00</v>
      </c>
      <c r="Y2169" s="15">
        <f t="shared" si="745"/>
        <v>113.26</v>
      </c>
      <c r="Z2169" s="15">
        <f t="shared" si="746"/>
        <v>178.36</v>
      </c>
      <c r="AA2169" s="15">
        <f>IF(FreightType="Lethbridge-Stewart Freight ",ROUND(2.99+IF(N2169&gt;0.75,(N2169-0.75)*2.25,0)*S2169,2),IF(MarkupType="Supplier Markup",V2169+V2169*SupplierMarkup,"Error at finding value"))</f>
        <v>2.99</v>
      </c>
      <c r="AB2169" s="15">
        <f t="shared" si="747"/>
        <v>0</v>
      </c>
    </row>
    <row r="2170" spans="1:28" x14ac:dyDescent="0.25">
      <c r="A2170" s="16">
        <f>OrdersTable!A2170</f>
        <v>750</v>
      </c>
      <c r="B2170" s="15" t="str">
        <f t="shared" si="727"/>
        <v>Ms</v>
      </c>
      <c r="C2170" s="15" t="str">
        <f t="shared" si="748"/>
        <v>Talbot</v>
      </c>
      <c r="D2170" s="15" t="str">
        <f t="shared" si="728"/>
        <v>Carlie Wenderly</v>
      </c>
      <c r="E2170" s="15" t="str">
        <f t="shared" si="729"/>
        <v>31 Somerville Way</v>
      </c>
      <c r="F2170" s="15" t="str">
        <f t="shared" si="730"/>
        <v>Boston</v>
      </c>
      <c r="G2170" s="15" t="str">
        <f t="shared" si="731"/>
        <v>SA</v>
      </c>
      <c r="H2170" s="15">
        <f t="shared" si="732"/>
        <v>5607</v>
      </c>
      <c r="I2170" s="15">
        <f t="shared" si="743"/>
        <v>2076</v>
      </c>
      <c r="J2170" s="15">
        <f>OrdersTable!B2170</f>
        <v>543</v>
      </c>
      <c r="K2170" s="15" t="str">
        <f t="shared" si="733"/>
        <v>Giftware</v>
      </c>
      <c r="L2170" s="15" t="str">
        <f t="shared" si="734"/>
        <v>Doctor Who: Sonic Screwdriver Pen</v>
      </c>
      <c r="M2170" s="15" t="str">
        <f t="shared" si="735"/>
        <v>-</v>
      </c>
      <c r="N2170" s="15">
        <f t="shared" si="736"/>
        <v>0.65</v>
      </c>
      <c r="O2170" s="15" t="str">
        <f t="shared" si="737"/>
        <v>A20</v>
      </c>
      <c r="P2170" s="15" t="str">
        <f t="shared" si="738"/>
        <v>Morbius Inc.</v>
      </c>
      <c r="Q2170" s="15" t="str">
        <f t="shared" si="739"/>
        <v>56 Michael Spice Hwy</v>
      </c>
      <c r="R2170" s="3">
        <f>OrdersTable!C2170</f>
        <v>44717</v>
      </c>
      <c r="S2170" s="15">
        <f>OrdersTable!E2170</f>
        <v>7</v>
      </c>
      <c r="T2170" s="15">
        <f t="shared" si="740"/>
        <v>12.99</v>
      </c>
      <c r="U2170" s="15">
        <f t="shared" si="741"/>
        <v>18.02</v>
      </c>
      <c r="V2170" s="15">
        <f t="shared" si="742"/>
        <v>21.04</v>
      </c>
      <c r="W2170" s="15">
        <f>IF(MarkupType="Store Markup",ROUND(V2170+V2170*StoreMarkup,2),IF(MarkupType="Supplier Markup",V2170+V2170*SupplierMarkup,"Error at finding value"))</f>
        <v>33.14</v>
      </c>
      <c r="X2170" s="32" t="str">
        <f t="shared" si="744"/>
        <v>0.00</v>
      </c>
      <c r="Y2170" s="15">
        <f t="shared" si="745"/>
        <v>147.28</v>
      </c>
      <c r="Z2170" s="15">
        <f t="shared" si="746"/>
        <v>231.98</v>
      </c>
      <c r="AA2170" s="15">
        <f>IF(FreightType="Lethbridge-Stewart Freight ",ROUND(2.99+IF(N2170&gt;0.75,(N2170-0.75)*2.25,0)*S2170,2),IF(MarkupType="Supplier Markup",V2170+V2170*SupplierMarkup,"Error at finding value"))</f>
        <v>2.99</v>
      </c>
      <c r="AB2170" s="15">
        <f t="shared" si="747"/>
        <v>0</v>
      </c>
    </row>
    <row r="2171" spans="1:28" x14ac:dyDescent="0.25">
      <c r="A2171" s="16">
        <f>OrdersTable!A2171</f>
        <v>961</v>
      </c>
      <c r="B2171" s="15" t="str">
        <f t="shared" si="727"/>
        <v>Ms</v>
      </c>
      <c r="C2171" s="15" t="str">
        <f t="shared" si="748"/>
        <v>Schuh</v>
      </c>
      <c r="D2171" s="15" t="str">
        <f t="shared" si="728"/>
        <v>Rebecca Anne</v>
      </c>
      <c r="E2171" s="15" t="str">
        <f t="shared" si="729"/>
        <v>48 Wilson Court</v>
      </c>
      <c r="F2171" s="15" t="str">
        <f t="shared" si="730"/>
        <v>Breakwater</v>
      </c>
      <c r="G2171" s="15" t="str">
        <f t="shared" si="731"/>
        <v>VIC</v>
      </c>
      <c r="H2171" s="15">
        <f t="shared" si="732"/>
        <v>3219</v>
      </c>
      <c r="I2171" s="15">
        <f t="shared" si="743"/>
        <v>1596</v>
      </c>
      <c r="J2171" s="15">
        <f>OrdersTable!B2171</f>
        <v>219</v>
      </c>
      <c r="K2171" s="15" t="str">
        <f t="shared" si="733"/>
        <v>Clothing and Apparel</v>
      </c>
      <c r="L2171" s="15" t="str">
        <f t="shared" si="734"/>
        <v>Doctor Who: Men's Winter Pyjamas</v>
      </c>
      <c r="M2171" s="15" t="str">
        <f t="shared" si="735"/>
        <v>M</v>
      </c>
      <c r="N2171" s="15">
        <f t="shared" si="736"/>
        <v>1.5</v>
      </c>
      <c r="O2171" s="15" t="str">
        <f t="shared" si="737"/>
        <v>A40</v>
      </c>
      <c r="P2171" s="15" t="str">
        <f t="shared" si="738"/>
        <v>Romana Imports</v>
      </c>
      <c r="Q2171" s="15" t="str">
        <f t="shared" si="739"/>
        <v>17 Lalla Ward Road</v>
      </c>
      <c r="R2171" s="3">
        <f>OrdersTable!C2171</f>
        <v>44717</v>
      </c>
      <c r="S2171" s="15">
        <f>OrdersTable!E2171</f>
        <v>6</v>
      </c>
      <c r="T2171" s="15">
        <f t="shared" si="740"/>
        <v>29.99</v>
      </c>
      <c r="U2171" s="15">
        <f t="shared" si="741"/>
        <v>41.24</v>
      </c>
      <c r="V2171" s="15">
        <f t="shared" si="742"/>
        <v>48.58</v>
      </c>
      <c r="W2171" s="15">
        <f>IF(MarkupType="Store Markup",ROUND(V2171+V2171*StoreMarkup,2),IF(MarkupType="Supplier Markup",V2171+V2171*SupplierMarkup,"Error at finding value"))</f>
        <v>76.510000000000005</v>
      </c>
      <c r="X2171" s="32" t="str">
        <f t="shared" si="744"/>
        <v>0.00</v>
      </c>
      <c r="Y2171" s="15">
        <f t="shared" si="745"/>
        <v>291.48</v>
      </c>
      <c r="Z2171" s="15">
        <f t="shared" si="746"/>
        <v>459.06</v>
      </c>
      <c r="AA2171" s="15">
        <f>IF(FreightType="Lethbridge-Stewart Freight ",ROUND(2.99+IF(N2171&gt;0.75,(N2171-0.75)*2.25,0)*S2171,2),IF(MarkupType="Supplier Markup",V2171+V2171*SupplierMarkup,"Error at finding value"))</f>
        <v>13.12</v>
      </c>
      <c r="AB2171" s="15">
        <f t="shared" si="747"/>
        <v>0</v>
      </c>
    </row>
    <row r="2172" spans="1:28" x14ac:dyDescent="0.25">
      <c r="A2172" s="16">
        <f>OrdersTable!A2172</f>
        <v>47</v>
      </c>
      <c r="B2172" s="15" t="str">
        <f t="shared" si="727"/>
        <v>Dr</v>
      </c>
      <c r="C2172" s="15" t="str">
        <f t="shared" si="748"/>
        <v>Kaur</v>
      </c>
      <c r="D2172" s="15" t="str">
        <f t="shared" si="728"/>
        <v>Jasleen</v>
      </c>
      <c r="E2172" s="15" t="str">
        <f t="shared" si="729"/>
        <v>7 Hong Road</v>
      </c>
      <c r="F2172" s="15" t="str">
        <f t="shared" si="730"/>
        <v>Belconnen</v>
      </c>
      <c r="G2172" s="15" t="str">
        <f t="shared" si="731"/>
        <v>ACT</v>
      </c>
      <c r="H2172" s="15">
        <f t="shared" si="732"/>
        <v>2617</v>
      </c>
      <c r="I2172" s="15">
        <f t="shared" si="743"/>
        <v>1194</v>
      </c>
      <c r="J2172" s="15">
        <f>OrdersTable!B2172</f>
        <v>436</v>
      </c>
      <c r="K2172" s="15" t="str">
        <f t="shared" si="733"/>
        <v>Giftware</v>
      </c>
      <c r="L2172" s="15" t="str">
        <f t="shared" si="734"/>
        <v>Doctor Who: Adult Watch: TARDIS</v>
      </c>
      <c r="M2172" s="15" t="str">
        <f t="shared" si="735"/>
        <v>-</v>
      </c>
      <c r="N2172" s="15">
        <f t="shared" si="736"/>
        <v>1.5</v>
      </c>
      <c r="O2172" s="15" t="str">
        <f t="shared" si="737"/>
        <v>A20</v>
      </c>
      <c r="P2172" s="15" t="str">
        <f t="shared" si="738"/>
        <v>Morbius Inc.</v>
      </c>
      <c r="Q2172" s="15" t="str">
        <f t="shared" si="739"/>
        <v>56 Michael Spice Hwy</v>
      </c>
      <c r="R2172" s="3">
        <f>OrdersTable!C2172</f>
        <v>44718</v>
      </c>
      <c r="S2172" s="15">
        <f>OrdersTable!E2172</f>
        <v>10</v>
      </c>
      <c r="T2172" s="15">
        <f t="shared" si="740"/>
        <v>29.99</v>
      </c>
      <c r="U2172" s="15">
        <f t="shared" si="741"/>
        <v>40.96</v>
      </c>
      <c r="V2172" s="15">
        <f t="shared" si="742"/>
        <v>48.58</v>
      </c>
      <c r="W2172" s="15">
        <f>IF(MarkupType="Store Markup",ROUND(V2172+V2172*StoreMarkup,2),IF(MarkupType="Supplier Markup",V2172+V2172*SupplierMarkup,"Error at finding value"))</f>
        <v>76.510000000000005</v>
      </c>
      <c r="X2172" s="32" t="str">
        <f t="shared" si="744"/>
        <v>0.00</v>
      </c>
      <c r="Y2172" s="15">
        <f t="shared" si="745"/>
        <v>485.8</v>
      </c>
      <c r="Z2172" s="15">
        <f t="shared" si="746"/>
        <v>765.1</v>
      </c>
      <c r="AA2172" s="15">
        <f>IF(FreightType="Lethbridge-Stewart Freight ",ROUND(2.99+IF(N2172&gt;0.75,(N2172-0.75)*2.25,0)*S2172,2),IF(MarkupType="Supplier Markup",V2172+V2172*SupplierMarkup,"Error at finding value"))</f>
        <v>19.87</v>
      </c>
      <c r="AB2172" s="15">
        <f t="shared" si="747"/>
        <v>0</v>
      </c>
    </row>
    <row r="2173" spans="1:28" x14ac:dyDescent="0.25">
      <c r="A2173" s="16">
        <f>OrdersTable!A2173</f>
        <v>150</v>
      </c>
      <c r="B2173" s="15" t="str">
        <f t="shared" si="727"/>
        <v>Dr</v>
      </c>
      <c r="C2173" s="15" t="str">
        <f t="shared" si="748"/>
        <v>Taumalolo</v>
      </c>
      <c r="D2173" s="15" t="str">
        <f t="shared" si="728"/>
        <v>Latai Fono-Ki-Moana</v>
      </c>
      <c r="E2173" s="15" t="str">
        <f t="shared" si="729"/>
        <v>13 Taylor Way</v>
      </c>
      <c r="F2173" s="15" t="str">
        <f t="shared" si="730"/>
        <v>Bamboo</v>
      </c>
      <c r="G2173" s="15" t="str">
        <f t="shared" si="731"/>
        <v>QLD</v>
      </c>
      <c r="H2173" s="15">
        <f t="shared" si="732"/>
        <v>4873</v>
      </c>
      <c r="I2173" s="15">
        <f t="shared" si="743"/>
        <v>1741</v>
      </c>
      <c r="J2173" s="15">
        <f>OrdersTable!B2173</f>
        <v>840</v>
      </c>
      <c r="K2173" s="15" t="str">
        <f t="shared" si="733"/>
        <v>Statues and Busts</v>
      </c>
      <c r="L2173" s="15" t="str">
        <f t="shared" si="734"/>
        <v>Doctor Who: Signature Edition Statue: Gallifrey Edition: Patrick Troughton</v>
      </c>
      <c r="M2173" s="15" t="str">
        <f t="shared" si="735"/>
        <v>-</v>
      </c>
      <c r="N2173" s="15">
        <f t="shared" si="736"/>
        <v>2.5</v>
      </c>
      <c r="O2173" s="15" t="str">
        <f t="shared" si="737"/>
        <v>A40</v>
      </c>
      <c r="P2173" s="15" t="str">
        <f t="shared" si="738"/>
        <v>Romana Imports</v>
      </c>
      <c r="Q2173" s="15" t="str">
        <f t="shared" si="739"/>
        <v>17 Lalla Ward Road</v>
      </c>
      <c r="R2173" s="3">
        <f>OrdersTable!C2173</f>
        <v>44718</v>
      </c>
      <c r="S2173" s="15">
        <f>OrdersTable!E2173</f>
        <v>1</v>
      </c>
      <c r="T2173" s="15">
        <f t="shared" si="740"/>
        <v>49.99</v>
      </c>
      <c r="U2173" s="15">
        <f t="shared" si="741"/>
        <v>68.510000000000005</v>
      </c>
      <c r="V2173" s="15">
        <f t="shared" si="742"/>
        <v>80.98</v>
      </c>
      <c r="W2173" s="15">
        <f>IF(MarkupType="Store Markup",ROUND(V2173+V2173*StoreMarkup,2),IF(MarkupType="Supplier Markup",V2173+V2173*SupplierMarkup,"Error at finding value"))</f>
        <v>127.54</v>
      </c>
      <c r="X2173" s="32" t="str">
        <f t="shared" si="744"/>
        <v>0.00</v>
      </c>
      <c r="Y2173" s="15">
        <f t="shared" si="745"/>
        <v>80.98</v>
      </c>
      <c r="Z2173" s="15">
        <f t="shared" si="746"/>
        <v>127.54</v>
      </c>
      <c r="AA2173" s="15">
        <f>IF(FreightType="Lethbridge-Stewart Freight ",ROUND(2.99+IF(N2173&gt;0.75,(N2173-0.75)*2.25,0)*S2173,2),IF(MarkupType="Supplier Markup",V2173+V2173*SupplierMarkup,"Error at finding value"))</f>
        <v>6.93</v>
      </c>
      <c r="AB2173" s="15">
        <f t="shared" si="747"/>
        <v>0</v>
      </c>
    </row>
    <row r="2174" spans="1:28" x14ac:dyDescent="0.25">
      <c r="A2174" s="16">
        <f>OrdersTable!A2174</f>
        <v>284</v>
      </c>
      <c r="B2174" s="15" t="str">
        <f t="shared" si="727"/>
        <v>Mr</v>
      </c>
      <c r="C2174" s="15" t="str">
        <f t="shared" si="748"/>
        <v>Aitcheson</v>
      </c>
      <c r="D2174" s="15" t="str">
        <f t="shared" si="728"/>
        <v>Ben James</v>
      </c>
      <c r="E2174" s="15" t="str">
        <f t="shared" si="729"/>
        <v>32 Evans Avenue</v>
      </c>
      <c r="F2174" s="15" t="str">
        <f t="shared" si="730"/>
        <v>Batlow</v>
      </c>
      <c r="G2174" s="15" t="str">
        <f t="shared" si="731"/>
        <v>NSW</v>
      </c>
      <c r="H2174" s="15">
        <f t="shared" si="732"/>
        <v>2730</v>
      </c>
      <c r="I2174" s="15">
        <f t="shared" si="743"/>
        <v>1138</v>
      </c>
      <c r="J2174" s="15">
        <f>OrdersTable!B2174</f>
        <v>594</v>
      </c>
      <c r="K2174" s="15" t="str">
        <f t="shared" si="733"/>
        <v>iPhone Skins</v>
      </c>
      <c r="L2174" s="15" t="str">
        <f t="shared" si="734"/>
        <v>Doctor Who: iPhone Skin: Keep Calm And Don't Blink</v>
      </c>
      <c r="M2174" s="15" t="str">
        <f t="shared" si="735"/>
        <v>-</v>
      </c>
      <c r="N2174" s="15">
        <f t="shared" si="736"/>
        <v>0.5</v>
      </c>
      <c r="O2174" s="15" t="str">
        <f t="shared" si="737"/>
        <v>A20</v>
      </c>
      <c r="P2174" s="15" t="str">
        <f t="shared" si="738"/>
        <v>Morbius Inc.</v>
      </c>
      <c r="Q2174" s="15" t="str">
        <f t="shared" si="739"/>
        <v>56 Michael Spice Hwy</v>
      </c>
      <c r="R2174" s="3">
        <f>OrdersTable!C2174</f>
        <v>44718</v>
      </c>
      <c r="S2174" s="15">
        <f>OrdersTable!E2174</f>
        <v>3</v>
      </c>
      <c r="T2174" s="15">
        <f t="shared" si="740"/>
        <v>9.99</v>
      </c>
      <c r="U2174" s="15">
        <f t="shared" si="741"/>
        <v>13.88</v>
      </c>
      <c r="V2174" s="15">
        <f t="shared" si="742"/>
        <v>16.18</v>
      </c>
      <c r="W2174" s="15">
        <f>IF(MarkupType="Store Markup",ROUND(V2174+V2174*StoreMarkup,2),IF(MarkupType="Supplier Markup",V2174+V2174*SupplierMarkup,"Error at finding value"))</f>
        <v>25.48</v>
      </c>
      <c r="X2174" s="32" t="str">
        <f t="shared" si="744"/>
        <v>0.00</v>
      </c>
      <c r="Y2174" s="15">
        <f t="shared" si="745"/>
        <v>48.54</v>
      </c>
      <c r="Z2174" s="15">
        <f t="shared" si="746"/>
        <v>76.44</v>
      </c>
      <c r="AA2174" s="15">
        <f>IF(FreightType="Lethbridge-Stewart Freight ",ROUND(2.99+IF(N2174&gt;0.75,(N2174-0.75)*2.25,0)*S2174,2),IF(MarkupType="Supplier Markup",V2174+V2174*SupplierMarkup,"Error at finding value"))</f>
        <v>2.99</v>
      </c>
      <c r="AB2174" s="15">
        <f t="shared" si="747"/>
        <v>0</v>
      </c>
    </row>
    <row r="2175" spans="1:28" x14ac:dyDescent="0.25">
      <c r="A2175" s="16">
        <f>OrdersTable!A2175</f>
        <v>328</v>
      </c>
      <c r="B2175" s="15" t="str">
        <f t="shared" si="727"/>
        <v>Dr</v>
      </c>
      <c r="C2175" s="15" t="str">
        <f t="shared" si="748"/>
        <v>Ward</v>
      </c>
      <c r="D2175" s="15" t="str">
        <f t="shared" si="728"/>
        <v>Keiren Nicholas</v>
      </c>
      <c r="E2175" s="15" t="str">
        <f t="shared" si="729"/>
        <v>13 Green Crescent</v>
      </c>
      <c r="F2175" s="15" t="str">
        <f t="shared" si="730"/>
        <v>Breakwater</v>
      </c>
      <c r="G2175" s="15" t="str">
        <f t="shared" si="731"/>
        <v>VIC</v>
      </c>
      <c r="H2175" s="15">
        <f t="shared" si="732"/>
        <v>3219</v>
      </c>
      <c r="I2175" s="15">
        <f t="shared" si="743"/>
        <v>1596</v>
      </c>
      <c r="J2175" s="15">
        <f>OrdersTable!B2175</f>
        <v>747</v>
      </c>
      <c r="K2175" s="15" t="str">
        <f t="shared" si="733"/>
        <v>Props and Replicas</v>
      </c>
      <c r="L2175" s="15" t="str">
        <f t="shared" si="734"/>
        <v>Doctor Who: The Master's Fob Watch</v>
      </c>
      <c r="M2175" s="15" t="str">
        <f t="shared" si="735"/>
        <v>-</v>
      </c>
      <c r="N2175" s="15">
        <f t="shared" si="736"/>
        <v>2.25</v>
      </c>
      <c r="O2175" s="15" t="str">
        <f t="shared" si="737"/>
        <v>A10</v>
      </c>
      <c r="P2175" s="15" t="str">
        <f t="shared" si="738"/>
        <v>Gallifrey International</v>
      </c>
      <c r="Q2175" s="15" t="str">
        <f t="shared" si="739"/>
        <v>181 Arcadia Street</v>
      </c>
      <c r="R2175" s="3">
        <f>OrdersTable!C2175</f>
        <v>44718</v>
      </c>
      <c r="S2175" s="15">
        <f>OrdersTable!E2175</f>
        <v>6</v>
      </c>
      <c r="T2175" s="15">
        <f t="shared" si="740"/>
        <v>44.99</v>
      </c>
      <c r="U2175" s="15">
        <f t="shared" si="741"/>
        <v>61.7</v>
      </c>
      <c r="V2175" s="15">
        <f t="shared" si="742"/>
        <v>72.88</v>
      </c>
      <c r="W2175" s="15">
        <f>IF(MarkupType="Store Markup",ROUND(V2175+V2175*StoreMarkup,2),IF(MarkupType="Supplier Markup",V2175+V2175*SupplierMarkup,"Error at finding value"))</f>
        <v>114.79</v>
      </c>
      <c r="X2175" s="32">
        <f t="shared" si="744"/>
        <v>8.18</v>
      </c>
      <c r="Y2175" s="15">
        <f t="shared" si="745"/>
        <v>437.28</v>
      </c>
      <c r="Z2175" s="15">
        <f t="shared" si="746"/>
        <v>639.66</v>
      </c>
      <c r="AA2175" s="15">
        <f>IF(FreightType="Lethbridge-Stewart Freight ",ROUND(2.99+IF(N2175&gt;0.75,(N2175-0.75)*2.25,0)*S2175,2),IF(MarkupType="Supplier Markup",V2175+V2175*SupplierMarkup,"Error at finding value"))</f>
        <v>23.24</v>
      </c>
      <c r="AB2175" s="15">
        <f t="shared" si="747"/>
        <v>49.08</v>
      </c>
    </row>
    <row r="2176" spans="1:28" x14ac:dyDescent="0.25">
      <c r="A2176" s="16">
        <f>OrdersTable!A2176</f>
        <v>331</v>
      </c>
      <c r="B2176" s="15" t="str">
        <f t="shared" si="727"/>
        <v>Mrs</v>
      </c>
      <c r="C2176" s="15" t="str">
        <f t="shared" si="748"/>
        <v>McKenzie</v>
      </c>
      <c r="D2176" s="15" t="str">
        <f t="shared" si="728"/>
        <v>Melinda Kate</v>
      </c>
      <c r="E2176" s="15" t="str">
        <f t="shared" si="729"/>
        <v>49 McKay Way</v>
      </c>
      <c r="F2176" s="15" t="str">
        <f t="shared" si="730"/>
        <v>Black Hills</v>
      </c>
      <c r="G2176" s="15" t="str">
        <f t="shared" si="731"/>
        <v>TAS</v>
      </c>
      <c r="H2176" s="15">
        <f t="shared" si="732"/>
        <v>7140</v>
      </c>
      <c r="I2176" s="15">
        <f t="shared" si="743"/>
        <v>2191</v>
      </c>
      <c r="J2176" s="15">
        <f>OrdersTable!B2176</f>
        <v>805</v>
      </c>
      <c r="K2176" s="15" t="str">
        <f t="shared" si="733"/>
        <v>Statues and Busts</v>
      </c>
      <c r="L2176" s="15" t="str">
        <f t="shared" si="734"/>
        <v>Doctor Who: Masterpiece Collection Maxi Bust: 5th Doctor</v>
      </c>
      <c r="M2176" s="15" t="str">
        <f t="shared" si="735"/>
        <v>-</v>
      </c>
      <c r="N2176" s="15">
        <f t="shared" si="736"/>
        <v>2.5</v>
      </c>
      <c r="O2176" s="15" t="str">
        <f t="shared" si="737"/>
        <v>A20</v>
      </c>
      <c r="P2176" s="15" t="str">
        <f t="shared" si="738"/>
        <v>Morbius Inc.</v>
      </c>
      <c r="Q2176" s="15" t="str">
        <f t="shared" si="739"/>
        <v>56 Michael Spice Hwy</v>
      </c>
      <c r="R2176" s="3">
        <f>OrdersTable!C2176</f>
        <v>44718</v>
      </c>
      <c r="S2176" s="15">
        <f>OrdersTable!E2176</f>
        <v>2</v>
      </c>
      <c r="T2176" s="15">
        <f t="shared" si="740"/>
        <v>49.99</v>
      </c>
      <c r="U2176" s="15">
        <f t="shared" si="741"/>
        <v>68.42</v>
      </c>
      <c r="V2176" s="15">
        <f t="shared" si="742"/>
        <v>80.98</v>
      </c>
      <c r="W2176" s="15">
        <f>IF(MarkupType="Store Markup",ROUND(V2176+V2176*StoreMarkup,2),IF(MarkupType="Supplier Markup",V2176+V2176*SupplierMarkup,"Error at finding value"))</f>
        <v>127.54</v>
      </c>
      <c r="X2176" s="32" t="str">
        <f t="shared" si="744"/>
        <v>0.00</v>
      </c>
      <c r="Y2176" s="15">
        <f t="shared" si="745"/>
        <v>161.96</v>
      </c>
      <c r="Z2176" s="15">
        <f t="shared" si="746"/>
        <v>255.08</v>
      </c>
      <c r="AA2176" s="15">
        <f>IF(FreightType="Lethbridge-Stewart Freight ",ROUND(2.99+IF(N2176&gt;0.75,(N2176-0.75)*2.25,0)*S2176,2),IF(MarkupType="Supplier Markup",V2176+V2176*SupplierMarkup,"Error at finding value"))</f>
        <v>10.87</v>
      </c>
      <c r="AB2176" s="15">
        <f t="shared" si="747"/>
        <v>0</v>
      </c>
    </row>
    <row r="2177" spans="1:28" x14ac:dyDescent="0.25">
      <c r="A2177" s="16">
        <f>OrdersTable!A2177</f>
        <v>332</v>
      </c>
      <c r="B2177" s="15" t="str">
        <f t="shared" si="727"/>
        <v>Mr</v>
      </c>
      <c r="C2177" s="15" t="str">
        <f t="shared" si="748"/>
        <v>Selman</v>
      </c>
      <c r="D2177" s="15" t="str">
        <f t="shared" si="728"/>
        <v>Jack Ryan</v>
      </c>
      <c r="E2177" s="15" t="str">
        <f t="shared" si="729"/>
        <v>17 Van Essen Street</v>
      </c>
      <c r="F2177" s="15" t="str">
        <f t="shared" si="730"/>
        <v>Airly</v>
      </c>
      <c r="G2177" s="15" t="str">
        <f t="shared" si="731"/>
        <v>VIC</v>
      </c>
      <c r="H2177" s="15">
        <f t="shared" si="732"/>
        <v>3851</v>
      </c>
      <c r="I2177" s="15">
        <f t="shared" si="743"/>
        <v>1583</v>
      </c>
      <c r="J2177" s="15">
        <f>OrdersTable!B2177</f>
        <v>726</v>
      </c>
      <c r="K2177" s="15" t="str">
        <f t="shared" si="733"/>
        <v>Props and Replicas</v>
      </c>
      <c r="L2177" s="15" t="str">
        <f t="shared" si="734"/>
        <v>Doctor Who: Dalek Death Ray</v>
      </c>
      <c r="M2177" s="15" t="str">
        <f t="shared" si="735"/>
        <v>-</v>
      </c>
      <c r="N2177" s="15">
        <f t="shared" si="736"/>
        <v>18</v>
      </c>
      <c r="O2177" s="15" t="str">
        <f t="shared" si="737"/>
        <v>A30</v>
      </c>
      <c r="P2177" s="15" t="str">
        <f t="shared" si="738"/>
        <v>Chesterton Enterprises</v>
      </c>
      <c r="Q2177" s="15" t="str">
        <f t="shared" si="739"/>
        <v>41 William Russell Road</v>
      </c>
      <c r="R2177" s="3">
        <f>OrdersTable!C2177</f>
        <v>44718</v>
      </c>
      <c r="S2177" s="15">
        <f>OrdersTable!E2177</f>
        <v>2</v>
      </c>
      <c r="T2177" s="15">
        <f t="shared" si="740"/>
        <v>359.99</v>
      </c>
      <c r="U2177" s="15">
        <f t="shared" si="741"/>
        <v>491.12</v>
      </c>
      <c r="V2177" s="15">
        <f t="shared" si="742"/>
        <v>583.17999999999995</v>
      </c>
      <c r="W2177" s="15">
        <f>IF(MarkupType="Store Markup",ROUND(V2177+V2177*StoreMarkup,2),IF(MarkupType="Supplier Markup",V2177+V2177*SupplierMarkup,"Error at finding value"))</f>
        <v>918.51</v>
      </c>
      <c r="X2177" s="32" t="str">
        <f t="shared" si="744"/>
        <v>0.00</v>
      </c>
      <c r="Y2177" s="15">
        <f t="shared" si="745"/>
        <v>1166.3599999999999</v>
      </c>
      <c r="Z2177" s="15">
        <f t="shared" si="746"/>
        <v>1837.02</v>
      </c>
      <c r="AA2177" s="15">
        <f>IF(FreightType="Lethbridge-Stewart Freight ",ROUND(2.99+IF(N2177&gt;0.75,(N2177-0.75)*2.25,0)*S2177,2),IF(MarkupType="Supplier Markup",V2177+V2177*SupplierMarkup,"Error at finding value"))</f>
        <v>80.62</v>
      </c>
      <c r="AB2177" s="15">
        <f t="shared" si="747"/>
        <v>0</v>
      </c>
    </row>
    <row r="2178" spans="1:28" x14ac:dyDescent="0.25">
      <c r="A2178" s="16">
        <f>OrdersTable!A2178</f>
        <v>531</v>
      </c>
      <c r="B2178" s="15" t="str">
        <f t="shared" si="727"/>
        <v>Ms</v>
      </c>
      <c r="C2178" s="15" t="str">
        <f t="shared" si="748"/>
        <v>Stanton</v>
      </c>
      <c r="D2178" s="15" t="str">
        <f t="shared" si="728"/>
        <v>Sharaze</v>
      </c>
      <c r="E2178" s="15" t="str">
        <f t="shared" si="729"/>
        <v>1 Siddons Crescent</v>
      </c>
      <c r="F2178" s="15" t="str">
        <f t="shared" si="730"/>
        <v>Alfredtown</v>
      </c>
      <c r="G2178" s="15" t="str">
        <f t="shared" si="731"/>
        <v>NSW</v>
      </c>
      <c r="H2178" s="15">
        <f t="shared" si="732"/>
        <v>2650</v>
      </c>
      <c r="I2178" s="15">
        <f t="shared" si="743"/>
        <v>1124</v>
      </c>
      <c r="J2178" s="15">
        <f>OrdersTable!B2178</f>
        <v>701</v>
      </c>
      <c r="K2178" s="15" t="str">
        <f t="shared" si="733"/>
        <v>Posters, Prints and Standees</v>
      </c>
      <c r="L2178" s="15" t="str">
        <f t="shared" si="734"/>
        <v>Doctor Who: Half Sized Standee: The TARDIS</v>
      </c>
      <c r="M2178" s="15" t="str">
        <f t="shared" si="735"/>
        <v>-</v>
      </c>
      <c r="N2178" s="15">
        <f t="shared" si="736"/>
        <v>0.5</v>
      </c>
      <c r="O2178" s="15" t="str">
        <f t="shared" si="737"/>
        <v>A40</v>
      </c>
      <c r="P2178" s="15" t="str">
        <f t="shared" si="738"/>
        <v>Romana Imports</v>
      </c>
      <c r="Q2178" s="15" t="str">
        <f t="shared" si="739"/>
        <v>17 Lalla Ward Road</v>
      </c>
      <c r="R2178" s="3">
        <f>OrdersTable!C2178</f>
        <v>44718</v>
      </c>
      <c r="S2178" s="15">
        <f>OrdersTable!E2178</f>
        <v>2</v>
      </c>
      <c r="T2178" s="15">
        <f t="shared" si="740"/>
        <v>9.99</v>
      </c>
      <c r="U2178" s="15">
        <f t="shared" si="741"/>
        <v>13.83</v>
      </c>
      <c r="V2178" s="15">
        <f t="shared" si="742"/>
        <v>16.18</v>
      </c>
      <c r="W2178" s="15">
        <f>IF(MarkupType="Store Markup",ROUND(V2178+V2178*StoreMarkup,2),IF(MarkupType="Supplier Markup",V2178+V2178*SupplierMarkup,"Error at finding value"))</f>
        <v>25.48</v>
      </c>
      <c r="X2178" s="32" t="str">
        <f t="shared" si="744"/>
        <v>0.00</v>
      </c>
      <c r="Y2178" s="15">
        <f t="shared" si="745"/>
        <v>32.36</v>
      </c>
      <c r="Z2178" s="15">
        <f t="shared" si="746"/>
        <v>50.96</v>
      </c>
      <c r="AA2178" s="15">
        <f>IF(FreightType="Lethbridge-Stewart Freight ",ROUND(2.99+IF(N2178&gt;0.75,(N2178-0.75)*2.25,0)*S2178,2),IF(MarkupType="Supplier Markup",V2178+V2178*SupplierMarkup,"Error at finding value"))</f>
        <v>2.99</v>
      </c>
      <c r="AB2178" s="15">
        <f t="shared" si="747"/>
        <v>0</v>
      </c>
    </row>
    <row r="2179" spans="1:28" x14ac:dyDescent="0.25">
      <c r="A2179" s="16">
        <f>OrdersTable!A2179</f>
        <v>544</v>
      </c>
      <c r="B2179" s="15" t="str">
        <f t="shared" si="727"/>
        <v>Mr</v>
      </c>
      <c r="C2179" s="15" t="str">
        <f t="shared" si="748"/>
        <v>Sullivan</v>
      </c>
      <c r="D2179" s="15" t="str">
        <f t="shared" si="728"/>
        <v>Lawrence Bernard</v>
      </c>
      <c r="E2179" s="15" t="str">
        <f t="shared" si="729"/>
        <v>11 Haydon Boulevard</v>
      </c>
      <c r="F2179" s="15" t="str">
        <f t="shared" si="730"/>
        <v>Breakwater</v>
      </c>
      <c r="G2179" s="15" t="str">
        <f t="shared" si="731"/>
        <v>VIC</v>
      </c>
      <c r="H2179" s="15">
        <f t="shared" si="732"/>
        <v>3219</v>
      </c>
      <c r="I2179" s="15">
        <f t="shared" si="743"/>
        <v>1596</v>
      </c>
      <c r="J2179" s="15">
        <f>OrdersTable!B2179</f>
        <v>594</v>
      </c>
      <c r="K2179" s="15" t="str">
        <f t="shared" si="733"/>
        <v>iPhone Skins</v>
      </c>
      <c r="L2179" s="15" t="str">
        <f t="shared" si="734"/>
        <v>Doctor Who: iPhone Skin: Keep Calm And Don't Blink</v>
      </c>
      <c r="M2179" s="15" t="str">
        <f t="shared" si="735"/>
        <v>-</v>
      </c>
      <c r="N2179" s="15">
        <f t="shared" si="736"/>
        <v>0.5</v>
      </c>
      <c r="O2179" s="15" t="str">
        <f t="shared" si="737"/>
        <v>A20</v>
      </c>
      <c r="P2179" s="15" t="str">
        <f t="shared" si="738"/>
        <v>Morbius Inc.</v>
      </c>
      <c r="Q2179" s="15" t="str">
        <f t="shared" si="739"/>
        <v>56 Michael Spice Hwy</v>
      </c>
      <c r="R2179" s="3">
        <f>OrdersTable!C2179</f>
        <v>44718</v>
      </c>
      <c r="S2179" s="15">
        <f>OrdersTable!E2179</f>
        <v>7</v>
      </c>
      <c r="T2179" s="15">
        <f t="shared" si="740"/>
        <v>9.99</v>
      </c>
      <c r="U2179" s="15">
        <f t="shared" si="741"/>
        <v>13.88</v>
      </c>
      <c r="V2179" s="15">
        <f t="shared" si="742"/>
        <v>16.18</v>
      </c>
      <c r="W2179" s="15">
        <f>IF(MarkupType="Store Markup",ROUND(V2179+V2179*StoreMarkup,2),IF(MarkupType="Supplier Markup",V2179+V2179*SupplierMarkup,"Error at finding value"))</f>
        <v>25.48</v>
      </c>
      <c r="X2179" s="32" t="str">
        <f t="shared" si="744"/>
        <v>0.00</v>
      </c>
      <c r="Y2179" s="15">
        <f t="shared" si="745"/>
        <v>113.26</v>
      </c>
      <c r="Z2179" s="15">
        <f t="shared" si="746"/>
        <v>178.36</v>
      </c>
      <c r="AA2179" s="15">
        <f>IF(FreightType="Lethbridge-Stewart Freight ",ROUND(2.99+IF(N2179&gt;0.75,(N2179-0.75)*2.25,0)*S2179,2),IF(MarkupType="Supplier Markup",V2179+V2179*SupplierMarkup,"Error at finding value"))</f>
        <v>2.99</v>
      </c>
      <c r="AB2179" s="15">
        <f t="shared" si="747"/>
        <v>0</v>
      </c>
    </row>
    <row r="2180" spans="1:28" x14ac:dyDescent="0.25">
      <c r="A2180" s="16">
        <f>OrdersTable!A2180</f>
        <v>567</v>
      </c>
      <c r="B2180" s="15" t="str">
        <f t="shared" ref="B2180:B2243" si="749">VLOOKUP($A2180,Cust,2,0)</f>
        <v>Ms</v>
      </c>
      <c r="C2180" s="15" t="str">
        <f t="shared" si="748"/>
        <v>Perkins</v>
      </c>
      <c r="D2180" s="15" t="str">
        <f t="shared" ref="D2180:D2243" si="750">VLOOKUP($A2180,Cust,4,0)</f>
        <v>Sarah</v>
      </c>
      <c r="E2180" s="15" t="str">
        <f t="shared" ref="E2180:E2243" si="751">VLOOKUP($A2180,Cust,6,0)</f>
        <v>7 Tengdahl Road</v>
      </c>
      <c r="F2180" s="15" t="str">
        <f t="shared" ref="F2180:F2243" si="752">VLOOKUP($A2180,Cust,7,0)</f>
        <v>Areegra</v>
      </c>
      <c r="G2180" s="15" t="str">
        <f t="shared" ref="G2180:G2243" si="753">VLOOKUP($A2180,Cust,8,0)</f>
        <v>VIC</v>
      </c>
      <c r="H2180" s="15">
        <f t="shared" ref="H2180:H2243" si="754">VLOOKUP($A2180,Cust,9,0)</f>
        <v>3480</v>
      </c>
      <c r="I2180" s="15">
        <f t="shared" si="743"/>
        <v>1559</v>
      </c>
      <c r="J2180" s="15">
        <f>OrdersTable!B2180</f>
        <v>830</v>
      </c>
      <c r="K2180" s="15" t="str">
        <f t="shared" ref="K2180:K2243" si="755">VLOOKUP($J2180,Itms,2,0)</f>
        <v>Statues and Busts</v>
      </c>
      <c r="L2180" s="15" t="str">
        <f t="shared" ref="L2180:L2243" si="756">VLOOKUP($J2180,Itms,3,0)</f>
        <v>Doctor Who: Mini Bust: Weeping Angel</v>
      </c>
      <c r="M2180" s="15" t="str">
        <f t="shared" ref="M2180:M2243" si="757">VLOOKUP($J2180,Itms,4,0)</f>
        <v>-</v>
      </c>
      <c r="N2180" s="15">
        <f t="shared" ref="N2180:N2243" si="758">VLOOKUP($J2180,Itms,5,0)</f>
        <v>1.8</v>
      </c>
      <c r="O2180" s="15" t="str">
        <f t="shared" ref="O2180:O2243" si="759">VLOOKUP($J2180,Itms,6,0)</f>
        <v>A50</v>
      </c>
      <c r="P2180" s="15" t="str">
        <f t="shared" ref="P2180:P2243" si="760">VLOOKUP($O2180,Supp,2,0)</f>
        <v>Rassilon Ltd.</v>
      </c>
      <c r="Q2180" s="15" t="str">
        <f t="shared" ref="Q2180:Q2243" si="761">VLOOKUP($O2180,Supp,3,0)</f>
        <v>82 Richard Mathews Road</v>
      </c>
      <c r="R2180" s="3">
        <f>OrdersTable!C2180</f>
        <v>44718</v>
      </c>
      <c r="S2180" s="15">
        <f>OrdersTable!E2180</f>
        <v>9</v>
      </c>
      <c r="T2180" s="15">
        <f t="shared" ref="T2180:T2243" si="762">VLOOKUP($J2180,Itms,9,0)</f>
        <v>35.99</v>
      </c>
      <c r="U2180" s="15">
        <f t="shared" ref="U2180:U2243" si="763">VLOOKUP($J2180,Itms,10,0)</f>
        <v>49.35</v>
      </c>
      <c r="V2180" s="15">
        <f t="shared" ref="V2180:V2243" si="764">IF(ExchRateType="IR",ROUND(T2180*ExchRateIR,2),IF(ExchRateType="CA",ROUND(U2180*ExchRateCA,2),"Error at finding value"))</f>
        <v>58.3</v>
      </c>
      <c r="W2180" s="15">
        <f>IF(MarkupType="Store Markup",ROUND(V2180+V2180*StoreMarkup,2),IF(MarkupType="Supplier Markup",V2180+V2180*SupplierMarkup,"Error at finding value"))</f>
        <v>91.82</v>
      </c>
      <c r="X2180" s="32" t="str">
        <f t="shared" si="744"/>
        <v>0.00</v>
      </c>
      <c r="Y2180" s="15">
        <f t="shared" si="745"/>
        <v>524.70000000000005</v>
      </c>
      <c r="Z2180" s="15">
        <f t="shared" si="746"/>
        <v>826.38</v>
      </c>
      <c r="AA2180" s="15">
        <f>IF(FreightType="Lethbridge-Stewart Freight ",ROUND(2.99+IF(N2180&gt;0.75,(N2180-0.75)*2.25,0)*S2180,2),IF(MarkupType="Supplier Markup",V2180+V2180*SupplierMarkup,"Error at finding value"))</f>
        <v>24.25</v>
      </c>
      <c r="AB2180" s="15">
        <f t="shared" si="747"/>
        <v>0</v>
      </c>
    </row>
    <row r="2181" spans="1:28" x14ac:dyDescent="0.25">
      <c r="A2181" s="16">
        <f>OrdersTable!A2181</f>
        <v>568</v>
      </c>
      <c r="B2181" s="15" t="str">
        <f t="shared" si="749"/>
        <v>Mr</v>
      </c>
      <c r="C2181" s="15" t="str">
        <f t="shared" si="748"/>
        <v>Byrne</v>
      </c>
      <c r="D2181" s="15" t="str">
        <f t="shared" si="750"/>
        <v>Gregory James</v>
      </c>
      <c r="E2181" s="15" t="str">
        <f t="shared" si="751"/>
        <v>18 Doroshenko Crescent</v>
      </c>
      <c r="F2181" s="15" t="str">
        <f t="shared" si="752"/>
        <v>Abington</v>
      </c>
      <c r="G2181" s="15" t="str">
        <f t="shared" si="753"/>
        <v>QLD</v>
      </c>
      <c r="H2181" s="15">
        <f t="shared" si="754"/>
        <v>4660</v>
      </c>
      <c r="I2181" s="15">
        <f t="shared" ref="I2181:I2244" si="765">VLOOKUP($A2181,Cust,10,0)</f>
        <v>336</v>
      </c>
      <c r="J2181" s="15">
        <f>OrdersTable!B2181</f>
        <v>398</v>
      </c>
      <c r="K2181" s="15" t="str">
        <f t="shared" si="755"/>
        <v>Clothing and Apparel</v>
      </c>
      <c r="L2181" s="15" t="str">
        <f t="shared" si="756"/>
        <v>Doctor Who: Women's Winter Pyjamas</v>
      </c>
      <c r="M2181" s="15" t="str">
        <f t="shared" si="757"/>
        <v>S</v>
      </c>
      <c r="N2181" s="15">
        <f t="shared" si="758"/>
        <v>1.5</v>
      </c>
      <c r="O2181" s="15" t="str">
        <f t="shared" si="759"/>
        <v>A40</v>
      </c>
      <c r="P2181" s="15" t="str">
        <f t="shared" si="760"/>
        <v>Romana Imports</v>
      </c>
      <c r="Q2181" s="15" t="str">
        <f t="shared" si="761"/>
        <v>17 Lalla Ward Road</v>
      </c>
      <c r="R2181" s="3">
        <f>OrdersTable!C2181</f>
        <v>44718</v>
      </c>
      <c r="S2181" s="15">
        <f>OrdersTable!E2181</f>
        <v>2</v>
      </c>
      <c r="T2181" s="15">
        <f t="shared" si="762"/>
        <v>29.99</v>
      </c>
      <c r="U2181" s="15">
        <f t="shared" si="763"/>
        <v>41.07</v>
      </c>
      <c r="V2181" s="15">
        <f t="shared" si="764"/>
        <v>48.58</v>
      </c>
      <c r="W2181" s="15">
        <f>IF(MarkupType="Store Markup",ROUND(V2181+V2181*StoreMarkup,2),IF(MarkupType="Supplier Markup",V2181+V2181*SupplierMarkup,"Error at finding value"))</f>
        <v>76.510000000000005</v>
      </c>
      <c r="X2181" s="32" t="str">
        <f t="shared" ref="X2181:X2244" si="766">IF(AND(W2181&gt;100,S2181&gt;=3),ROUND(0.07125*W2181,2),"0.00")</f>
        <v>0.00</v>
      </c>
      <c r="Y2181" s="15">
        <f t="shared" ref="Y2181:Y2244" si="767">ROUND(V2181*S2181,2)</f>
        <v>97.16</v>
      </c>
      <c r="Z2181" s="15">
        <f t="shared" ref="Z2181:Z2244" si="768">ROUND((W2181-X2181)*S2181,2)</f>
        <v>153.02000000000001</v>
      </c>
      <c r="AA2181" s="15">
        <f>IF(FreightType="Lethbridge-Stewart Freight ",ROUND(2.99+IF(N2181&gt;0.75,(N2181-0.75)*2.25,0)*S2181,2),IF(MarkupType="Supplier Markup",V2181+V2181*SupplierMarkup,"Error at finding value"))</f>
        <v>6.37</v>
      </c>
      <c r="AB2181" s="15">
        <f t="shared" ref="AB2181:AB2244" si="769">ROUND(X2181*S2181,2)</f>
        <v>0</v>
      </c>
    </row>
    <row r="2182" spans="1:28" x14ac:dyDescent="0.25">
      <c r="A2182" s="16">
        <f>OrdersTable!A2182</f>
        <v>594</v>
      </c>
      <c r="B2182" s="15" t="str">
        <f t="shared" si="749"/>
        <v>Mrs</v>
      </c>
      <c r="C2182" s="15" t="str">
        <f t="shared" si="748"/>
        <v>Entriken</v>
      </c>
      <c r="D2182" s="15" t="str">
        <f t="shared" si="750"/>
        <v>Gwenda Dawn</v>
      </c>
      <c r="E2182" s="15" t="str">
        <f t="shared" si="751"/>
        <v>8 Miljkovic Drive</v>
      </c>
      <c r="F2182" s="15" t="str">
        <f t="shared" si="752"/>
        <v>Nayook</v>
      </c>
      <c r="G2182" s="15" t="str">
        <f t="shared" si="753"/>
        <v>VIC</v>
      </c>
      <c r="H2182" s="15">
        <f t="shared" si="754"/>
        <v>3832</v>
      </c>
      <c r="I2182" s="15">
        <f t="shared" si="765"/>
        <v>1552</v>
      </c>
      <c r="J2182" s="15">
        <f>OrdersTable!B2182</f>
        <v>282</v>
      </c>
      <c r="K2182" s="15" t="str">
        <f t="shared" si="755"/>
        <v>Clothing and Apparel</v>
      </c>
      <c r="L2182" s="15" t="str">
        <f t="shared" si="756"/>
        <v>Doctor Who: Tardis Laplander Hat</v>
      </c>
      <c r="M2182" s="15" t="str">
        <f t="shared" si="757"/>
        <v>-</v>
      </c>
      <c r="N2182" s="15">
        <f t="shared" si="758"/>
        <v>0.97499999999999998</v>
      </c>
      <c r="O2182" s="15" t="str">
        <f t="shared" si="759"/>
        <v>A10</v>
      </c>
      <c r="P2182" s="15" t="str">
        <f t="shared" si="760"/>
        <v>Gallifrey International</v>
      </c>
      <c r="Q2182" s="15" t="str">
        <f t="shared" si="761"/>
        <v>181 Arcadia Street</v>
      </c>
      <c r="R2182" s="3">
        <f>OrdersTable!C2182</f>
        <v>44718</v>
      </c>
      <c r="S2182" s="15">
        <f>OrdersTable!E2182</f>
        <v>6</v>
      </c>
      <c r="T2182" s="15">
        <f t="shared" si="762"/>
        <v>19.5</v>
      </c>
      <c r="U2182" s="15">
        <f t="shared" si="763"/>
        <v>26.93</v>
      </c>
      <c r="V2182" s="15">
        <f t="shared" si="764"/>
        <v>31.59</v>
      </c>
      <c r="W2182" s="15">
        <f>IF(MarkupType="Store Markup",ROUND(V2182+V2182*StoreMarkup,2),IF(MarkupType="Supplier Markup",V2182+V2182*SupplierMarkup,"Error at finding value"))</f>
        <v>49.75</v>
      </c>
      <c r="X2182" s="32" t="str">
        <f t="shared" si="766"/>
        <v>0.00</v>
      </c>
      <c r="Y2182" s="15">
        <f t="shared" si="767"/>
        <v>189.54</v>
      </c>
      <c r="Z2182" s="15">
        <f t="shared" si="768"/>
        <v>298.5</v>
      </c>
      <c r="AA2182" s="15">
        <f>IF(FreightType="Lethbridge-Stewart Freight ",ROUND(2.99+IF(N2182&gt;0.75,(N2182-0.75)*2.25,0)*S2182,2),IF(MarkupType="Supplier Markup",V2182+V2182*SupplierMarkup,"Error at finding value"))</f>
        <v>6.03</v>
      </c>
      <c r="AB2182" s="15">
        <f t="shared" si="769"/>
        <v>0</v>
      </c>
    </row>
    <row r="2183" spans="1:28" x14ac:dyDescent="0.25">
      <c r="A2183" s="16">
        <f>OrdersTable!A2183</f>
        <v>843</v>
      </c>
      <c r="B2183" s="15" t="str">
        <f t="shared" si="749"/>
        <v>Mr</v>
      </c>
      <c r="C2183" s="15" t="str">
        <f t="shared" si="748"/>
        <v>Goodwin</v>
      </c>
      <c r="D2183" s="15" t="str">
        <f t="shared" si="750"/>
        <v>Damon Joel</v>
      </c>
      <c r="E2183" s="15" t="str">
        <f t="shared" si="751"/>
        <v>40 Powell Boulevard</v>
      </c>
      <c r="F2183" s="15" t="str">
        <f t="shared" si="752"/>
        <v>Abington</v>
      </c>
      <c r="G2183" s="15" t="str">
        <f t="shared" si="753"/>
        <v>QLD</v>
      </c>
      <c r="H2183" s="15">
        <f t="shared" si="754"/>
        <v>4660</v>
      </c>
      <c r="I2183" s="15">
        <f t="shared" si="765"/>
        <v>336</v>
      </c>
      <c r="J2183" s="15">
        <f>OrdersTable!B2183</f>
        <v>689</v>
      </c>
      <c r="K2183" s="15" t="str">
        <f t="shared" si="755"/>
        <v>Posters, Prints and Standees</v>
      </c>
      <c r="L2183" s="15" t="str">
        <f t="shared" si="756"/>
        <v>Doctor Who: 16'x12' Framed Print: Cold War</v>
      </c>
      <c r="M2183" s="15" t="str">
        <f t="shared" si="757"/>
        <v>-</v>
      </c>
      <c r="N2183" s="15">
        <f t="shared" si="758"/>
        <v>0.75</v>
      </c>
      <c r="O2183" s="15" t="str">
        <f t="shared" si="759"/>
        <v>A50</v>
      </c>
      <c r="P2183" s="15" t="str">
        <f t="shared" si="760"/>
        <v>Rassilon Ltd.</v>
      </c>
      <c r="Q2183" s="15" t="str">
        <f t="shared" si="761"/>
        <v>82 Richard Mathews Road</v>
      </c>
      <c r="R2183" s="3">
        <f>OrdersTable!C2183</f>
        <v>44718</v>
      </c>
      <c r="S2183" s="15">
        <f>OrdersTable!E2183</f>
        <v>7</v>
      </c>
      <c r="T2183" s="15">
        <f t="shared" si="762"/>
        <v>14.99</v>
      </c>
      <c r="U2183" s="15">
        <f t="shared" si="763"/>
        <v>20.77</v>
      </c>
      <c r="V2183" s="15">
        <f t="shared" si="764"/>
        <v>24.28</v>
      </c>
      <c r="W2183" s="15">
        <f>IF(MarkupType="Store Markup",ROUND(V2183+V2183*StoreMarkup,2),IF(MarkupType="Supplier Markup",V2183+V2183*SupplierMarkup,"Error at finding value"))</f>
        <v>38.24</v>
      </c>
      <c r="X2183" s="32" t="str">
        <f t="shared" si="766"/>
        <v>0.00</v>
      </c>
      <c r="Y2183" s="15">
        <f t="shared" si="767"/>
        <v>169.96</v>
      </c>
      <c r="Z2183" s="15">
        <f t="shared" si="768"/>
        <v>267.68</v>
      </c>
      <c r="AA2183" s="15">
        <f>IF(FreightType="Lethbridge-Stewart Freight ",ROUND(2.99+IF(N2183&gt;0.75,(N2183-0.75)*2.25,0)*S2183,2),IF(MarkupType="Supplier Markup",V2183+V2183*SupplierMarkup,"Error at finding value"))</f>
        <v>2.99</v>
      </c>
      <c r="AB2183" s="15">
        <f t="shared" si="769"/>
        <v>0</v>
      </c>
    </row>
    <row r="2184" spans="1:28" x14ac:dyDescent="0.25">
      <c r="A2184" s="16">
        <f>OrdersTable!A2184</f>
        <v>42</v>
      </c>
      <c r="B2184" s="15" t="str">
        <f t="shared" si="749"/>
        <v>Mr</v>
      </c>
      <c r="C2184" s="15" t="str">
        <f t="shared" si="748"/>
        <v>Ballantyne</v>
      </c>
      <c r="D2184" s="15" t="str">
        <f t="shared" si="750"/>
        <v>Barry John</v>
      </c>
      <c r="E2184" s="15" t="str">
        <f t="shared" si="751"/>
        <v>14 Bachmann Drive</v>
      </c>
      <c r="F2184" s="15" t="str">
        <f t="shared" si="752"/>
        <v>Alleena</v>
      </c>
      <c r="G2184" s="15" t="str">
        <f t="shared" si="753"/>
        <v>NSW</v>
      </c>
      <c r="H2184" s="15">
        <f t="shared" si="754"/>
        <v>2671</v>
      </c>
      <c r="I2184" s="15">
        <f t="shared" si="765"/>
        <v>988</v>
      </c>
      <c r="J2184" s="15">
        <f>OrdersTable!B2184</f>
        <v>696</v>
      </c>
      <c r="K2184" s="15" t="str">
        <f t="shared" si="755"/>
        <v>Posters, Prints and Standees</v>
      </c>
      <c r="L2184" s="15" t="str">
        <f t="shared" si="756"/>
        <v xml:space="preserve">Doctor Who: 50th Anniversary: Poster: To Victory </v>
      </c>
      <c r="M2184" s="15" t="str">
        <f t="shared" si="757"/>
        <v>-</v>
      </c>
      <c r="N2184" s="15">
        <f t="shared" si="758"/>
        <v>0.2</v>
      </c>
      <c r="O2184" s="15" t="str">
        <f t="shared" si="759"/>
        <v>A40</v>
      </c>
      <c r="P2184" s="15" t="str">
        <f t="shared" si="760"/>
        <v>Romana Imports</v>
      </c>
      <c r="Q2184" s="15" t="str">
        <f t="shared" si="761"/>
        <v>17 Lalla Ward Road</v>
      </c>
      <c r="R2184" s="3">
        <f>OrdersTable!C2184</f>
        <v>44719</v>
      </c>
      <c r="S2184" s="15">
        <f>OrdersTable!E2184</f>
        <v>9</v>
      </c>
      <c r="T2184" s="15">
        <f t="shared" si="762"/>
        <v>3.99</v>
      </c>
      <c r="U2184" s="15">
        <f t="shared" si="763"/>
        <v>5.6</v>
      </c>
      <c r="V2184" s="15">
        <f t="shared" si="764"/>
        <v>6.46</v>
      </c>
      <c r="W2184" s="15">
        <f>IF(MarkupType="Store Markup",ROUND(V2184+V2184*StoreMarkup,2),IF(MarkupType="Supplier Markup",V2184+V2184*SupplierMarkup,"Error at finding value"))</f>
        <v>10.17</v>
      </c>
      <c r="X2184" s="32" t="str">
        <f t="shared" si="766"/>
        <v>0.00</v>
      </c>
      <c r="Y2184" s="15">
        <f t="shared" si="767"/>
        <v>58.14</v>
      </c>
      <c r="Z2184" s="15">
        <f t="shared" si="768"/>
        <v>91.53</v>
      </c>
      <c r="AA2184" s="15">
        <f>IF(FreightType="Lethbridge-Stewart Freight ",ROUND(2.99+IF(N2184&gt;0.75,(N2184-0.75)*2.25,0)*S2184,2),IF(MarkupType="Supplier Markup",V2184+V2184*SupplierMarkup,"Error at finding value"))</f>
        <v>2.99</v>
      </c>
      <c r="AB2184" s="15">
        <f t="shared" si="769"/>
        <v>0</v>
      </c>
    </row>
    <row r="2185" spans="1:28" x14ac:dyDescent="0.25">
      <c r="A2185" s="16">
        <f>OrdersTable!A2185</f>
        <v>46</v>
      </c>
      <c r="B2185" s="15" t="str">
        <f t="shared" si="749"/>
        <v>Mrs</v>
      </c>
      <c r="C2185" s="15" t="str">
        <f t="shared" si="748"/>
        <v>Dovey</v>
      </c>
      <c r="D2185" s="15" t="str">
        <f t="shared" si="750"/>
        <v>Aisha Jade</v>
      </c>
      <c r="E2185" s="15" t="str">
        <f t="shared" si="751"/>
        <v>43 Wilkes Circuit</v>
      </c>
      <c r="F2185" s="15" t="str">
        <f t="shared" si="752"/>
        <v>Alfredtown</v>
      </c>
      <c r="G2185" s="15" t="str">
        <f t="shared" si="753"/>
        <v>NSW</v>
      </c>
      <c r="H2185" s="15">
        <f t="shared" si="754"/>
        <v>2650</v>
      </c>
      <c r="I2185" s="15">
        <f t="shared" si="765"/>
        <v>1124</v>
      </c>
      <c r="J2185" s="15">
        <f>OrdersTable!B2185</f>
        <v>213</v>
      </c>
      <c r="K2185" s="15" t="str">
        <f t="shared" si="755"/>
        <v>Clothing and Apparel</v>
      </c>
      <c r="L2185" s="15" t="str">
        <f t="shared" si="756"/>
        <v>Doctor Who: Fez and Bow Tie</v>
      </c>
      <c r="M2185" s="15" t="str">
        <f t="shared" si="757"/>
        <v>-</v>
      </c>
      <c r="N2185" s="15">
        <f t="shared" si="758"/>
        <v>0.97499999999999998</v>
      </c>
      <c r="O2185" s="15" t="str">
        <f t="shared" si="759"/>
        <v>A50</v>
      </c>
      <c r="P2185" s="15" t="str">
        <f t="shared" si="760"/>
        <v>Rassilon Ltd.</v>
      </c>
      <c r="Q2185" s="15" t="str">
        <f t="shared" si="761"/>
        <v>82 Richard Mathews Road</v>
      </c>
      <c r="R2185" s="3">
        <f>OrdersTable!C2185</f>
        <v>44719</v>
      </c>
      <c r="S2185" s="15">
        <f>OrdersTable!E2185</f>
        <v>5</v>
      </c>
      <c r="T2185" s="15">
        <f t="shared" si="762"/>
        <v>19.5</v>
      </c>
      <c r="U2185" s="15">
        <f t="shared" si="763"/>
        <v>26.88</v>
      </c>
      <c r="V2185" s="15">
        <f t="shared" si="764"/>
        <v>31.59</v>
      </c>
      <c r="W2185" s="15">
        <f>IF(MarkupType="Store Markup",ROUND(V2185+V2185*StoreMarkup,2),IF(MarkupType="Supplier Markup",V2185+V2185*SupplierMarkup,"Error at finding value"))</f>
        <v>49.75</v>
      </c>
      <c r="X2185" s="32" t="str">
        <f t="shared" si="766"/>
        <v>0.00</v>
      </c>
      <c r="Y2185" s="15">
        <f t="shared" si="767"/>
        <v>157.94999999999999</v>
      </c>
      <c r="Z2185" s="15">
        <f t="shared" si="768"/>
        <v>248.75</v>
      </c>
      <c r="AA2185" s="15">
        <f>IF(FreightType="Lethbridge-Stewart Freight ",ROUND(2.99+IF(N2185&gt;0.75,(N2185-0.75)*2.25,0)*S2185,2),IF(MarkupType="Supplier Markup",V2185+V2185*SupplierMarkup,"Error at finding value"))</f>
        <v>5.52</v>
      </c>
      <c r="AB2185" s="15">
        <f t="shared" si="769"/>
        <v>0</v>
      </c>
    </row>
    <row r="2186" spans="1:28" x14ac:dyDescent="0.25">
      <c r="A2186" s="16">
        <f>OrdersTable!A2186</f>
        <v>55</v>
      </c>
      <c r="B2186" s="15" t="str">
        <f t="shared" si="749"/>
        <v>Mr</v>
      </c>
      <c r="C2186" s="15" t="str">
        <f t="shared" si="748"/>
        <v>Myers</v>
      </c>
      <c r="D2186" s="15" t="str">
        <f t="shared" si="750"/>
        <v>Luke Charles</v>
      </c>
      <c r="E2186" s="15" t="str">
        <f t="shared" si="751"/>
        <v>25 Penrose Street</v>
      </c>
      <c r="F2186" s="15" t="str">
        <f t="shared" si="752"/>
        <v>Black Hills</v>
      </c>
      <c r="G2186" s="15" t="str">
        <f t="shared" si="753"/>
        <v>TAS</v>
      </c>
      <c r="H2186" s="15">
        <f t="shared" si="754"/>
        <v>7140</v>
      </c>
      <c r="I2186" s="15">
        <f t="shared" si="765"/>
        <v>2191</v>
      </c>
      <c r="J2186" s="15">
        <f>OrdersTable!B2186</f>
        <v>418</v>
      </c>
      <c r="K2186" s="15" t="str">
        <f t="shared" si="755"/>
        <v>Clothing and Apparel</v>
      </c>
      <c r="L2186" s="15" t="str">
        <f t="shared" si="756"/>
        <v>Doctor Who: Women's Winter Pyjamas</v>
      </c>
      <c r="M2186" s="15" t="str">
        <f t="shared" si="757"/>
        <v>M</v>
      </c>
      <c r="N2186" s="15">
        <f t="shared" si="758"/>
        <v>1.5</v>
      </c>
      <c r="O2186" s="15" t="str">
        <f t="shared" si="759"/>
        <v>A30</v>
      </c>
      <c r="P2186" s="15" t="str">
        <f t="shared" si="760"/>
        <v>Chesterton Enterprises</v>
      </c>
      <c r="Q2186" s="15" t="str">
        <f t="shared" si="761"/>
        <v>41 William Russell Road</v>
      </c>
      <c r="R2186" s="3">
        <f>OrdersTable!C2186</f>
        <v>44719</v>
      </c>
      <c r="S2186" s="15">
        <f>OrdersTable!E2186</f>
        <v>6</v>
      </c>
      <c r="T2186" s="15">
        <f t="shared" si="762"/>
        <v>29.99</v>
      </c>
      <c r="U2186" s="15">
        <f t="shared" si="763"/>
        <v>40.96</v>
      </c>
      <c r="V2186" s="15">
        <f t="shared" si="764"/>
        <v>48.58</v>
      </c>
      <c r="W2186" s="15">
        <f>IF(MarkupType="Store Markup",ROUND(V2186+V2186*StoreMarkup,2),IF(MarkupType="Supplier Markup",V2186+V2186*SupplierMarkup,"Error at finding value"))</f>
        <v>76.510000000000005</v>
      </c>
      <c r="X2186" s="32" t="str">
        <f t="shared" si="766"/>
        <v>0.00</v>
      </c>
      <c r="Y2186" s="15">
        <f t="shared" si="767"/>
        <v>291.48</v>
      </c>
      <c r="Z2186" s="15">
        <f t="shared" si="768"/>
        <v>459.06</v>
      </c>
      <c r="AA2186" s="15">
        <f>IF(FreightType="Lethbridge-Stewart Freight ",ROUND(2.99+IF(N2186&gt;0.75,(N2186-0.75)*2.25,0)*S2186,2),IF(MarkupType="Supplier Markup",V2186+V2186*SupplierMarkup,"Error at finding value"))</f>
        <v>13.12</v>
      </c>
      <c r="AB2186" s="15">
        <f t="shared" si="769"/>
        <v>0</v>
      </c>
    </row>
    <row r="2187" spans="1:28" x14ac:dyDescent="0.25">
      <c r="A2187" s="16">
        <f>OrdersTable!A2187</f>
        <v>55</v>
      </c>
      <c r="B2187" s="15" t="str">
        <f t="shared" si="749"/>
        <v>Mr</v>
      </c>
      <c r="C2187" s="15" t="str">
        <f t="shared" ref="C2187:C2250" si="770">VLOOKUP($A2187,Cust,3,0)</f>
        <v>Myers</v>
      </c>
      <c r="D2187" s="15" t="str">
        <f t="shared" si="750"/>
        <v>Luke Charles</v>
      </c>
      <c r="E2187" s="15" t="str">
        <f t="shared" si="751"/>
        <v>25 Penrose Street</v>
      </c>
      <c r="F2187" s="15" t="str">
        <f t="shared" si="752"/>
        <v>Black Hills</v>
      </c>
      <c r="G2187" s="15" t="str">
        <f t="shared" si="753"/>
        <v>TAS</v>
      </c>
      <c r="H2187" s="15">
        <f t="shared" si="754"/>
        <v>7140</v>
      </c>
      <c r="I2187" s="15">
        <f t="shared" si="765"/>
        <v>2191</v>
      </c>
      <c r="J2187" s="15">
        <f>OrdersTable!B2187</f>
        <v>830</v>
      </c>
      <c r="K2187" s="15" t="str">
        <f t="shared" si="755"/>
        <v>Statues and Busts</v>
      </c>
      <c r="L2187" s="15" t="str">
        <f t="shared" si="756"/>
        <v>Doctor Who: Mini Bust: Weeping Angel</v>
      </c>
      <c r="M2187" s="15" t="str">
        <f t="shared" si="757"/>
        <v>-</v>
      </c>
      <c r="N2187" s="15">
        <f t="shared" si="758"/>
        <v>1.8</v>
      </c>
      <c r="O2187" s="15" t="str">
        <f t="shared" si="759"/>
        <v>A50</v>
      </c>
      <c r="P2187" s="15" t="str">
        <f t="shared" si="760"/>
        <v>Rassilon Ltd.</v>
      </c>
      <c r="Q2187" s="15" t="str">
        <f t="shared" si="761"/>
        <v>82 Richard Mathews Road</v>
      </c>
      <c r="R2187" s="3">
        <f>OrdersTable!C2187</f>
        <v>44719</v>
      </c>
      <c r="S2187" s="15">
        <f>OrdersTable!E2187</f>
        <v>5</v>
      </c>
      <c r="T2187" s="15">
        <f t="shared" si="762"/>
        <v>35.99</v>
      </c>
      <c r="U2187" s="15">
        <f t="shared" si="763"/>
        <v>49.35</v>
      </c>
      <c r="V2187" s="15">
        <f t="shared" si="764"/>
        <v>58.3</v>
      </c>
      <c r="W2187" s="15">
        <f>IF(MarkupType="Store Markup",ROUND(V2187+V2187*StoreMarkup,2),IF(MarkupType="Supplier Markup",V2187+V2187*SupplierMarkup,"Error at finding value"))</f>
        <v>91.82</v>
      </c>
      <c r="X2187" s="32" t="str">
        <f t="shared" si="766"/>
        <v>0.00</v>
      </c>
      <c r="Y2187" s="15">
        <f t="shared" si="767"/>
        <v>291.5</v>
      </c>
      <c r="Z2187" s="15">
        <f t="shared" si="768"/>
        <v>459.1</v>
      </c>
      <c r="AA2187" s="15">
        <f>IF(FreightType="Lethbridge-Stewart Freight ",ROUND(2.99+IF(N2187&gt;0.75,(N2187-0.75)*2.25,0)*S2187,2),IF(MarkupType="Supplier Markup",V2187+V2187*SupplierMarkup,"Error at finding value"))</f>
        <v>14.8</v>
      </c>
      <c r="AB2187" s="15">
        <f t="shared" si="769"/>
        <v>0</v>
      </c>
    </row>
    <row r="2188" spans="1:28" x14ac:dyDescent="0.25">
      <c r="A2188" s="16">
        <f>OrdersTable!A2188</f>
        <v>112</v>
      </c>
      <c r="B2188" s="15" t="str">
        <f t="shared" si="749"/>
        <v>Mr</v>
      </c>
      <c r="C2188" s="15" t="str">
        <f t="shared" si="770"/>
        <v>Dahal</v>
      </c>
      <c r="D2188" s="15" t="str">
        <f t="shared" si="750"/>
        <v>Subash</v>
      </c>
      <c r="E2188" s="15" t="str">
        <f t="shared" si="751"/>
        <v>121-127 Railway Pde, Granville, NSW 2142</v>
      </c>
      <c r="F2188" s="15" t="str">
        <f t="shared" si="752"/>
        <v>Granville</v>
      </c>
      <c r="G2188" s="15" t="str">
        <f t="shared" si="753"/>
        <v>NSW</v>
      </c>
      <c r="H2188" s="15">
        <f t="shared" si="754"/>
        <v>2142</v>
      </c>
      <c r="I2188" s="15">
        <f t="shared" si="765"/>
        <v>907</v>
      </c>
      <c r="J2188" s="15">
        <f>OrdersTable!B2188</f>
        <v>867</v>
      </c>
      <c r="K2188" s="15" t="str">
        <f t="shared" si="755"/>
        <v>Statues and Busts</v>
      </c>
      <c r="L2188" s="15" t="str">
        <f t="shared" si="756"/>
        <v>Doctor Who: TITANS: The 11th Doctor</v>
      </c>
      <c r="M2188" s="15" t="str">
        <f t="shared" si="757"/>
        <v>-</v>
      </c>
      <c r="N2188" s="15">
        <f t="shared" si="758"/>
        <v>0.4</v>
      </c>
      <c r="O2188" s="15" t="str">
        <f t="shared" si="759"/>
        <v>A20</v>
      </c>
      <c r="P2188" s="15" t="str">
        <f t="shared" si="760"/>
        <v>Morbius Inc.</v>
      </c>
      <c r="Q2188" s="15" t="str">
        <f t="shared" si="761"/>
        <v>56 Michael Spice Hwy</v>
      </c>
      <c r="R2188" s="3">
        <f>OrdersTable!C2188</f>
        <v>44719</v>
      </c>
      <c r="S2188" s="15">
        <f>OrdersTable!E2188</f>
        <v>4</v>
      </c>
      <c r="T2188" s="15">
        <f t="shared" si="762"/>
        <v>7.99</v>
      </c>
      <c r="U2188" s="15">
        <f t="shared" si="763"/>
        <v>11.1</v>
      </c>
      <c r="V2188" s="15">
        <f t="shared" si="764"/>
        <v>12.94</v>
      </c>
      <c r="W2188" s="15">
        <f>IF(MarkupType="Store Markup",ROUND(V2188+V2188*StoreMarkup,2),IF(MarkupType="Supplier Markup",V2188+V2188*SupplierMarkup,"Error at finding value"))</f>
        <v>20.38</v>
      </c>
      <c r="X2188" s="32" t="str">
        <f t="shared" si="766"/>
        <v>0.00</v>
      </c>
      <c r="Y2188" s="15">
        <f t="shared" si="767"/>
        <v>51.76</v>
      </c>
      <c r="Z2188" s="15">
        <f t="shared" si="768"/>
        <v>81.52</v>
      </c>
      <c r="AA2188" s="15">
        <f>IF(FreightType="Lethbridge-Stewart Freight ",ROUND(2.99+IF(N2188&gt;0.75,(N2188-0.75)*2.25,0)*S2188,2),IF(MarkupType="Supplier Markup",V2188+V2188*SupplierMarkup,"Error at finding value"))</f>
        <v>2.99</v>
      </c>
      <c r="AB2188" s="15">
        <f t="shared" si="769"/>
        <v>0</v>
      </c>
    </row>
    <row r="2189" spans="1:28" x14ac:dyDescent="0.25">
      <c r="A2189" s="16">
        <f>OrdersTable!A2189</f>
        <v>139</v>
      </c>
      <c r="B2189" s="15" t="str">
        <f t="shared" si="749"/>
        <v>Mrs</v>
      </c>
      <c r="C2189" s="15" t="str">
        <f t="shared" si="770"/>
        <v>Atkinson</v>
      </c>
      <c r="D2189" s="15" t="str">
        <f t="shared" si="750"/>
        <v>Leanne</v>
      </c>
      <c r="E2189" s="15" t="str">
        <f t="shared" si="751"/>
        <v>45 Maloney Boulevard</v>
      </c>
      <c r="F2189" s="15" t="str">
        <f t="shared" si="752"/>
        <v>Avon Plains</v>
      </c>
      <c r="G2189" s="15" t="str">
        <f t="shared" si="753"/>
        <v>VIC</v>
      </c>
      <c r="H2189" s="15">
        <f t="shared" si="754"/>
        <v>3477</v>
      </c>
      <c r="I2189" s="15">
        <f t="shared" si="765"/>
        <v>1565</v>
      </c>
      <c r="J2189" s="15">
        <f>OrdersTable!B2189</f>
        <v>782</v>
      </c>
      <c r="K2189" s="15" t="str">
        <f t="shared" si="755"/>
        <v>Statues and Busts</v>
      </c>
      <c r="L2189" s="15" t="str">
        <f t="shared" si="756"/>
        <v>Doctor Who: Masterpiece Collection Maxi Bust: 10th Doctor</v>
      </c>
      <c r="M2189" s="15" t="str">
        <f t="shared" si="757"/>
        <v>-</v>
      </c>
      <c r="N2189" s="15">
        <f t="shared" si="758"/>
        <v>2.5</v>
      </c>
      <c r="O2189" s="15" t="str">
        <f t="shared" si="759"/>
        <v>A30</v>
      </c>
      <c r="P2189" s="15" t="str">
        <f t="shared" si="760"/>
        <v>Chesterton Enterprises</v>
      </c>
      <c r="Q2189" s="15" t="str">
        <f t="shared" si="761"/>
        <v>41 William Russell Road</v>
      </c>
      <c r="R2189" s="3">
        <f>OrdersTable!C2189</f>
        <v>44719</v>
      </c>
      <c r="S2189" s="15">
        <f>OrdersTable!E2189</f>
        <v>2</v>
      </c>
      <c r="T2189" s="15">
        <f t="shared" si="762"/>
        <v>49.99</v>
      </c>
      <c r="U2189" s="15">
        <f t="shared" si="763"/>
        <v>68.5</v>
      </c>
      <c r="V2189" s="15">
        <f t="shared" si="764"/>
        <v>80.98</v>
      </c>
      <c r="W2189" s="15">
        <f>IF(MarkupType="Store Markup",ROUND(V2189+V2189*StoreMarkup,2),IF(MarkupType="Supplier Markup",V2189+V2189*SupplierMarkup,"Error at finding value"))</f>
        <v>127.54</v>
      </c>
      <c r="X2189" s="32" t="str">
        <f t="shared" si="766"/>
        <v>0.00</v>
      </c>
      <c r="Y2189" s="15">
        <f t="shared" si="767"/>
        <v>161.96</v>
      </c>
      <c r="Z2189" s="15">
        <f t="shared" si="768"/>
        <v>255.08</v>
      </c>
      <c r="AA2189" s="15">
        <f>IF(FreightType="Lethbridge-Stewart Freight ",ROUND(2.99+IF(N2189&gt;0.75,(N2189-0.75)*2.25,0)*S2189,2),IF(MarkupType="Supplier Markup",V2189+V2189*SupplierMarkup,"Error at finding value"))</f>
        <v>10.87</v>
      </c>
      <c r="AB2189" s="15">
        <f t="shared" si="769"/>
        <v>0</v>
      </c>
    </row>
    <row r="2190" spans="1:28" x14ac:dyDescent="0.25">
      <c r="A2190" s="16">
        <f>OrdersTable!A2190</f>
        <v>190</v>
      </c>
      <c r="B2190" s="15" t="str">
        <f t="shared" si="749"/>
        <v>Mr</v>
      </c>
      <c r="C2190" s="15" t="str">
        <f t="shared" si="770"/>
        <v>Azar</v>
      </c>
      <c r="D2190" s="15" t="str">
        <f t="shared" si="750"/>
        <v>Hector Antonio</v>
      </c>
      <c r="E2190" s="15" t="str">
        <f t="shared" si="751"/>
        <v>38 Hope Avenue</v>
      </c>
      <c r="F2190" s="15" t="str">
        <f t="shared" si="752"/>
        <v>Glenfern</v>
      </c>
      <c r="G2190" s="15" t="str">
        <f t="shared" si="753"/>
        <v>QLD</v>
      </c>
      <c r="H2190" s="15">
        <f t="shared" si="754"/>
        <v>4515</v>
      </c>
      <c r="I2190" s="15">
        <f t="shared" si="765"/>
        <v>128</v>
      </c>
      <c r="J2190" s="15">
        <f>OrdersTable!B2190</f>
        <v>541</v>
      </c>
      <c r="K2190" s="15" t="str">
        <f t="shared" si="755"/>
        <v>Giftware</v>
      </c>
      <c r="L2190" s="15" t="str">
        <f t="shared" si="756"/>
        <v>Doctor Who: Salt and Pepper Shakers: TARDIS</v>
      </c>
      <c r="M2190" s="15" t="str">
        <f t="shared" si="757"/>
        <v>-</v>
      </c>
      <c r="N2190" s="15">
        <f t="shared" si="758"/>
        <v>0.6</v>
      </c>
      <c r="O2190" s="15" t="str">
        <f t="shared" si="759"/>
        <v>A10</v>
      </c>
      <c r="P2190" s="15" t="str">
        <f t="shared" si="760"/>
        <v>Gallifrey International</v>
      </c>
      <c r="Q2190" s="15" t="str">
        <f t="shared" si="761"/>
        <v>181 Arcadia Street</v>
      </c>
      <c r="R2190" s="3">
        <f>OrdersTable!C2190</f>
        <v>44719</v>
      </c>
      <c r="S2190" s="15">
        <f>OrdersTable!E2190</f>
        <v>1</v>
      </c>
      <c r="T2190" s="15">
        <f t="shared" si="762"/>
        <v>11.99</v>
      </c>
      <c r="U2190" s="15">
        <f t="shared" si="763"/>
        <v>16.62</v>
      </c>
      <c r="V2190" s="15">
        <f t="shared" si="764"/>
        <v>19.420000000000002</v>
      </c>
      <c r="W2190" s="15">
        <f>IF(MarkupType="Store Markup",ROUND(V2190+V2190*StoreMarkup,2),IF(MarkupType="Supplier Markup",V2190+V2190*SupplierMarkup,"Error at finding value"))</f>
        <v>30.59</v>
      </c>
      <c r="X2190" s="32" t="str">
        <f t="shared" si="766"/>
        <v>0.00</v>
      </c>
      <c r="Y2190" s="15">
        <f t="shared" si="767"/>
        <v>19.420000000000002</v>
      </c>
      <c r="Z2190" s="15">
        <f t="shared" si="768"/>
        <v>30.59</v>
      </c>
      <c r="AA2190" s="15">
        <f>IF(FreightType="Lethbridge-Stewart Freight ",ROUND(2.99+IF(N2190&gt;0.75,(N2190-0.75)*2.25,0)*S2190,2),IF(MarkupType="Supplier Markup",V2190+V2190*SupplierMarkup,"Error at finding value"))</f>
        <v>2.99</v>
      </c>
      <c r="AB2190" s="15">
        <f t="shared" si="769"/>
        <v>0</v>
      </c>
    </row>
    <row r="2191" spans="1:28" x14ac:dyDescent="0.25">
      <c r="A2191" s="16">
        <f>OrdersTable!A2191</f>
        <v>531</v>
      </c>
      <c r="B2191" s="15" t="str">
        <f t="shared" si="749"/>
        <v>Ms</v>
      </c>
      <c r="C2191" s="15" t="str">
        <f t="shared" si="770"/>
        <v>Stanton</v>
      </c>
      <c r="D2191" s="15" t="str">
        <f t="shared" si="750"/>
        <v>Sharaze</v>
      </c>
      <c r="E2191" s="15" t="str">
        <f t="shared" si="751"/>
        <v>1 Siddons Crescent</v>
      </c>
      <c r="F2191" s="15" t="str">
        <f t="shared" si="752"/>
        <v>Alfredtown</v>
      </c>
      <c r="G2191" s="15" t="str">
        <f t="shared" si="753"/>
        <v>NSW</v>
      </c>
      <c r="H2191" s="15">
        <f t="shared" si="754"/>
        <v>2650</v>
      </c>
      <c r="I2191" s="15">
        <f t="shared" si="765"/>
        <v>1124</v>
      </c>
      <c r="J2191" s="15">
        <f>OrdersTable!B2191</f>
        <v>862</v>
      </c>
      <c r="K2191" s="15" t="str">
        <f t="shared" si="755"/>
        <v>Statues and Busts</v>
      </c>
      <c r="L2191" s="15" t="str">
        <f t="shared" si="756"/>
        <v>Doctor Who: TITANS: The 10th Doctor</v>
      </c>
      <c r="M2191" s="15" t="str">
        <f t="shared" si="757"/>
        <v>-</v>
      </c>
      <c r="N2191" s="15">
        <f t="shared" si="758"/>
        <v>0.4</v>
      </c>
      <c r="O2191" s="15" t="str">
        <f t="shared" si="759"/>
        <v>A40</v>
      </c>
      <c r="P2191" s="15" t="str">
        <f t="shared" si="760"/>
        <v>Romana Imports</v>
      </c>
      <c r="Q2191" s="15" t="str">
        <f t="shared" si="761"/>
        <v>17 Lalla Ward Road</v>
      </c>
      <c r="R2191" s="3">
        <f>OrdersTable!C2191</f>
        <v>44719</v>
      </c>
      <c r="S2191" s="15">
        <f>OrdersTable!E2191</f>
        <v>8</v>
      </c>
      <c r="T2191" s="15">
        <f t="shared" si="762"/>
        <v>7.99</v>
      </c>
      <c r="U2191" s="15">
        <f t="shared" si="763"/>
        <v>11.01</v>
      </c>
      <c r="V2191" s="15">
        <f t="shared" si="764"/>
        <v>12.94</v>
      </c>
      <c r="W2191" s="15">
        <f>IF(MarkupType="Store Markup",ROUND(V2191+V2191*StoreMarkup,2),IF(MarkupType="Supplier Markup",V2191+V2191*SupplierMarkup,"Error at finding value"))</f>
        <v>20.38</v>
      </c>
      <c r="X2191" s="32" t="str">
        <f t="shared" si="766"/>
        <v>0.00</v>
      </c>
      <c r="Y2191" s="15">
        <f t="shared" si="767"/>
        <v>103.52</v>
      </c>
      <c r="Z2191" s="15">
        <f t="shared" si="768"/>
        <v>163.04</v>
      </c>
      <c r="AA2191" s="15">
        <f>IF(FreightType="Lethbridge-Stewart Freight ",ROUND(2.99+IF(N2191&gt;0.75,(N2191-0.75)*2.25,0)*S2191,2),IF(MarkupType="Supplier Markup",V2191+V2191*SupplierMarkup,"Error at finding value"))</f>
        <v>2.99</v>
      </c>
      <c r="AB2191" s="15">
        <f t="shared" si="769"/>
        <v>0</v>
      </c>
    </row>
    <row r="2192" spans="1:28" x14ac:dyDescent="0.25">
      <c r="A2192" s="16">
        <f>OrdersTable!A2192</f>
        <v>609</v>
      </c>
      <c r="B2192" s="15" t="str">
        <f t="shared" si="749"/>
        <v>Ms</v>
      </c>
      <c r="C2192" s="15" t="str">
        <f t="shared" si="770"/>
        <v>Ashley</v>
      </c>
      <c r="D2192" s="15" t="str">
        <f t="shared" si="750"/>
        <v>Matthew</v>
      </c>
      <c r="E2192" s="15" t="str">
        <f t="shared" si="751"/>
        <v>3 Wagener Crescent</v>
      </c>
      <c r="F2192" s="15" t="str">
        <f t="shared" si="752"/>
        <v>Aberfoyle</v>
      </c>
      <c r="G2192" s="15" t="str">
        <f t="shared" si="753"/>
        <v>NSW</v>
      </c>
      <c r="H2192" s="15">
        <f t="shared" si="754"/>
        <v>2350</v>
      </c>
      <c r="I2192" s="15">
        <f t="shared" si="765"/>
        <v>363</v>
      </c>
      <c r="J2192" s="15">
        <f>OrdersTable!B2192</f>
        <v>704</v>
      </c>
      <c r="K2192" s="15" t="str">
        <f t="shared" si="755"/>
        <v>Posters, Prints and Standees</v>
      </c>
      <c r="L2192" s="15" t="str">
        <f t="shared" si="756"/>
        <v>Doctor Who: Poster: Doctor's Enemies</v>
      </c>
      <c r="M2192" s="15" t="str">
        <f t="shared" si="757"/>
        <v>-</v>
      </c>
      <c r="N2192" s="15">
        <f t="shared" si="758"/>
        <v>0.2</v>
      </c>
      <c r="O2192" s="15" t="str">
        <f t="shared" si="759"/>
        <v>A30</v>
      </c>
      <c r="P2192" s="15" t="str">
        <f t="shared" si="760"/>
        <v>Chesterton Enterprises</v>
      </c>
      <c r="Q2192" s="15" t="str">
        <f t="shared" si="761"/>
        <v>41 William Russell Road</v>
      </c>
      <c r="R2192" s="3">
        <f>OrdersTable!C2192</f>
        <v>44719</v>
      </c>
      <c r="S2192" s="15">
        <f>OrdersTable!E2192</f>
        <v>5</v>
      </c>
      <c r="T2192" s="15">
        <f t="shared" si="762"/>
        <v>3.99</v>
      </c>
      <c r="U2192" s="15">
        <f t="shared" si="763"/>
        <v>5.52</v>
      </c>
      <c r="V2192" s="15">
        <f t="shared" si="764"/>
        <v>6.46</v>
      </c>
      <c r="W2192" s="15">
        <f>IF(MarkupType="Store Markup",ROUND(V2192+V2192*StoreMarkup,2),IF(MarkupType="Supplier Markup",V2192+V2192*SupplierMarkup,"Error at finding value"))</f>
        <v>10.17</v>
      </c>
      <c r="X2192" s="32" t="str">
        <f t="shared" si="766"/>
        <v>0.00</v>
      </c>
      <c r="Y2192" s="15">
        <f t="shared" si="767"/>
        <v>32.299999999999997</v>
      </c>
      <c r="Z2192" s="15">
        <f t="shared" si="768"/>
        <v>50.85</v>
      </c>
      <c r="AA2192" s="15">
        <f>IF(FreightType="Lethbridge-Stewart Freight ",ROUND(2.99+IF(N2192&gt;0.75,(N2192-0.75)*2.25,0)*S2192,2),IF(MarkupType="Supplier Markup",V2192+V2192*SupplierMarkup,"Error at finding value"))</f>
        <v>2.99</v>
      </c>
      <c r="AB2192" s="15">
        <f t="shared" si="769"/>
        <v>0</v>
      </c>
    </row>
    <row r="2193" spans="1:28" x14ac:dyDescent="0.25">
      <c r="A2193" s="16">
        <f>OrdersTable!A2193</f>
        <v>609</v>
      </c>
      <c r="B2193" s="15" t="str">
        <f t="shared" si="749"/>
        <v>Ms</v>
      </c>
      <c r="C2193" s="15" t="str">
        <f t="shared" si="770"/>
        <v>Ashley</v>
      </c>
      <c r="D2193" s="15" t="str">
        <f t="shared" si="750"/>
        <v>Matthew</v>
      </c>
      <c r="E2193" s="15" t="str">
        <f t="shared" si="751"/>
        <v>3 Wagener Crescent</v>
      </c>
      <c r="F2193" s="15" t="str">
        <f t="shared" si="752"/>
        <v>Aberfoyle</v>
      </c>
      <c r="G2193" s="15" t="str">
        <f t="shared" si="753"/>
        <v>NSW</v>
      </c>
      <c r="H2193" s="15">
        <f t="shared" si="754"/>
        <v>2350</v>
      </c>
      <c r="I2193" s="15">
        <f t="shared" si="765"/>
        <v>363</v>
      </c>
      <c r="J2193" s="15">
        <f>OrdersTable!B2193</f>
        <v>732</v>
      </c>
      <c r="K2193" s="15" t="str">
        <f t="shared" si="755"/>
        <v>Props and Replicas</v>
      </c>
      <c r="L2193" s="15" t="str">
        <f t="shared" si="756"/>
        <v>Doctor Who: Eleventh Doctor's Sonic Screwdriver</v>
      </c>
      <c r="M2193" s="15" t="str">
        <f t="shared" si="757"/>
        <v>-</v>
      </c>
      <c r="N2193" s="15">
        <f t="shared" si="758"/>
        <v>3</v>
      </c>
      <c r="O2193" s="15" t="str">
        <f t="shared" si="759"/>
        <v>A40</v>
      </c>
      <c r="P2193" s="15" t="str">
        <f t="shared" si="760"/>
        <v>Romana Imports</v>
      </c>
      <c r="Q2193" s="15" t="str">
        <f t="shared" si="761"/>
        <v>17 Lalla Ward Road</v>
      </c>
      <c r="R2193" s="3">
        <f>OrdersTable!C2193</f>
        <v>44719</v>
      </c>
      <c r="S2193" s="15">
        <f>OrdersTable!E2193</f>
        <v>6</v>
      </c>
      <c r="T2193" s="15">
        <f t="shared" si="762"/>
        <v>59.99</v>
      </c>
      <c r="U2193" s="15">
        <f t="shared" si="763"/>
        <v>81.83</v>
      </c>
      <c r="V2193" s="15">
        <f t="shared" si="764"/>
        <v>97.18</v>
      </c>
      <c r="W2193" s="15">
        <f>IF(MarkupType="Store Markup",ROUND(V2193+V2193*StoreMarkup,2),IF(MarkupType="Supplier Markup",V2193+V2193*SupplierMarkup,"Error at finding value"))</f>
        <v>153.06</v>
      </c>
      <c r="X2193" s="32">
        <f t="shared" si="766"/>
        <v>10.91</v>
      </c>
      <c r="Y2193" s="15">
        <f t="shared" si="767"/>
        <v>583.08000000000004</v>
      </c>
      <c r="Z2193" s="15">
        <f t="shared" si="768"/>
        <v>852.9</v>
      </c>
      <c r="AA2193" s="15">
        <f>IF(FreightType="Lethbridge-Stewart Freight ",ROUND(2.99+IF(N2193&gt;0.75,(N2193-0.75)*2.25,0)*S2193,2),IF(MarkupType="Supplier Markup",V2193+V2193*SupplierMarkup,"Error at finding value"))</f>
        <v>33.369999999999997</v>
      </c>
      <c r="AB2193" s="15">
        <f t="shared" si="769"/>
        <v>65.459999999999994</v>
      </c>
    </row>
    <row r="2194" spans="1:28" x14ac:dyDescent="0.25">
      <c r="A2194" s="16">
        <f>OrdersTable!A2194</f>
        <v>657</v>
      </c>
      <c r="B2194" s="15" t="str">
        <f t="shared" si="749"/>
        <v>Mr</v>
      </c>
      <c r="C2194" s="15" t="str">
        <f t="shared" si="770"/>
        <v>Poljak</v>
      </c>
      <c r="D2194" s="15" t="str">
        <f t="shared" si="750"/>
        <v>Anthony</v>
      </c>
      <c r="E2194" s="15" t="str">
        <f t="shared" si="751"/>
        <v>45 Robertson Boulevard</v>
      </c>
      <c r="F2194" s="15" t="str">
        <f t="shared" si="752"/>
        <v>Iluka</v>
      </c>
      <c r="G2194" s="15" t="str">
        <f t="shared" si="753"/>
        <v>NSW</v>
      </c>
      <c r="H2194" s="15">
        <f t="shared" si="754"/>
        <v>2466</v>
      </c>
      <c r="I2194" s="15">
        <f t="shared" si="765"/>
        <v>347</v>
      </c>
      <c r="J2194" s="15">
        <f>OrdersTable!B2194</f>
        <v>732</v>
      </c>
      <c r="K2194" s="15" t="str">
        <f t="shared" si="755"/>
        <v>Props and Replicas</v>
      </c>
      <c r="L2194" s="15" t="str">
        <f t="shared" si="756"/>
        <v>Doctor Who: Eleventh Doctor's Sonic Screwdriver</v>
      </c>
      <c r="M2194" s="15" t="str">
        <f t="shared" si="757"/>
        <v>-</v>
      </c>
      <c r="N2194" s="15">
        <f t="shared" si="758"/>
        <v>3</v>
      </c>
      <c r="O2194" s="15" t="str">
        <f t="shared" si="759"/>
        <v>A40</v>
      </c>
      <c r="P2194" s="15" t="str">
        <f t="shared" si="760"/>
        <v>Romana Imports</v>
      </c>
      <c r="Q2194" s="15" t="str">
        <f t="shared" si="761"/>
        <v>17 Lalla Ward Road</v>
      </c>
      <c r="R2194" s="3">
        <f>OrdersTable!C2194</f>
        <v>44719</v>
      </c>
      <c r="S2194" s="15">
        <f>OrdersTable!E2194</f>
        <v>1</v>
      </c>
      <c r="T2194" s="15">
        <f t="shared" si="762"/>
        <v>59.99</v>
      </c>
      <c r="U2194" s="15">
        <f t="shared" si="763"/>
        <v>81.83</v>
      </c>
      <c r="V2194" s="15">
        <f t="shared" si="764"/>
        <v>97.18</v>
      </c>
      <c r="W2194" s="15">
        <f>IF(MarkupType="Store Markup",ROUND(V2194+V2194*StoreMarkup,2),IF(MarkupType="Supplier Markup",V2194+V2194*SupplierMarkup,"Error at finding value"))</f>
        <v>153.06</v>
      </c>
      <c r="X2194" s="32" t="str">
        <f t="shared" si="766"/>
        <v>0.00</v>
      </c>
      <c r="Y2194" s="15">
        <f t="shared" si="767"/>
        <v>97.18</v>
      </c>
      <c r="Z2194" s="15">
        <f t="shared" si="768"/>
        <v>153.06</v>
      </c>
      <c r="AA2194" s="15">
        <f>IF(FreightType="Lethbridge-Stewart Freight ",ROUND(2.99+IF(N2194&gt;0.75,(N2194-0.75)*2.25,0)*S2194,2),IF(MarkupType="Supplier Markup",V2194+V2194*SupplierMarkup,"Error at finding value"))</f>
        <v>8.0500000000000007</v>
      </c>
      <c r="AB2194" s="15">
        <f t="shared" si="769"/>
        <v>0</v>
      </c>
    </row>
    <row r="2195" spans="1:28" x14ac:dyDescent="0.25">
      <c r="A2195" s="16">
        <f>OrdersTable!A2195</f>
        <v>657</v>
      </c>
      <c r="B2195" s="15" t="str">
        <f t="shared" si="749"/>
        <v>Mr</v>
      </c>
      <c r="C2195" s="15" t="str">
        <f t="shared" si="770"/>
        <v>Poljak</v>
      </c>
      <c r="D2195" s="15" t="str">
        <f t="shared" si="750"/>
        <v>Anthony</v>
      </c>
      <c r="E2195" s="15" t="str">
        <f t="shared" si="751"/>
        <v>45 Robertson Boulevard</v>
      </c>
      <c r="F2195" s="15" t="str">
        <f t="shared" si="752"/>
        <v>Iluka</v>
      </c>
      <c r="G2195" s="15" t="str">
        <f t="shared" si="753"/>
        <v>NSW</v>
      </c>
      <c r="H2195" s="15">
        <f t="shared" si="754"/>
        <v>2466</v>
      </c>
      <c r="I2195" s="15">
        <f t="shared" si="765"/>
        <v>347</v>
      </c>
      <c r="J2195" s="15">
        <f>OrdersTable!B2195</f>
        <v>843</v>
      </c>
      <c r="K2195" s="15" t="str">
        <f t="shared" si="755"/>
        <v>Statues and Busts</v>
      </c>
      <c r="L2195" s="15" t="str">
        <f t="shared" si="756"/>
        <v>Doctor Who: Signature Edition Statue: Gallifrey Edition: Tom Baker</v>
      </c>
      <c r="M2195" s="15" t="str">
        <f t="shared" si="757"/>
        <v>-</v>
      </c>
      <c r="N2195" s="15">
        <f t="shared" si="758"/>
        <v>2.5</v>
      </c>
      <c r="O2195" s="15" t="str">
        <f t="shared" si="759"/>
        <v>A20</v>
      </c>
      <c r="P2195" s="15" t="str">
        <f t="shared" si="760"/>
        <v>Morbius Inc.</v>
      </c>
      <c r="Q2195" s="15" t="str">
        <f t="shared" si="761"/>
        <v>56 Michael Spice Hwy</v>
      </c>
      <c r="R2195" s="3">
        <f>OrdersTable!C2195</f>
        <v>44719</v>
      </c>
      <c r="S2195" s="15">
        <f>OrdersTable!E2195</f>
        <v>9</v>
      </c>
      <c r="T2195" s="15">
        <f t="shared" si="762"/>
        <v>49.99</v>
      </c>
      <c r="U2195" s="15">
        <f t="shared" si="763"/>
        <v>68.33</v>
      </c>
      <c r="V2195" s="15">
        <f t="shared" si="764"/>
        <v>80.98</v>
      </c>
      <c r="W2195" s="15">
        <f>IF(MarkupType="Store Markup",ROUND(V2195+V2195*StoreMarkup,2),IF(MarkupType="Supplier Markup",V2195+V2195*SupplierMarkup,"Error at finding value"))</f>
        <v>127.54</v>
      </c>
      <c r="X2195" s="32">
        <f t="shared" si="766"/>
        <v>9.09</v>
      </c>
      <c r="Y2195" s="15">
        <f t="shared" si="767"/>
        <v>728.82</v>
      </c>
      <c r="Z2195" s="15">
        <f t="shared" si="768"/>
        <v>1066.05</v>
      </c>
      <c r="AA2195" s="15">
        <f>IF(FreightType="Lethbridge-Stewart Freight ",ROUND(2.99+IF(N2195&gt;0.75,(N2195-0.75)*2.25,0)*S2195,2),IF(MarkupType="Supplier Markup",V2195+V2195*SupplierMarkup,"Error at finding value"))</f>
        <v>38.43</v>
      </c>
      <c r="AB2195" s="15">
        <f t="shared" si="769"/>
        <v>81.81</v>
      </c>
    </row>
    <row r="2196" spans="1:28" x14ac:dyDescent="0.25">
      <c r="A2196" s="16">
        <f>OrdersTable!A2196</f>
        <v>730</v>
      </c>
      <c r="B2196" s="15" t="str">
        <f t="shared" si="749"/>
        <v>Mr</v>
      </c>
      <c r="C2196" s="15" t="str">
        <f t="shared" si="770"/>
        <v>Romer</v>
      </c>
      <c r="D2196" s="15" t="str">
        <f t="shared" si="750"/>
        <v>Leo Alexander</v>
      </c>
      <c r="E2196" s="15" t="str">
        <f t="shared" si="751"/>
        <v>47 Bennett Circuit</v>
      </c>
      <c r="F2196" s="15" t="str">
        <f t="shared" si="752"/>
        <v>Caliph</v>
      </c>
      <c r="G2196" s="15" t="str">
        <f t="shared" si="753"/>
        <v>SA</v>
      </c>
      <c r="H2196" s="15">
        <f t="shared" si="754"/>
        <v>5310</v>
      </c>
      <c r="I2196" s="15">
        <f t="shared" si="765"/>
        <v>1720</v>
      </c>
      <c r="J2196" s="15">
        <f>OrdersTable!B2196</f>
        <v>213</v>
      </c>
      <c r="K2196" s="15" t="str">
        <f t="shared" si="755"/>
        <v>Clothing and Apparel</v>
      </c>
      <c r="L2196" s="15" t="str">
        <f t="shared" si="756"/>
        <v>Doctor Who: Fez and Bow Tie</v>
      </c>
      <c r="M2196" s="15" t="str">
        <f t="shared" si="757"/>
        <v>-</v>
      </c>
      <c r="N2196" s="15">
        <f t="shared" si="758"/>
        <v>0.97499999999999998</v>
      </c>
      <c r="O2196" s="15" t="str">
        <f t="shared" si="759"/>
        <v>A50</v>
      </c>
      <c r="P2196" s="15" t="str">
        <f t="shared" si="760"/>
        <v>Rassilon Ltd.</v>
      </c>
      <c r="Q2196" s="15" t="str">
        <f t="shared" si="761"/>
        <v>82 Richard Mathews Road</v>
      </c>
      <c r="R2196" s="3">
        <f>OrdersTable!C2196</f>
        <v>44719</v>
      </c>
      <c r="S2196" s="15">
        <f>OrdersTable!E2196</f>
        <v>3</v>
      </c>
      <c r="T2196" s="15">
        <f t="shared" si="762"/>
        <v>19.5</v>
      </c>
      <c r="U2196" s="15">
        <f t="shared" si="763"/>
        <v>26.88</v>
      </c>
      <c r="V2196" s="15">
        <f t="shared" si="764"/>
        <v>31.59</v>
      </c>
      <c r="W2196" s="15">
        <f>IF(MarkupType="Store Markup",ROUND(V2196+V2196*StoreMarkup,2),IF(MarkupType="Supplier Markup",V2196+V2196*SupplierMarkup,"Error at finding value"))</f>
        <v>49.75</v>
      </c>
      <c r="X2196" s="32" t="str">
        <f t="shared" si="766"/>
        <v>0.00</v>
      </c>
      <c r="Y2196" s="15">
        <f t="shared" si="767"/>
        <v>94.77</v>
      </c>
      <c r="Z2196" s="15">
        <f t="shared" si="768"/>
        <v>149.25</v>
      </c>
      <c r="AA2196" s="15">
        <f>IF(FreightType="Lethbridge-Stewart Freight ",ROUND(2.99+IF(N2196&gt;0.75,(N2196-0.75)*2.25,0)*S2196,2),IF(MarkupType="Supplier Markup",V2196+V2196*SupplierMarkup,"Error at finding value"))</f>
        <v>4.51</v>
      </c>
      <c r="AB2196" s="15">
        <f t="shared" si="769"/>
        <v>0</v>
      </c>
    </row>
    <row r="2197" spans="1:28" x14ac:dyDescent="0.25">
      <c r="A2197" s="16">
        <f>OrdersTable!A2197</f>
        <v>827</v>
      </c>
      <c r="B2197" s="15" t="str">
        <f t="shared" si="749"/>
        <v>Ms</v>
      </c>
      <c r="C2197" s="15" t="str">
        <f t="shared" si="770"/>
        <v>Ottaway</v>
      </c>
      <c r="D2197" s="15" t="str">
        <f t="shared" si="750"/>
        <v>Katherine</v>
      </c>
      <c r="E2197" s="15" t="str">
        <f t="shared" si="751"/>
        <v>7 Morrison Street</v>
      </c>
      <c r="F2197" s="15" t="str">
        <f t="shared" si="752"/>
        <v>Glenfern</v>
      </c>
      <c r="G2197" s="15" t="str">
        <f t="shared" si="753"/>
        <v>QLD</v>
      </c>
      <c r="H2197" s="15">
        <f t="shared" si="754"/>
        <v>4515</v>
      </c>
      <c r="I2197" s="15">
        <f t="shared" si="765"/>
        <v>128</v>
      </c>
      <c r="J2197" s="15">
        <f>OrdersTable!B2197</f>
        <v>732</v>
      </c>
      <c r="K2197" s="15" t="str">
        <f t="shared" si="755"/>
        <v>Props and Replicas</v>
      </c>
      <c r="L2197" s="15" t="str">
        <f t="shared" si="756"/>
        <v>Doctor Who: Eleventh Doctor's Sonic Screwdriver</v>
      </c>
      <c r="M2197" s="15" t="str">
        <f t="shared" si="757"/>
        <v>-</v>
      </c>
      <c r="N2197" s="15">
        <f t="shared" si="758"/>
        <v>3</v>
      </c>
      <c r="O2197" s="15" t="str">
        <f t="shared" si="759"/>
        <v>A40</v>
      </c>
      <c r="P2197" s="15" t="str">
        <f t="shared" si="760"/>
        <v>Romana Imports</v>
      </c>
      <c r="Q2197" s="15" t="str">
        <f t="shared" si="761"/>
        <v>17 Lalla Ward Road</v>
      </c>
      <c r="R2197" s="3">
        <f>OrdersTable!C2197</f>
        <v>44719</v>
      </c>
      <c r="S2197" s="15">
        <f>OrdersTable!E2197</f>
        <v>6</v>
      </c>
      <c r="T2197" s="15">
        <f t="shared" si="762"/>
        <v>59.99</v>
      </c>
      <c r="U2197" s="15">
        <f t="shared" si="763"/>
        <v>81.83</v>
      </c>
      <c r="V2197" s="15">
        <f t="shared" si="764"/>
        <v>97.18</v>
      </c>
      <c r="W2197" s="15">
        <f>IF(MarkupType="Store Markup",ROUND(V2197+V2197*StoreMarkup,2),IF(MarkupType="Supplier Markup",V2197+V2197*SupplierMarkup,"Error at finding value"))</f>
        <v>153.06</v>
      </c>
      <c r="X2197" s="32">
        <f t="shared" si="766"/>
        <v>10.91</v>
      </c>
      <c r="Y2197" s="15">
        <f t="shared" si="767"/>
        <v>583.08000000000004</v>
      </c>
      <c r="Z2197" s="15">
        <f t="shared" si="768"/>
        <v>852.9</v>
      </c>
      <c r="AA2197" s="15">
        <f>IF(FreightType="Lethbridge-Stewart Freight ",ROUND(2.99+IF(N2197&gt;0.75,(N2197-0.75)*2.25,0)*S2197,2),IF(MarkupType="Supplier Markup",V2197+V2197*SupplierMarkup,"Error at finding value"))</f>
        <v>33.369999999999997</v>
      </c>
      <c r="AB2197" s="15">
        <f t="shared" si="769"/>
        <v>65.459999999999994</v>
      </c>
    </row>
    <row r="2198" spans="1:28" x14ac:dyDescent="0.25">
      <c r="A2198" s="16">
        <f>OrdersTable!A2198</f>
        <v>989</v>
      </c>
      <c r="B2198" s="15" t="str">
        <f t="shared" si="749"/>
        <v>Miss</v>
      </c>
      <c r="C2198" s="15" t="str">
        <f t="shared" si="770"/>
        <v>McInnes</v>
      </c>
      <c r="D2198" s="15" t="str">
        <f t="shared" si="750"/>
        <v>Nina Marie</v>
      </c>
      <c r="E2198" s="15" t="str">
        <f t="shared" si="751"/>
        <v>28 Caruss Road</v>
      </c>
      <c r="F2198" s="15" t="str">
        <f t="shared" si="752"/>
        <v>Belford</v>
      </c>
      <c r="G2198" s="15" t="str">
        <f t="shared" si="753"/>
        <v>NSW</v>
      </c>
      <c r="H2198" s="15">
        <f t="shared" si="754"/>
        <v>2335</v>
      </c>
      <c r="I2198" s="15">
        <f t="shared" si="765"/>
        <v>716</v>
      </c>
      <c r="J2198" s="15">
        <f>OrdersTable!B2198</f>
        <v>673</v>
      </c>
      <c r="K2198" s="15" t="str">
        <f t="shared" si="755"/>
        <v>Mugs</v>
      </c>
      <c r="L2198" s="15" t="str">
        <f t="shared" si="756"/>
        <v>Doctor Who: Mug: TARDIS With Lid</v>
      </c>
      <c r="M2198" s="15" t="str">
        <f t="shared" si="757"/>
        <v>-</v>
      </c>
      <c r="N2198" s="15">
        <f t="shared" si="758"/>
        <v>0.58499999999999996</v>
      </c>
      <c r="O2198" s="15" t="str">
        <f t="shared" si="759"/>
        <v>A10</v>
      </c>
      <c r="P2198" s="15" t="str">
        <f t="shared" si="760"/>
        <v>Gallifrey International</v>
      </c>
      <c r="Q2198" s="15" t="str">
        <f t="shared" si="761"/>
        <v>181 Arcadia Street</v>
      </c>
      <c r="R2198" s="3">
        <f>OrdersTable!C2198</f>
        <v>44719</v>
      </c>
      <c r="S2198" s="15">
        <f>OrdersTable!E2198</f>
        <v>3</v>
      </c>
      <c r="T2198" s="15">
        <f t="shared" si="762"/>
        <v>11.69</v>
      </c>
      <c r="U2198" s="15">
        <f t="shared" si="763"/>
        <v>16.190000000000001</v>
      </c>
      <c r="V2198" s="15">
        <f t="shared" si="764"/>
        <v>18.940000000000001</v>
      </c>
      <c r="W2198" s="15">
        <f>IF(MarkupType="Store Markup",ROUND(V2198+V2198*StoreMarkup,2),IF(MarkupType="Supplier Markup",V2198+V2198*SupplierMarkup,"Error at finding value"))</f>
        <v>29.83</v>
      </c>
      <c r="X2198" s="32" t="str">
        <f t="shared" si="766"/>
        <v>0.00</v>
      </c>
      <c r="Y2198" s="15">
        <f t="shared" si="767"/>
        <v>56.82</v>
      </c>
      <c r="Z2198" s="15">
        <f t="shared" si="768"/>
        <v>89.49</v>
      </c>
      <c r="AA2198" s="15">
        <f>IF(FreightType="Lethbridge-Stewart Freight ",ROUND(2.99+IF(N2198&gt;0.75,(N2198-0.75)*2.25,0)*S2198,2),IF(MarkupType="Supplier Markup",V2198+V2198*SupplierMarkup,"Error at finding value"))</f>
        <v>2.99</v>
      </c>
      <c r="AB2198" s="15">
        <f t="shared" si="769"/>
        <v>0</v>
      </c>
    </row>
    <row r="2199" spans="1:28" x14ac:dyDescent="0.25">
      <c r="A2199" s="16">
        <f>OrdersTable!A2199</f>
        <v>139</v>
      </c>
      <c r="B2199" s="15" t="str">
        <f t="shared" si="749"/>
        <v>Mrs</v>
      </c>
      <c r="C2199" s="15" t="str">
        <f t="shared" si="770"/>
        <v>Atkinson</v>
      </c>
      <c r="D2199" s="15" t="str">
        <f t="shared" si="750"/>
        <v>Leanne</v>
      </c>
      <c r="E2199" s="15" t="str">
        <f t="shared" si="751"/>
        <v>45 Maloney Boulevard</v>
      </c>
      <c r="F2199" s="15" t="str">
        <f t="shared" si="752"/>
        <v>Avon Plains</v>
      </c>
      <c r="G2199" s="15" t="str">
        <f t="shared" si="753"/>
        <v>VIC</v>
      </c>
      <c r="H2199" s="15">
        <f t="shared" si="754"/>
        <v>3477</v>
      </c>
      <c r="I2199" s="15">
        <f t="shared" si="765"/>
        <v>1565</v>
      </c>
      <c r="J2199" s="15">
        <f>OrdersTable!B2199</f>
        <v>377</v>
      </c>
      <c r="K2199" s="15" t="str">
        <f t="shared" si="755"/>
        <v>Clothing and Apparel</v>
      </c>
      <c r="L2199" s="15" t="str">
        <f t="shared" si="756"/>
        <v xml:space="preserve">Doctor Who: T-Shirts: 7th Doctor Costume </v>
      </c>
      <c r="M2199" s="15" t="str">
        <f t="shared" si="757"/>
        <v>M</v>
      </c>
      <c r="N2199" s="15">
        <f t="shared" si="758"/>
        <v>0.8</v>
      </c>
      <c r="O2199" s="15" t="str">
        <f t="shared" si="759"/>
        <v>A40</v>
      </c>
      <c r="P2199" s="15" t="str">
        <f t="shared" si="760"/>
        <v>Romana Imports</v>
      </c>
      <c r="Q2199" s="15" t="str">
        <f t="shared" si="761"/>
        <v>17 Lalla Ward Road</v>
      </c>
      <c r="R2199" s="3">
        <f>OrdersTable!C2199</f>
        <v>44720</v>
      </c>
      <c r="S2199" s="15">
        <f>OrdersTable!E2199</f>
        <v>4</v>
      </c>
      <c r="T2199" s="15">
        <f t="shared" si="762"/>
        <v>15.99</v>
      </c>
      <c r="U2199" s="15">
        <f t="shared" si="763"/>
        <v>21.95</v>
      </c>
      <c r="V2199" s="15">
        <f t="shared" si="764"/>
        <v>25.9</v>
      </c>
      <c r="W2199" s="15">
        <f>IF(MarkupType="Store Markup",ROUND(V2199+V2199*StoreMarkup,2),IF(MarkupType="Supplier Markup",V2199+V2199*SupplierMarkup,"Error at finding value"))</f>
        <v>40.79</v>
      </c>
      <c r="X2199" s="32" t="str">
        <f t="shared" si="766"/>
        <v>0.00</v>
      </c>
      <c r="Y2199" s="15">
        <f t="shared" si="767"/>
        <v>103.6</v>
      </c>
      <c r="Z2199" s="15">
        <f t="shared" si="768"/>
        <v>163.16</v>
      </c>
      <c r="AA2199" s="15">
        <f>IF(FreightType="Lethbridge-Stewart Freight ",ROUND(2.99+IF(N2199&gt;0.75,(N2199-0.75)*2.25,0)*S2199,2),IF(MarkupType="Supplier Markup",V2199+V2199*SupplierMarkup,"Error at finding value"))</f>
        <v>3.44</v>
      </c>
      <c r="AB2199" s="15">
        <f t="shared" si="769"/>
        <v>0</v>
      </c>
    </row>
    <row r="2200" spans="1:28" x14ac:dyDescent="0.25">
      <c r="A2200" s="16">
        <f>OrdersTable!A2200</f>
        <v>282</v>
      </c>
      <c r="B2200" s="15" t="str">
        <f t="shared" si="749"/>
        <v>Dr</v>
      </c>
      <c r="C2200" s="15" t="str">
        <f t="shared" si="770"/>
        <v>Johnson</v>
      </c>
      <c r="D2200" s="15" t="str">
        <f t="shared" si="750"/>
        <v>Samantha Emily Louise</v>
      </c>
      <c r="E2200" s="15" t="str">
        <f t="shared" si="751"/>
        <v>2 Wiggan Avenue</v>
      </c>
      <c r="F2200" s="15" t="str">
        <f t="shared" si="752"/>
        <v>Boston</v>
      </c>
      <c r="G2200" s="15" t="str">
        <f t="shared" si="753"/>
        <v>SA</v>
      </c>
      <c r="H2200" s="15">
        <f t="shared" si="754"/>
        <v>5607</v>
      </c>
      <c r="I2200" s="15">
        <f t="shared" si="765"/>
        <v>2076</v>
      </c>
      <c r="J2200" s="15">
        <f>OrdersTable!B2200</f>
        <v>128</v>
      </c>
      <c r="K2200" s="15" t="str">
        <f t="shared" si="755"/>
        <v>Bobbleheads</v>
      </c>
      <c r="L2200" s="15" t="str">
        <f t="shared" si="756"/>
        <v>Doctor Who: Bobblehead: Davros</v>
      </c>
      <c r="M2200" s="15" t="str">
        <f t="shared" si="757"/>
        <v>-</v>
      </c>
      <c r="N2200" s="15">
        <f t="shared" si="758"/>
        <v>0.85</v>
      </c>
      <c r="O2200" s="15" t="str">
        <f t="shared" si="759"/>
        <v>A50</v>
      </c>
      <c r="P2200" s="15" t="str">
        <f t="shared" si="760"/>
        <v>Rassilon Ltd.</v>
      </c>
      <c r="Q2200" s="15" t="str">
        <f t="shared" si="761"/>
        <v>82 Richard Mathews Road</v>
      </c>
      <c r="R2200" s="3">
        <f>OrdersTable!C2200</f>
        <v>44720</v>
      </c>
      <c r="S2200" s="15">
        <f>OrdersTable!E2200</f>
        <v>9</v>
      </c>
      <c r="T2200" s="15">
        <f t="shared" si="762"/>
        <v>16.989999999999998</v>
      </c>
      <c r="U2200" s="15">
        <f t="shared" si="763"/>
        <v>23.27</v>
      </c>
      <c r="V2200" s="15">
        <f t="shared" si="764"/>
        <v>27.52</v>
      </c>
      <c r="W2200" s="15">
        <f>IF(MarkupType="Store Markup",ROUND(V2200+V2200*StoreMarkup,2),IF(MarkupType="Supplier Markup",V2200+V2200*SupplierMarkup,"Error at finding value"))</f>
        <v>43.34</v>
      </c>
      <c r="X2200" s="32" t="str">
        <f t="shared" si="766"/>
        <v>0.00</v>
      </c>
      <c r="Y2200" s="15">
        <f t="shared" si="767"/>
        <v>247.68</v>
      </c>
      <c r="Z2200" s="15">
        <f t="shared" si="768"/>
        <v>390.06</v>
      </c>
      <c r="AA2200" s="15">
        <f>IF(FreightType="Lethbridge-Stewart Freight ",ROUND(2.99+IF(N2200&gt;0.75,(N2200-0.75)*2.25,0)*S2200,2),IF(MarkupType="Supplier Markup",V2200+V2200*SupplierMarkup,"Error at finding value"))</f>
        <v>5.0199999999999996</v>
      </c>
      <c r="AB2200" s="15">
        <f t="shared" si="769"/>
        <v>0</v>
      </c>
    </row>
    <row r="2201" spans="1:28" x14ac:dyDescent="0.25">
      <c r="A2201" s="16">
        <f>OrdersTable!A2201</f>
        <v>416</v>
      </c>
      <c r="B2201" s="15" t="str">
        <f t="shared" si="749"/>
        <v>Mr</v>
      </c>
      <c r="C2201" s="15" t="str">
        <f t="shared" si="770"/>
        <v>Mohammed</v>
      </c>
      <c r="D2201" s="15" t="str">
        <f t="shared" si="750"/>
        <v>Ahmed</v>
      </c>
      <c r="E2201" s="15" t="str">
        <f t="shared" si="751"/>
        <v>35 Ridley Avenue</v>
      </c>
      <c r="F2201" s="15" t="str">
        <f t="shared" si="752"/>
        <v>Iluka</v>
      </c>
      <c r="G2201" s="15" t="str">
        <f t="shared" si="753"/>
        <v>NSW</v>
      </c>
      <c r="H2201" s="15">
        <f t="shared" si="754"/>
        <v>2466</v>
      </c>
      <c r="I2201" s="15">
        <f t="shared" si="765"/>
        <v>347</v>
      </c>
      <c r="J2201" s="15">
        <f>OrdersTable!B2201</f>
        <v>826</v>
      </c>
      <c r="K2201" s="15" t="str">
        <f t="shared" si="755"/>
        <v>Statues and Busts</v>
      </c>
      <c r="L2201" s="15" t="str">
        <f t="shared" si="756"/>
        <v>Doctor Who: Mini Bust: Cyberman</v>
      </c>
      <c r="M2201" s="15" t="str">
        <f t="shared" si="757"/>
        <v>-</v>
      </c>
      <c r="N2201" s="15">
        <f t="shared" si="758"/>
        <v>1.8</v>
      </c>
      <c r="O2201" s="15" t="str">
        <f t="shared" si="759"/>
        <v>A40</v>
      </c>
      <c r="P2201" s="15" t="str">
        <f t="shared" si="760"/>
        <v>Romana Imports</v>
      </c>
      <c r="Q2201" s="15" t="str">
        <f t="shared" si="761"/>
        <v>17 Lalla Ward Road</v>
      </c>
      <c r="R2201" s="3">
        <f>OrdersTable!C2201</f>
        <v>44720</v>
      </c>
      <c r="S2201" s="15">
        <f>OrdersTable!E2201</f>
        <v>8</v>
      </c>
      <c r="T2201" s="15">
        <f t="shared" si="762"/>
        <v>35.99</v>
      </c>
      <c r="U2201" s="15">
        <f t="shared" si="763"/>
        <v>49.13</v>
      </c>
      <c r="V2201" s="15">
        <f t="shared" si="764"/>
        <v>58.3</v>
      </c>
      <c r="W2201" s="15">
        <f>IF(MarkupType="Store Markup",ROUND(V2201+V2201*StoreMarkup,2),IF(MarkupType="Supplier Markup",V2201+V2201*SupplierMarkup,"Error at finding value"))</f>
        <v>91.82</v>
      </c>
      <c r="X2201" s="32" t="str">
        <f t="shared" si="766"/>
        <v>0.00</v>
      </c>
      <c r="Y2201" s="15">
        <f t="shared" si="767"/>
        <v>466.4</v>
      </c>
      <c r="Z2201" s="15">
        <f t="shared" si="768"/>
        <v>734.56</v>
      </c>
      <c r="AA2201" s="15">
        <f>IF(FreightType="Lethbridge-Stewart Freight ",ROUND(2.99+IF(N2201&gt;0.75,(N2201-0.75)*2.25,0)*S2201,2),IF(MarkupType="Supplier Markup",V2201+V2201*SupplierMarkup,"Error at finding value"))</f>
        <v>21.89</v>
      </c>
      <c r="AB2201" s="15">
        <f t="shared" si="769"/>
        <v>0</v>
      </c>
    </row>
    <row r="2202" spans="1:28" x14ac:dyDescent="0.25">
      <c r="A2202" s="16">
        <f>OrdersTable!A2202</f>
        <v>474</v>
      </c>
      <c r="B2202" s="15" t="str">
        <f t="shared" si="749"/>
        <v>Mr</v>
      </c>
      <c r="C2202" s="15" t="str">
        <f t="shared" si="770"/>
        <v>Jooste</v>
      </c>
      <c r="D2202" s="15" t="str">
        <f t="shared" si="750"/>
        <v>Nicholas</v>
      </c>
      <c r="E2202" s="15" t="str">
        <f t="shared" si="751"/>
        <v>32 Dover Road</v>
      </c>
      <c r="F2202" s="15" t="str">
        <f t="shared" si="752"/>
        <v>Belford</v>
      </c>
      <c r="G2202" s="15" t="str">
        <f t="shared" si="753"/>
        <v>NSW</v>
      </c>
      <c r="H2202" s="15">
        <f t="shared" si="754"/>
        <v>2335</v>
      </c>
      <c r="I2202" s="15">
        <f t="shared" si="765"/>
        <v>716</v>
      </c>
      <c r="J2202" s="15">
        <f>OrdersTable!B2202</f>
        <v>515</v>
      </c>
      <c r="K2202" s="15" t="str">
        <f t="shared" si="755"/>
        <v>Giftware</v>
      </c>
      <c r="L2202" s="15" t="str">
        <f t="shared" si="756"/>
        <v>Doctor Who: Keyring K9</v>
      </c>
      <c r="M2202" s="15" t="str">
        <f t="shared" si="757"/>
        <v>-</v>
      </c>
      <c r="N2202" s="15">
        <f t="shared" si="758"/>
        <v>0.25</v>
      </c>
      <c r="O2202" s="15" t="str">
        <f t="shared" si="759"/>
        <v>A50</v>
      </c>
      <c r="P2202" s="15" t="str">
        <f t="shared" si="760"/>
        <v>Rassilon Ltd.</v>
      </c>
      <c r="Q2202" s="15" t="str">
        <f t="shared" si="761"/>
        <v>82 Richard Mathews Road</v>
      </c>
      <c r="R2202" s="3">
        <f>OrdersTable!C2202</f>
        <v>44720</v>
      </c>
      <c r="S2202" s="15">
        <f>OrdersTable!E2202</f>
        <v>3</v>
      </c>
      <c r="T2202" s="15">
        <f t="shared" si="762"/>
        <v>4.99</v>
      </c>
      <c r="U2202" s="15">
        <f t="shared" si="763"/>
        <v>6.91</v>
      </c>
      <c r="V2202" s="15">
        <f t="shared" si="764"/>
        <v>8.08</v>
      </c>
      <c r="W2202" s="15">
        <f>IF(MarkupType="Store Markup",ROUND(V2202+V2202*StoreMarkup,2),IF(MarkupType="Supplier Markup",V2202+V2202*SupplierMarkup,"Error at finding value"))</f>
        <v>12.73</v>
      </c>
      <c r="X2202" s="32" t="str">
        <f t="shared" si="766"/>
        <v>0.00</v>
      </c>
      <c r="Y2202" s="15">
        <f t="shared" si="767"/>
        <v>24.24</v>
      </c>
      <c r="Z2202" s="15">
        <f t="shared" si="768"/>
        <v>38.19</v>
      </c>
      <c r="AA2202" s="15">
        <f>IF(FreightType="Lethbridge-Stewart Freight ",ROUND(2.99+IF(N2202&gt;0.75,(N2202-0.75)*2.25,0)*S2202,2),IF(MarkupType="Supplier Markup",V2202+V2202*SupplierMarkup,"Error at finding value"))</f>
        <v>2.99</v>
      </c>
      <c r="AB2202" s="15">
        <f t="shared" si="769"/>
        <v>0</v>
      </c>
    </row>
    <row r="2203" spans="1:28" x14ac:dyDescent="0.25">
      <c r="A2203" s="16">
        <f>OrdersTable!A2203</f>
        <v>501</v>
      </c>
      <c r="B2203" s="15" t="str">
        <f t="shared" si="749"/>
        <v>Miss</v>
      </c>
      <c r="C2203" s="15" t="str">
        <f t="shared" si="770"/>
        <v>Tharenou</v>
      </c>
      <c r="D2203" s="15" t="str">
        <f t="shared" si="750"/>
        <v>Kimberley Jacinta</v>
      </c>
      <c r="E2203" s="15" t="str">
        <f t="shared" si="751"/>
        <v>49 Moncada Circuit</v>
      </c>
      <c r="F2203" s="15" t="str">
        <f t="shared" si="752"/>
        <v>Belford</v>
      </c>
      <c r="G2203" s="15" t="str">
        <f t="shared" si="753"/>
        <v>NSW</v>
      </c>
      <c r="H2203" s="15">
        <f t="shared" si="754"/>
        <v>2335</v>
      </c>
      <c r="I2203" s="15">
        <f t="shared" si="765"/>
        <v>716</v>
      </c>
      <c r="J2203" s="15">
        <f>OrdersTable!B2203</f>
        <v>711</v>
      </c>
      <c r="K2203" s="15" t="str">
        <f t="shared" si="755"/>
        <v>Posters, Prints and Standees</v>
      </c>
      <c r="L2203" s="15" t="str">
        <f t="shared" si="756"/>
        <v>Doctor Who: Poster: TARDIS Door Poster</v>
      </c>
      <c r="M2203" s="15" t="str">
        <f t="shared" si="757"/>
        <v>-</v>
      </c>
      <c r="N2203" s="15">
        <f t="shared" si="758"/>
        <v>0.3</v>
      </c>
      <c r="O2203" s="15" t="str">
        <f t="shared" si="759"/>
        <v>A20</v>
      </c>
      <c r="P2203" s="15" t="str">
        <f t="shared" si="760"/>
        <v>Morbius Inc.</v>
      </c>
      <c r="Q2203" s="15" t="str">
        <f t="shared" si="761"/>
        <v>56 Michael Spice Hwy</v>
      </c>
      <c r="R2203" s="3">
        <f>OrdersTable!C2203</f>
        <v>44720</v>
      </c>
      <c r="S2203" s="15">
        <f>OrdersTable!E2203</f>
        <v>9</v>
      </c>
      <c r="T2203" s="15">
        <f t="shared" si="762"/>
        <v>5.99</v>
      </c>
      <c r="U2203" s="15">
        <f t="shared" si="763"/>
        <v>8.41</v>
      </c>
      <c r="V2203" s="15">
        <f t="shared" si="764"/>
        <v>9.6999999999999993</v>
      </c>
      <c r="W2203" s="15">
        <f>IF(MarkupType="Store Markup",ROUND(V2203+V2203*StoreMarkup,2),IF(MarkupType="Supplier Markup",V2203+V2203*SupplierMarkup,"Error at finding value"))</f>
        <v>15.28</v>
      </c>
      <c r="X2203" s="32" t="str">
        <f t="shared" si="766"/>
        <v>0.00</v>
      </c>
      <c r="Y2203" s="15">
        <f t="shared" si="767"/>
        <v>87.3</v>
      </c>
      <c r="Z2203" s="15">
        <f t="shared" si="768"/>
        <v>137.52000000000001</v>
      </c>
      <c r="AA2203" s="15">
        <f>IF(FreightType="Lethbridge-Stewart Freight ",ROUND(2.99+IF(N2203&gt;0.75,(N2203-0.75)*2.25,0)*S2203,2),IF(MarkupType="Supplier Markup",V2203+V2203*SupplierMarkup,"Error at finding value"))</f>
        <v>2.99</v>
      </c>
      <c r="AB2203" s="15">
        <f t="shared" si="769"/>
        <v>0</v>
      </c>
    </row>
    <row r="2204" spans="1:28" x14ac:dyDescent="0.25">
      <c r="A2204" s="16">
        <f>OrdersTable!A2204</f>
        <v>501</v>
      </c>
      <c r="B2204" s="15" t="str">
        <f t="shared" si="749"/>
        <v>Miss</v>
      </c>
      <c r="C2204" s="15" t="str">
        <f t="shared" si="770"/>
        <v>Tharenou</v>
      </c>
      <c r="D2204" s="15" t="str">
        <f t="shared" si="750"/>
        <v>Kimberley Jacinta</v>
      </c>
      <c r="E2204" s="15" t="str">
        <f t="shared" si="751"/>
        <v>49 Moncada Circuit</v>
      </c>
      <c r="F2204" s="15" t="str">
        <f t="shared" si="752"/>
        <v>Belford</v>
      </c>
      <c r="G2204" s="15" t="str">
        <f t="shared" si="753"/>
        <v>NSW</v>
      </c>
      <c r="H2204" s="15">
        <f t="shared" si="754"/>
        <v>2335</v>
      </c>
      <c r="I2204" s="15">
        <f t="shared" si="765"/>
        <v>716</v>
      </c>
      <c r="J2204" s="15">
        <f>OrdersTable!B2204</f>
        <v>826</v>
      </c>
      <c r="K2204" s="15" t="str">
        <f t="shared" si="755"/>
        <v>Statues and Busts</v>
      </c>
      <c r="L2204" s="15" t="str">
        <f t="shared" si="756"/>
        <v>Doctor Who: Mini Bust: Cyberman</v>
      </c>
      <c r="M2204" s="15" t="str">
        <f t="shared" si="757"/>
        <v>-</v>
      </c>
      <c r="N2204" s="15">
        <f t="shared" si="758"/>
        <v>1.8</v>
      </c>
      <c r="O2204" s="15" t="str">
        <f t="shared" si="759"/>
        <v>A40</v>
      </c>
      <c r="P2204" s="15" t="str">
        <f t="shared" si="760"/>
        <v>Romana Imports</v>
      </c>
      <c r="Q2204" s="15" t="str">
        <f t="shared" si="761"/>
        <v>17 Lalla Ward Road</v>
      </c>
      <c r="R2204" s="3">
        <f>OrdersTable!C2204</f>
        <v>44720</v>
      </c>
      <c r="S2204" s="15">
        <f>OrdersTable!E2204</f>
        <v>4</v>
      </c>
      <c r="T2204" s="15">
        <f t="shared" si="762"/>
        <v>35.99</v>
      </c>
      <c r="U2204" s="15">
        <f t="shared" si="763"/>
        <v>49.13</v>
      </c>
      <c r="V2204" s="15">
        <f t="shared" si="764"/>
        <v>58.3</v>
      </c>
      <c r="W2204" s="15">
        <f>IF(MarkupType="Store Markup",ROUND(V2204+V2204*StoreMarkup,2),IF(MarkupType="Supplier Markup",V2204+V2204*SupplierMarkup,"Error at finding value"))</f>
        <v>91.82</v>
      </c>
      <c r="X2204" s="32" t="str">
        <f t="shared" si="766"/>
        <v>0.00</v>
      </c>
      <c r="Y2204" s="15">
        <f t="shared" si="767"/>
        <v>233.2</v>
      </c>
      <c r="Z2204" s="15">
        <f t="shared" si="768"/>
        <v>367.28</v>
      </c>
      <c r="AA2204" s="15">
        <f>IF(FreightType="Lethbridge-Stewart Freight ",ROUND(2.99+IF(N2204&gt;0.75,(N2204-0.75)*2.25,0)*S2204,2),IF(MarkupType="Supplier Markup",V2204+V2204*SupplierMarkup,"Error at finding value"))</f>
        <v>12.44</v>
      </c>
      <c r="AB2204" s="15">
        <f t="shared" si="769"/>
        <v>0</v>
      </c>
    </row>
    <row r="2205" spans="1:28" x14ac:dyDescent="0.25">
      <c r="A2205" s="16">
        <f>OrdersTable!A2205</f>
        <v>567</v>
      </c>
      <c r="B2205" s="15" t="str">
        <f t="shared" si="749"/>
        <v>Ms</v>
      </c>
      <c r="C2205" s="15" t="str">
        <f t="shared" si="770"/>
        <v>Perkins</v>
      </c>
      <c r="D2205" s="15" t="str">
        <f t="shared" si="750"/>
        <v>Sarah</v>
      </c>
      <c r="E2205" s="15" t="str">
        <f t="shared" si="751"/>
        <v>7 Tengdahl Road</v>
      </c>
      <c r="F2205" s="15" t="str">
        <f t="shared" si="752"/>
        <v>Areegra</v>
      </c>
      <c r="G2205" s="15" t="str">
        <f t="shared" si="753"/>
        <v>VIC</v>
      </c>
      <c r="H2205" s="15">
        <f t="shared" si="754"/>
        <v>3480</v>
      </c>
      <c r="I2205" s="15">
        <f t="shared" si="765"/>
        <v>1559</v>
      </c>
      <c r="J2205" s="15">
        <f>OrdersTable!B2205</f>
        <v>515</v>
      </c>
      <c r="K2205" s="15" t="str">
        <f t="shared" si="755"/>
        <v>Giftware</v>
      </c>
      <c r="L2205" s="15" t="str">
        <f t="shared" si="756"/>
        <v>Doctor Who: Keyring K9</v>
      </c>
      <c r="M2205" s="15" t="str">
        <f t="shared" si="757"/>
        <v>-</v>
      </c>
      <c r="N2205" s="15">
        <f t="shared" si="758"/>
        <v>0.25</v>
      </c>
      <c r="O2205" s="15" t="str">
        <f t="shared" si="759"/>
        <v>A50</v>
      </c>
      <c r="P2205" s="15" t="str">
        <f t="shared" si="760"/>
        <v>Rassilon Ltd.</v>
      </c>
      <c r="Q2205" s="15" t="str">
        <f t="shared" si="761"/>
        <v>82 Richard Mathews Road</v>
      </c>
      <c r="R2205" s="3">
        <f>OrdersTable!C2205</f>
        <v>44720</v>
      </c>
      <c r="S2205" s="15">
        <f>OrdersTable!E2205</f>
        <v>5</v>
      </c>
      <c r="T2205" s="15">
        <f t="shared" si="762"/>
        <v>4.99</v>
      </c>
      <c r="U2205" s="15">
        <f t="shared" si="763"/>
        <v>6.91</v>
      </c>
      <c r="V2205" s="15">
        <f t="shared" si="764"/>
        <v>8.08</v>
      </c>
      <c r="W2205" s="15">
        <f>IF(MarkupType="Store Markup",ROUND(V2205+V2205*StoreMarkup,2),IF(MarkupType="Supplier Markup",V2205+V2205*SupplierMarkup,"Error at finding value"))</f>
        <v>12.73</v>
      </c>
      <c r="X2205" s="32" t="str">
        <f t="shared" si="766"/>
        <v>0.00</v>
      </c>
      <c r="Y2205" s="15">
        <f t="shared" si="767"/>
        <v>40.4</v>
      </c>
      <c r="Z2205" s="15">
        <f t="shared" si="768"/>
        <v>63.65</v>
      </c>
      <c r="AA2205" s="15">
        <f>IF(FreightType="Lethbridge-Stewart Freight ",ROUND(2.99+IF(N2205&gt;0.75,(N2205-0.75)*2.25,0)*S2205,2),IF(MarkupType="Supplier Markup",V2205+V2205*SupplierMarkup,"Error at finding value"))</f>
        <v>2.99</v>
      </c>
      <c r="AB2205" s="15">
        <f t="shared" si="769"/>
        <v>0</v>
      </c>
    </row>
    <row r="2206" spans="1:28" x14ac:dyDescent="0.25">
      <c r="A2206" s="16">
        <f>OrdersTable!A2206</f>
        <v>602</v>
      </c>
      <c r="B2206" s="15" t="str">
        <f t="shared" si="749"/>
        <v>Mr</v>
      </c>
      <c r="C2206" s="15" t="str">
        <f t="shared" si="770"/>
        <v>Spinelli</v>
      </c>
      <c r="D2206" s="15" t="str">
        <f t="shared" si="750"/>
        <v>Paul Walter</v>
      </c>
      <c r="E2206" s="15" t="str">
        <f t="shared" si="751"/>
        <v>35 Azar Drive</v>
      </c>
      <c r="F2206" s="15" t="str">
        <f t="shared" si="752"/>
        <v>Bray Park</v>
      </c>
      <c r="G2206" s="15" t="str">
        <f t="shared" si="753"/>
        <v>QLD</v>
      </c>
      <c r="H2206" s="15">
        <f t="shared" si="754"/>
        <v>4500</v>
      </c>
      <c r="I2206" s="15">
        <f t="shared" si="765"/>
        <v>139</v>
      </c>
      <c r="J2206" s="15">
        <f>OrdersTable!B2206</f>
        <v>769</v>
      </c>
      <c r="K2206" s="15" t="str">
        <f t="shared" si="755"/>
        <v>Statues and Busts</v>
      </c>
      <c r="L2206" s="15" t="str">
        <f t="shared" si="756"/>
        <v>Doctor Who: Legends Forever Bust: Tom Baker</v>
      </c>
      <c r="M2206" s="15" t="str">
        <f t="shared" si="757"/>
        <v>-</v>
      </c>
      <c r="N2206" s="15">
        <f t="shared" si="758"/>
        <v>1.375</v>
      </c>
      <c r="O2206" s="15" t="str">
        <f t="shared" si="759"/>
        <v>A30</v>
      </c>
      <c r="P2206" s="15" t="str">
        <f t="shared" si="760"/>
        <v>Chesterton Enterprises</v>
      </c>
      <c r="Q2206" s="15" t="str">
        <f t="shared" si="761"/>
        <v>41 William Russell Road</v>
      </c>
      <c r="R2206" s="3">
        <f>OrdersTable!C2206</f>
        <v>44720</v>
      </c>
      <c r="S2206" s="15">
        <f>OrdersTable!E2206</f>
        <v>2</v>
      </c>
      <c r="T2206" s="15">
        <f t="shared" si="762"/>
        <v>27.5</v>
      </c>
      <c r="U2206" s="15">
        <f t="shared" si="763"/>
        <v>37.76</v>
      </c>
      <c r="V2206" s="15">
        <f t="shared" si="764"/>
        <v>44.55</v>
      </c>
      <c r="W2206" s="15">
        <f>IF(MarkupType="Store Markup",ROUND(V2206+V2206*StoreMarkup,2),IF(MarkupType="Supplier Markup",V2206+V2206*SupplierMarkup,"Error at finding value"))</f>
        <v>70.17</v>
      </c>
      <c r="X2206" s="32" t="str">
        <f t="shared" si="766"/>
        <v>0.00</v>
      </c>
      <c r="Y2206" s="15">
        <f t="shared" si="767"/>
        <v>89.1</v>
      </c>
      <c r="Z2206" s="15">
        <f t="shared" si="768"/>
        <v>140.34</v>
      </c>
      <c r="AA2206" s="15">
        <f>IF(FreightType="Lethbridge-Stewart Freight ",ROUND(2.99+IF(N2206&gt;0.75,(N2206-0.75)*2.25,0)*S2206,2),IF(MarkupType="Supplier Markup",V2206+V2206*SupplierMarkup,"Error at finding value"))</f>
        <v>5.8</v>
      </c>
      <c r="AB2206" s="15">
        <f t="shared" si="769"/>
        <v>0</v>
      </c>
    </row>
    <row r="2207" spans="1:28" x14ac:dyDescent="0.25">
      <c r="A2207" s="16">
        <f>OrdersTable!A2207</f>
        <v>659</v>
      </c>
      <c r="B2207" s="15" t="str">
        <f t="shared" si="749"/>
        <v>Mr</v>
      </c>
      <c r="C2207" s="15" t="str">
        <f t="shared" si="770"/>
        <v>Douglas</v>
      </c>
      <c r="D2207" s="15" t="str">
        <f t="shared" si="750"/>
        <v>Jason Richard</v>
      </c>
      <c r="E2207" s="15" t="str">
        <f t="shared" si="751"/>
        <v>14 Young Crescent</v>
      </c>
      <c r="F2207" s="15" t="str">
        <f t="shared" si="752"/>
        <v>Caliph</v>
      </c>
      <c r="G2207" s="15" t="str">
        <f t="shared" si="753"/>
        <v>SA</v>
      </c>
      <c r="H2207" s="15">
        <f t="shared" si="754"/>
        <v>5310</v>
      </c>
      <c r="I2207" s="15">
        <f t="shared" si="765"/>
        <v>1720</v>
      </c>
      <c r="J2207" s="15">
        <f>OrdersTable!B2207</f>
        <v>373</v>
      </c>
      <c r="K2207" s="15" t="str">
        <f t="shared" si="755"/>
        <v>Clothing and Apparel</v>
      </c>
      <c r="L2207" s="15" t="str">
        <f t="shared" si="756"/>
        <v xml:space="preserve">Doctor Who: T-Shirts: 5th Doctor Costume </v>
      </c>
      <c r="M2207" s="15" t="str">
        <f t="shared" si="757"/>
        <v>L</v>
      </c>
      <c r="N2207" s="15">
        <f t="shared" si="758"/>
        <v>0.8</v>
      </c>
      <c r="O2207" s="15" t="str">
        <f t="shared" si="759"/>
        <v>A20</v>
      </c>
      <c r="P2207" s="15" t="str">
        <f t="shared" si="760"/>
        <v>Morbius Inc.</v>
      </c>
      <c r="Q2207" s="15" t="str">
        <f t="shared" si="761"/>
        <v>56 Michael Spice Hwy</v>
      </c>
      <c r="R2207" s="3">
        <f>OrdersTable!C2207</f>
        <v>44720</v>
      </c>
      <c r="S2207" s="15">
        <f>OrdersTable!E2207</f>
        <v>6</v>
      </c>
      <c r="T2207" s="15">
        <f t="shared" si="762"/>
        <v>15.99</v>
      </c>
      <c r="U2207" s="15">
        <f t="shared" si="763"/>
        <v>22.09</v>
      </c>
      <c r="V2207" s="15">
        <f t="shared" si="764"/>
        <v>25.9</v>
      </c>
      <c r="W2207" s="15">
        <f>IF(MarkupType="Store Markup",ROUND(V2207+V2207*StoreMarkup,2),IF(MarkupType="Supplier Markup",V2207+V2207*SupplierMarkup,"Error at finding value"))</f>
        <v>40.79</v>
      </c>
      <c r="X2207" s="32" t="str">
        <f t="shared" si="766"/>
        <v>0.00</v>
      </c>
      <c r="Y2207" s="15">
        <f t="shared" si="767"/>
        <v>155.4</v>
      </c>
      <c r="Z2207" s="15">
        <f t="shared" si="768"/>
        <v>244.74</v>
      </c>
      <c r="AA2207" s="15">
        <f>IF(FreightType="Lethbridge-Stewart Freight ",ROUND(2.99+IF(N2207&gt;0.75,(N2207-0.75)*2.25,0)*S2207,2),IF(MarkupType="Supplier Markup",V2207+V2207*SupplierMarkup,"Error at finding value"))</f>
        <v>3.67</v>
      </c>
      <c r="AB2207" s="15">
        <f t="shared" si="769"/>
        <v>0</v>
      </c>
    </row>
    <row r="2208" spans="1:28" x14ac:dyDescent="0.25">
      <c r="A2208" s="16">
        <f>OrdersTable!A2208</f>
        <v>750</v>
      </c>
      <c r="B2208" s="15" t="str">
        <f t="shared" si="749"/>
        <v>Ms</v>
      </c>
      <c r="C2208" s="15" t="str">
        <f t="shared" si="770"/>
        <v>Talbot</v>
      </c>
      <c r="D2208" s="15" t="str">
        <f t="shared" si="750"/>
        <v>Carlie Wenderly</v>
      </c>
      <c r="E2208" s="15" t="str">
        <f t="shared" si="751"/>
        <v>31 Somerville Way</v>
      </c>
      <c r="F2208" s="15" t="str">
        <f t="shared" si="752"/>
        <v>Boston</v>
      </c>
      <c r="G2208" s="15" t="str">
        <f t="shared" si="753"/>
        <v>SA</v>
      </c>
      <c r="H2208" s="15">
        <f t="shared" si="754"/>
        <v>5607</v>
      </c>
      <c r="I2208" s="15">
        <f t="shared" si="765"/>
        <v>2076</v>
      </c>
      <c r="J2208" s="15">
        <f>OrdersTable!B2208</f>
        <v>707</v>
      </c>
      <c r="K2208" s="15" t="str">
        <f t="shared" si="755"/>
        <v>Posters, Prints and Standees</v>
      </c>
      <c r="L2208" s="15" t="str">
        <f t="shared" si="756"/>
        <v>Doctor Who: Poster: Ironside Dalek Blueprint</v>
      </c>
      <c r="M2208" s="15" t="str">
        <f t="shared" si="757"/>
        <v>-</v>
      </c>
      <c r="N2208" s="15">
        <f t="shared" si="758"/>
        <v>0.2</v>
      </c>
      <c r="O2208" s="15" t="str">
        <f t="shared" si="759"/>
        <v>A20</v>
      </c>
      <c r="P2208" s="15" t="str">
        <f t="shared" si="760"/>
        <v>Morbius Inc.</v>
      </c>
      <c r="Q2208" s="15" t="str">
        <f t="shared" si="761"/>
        <v>56 Michael Spice Hwy</v>
      </c>
      <c r="R2208" s="3">
        <f>OrdersTable!C2208</f>
        <v>44720</v>
      </c>
      <c r="S2208" s="15">
        <f>OrdersTable!E2208</f>
        <v>9</v>
      </c>
      <c r="T2208" s="15">
        <f t="shared" si="762"/>
        <v>3.99</v>
      </c>
      <c r="U2208" s="15">
        <f t="shared" si="763"/>
        <v>5.48</v>
      </c>
      <c r="V2208" s="15">
        <f t="shared" si="764"/>
        <v>6.46</v>
      </c>
      <c r="W2208" s="15">
        <f>IF(MarkupType="Store Markup",ROUND(V2208+V2208*StoreMarkup,2),IF(MarkupType="Supplier Markup",V2208+V2208*SupplierMarkup,"Error at finding value"))</f>
        <v>10.17</v>
      </c>
      <c r="X2208" s="32" t="str">
        <f t="shared" si="766"/>
        <v>0.00</v>
      </c>
      <c r="Y2208" s="15">
        <f t="shared" si="767"/>
        <v>58.14</v>
      </c>
      <c r="Z2208" s="15">
        <f t="shared" si="768"/>
        <v>91.53</v>
      </c>
      <c r="AA2208" s="15">
        <f>IF(FreightType="Lethbridge-Stewart Freight ",ROUND(2.99+IF(N2208&gt;0.75,(N2208-0.75)*2.25,0)*S2208,2),IF(MarkupType="Supplier Markup",V2208+V2208*SupplierMarkup,"Error at finding value"))</f>
        <v>2.99</v>
      </c>
      <c r="AB2208" s="15">
        <f t="shared" si="769"/>
        <v>0</v>
      </c>
    </row>
    <row r="2209" spans="1:28" x14ac:dyDescent="0.25">
      <c r="A2209" s="16">
        <f>OrdersTable!A2209</f>
        <v>849</v>
      </c>
      <c r="B2209" s="15" t="str">
        <f t="shared" si="749"/>
        <v>Dr</v>
      </c>
      <c r="C2209" s="15" t="str">
        <f t="shared" si="770"/>
        <v>Blair</v>
      </c>
      <c r="D2209" s="15" t="str">
        <f t="shared" si="750"/>
        <v>Taylor Ashleigh</v>
      </c>
      <c r="E2209" s="15" t="str">
        <f t="shared" si="751"/>
        <v>42 Ward Avenue</v>
      </c>
      <c r="F2209" s="15" t="str">
        <f t="shared" si="752"/>
        <v>Airly</v>
      </c>
      <c r="G2209" s="15" t="str">
        <f t="shared" si="753"/>
        <v>VIC</v>
      </c>
      <c r="H2209" s="15">
        <f t="shared" si="754"/>
        <v>3851</v>
      </c>
      <c r="I2209" s="15">
        <f t="shared" si="765"/>
        <v>1583</v>
      </c>
      <c r="J2209" s="15">
        <f>OrdersTable!B2209</f>
        <v>196</v>
      </c>
      <c r="K2209" s="15" t="str">
        <f t="shared" si="755"/>
        <v>Clothing and Apparel</v>
      </c>
      <c r="L2209" s="15" t="str">
        <f t="shared" si="756"/>
        <v>Doctor Who: 12 Foot Tom Baker Scarf</v>
      </c>
      <c r="M2209" s="15" t="str">
        <f t="shared" si="757"/>
        <v>-</v>
      </c>
      <c r="N2209" s="15">
        <f t="shared" si="758"/>
        <v>2.5</v>
      </c>
      <c r="O2209" s="15" t="str">
        <f t="shared" si="759"/>
        <v>A40</v>
      </c>
      <c r="P2209" s="15" t="str">
        <f t="shared" si="760"/>
        <v>Romana Imports</v>
      </c>
      <c r="Q2209" s="15" t="str">
        <f t="shared" si="761"/>
        <v>17 Lalla Ward Road</v>
      </c>
      <c r="R2209" s="3">
        <f>OrdersTable!C2209</f>
        <v>44720</v>
      </c>
      <c r="S2209" s="15">
        <f>OrdersTable!E2209</f>
        <v>7</v>
      </c>
      <c r="T2209" s="15">
        <f t="shared" si="762"/>
        <v>49.99</v>
      </c>
      <c r="U2209" s="15">
        <f t="shared" si="763"/>
        <v>68.28</v>
      </c>
      <c r="V2209" s="15">
        <f t="shared" si="764"/>
        <v>80.98</v>
      </c>
      <c r="W2209" s="15">
        <f>IF(MarkupType="Store Markup",ROUND(V2209+V2209*StoreMarkup,2),IF(MarkupType="Supplier Markup",V2209+V2209*SupplierMarkup,"Error at finding value"))</f>
        <v>127.54</v>
      </c>
      <c r="X2209" s="32">
        <f t="shared" si="766"/>
        <v>9.09</v>
      </c>
      <c r="Y2209" s="15">
        <f t="shared" si="767"/>
        <v>566.86</v>
      </c>
      <c r="Z2209" s="15">
        <f t="shared" si="768"/>
        <v>829.15</v>
      </c>
      <c r="AA2209" s="15">
        <f>IF(FreightType="Lethbridge-Stewart Freight ",ROUND(2.99+IF(N2209&gt;0.75,(N2209-0.75)*2.25,0)*S2209,2),IF(MarkupType="Supplier Markup",V2209+V2209*SupplierMarkup,"Error at finding value"))</f>
        <v>30.55</v>
      </c>
      <c r="AB2209" s="15">
        <f t="shared" si="769"/>
        <v>63.63</v>
      </c>
    </row>
    <row r="2210" spans="1:28" x14ac:dyDescent="0.25">
      <c r="A2210" s="16">
        <f>OrdersTable!A2210</f>
        <v>961</v>
      </c>
      <c r="B2210" s="15" t="str">
        <f t="shared" si="749"/>
        <v>Ms</v>
      </c>
      <c r="C2210" s="15" t="str">
        <f t="shared" si="770"/>
        <v>Schuh</v>
      </c>
      <c r="D2210" s="15" t="str">
        <f t="shared" si="750"/>
        <v>Rebecca Anne</v>
      </c>
      <c r="E2210" s="15" t="str">
        <f t="shared" si="751"/>
        <v>48 Wilson Court</v>
      </c>
      <c r="F2210" s="15" t="str">
        <f t="shared" si="752"/>
        <v>Breakwater</v>
      </c>
      <c r="G2210" s="15" t="str">
        <f t="shared" si="753"/>
        <v>VIC</v>
      </c>
      <c r="H2210" s="15">
        <f t="shared" si="754"/>
        <v>3219</v>
      </c>
      <c r="I2210" s="15">
        <f t="shared" si="765"/>
        <v>1596</v>
      </c>
      <c r="J2210" s="15">
        <f>OrdersTable!B2210</f>
        <v>862</v>
      </c>
      <c r="K2210" s="15" t="str">
        <f t="shared" si="755"/>
        <v>Statues and Busts</v>
      </c>
      <c r="L2210" s="15" t="str">
        <f t="shared" si="756"/>
        <v>Doctor Who: TITANS: The 10th Doctor</v>
      </c>
      <c r="M2210" s="15" t="str">
        <f t="shared" si="757"/>
        <v>-</v>
      </c>
      <c r="N2210" s="15">
        <f t="shared" si="758"/>
        <v>0.4</v>
      </c>
      <c r="O2210" s="15" t="str">
        <f t="shared" si="759"/>
        <v>A40</v>
      </c>
      <c r="P2210" s="15" t="str">
        <f t="shared" si="760"/>
        <v>Romana Imports</v>
      </c>
      <c r="Q2210" s="15" t="str">
        <f t="shared" si="761"/>
        <v>17 Lalla Ward Road</v>
      </c>
      <c r="R2210" s="3">
        <f>OrdersTable!C2210</f>
        <v>44720</v>
      </c>
      <c r="S2210" s="15">
        <f>OrdersTable!E2210</f>
        <v>2</v>
      </c>
      <c r="T2210" s="15">
        <f t="shared" si="762"/>
        <v>7.99</v>
      </c>
      <c r="U2210" s="15">
        <f t="shared" si="763"/>
        <v>11.01</v>
      </c>
      <c r="V2210" s="15">
        <f t="shared" si="764"/>
        <v>12.94</v>
      </c>
      <c r="W2210" s="15">
        <f>IF(MarkupType="Store Markup",ROUND(V2210+V2210*StoreMarkup,2),IF(MarkupType="Supplier Markup",V2210+V2210*SupplierMarkup,"Error at finding value"))</f>
        <v>20.38</v>
      </c>
      <c r="X2210" s="32" t="str">
        <f t="shared" si="766"/>
        <v>0.00</v>
      </c>
      <c r="Y2210" s="15">
        <f t="shared" si="767"/>
        <v>25.88</v>
      </c>
      <c r="Z2210" s="15">
        <f t="shared" si="768"/>
        <v>40.76</v>
      </c>
      <c r="AA2210" s="15">
        <f>IF(FreightType="Lethbridge-Stewart Freight ",ROUND(2.99+IF(N2210&gt;0.75,(N2210-0.75)*2.25,0)*S2210,2),IF(MarkupType="Supplier Markup",V2210+V2210*SupplierMarkup,"Error at finding value"))</f>
        <v>2.99</v>
      </c>
      <c r="AB2210" s="15">
        <f t="shared" si="769"/>
        <v>0</v>
      </c>
    </row>
    <row r="2211" spans="1:28" x14ac:dyDescent="0.25">
      <c r="A2211" s="16">
        <f>OrdersTable!A2211</f>
        <v>42</v>
      </c>
      <c r="B2211" s="15" t="str">
        <f t="shared" si="749"/>
        <v>Mr</v>
      </c>
      <c r="C2211" s="15" t="str">
        <f t="shared" si="770"/>
        <v>Ballantyne</v>
      </c>
      <c r="D2211" s="15" t="str">
        <f t="shared" si="750"/>
        <v>Barry John</v>
      </c>
      <c r="E2211" s="15" t="str">
        <f t="shared" si="751"/>
        <v>14 Bachmann Drive</v>
      </c>
      <c r="F2211" s="15" t="str">
        <f t="shared" si="752"/>
        <v>Alleena</v>
      </c>
      <c r="G2211" s="15" t="str">
        <f t="shared" si="753"/>
        <v>NSW</v>
      </c>
      <c r="H2211" s="15">
        <f t="shared" si="754"/>
        <v>2671</v>
      </c>
      <c r="I2211" s="15">
        <f t="shared" si="765"/>
        <v>988</v>
      </c>
      <c r="J2211" s="15">
        <f>OrdersTable!B2211</f>
        <v>590</v>
      </c>
      <c r="K2211" s="15" t="str">
        <f t="shared" si="755"/>
        <v>iPhone Skins</v>
      </c>
      <c r="L2211" s="15" t="str">
        <f t="shared" si="756"/>
        <v>Doctor Who: iPhone Skin: Exploding TARDIS</v>
      </c>
      <c r="M2211" s="15" t="str">
        <f t="shared" si="757"/>
        <v>-</v>
      </c>
      <c r="N2211" s="15">
        <f t="shared" si="758"/>
        <v>0.5</v>
      </c>
      <c r="O2211" s="15" t="str">
        <f t="shared" si="759"/>
        <v>A20</v>
      </c>
      <c r="P2211" s="15" t="str">
        <f t="shared" si="760"/>
        <v>Morbius Inc.</v>
      </c>
      <c r="Q2211" s="15" t="str">
        <f t="shared" si="761"/>
        <v>56 Michael Spice Hwy</v>
      </c>
      <c r="R2211" s="3">
        <f>OrdersTable!C2211</f>
        <v>44721</v>
      </c>
      <c r="S2211" s="15">
        <f>OrdersTable!E2211</f>
        <v>1</v>
      </c>
      <c r="T2211" s="15">
        <f t="shared" si="762"/>
        <v>9.99</v>
      </c>
      <c r="U2211" s="15">
        <f t="shared" si="763"/>
        <v>13.86</v>
      </c>
      <c r="V2211" s="15">
        <f t="shared" si="764"/>
        <v>16.18</v>
      </c>
      <c r="W2211" s="15">
        <f>IF(MarkupType="Store Markup",ROUND(V2211+V2211*StoreMarkup,2),IF(MarkupType="Supplier Markup",V2211+V2211*SupplierMarkup,"Error at finding value"))</f>
        <v>25.48</v>
      </c>
      <c r="X2211" s="32" t="str">
        <f t="shared" si="766"/>
        <v>0.00</v>
      </c>
      <c r="Y2211" s="15">
        <f t="shared" si="767"/>
        <v>16.18</v>
      </c>
      <c r="Z2211" s="15">
        <f t="shared" si="768"/>
        <v>25.48</v>
      </c>
      <c r="AA2211" s="15">
        <f>IF(FreightType="Lethbridge-Stewart Freight ",ROUND(2.99+IF(N2211&gt;0.75,(N2211-0.75)*2.25,0)*S2211,2),IF(MarkupType="Supplier Markup",V2211+V2211*SupplierMarkup,"Error at finding value"))</f>
        <v>2.99</v>
      </c>
      <c r="AB2211" s="15">
        <f t="shared" si="769"/>
        <v>0</v>
      </c>
    </row>
    <row r="2212" spans="1:28" x14ac:dyDescent="0.25">
      <c r="A2212" s="16">
        <f>OrdersTable!A2212</f>
        <v>46</v>
      </c>
      <c r="B2212" s="15" t="str">
        <f t="shared" si="749"/>
        <v>Mrs</v>
      </c>
      <c r="C2212" s="15" t="str">
        <f t="shared" si="770"/>
        <v>Dovey</v>
      </c>
      <c r="D2212" s="15" t="str">
        <f t="shared" si="750"/>
        <v>Aisha Jade</v>
      </c>
      <c r="E2212" s="15" t="str">
        <f t="shared" si="751"/>
        <v>43 Wilkes Circuit</v>
      </c>
      <c r="F2212" s="15" t="str">
        <f t="shared" si="752"/>
        <v>Alfredtown</v>
      </c>
      <c r="G2212" s="15" t="str">
        <f t="shared" si="753"/>
        <v>NSW</v>
      </c>
      <c r="H2212" s="15">
        <f t="shared" si="754"/>
        <v>2650</v>
      </c>
      <c r="I2212" s="15">
        <f t="shared" si="765"/>
        <v>1124</v>
      </c>
      <c r="J2212" s="15">
        <f>OrdersTable!B2212</f>
        <v>585</v>
      </c>
      <c r="K2212" s="15" t="str">
        <f t="shared" si="755"/>
        <v>iPhone Skins</v>
      </c>
      <c r="L2212" s="15" t="str">
        <f t="shared" si="756"/>
        <v>Doctor Who: iPhone Skin: Dalek To Victory</v>
      </c>
      <c r="M2212" s="15" t="str">
        <f t="shared" si="757"/>
        <v>-</v>
      </c>
      <c r="N2212" s="15">
        <f t="shared" si="758"/>
        <v>0.5</v>
      </c>
      <c r="O2212" s="15" t="str">
        <f t="shared" si="759"/>
        <v>A10</v>
      </c>
      <c r="P2212" s="15" t="str">
        <f t="shared" si="760"/>
        <v>Gallifrey International</v>
      </c>
      <c r="Q2212" s="15" t="str">
        <f t="shared" si="761"/>
        <v>181 Arcadia Street</v>
      </c>
      <c r="R2212" s="3">
        <f>OrdersTable!C2212</f>
        <v>44721</v>
      </c>
      <c r="S2212" s="15">
        <f>OrdersTable!E2212</f>
        <v>1</v>
      </c>
      <c r="T2212" s="15">
        <f t="shared" si="762"/>
        <v>9.99</v>
      </c>
      <c r="U2212" s="15">
        <f t="shared" si="763"/>
        <v>13.7</v>
      </c>
      <c r="V2212" s="15">
        <f t="shared" si="764"/>
        <v>16.18</v>
      </c>
      <c r="W2212" s="15">
        <f>IF(MarkupType="Store Markup",ROUND(V2212+V2212*StoreMarkup,2),IF(MarkupType="Supplier Markup",V2212+V2212*SupplierMarkup,"Error at finding value"))</f>
        <v>25.48</v>
      </c>
      <c r="X2212" s="32" t="str">
        <f t="shared" si="766"/>
        <v>0.00</v>
      </c>
      <c r="Y2212" s="15">
        <f t="shared" si="767"/>
        <v>16.18</v>
      </c>
      <c r="Z2212" s="15">
        <f t="shared" si="768"/>
        <v>25.48</v>
      </c>
      <c r="AA2212" s="15">
        <f>IF(FreightType="Lethbridge-Stewart Freight ",ROUND(2.99+IF(N2212&gt;0.75,(N2212-0.75)*2.25,0)*S2212,2),IF(MarkupType="Supplier Markup",V2212+V2212*SupplierMarkup,"Error at finding value"))</f>
        <v>2.99</v>
      </c>
      <c r="AB2212" s="15">
        <f t="shared" si="769"/>
        <v>0</v>
      </c>
    </row>
    <row r="2213" spans="1:28" x14ac:dyDescent="0.25">
      <c r="A2213" s="16">
        <f>OrdersTable!A2213</f>
        <v>150</v>
      </c>
      <c r="B2213" s="15" t="str">
        <f t="shared" si="749"/>
        <v>Dr</v>
      </c>
      <c r="C2213" s="15" t="str">
        <f t="shared" si="770"/>
        <v>Taumalolo</v>
      </c>
      <c r="D2213" s="15" t="str">
        <f t="shared" si="750"/>
        <v>Latai Fono-Ki-Moana</v>
      </c>
      <c r="E2213" s="15" t="str">
        <f t="shared" si="751"/>
        <v>13 Taylor Way</v>
      </c>
      <c r="F2213" s="15" t="str">
        <f t="shared" si="752"/>
        <v>Bamboo</v>
      </c>
      <c r="G2213" s="15" t="str">
        <f t="shared" si="753"/>
        <v>QLD</v>
      </c>
      <c r="H2213" s="15">
        <f t="shared" si="754"/>
        <v>4873</v>
      </c>
      <c r="I2213" s="15">
        <f t="shared" si="765"/>
        <v>1741</v>
      </c>
      <c r="J2213" s="15">
        <f>OrdersTable!B2213</f>
        <v>330</v>
      </c>
      <c r="K2213" s="15" t="str">
        <f t="shared" si="755"/>
        <v>Clothing and Apparel</v>
      </c>
      <c r="L2213" s="15" t="str">
        <f t="shared" si="756"/>
        <v xml:space="preserve">Doctor Who: T-Shirts: 4th Doctor Costume </v>
      </c>
      <c r="M2213" s="15" t="str">
        <f t="shared" si="757"/>
        <v>M</v>
      </c>
      <c r="N2213" s="15">
        <f t="shared" si="758"/>
        <v>0.8</v>
      </c>
      <c r="O2213" s="15" t="str">
        <f t="shared" si="759"/>
        <v>A20</v>
      </c>
      <c r="P2213" s="15" t="str">
        <f t="shared" si="760"/>
        <v>Morbius Inc.</v>
      </c>
      <c r="Q2213" s="15" t="str">
        <f t="shared" si="761"/>
        <v>56 Michael Spice Hwy</v>
      </c>
      <c r="R2213" s="3">
        <f>OrdersTable!C2213</f>
        <v>44721</v>
      </c>
      <c r="S2213" s="15">
        <f>OrdersTable!E2213</f>
        <v>1</v>
      </c>
      <c r="T2213" s="15">
        <f t="shared" si="762"/>
        <v>15.99</v>
      </c>
      <c r="U2213" s="15">
        <f t="shared" si="763"/>
        <v>22.03</v>
      </c>
      <c r="V2213" s="15">
        <f t="shared" si="764"/>
        <v>25.9</v>
      </c>
      <c r="W2213" s="15">
        <f>IF(MarkupType="Store Markup",ROUND(V2213+V2213*StoreMarkup,2),IF(MarkupType="Supplier Markup",V2213+V2213*SupplierMarkup,"Error at finding value"))</f>
        <v>40.79</v>
      </c>
      <c r="X2213" s="32" t="str">
        <f t="shared" si="766"/>
        <v>0.00</v>
      </c>
      <c r="Y2213" s="15">
        <f t="shared" si="767"/>
        <v>25.9</v>
      </c>
      <c r="Z2213" s="15">
        <f t="shared" si="768"/>
        <v>40.79</v>
      </c>
      <c r="AA2213" s="15">
        <f>IF(FreightType="Lethbridge-Stewart Freight ",ROUND(2.99+IF(N2213&gt;0.75,(N2213-0.75)*2.25,0)*S2213,2),IF(MarkupType="Supplier Markup",V2213+V2213*SupplierMarkup,"Error at finding value"))</f>
        <v>3.1</v>
      </c>
      <c r="AB2213" s="15">
        <f t="shared" si="769"/>
        <v>0</v>
      </c>
    </row>
    <row r="2214" spans="1:28" x14ac:dyDescent="0.25">
      <c r="A2214" s="16">
        <f>OrdersTable!A2214</f>
        <v>180</v>
      </c>
      <c r="B2214" s="15" t="str">
        <f t="shared" si="749"/>
        <v>Mrs</v>
      </c>
      <c r="C2214" s="15" t="str">
        <f t="shared" si="770"/>
        <v>Feeney</v>
      </c>
      <c r="D2214" s="15" t="str">
        <f t="shared" si="750"/>
        <v>Jennifer Ruth</v>
      </c>
      <c r="E2214" s="15" t="str">
        <f t="shared" si="751"/>
        <v>18 Cook Avenue</v>
      </c>
      <c r="F2214" s="15" t="str">
        <f t="shared" si="752"/>
        <v>Nayook</v>
      </c>
      <c r="G2214" s="15" t="str">
        <f t="shared" si="753"/>
        <v>VIC</v>
      </c>
      <c r="H2214" s="15">
        <f t="shared" si="754"/>
        <v>3832</v>
      </c>
      <c r="I2214" s="15">
        <f t="shared" si="765"/>
        <v>1552</v>
      </c>
      <c r="J2214" s="15">
        <f>OrdersTable!B2214</f>
        <v>685</v>
      </c>
      <c r="K2214" s="15" t="str">
        <f t="shared" si="755"/>
        <v>Mugs</v>
      </c>
      <c r="L2214" s="15" t="str">
        <f t="shared" si="756"/>
        <v>Doctor Who: Teapot: Sliver TARDIS</v>
      </c>
      <c r="M2214" s="15" t="str">
        <f t="shared" si="757"/>
        <v>-</v>
      </c>
      <c r="N2214" s="15">
        <f t="shared" si="758"/>
        <v>1.35</v>
      </c>
      <c r="O2214" s="15" t="str">
        <f t="shared" si="759"/>
        <v>A30</v>
      </c>
      <c r="P2214" s="15" t="str">
        <f t="shared" si="760"/>
        <v>Chesterton Enterprises</v>
      </c>
      <c r="Q2214" s="15" t="str">
        <f t="shared" si="761"/>
        <v>41 William Russell Road</v>
      </c>
      <c r="R2214" s="3">
        <f>OrdersTable!C2214</f>
        <v>44721</v>
      </c>
      <c r="S2214" s="15">
        <f>OrdersTable!E2214</f>
        <v>9</v>
      </c>
      <c r="T2214" s="15">
        <f t="shared" si="762"/>
        <v>26.99</v>
      </c>
      <c r="U2214" s="15">
        <f t="shared" si="763"/>
        <v>36.869999999999997</v>
      </c>
      <c r="V2214" s="15">
        <f t="shared" si="764"/>
        <v>43.72</v>
      </c>
      <c r="W2214" s="15">
        <f>IF(MarkupType="Store Markup",ROUND(V2214+V2214*StoreMarkup,2),IF(MarkupType="Supplier Markup",V2214+V2214*SupplierMarkup,"Error at finding value"))</f>
        <v>68.86</v>
      </c>
      <c r="X2214" s="32" t="str">
        <f t="shared" si="766"/>
        <v>0.00</v>
      </c>
      <c r="Y2214" s="15">
        <f t="shared" si="767"/>
        <v>393.48</v>
      </c>
      <c r="Z2214" s="15">
        <f t="shared" si="768"/>
        <v>619.74</v>
      </c>
      <c r="AA2214" s="15">
        <f>IF(FreightType="Lethbridge-Stewart Freight ",ROUND(2.99+IF(N2214&gt;0.75,(N2214-0.75)*2.25,0)*S2214,2),IF(MarkupType="Supplier Markup",V2214+V2214*SupplierMarkup,"Error at finding value"))</f>
        <v>15.14</v>
      </c>
      <c r="AB2214" s="15">
        <f t="shared" si="769"/>
        <v>0</v>
      </c>
    </row>
    <row r="2215" spans="1:28" x14ac:dyDescent="0.25">
      <c r="A2215" s="16">
        <f>OrdersTable!A2215</f>
        <v>543</v>
      </c>
      <c r="B2215" s="15" t="str">
        <f t="shared" si="749"/>
        <v>Ms</v>
      </c>
      <c r="C2215" s="15" t="str">
        <f t="shared" si="770"/>
        <v>Mendezona</v>
      </c>
      <c r="D2215" s="15" t="str">
        <f t="shared" si="750"/>
        <v>Tara Colleen-Mary</v>
      </c>
      <c r="E2215" s="15" t="str">
        <f t="shared" si="751"/>
        <v>27 Picone Drive</v>
      </c>
      <c r="F2215" s="15" t="str">
        <f t="shared" si="752"/>
        <v>Aberfoyle</v>
      </c>
      <c r="G2215" s="15" t="str">
        <f t="shared" si="753"/>
        <v>NSW</v>
      </c>
      <c r="H2215" s="15">
        <f t="shared" si="754"/>
        <v>2350</v>
      </c>
      <c r="I2215" s="15">
        <f t="shared" si="765"/>
        <v>363</v>
      </c>
      <c r="J2215" s="15">
        <f>OrdersTable!B2215</f>
        <v>239</v>
      </c>
      <c r="K2215" s="15" t="str">
        <f t="shared" si="755"/>
        <v>Clothing and Apparel</v>
      </c>
      <c r="L2215" s="15" t="str">
        <f t="shared" si="756"/>
        <v>Doctor Who: Men's Winter Pyjamas</v>
      </c>
      <c r="M2215" s="15" t="str">
        <f t="shared" si="757"/>
        <v>L</v>
      </c>
      <c r="N2215" s="15">
        <f t="shared" si="758"/>
        <v>1.5</v>
      </c>
      <c r="O2215" s="15" t="str">
        <f t="shared" si="759"/>
        <v>A10</v>
      </c>
      <c r="P2215" s="15" t="str">
        <f t="shared" si="760"/>
        <v>Gallifrey International</v>
      </c>
      <c r="Q2215" s="15" t="str">
        <f t="shared" si="761"/>
        <v>181 Arcadia Street</v>
      </c>
      <c r="R2215" s="3">
        <f>OrdersTable!C2215</f>
        <v>44721</v>
      </c>
      <c r="S2215" s="15">
        <f>OrdersTable!E2215</f>
        <v>6</v>
      </c>
      <c r="T2215" s="15">
        <f t="shared" si="762"/>
        <v>29.99</v>
      </c>
      <c r="U2215" s="15">
        <f t="shared" si="763"/>
        <v>41.23</v>
      </c>
      <c r="V2215" s="15">
        <f t="shared" si="764"/>
        <v>48.58</v>
      </c>
      <c r="W2215" s="15">
        <f>IF(MarkupType="Store Markup",ROUND(V2215+V2215*StoreMarkup,2),IF(MarkupType="Supplier Markup",V2215+V2215*SupplierMarkup,"Error at finding value"))</f>
        <v>76.510000000000005</v>
      </c>
      <c r="X2215" s="32" t="str">
        <f t="shared" si="766"/>
        <v>0.00</v>
      </c>
      <c r="Y2215" s="15">
        <f t="shared" si="767"/>
        <v>291.48</v>
      </c>
      <c r="Z2215" s="15">
        <f t="shared" si="768"/>
        <v>459.06</v>
      </c>
      <c r="AA2215" s="15">
        <f>IF(FreightType="Lethbridge-Stewart Freight ",ROUND(2.99+IF(N2215&gt;0.75,(N2215-0.75)*2.25,0)*S2215,2),IF(MarkupType="Supplier Markup",V2215+V2215*SupplierMarkup,"Error at finding value"))</f>
        <v>13.12</v>
      </c>
      <c r="AB2215" s="15">
        <f t="shared" si="769"/>
        <v>0</v>
      </c>
    </row>
    <row r="2216" spans="1:28" x14ac:dyDescent="0.25">
      <c r="A2216" s="16">
        <f>OrdersTable!A2216</f>
        <v>573</v>
      </c>
      <c r="B2216" s="15" t="str">
        <f t="shared" si="749"/>
        <v>Mrs</v>
      </c>
      <c r="C2216" s="15" t="str">
        <f t="shared" si="770"/>
        <v>Hollonds</v>
      </c>
      <c r="D2216" s="15" t="str">
        <f t="shared" si="750"/>
        <v>Suzan</v>
      </c>
      <c r="E2216" s="15" t="str">
        <f t="shared" si="751"/>
        <v>49 Patel Way</v>
      </c>
      <c r="F2216" s="15" t="str">
        <f t="shared" si="752"/>
        <v>Belconnen</v>
      </c>
      <c r="G2216" s="15" t="str">
        <f t="shared" si="753"/>
        <v>ACT</v>
      </c>
      <c r="H2216" s="15">
        <f t="shared" si="754"/>
        <v>2617</v>
      </c>
      <c r="I2216" s="15">
        <f t="shared" si="765"/>
        <v>1194</v>
      </c>
      <c r="J2216" s="15">
        <f>OrdersTable!B2216</f>
        <v>259</v>
      </c>
      <c r="K2216" s="15" t="str">
        <f t="shared" si="755"/>
        <v>Clothing and Apparel</v>
      </c>
      <c r="L2216" s="15" t="str">
        <f t="shared" si="756"/>
        <v>Doctor Who: Men's Winter Pyjamas</v>
      </c>
      <c r="M2216" s="15" t="str">
        <f t="shared" si="757"/>
        <v>XL</v>
      </c>
      <c r="N2216" s="15">
        <f t="shared" si="758"/>
        <v>1.5</v>
      </c>
      <c r="O2216" s="15" t="str">
        <f t="shared" si="759"/>
        <v>A50</v>
      </c>
      <c r="P2216" s="15" t="str">
        <f t="shared" si="760"/>
        <v>Rassilon Ltd.</v>
      </c>
      <c r="Q2216" s="15" t="str">
        <f t="shared" si="761"/>
        <v>82 Richard Mathews Road</v>
      </c>
      <c r="R2216" s="3">
        <f>OrdersTable!C2216</f>
        <v>44721</v>
      </c>
      <c r="S2216" s="15">
        <f>OrdersTable!E2216</f>
        <v>9</v>
      </c>
      <c r="T2216" s="15">
        <f t="shared" si="762"/>
        <v>29.99</v>
      </c>
      <c r="U2216" s="15">
        <f t="shared" si="763"/>
        <v>41.15</v>
      </c>
      <c r="V2216" s="15">
        <f t="shared" si="764"/>
        <v>48.58</v>
      </c>
      <c r="W2216" s="15">
        <f>IF(MarkupType="Store Markup",ROUND(V2216+V2216*StoreMarkup,2),IF(MarkupType="Supplier Markup",V2216+V2216*SupplierMarkup,"Error at finding value"))</f>
        <v>76.510000000000005</v>
      </c>
      <c r="X2216" s="32" t="str">
        <f t="shared" si="766"/>
        <v>0.00</v>
      </c>
      <c r="Y2216" s="15">
        <f t="shared" si="767"/>
        <v>437.22</v>
      </c>
      <c r="Z2216" s="15">
        <f t="shared" si="768"/>
        <v>688.59</v>
      </c>
      <c r="AA2216" s="15">
        <f>IF(FreightType="Lethbridge-Stewart Freight ",ROUND(2.99+IF(N2216&gt;0.75,(N2216-0.75)*2.25,0)*S2216,2),IF(MarkupType="Supplier Markup",V2216+V2216*SupplierMarkup,"Error at finding value"))</f>
        <v>18.18</v>
      </c>
      <c r="AB2216" s="15">
        <f t="shared" si="769"/>
        <v>0</v>
      </c>
    </row>
    <row r="2217" spans="1:28" x14ac:dyDescent="0.25">
      <c r="A2217" s="16">
        <f>OrdersTable!A2217</f>
        <v>600</v>
      </c>
      <c r="B2217" s="15" t="str">
        <f t="shared" si="749"/>
        <v>Dr</v>
      </c>
      <c r="C2217" s="15" t="str">
        <f t="shared" si="770"/>
        <v>McConnell</v>
      </c>
      <c r="D2217" s="15" t="str">
        <f t="shared" si="750"/>
        <v>Hannah Clair</v>
      </c>
      <c r="E2217" s="15" t="str">
        <f t="shared" si="751"/>
        <v>27 Mccarthy Circuit</v>
      </c>
      <c r="F2217" s="15" t="str">
        <f t="shared" si="752"/>
        <v>Ashford</v>
      </c>
      <c r="G2217" s="15" t="str">
        <f t="shared" si="753"/>
        <v>SA</v>
      </c>
      <c r="H2217" s="15">
        <f t="shared" si="754"/>
        <v>5035</v>
      </c>
      <c r="I2217" s="15">
        <f t="shared" si="765"/>
        <v>1877</v>
      </c>
      <c r="J2217" s="15">
        <f>OrdersTable!B2217</f>
        <v>812</v>
      </c>
      <c r="K2217" s="15" t="str">
        <f t="shared" si="755"/>
        <v>Statues and Busts</v>
      </c>
      <c r="L2217" s="15" t="str">
        <f t="shared" si="756"/>
        <v>Doctor Who: Masterpiece Collection Maxi Bust: Dalek: Day Of The Daleks</v>
      </c>
      <c r="M2217" s="15" t="str">
        <f t="shared" si="757"/>
        <v>-</v>
      </c>
      <c r="N2217" s="15">
        <f t="shared" si="758"/>
        <v>2.5</v>
      </c>
      <c r="O2217" s="15" t="str">
        <f t="shared" si="759"/>
        <v>A20</v>
      </c>
      <c r="P2217" s="15" t="str">
        <f t="shared" si="760"/>
        <v>Morbius Inc.</v>
      </c>
      <c r="Q2217" s="15" t="str">
        <f t="shared" si="761"/>
        <v>56 Michael Spice Hwy</v>
      </c>
      <c r="R2217" s="3">
        <f>OrdersTable!C2217</f>
        <v>44721</v>
      </c>
      <c r="S2217" s="15">
        <f>OrdersTable!E2217</f>
        <v>7</v>
      </c>
      <c r="T2217" s="15">
        <f t="shared" si="762"/>
        <v>49.99</v>
      </c>
      <c r="U2217" s="15">
        <f t="shared" si="763"/>
        <v>68.47</v>
      </c>
      <c r="V2217" s="15">
        <f t="shared" si="764"/>
        <v>80.98</v>
      </c>
      <c r="W2217" s="15">
        <f>IF(MarkupType="Store Markup",ROUND(V2217+V2217*StoreMarkup,2),IF(MarkupType="Supplier Markup",V2217+V2217*SupplierMarkup,"Error at finding value"))</f>
        <v>127.54</v>
      </c>
      <c r="X2217" s="32">
        <f t="shared" si="766"/>
        <v>9.09</v>
      </c>
      <c r="Y2217" s="15">
        <f t="shared" si="767"/>
        <v>566.86</v>
      </c>
      <c r="Z2217" s="15">
        <f t="shared" si="768"/>
        <v>829.15</v>
      </c>
      <c r="AA2217" s="15">
        <f>IF(FreightType="Lethbridge-Stewart Freight ",ROUND(2.99+IF(N2217&gt;0.75,(N2217-0.75)*2.25,0)*S2217,2),IF(MarkupType="Supplier Markup",V2217+V2217*SupplierMarkup,"Error at finding value"))</f>
        <v>30.55</v>
      </c>
      <c r="AB2217" s="15">
        <f t="shared" si="769"/>
        <v>63.63</v>
      </c>
    </row>
    <row r="2218" spans="1:28" x14ac:dyDescent="0.25">
      <c r="A2218" s="16">
        <f>OrdersTable!A2218</f>
        <v>643</v>
      </c>
      <c r="B2218" s="15" t="str">
        <f t="shared" si="749"/>
        <v>Ms</v>
      </c>
      <c r="C2218" s="15" t="str">
        <f t="shared" si="770"/>
        <v>Crispin-Purcell</v>
      </c>
      <c r="D2218" s="15" t="str">
        <f t="shared" si="750"/>
        <v>Gabriellen Elizabeth</v>
      </c>
      <c r="E2218" s="15" t="str">
        <f t="shared" si="751"/>
        <v>12 Williams Road</v>
      </c>
      <c r="F2218" s="15" t="str">
        <f t="shared" si="752"/>
        <v>Appletree Flat</v>
      </c>
      <c r="G2218" s="15" t="str">
        <f t="shared" si="753"/>
        <v>NSW</v>
      </c>
      <c r="H2218" s="15">
        <f t="shared" si="754"/>
        <v>2330</v>
      </c>
      <c r="I2218" s="15">
        <f t="shared" si="765"/>
        <v>691</v>
      </c>
      <c r="J2218" s="15">
        <f>OrdersTable!B2218</f>
        <v>676</v>
      </c>
      <c r="K2218" s="15" t="str">
        <f t="shared" si="755"/>
        <v>Mugs</v>
      </c>
      <c r="L2218" s="15" t="str">
        <f t="shared" si="756"/>
        <v>Doctor Who: Mug: The Eleventh Doctor</v>
      </c>
      <c r="M2218" s="15" t="str">
        <f t="shared" si="757"/>
        <v>-</v>
      </c>
      <c r="N2218" s="15">
        <f t="shared" si="758"/>
        <v>0.45</v>
      </c>
      <c r="O2218" s="15" t="str">
        <f t="shared" si="759"/>
        <v>A20</v>
      </c>
      <c r="P2218" s="15" t="str">
        <f t="shared" si="760"/>
        <v>Morbius Inc.</v>
      </c>
      <c r="Q2218" s="15" t="str">
        <f t="shared" si="761"/>
        <v>56 Michael Spice Hwy</v>
      </c>
      <c r="R2218" s="3">
        <f>OrdersTable!C2218</f>
        <v>44721</v>
      </c>
      <c r="S2218" s="15">
        <f>OrdersTable!E2218</f>
        <v>4</v>
      </c>
      <c r="T2218" s="15">
        <f t="shared" si="762"/>
        <v>8.99</v>
      </c>
      <c r="U2218" s="15">
        <f t="shared" si="763"/>
        <v>12.55</v>
      </c>
      <c r="V2218" s="15">
        <f t="shared" si="764"/>
        <v>14.56</v>
      </c>
      <c r="W2218" s="15">
        <f>IF(MarkupType="Store Markup",ROUND(V2218+V2218*StoreMarkup,2),IF(MarkupType="Supplier Markup",V2218+V2218*SupplierMarkup,"Error at finding value"))</f>
        <v>22.93</v>
      </c>
      <c r="X2218" s="32" t="str">
        <f t="shared" si="766"/>
        <v>0.00</v>
      </c>
      <c r="Y2218" s="15">
        <f t="shared" si="767"/>
        <v>58.24</v>
      </c>
      <c r="Z2218" s="15">
        <f t="shared" si="768"/>
        <v>91.72</v>
      </c>
      <c r="AA2218" s="15">
        <f>IF(FreightType="Lethbridge-Stewart Freight ",ROUND(2.99+IF(N2218&gt;0.75,(N2218-0.75)*2.25,0)*S2218,2),IF(MarkupType="Supplier Markup",V2218+V2218*SupplierMarkup,"Error at finding value"))</f>
        <v>2.99</v>
      </c>
      <c r="AB2218" s="15">
        <f t="shared" si="769"/>
        <v>0</v>
      </c>
    </row>
    <row r="2219" spans="1:28" x14ac:dyDescent="0.25">
      <c r="A2219" s="16">
        <f>OrdersTable!A2219</f>
        <v>643</v>
      </c>
      <c r="B2219" s="15" t="str">
        <f t="shared" si="749"/>
        <v>Ms</v>
      </c>
      <c r="C2219" s="15" t="str">
        <f t="shared" si="770"/>
        <v>Crispin-Purcell</v>
      </c>
      <c r="D2219" s="15" t="str">
        <f t="shared" si="750"/>
        <v>Gabriellen Elizabeth</v>
      </c>
      <c r="E2219" s="15" t="str">
        <f t="shared" si="751"/>
        <v>12 Williams Road</v>
      </c>
      <c r="F2219" s="15" t="str">
        <f t="shared" si="752"/>
        <v>Appletree Flat</v>
      </c>
      <c r="G2219" s="15" t="str">
        <f t="shared" si="753"/>
        <v>NSW</v>
      </c>
      <c r="H2219" s="15">
        <f t="shared" si="754"/>
        <v>2330</v>
      </c>
      <c r="I2219" s="15">
        <f t="shared" si="765"/>
        <v>691</v>
      </c>
      <c r="J2219" s="15">
        <f>OrdersTable!B2219</f>
        <v>843</v>
      </c>
      <c r="K2219" s="15" t="str">
        <f t="shared" si="755"/>
        <v>Statues and Busts</v>
      </c>
      <c r="L2219" s="15" t="str">
        <f t="shared" si="756"/>
        <v>Doctor Who: Signature Edition Statue: Gallifrey Edition: Tom Baker</v>
      </c>
      <c r="M2219" s="15" t="str">
        <f t="shared" si="757"/>
        <v>-</v>
      </c>
      <c r="N2219" s="15">
        <f t="shared" si="758"/>
        <v>2.5</v>
      </c>
      <c r="O2219" s="15" t="str">
        <f t="shared" si="759"/>
        <v>A20</v>
      </c>
      <c r="P2219" s="15" t="str">
        <f t="shared" si="760"/>
        <v>Morbius Inc.</v>
      </c>
      <c r="Q2219" s="15" t="str">
        <f t="shared" si="761"/>
        <v>56 Michael Spice Hwy</v>
      </c>
      <c r="R2219" s="3">
        <f>OrdersTable!C2219</f>
        <v>44721</v>
      </c>
      <c r="S2219" s="15">
        <f>OrdersTable!E2219</f>
        <v>2</v>
      </c>
      <c r="T2219" s="15">
        <f t="shared" si="762"/>
        <v>49.99</v>
      </c>
      <c r="U2219" s="15">
        <f t="shared" si="763"/>
        <v>68.33</v>
      </c>
      <c r="V2219" s="15">
        <f t="shared" si="764"/>
        <v>80.98</v>
      </c>
      <c r="W2219" s="15">
        <f>IF(MarkupType="Store Markup",ROUND(V2219+V2219*StoreMarkup,2),IF(MarkupType="Supplier Markup",V2219+V2219*SupplierMarkup,"Error at finding value"))</f>
        <v>127.54</v>
      </c>
      <c r="X2219" s="32" t="str">
        <f t="shared" si="766"/>
        <v>0.00</v>
      </c>
      <c r="Y2219" s="15">
        <f t="shared" si="767"/>
        <v>161.96</v>
      </c>
      <c r="Z2219" s="15">
        <f t="shared" si="768"/>
        <v>255.08</v>
      </c>
      <c r="AA2219" s="15">
        <f>IF(FreightType="Lethbridge-Stewart Freight ",ROUND(2.99+IF(N2219&gt;0.75,(N2219-0.75)*2.25,0)*S2219,2),IF(MarkupType="Supplier Markup",V2219+V2219*SupplierMarkup,"Error at finding value"))</f>
        <v>10.87</v>
      </c>
      <c r="AB2219" s="15">
        <f t="shared" si="769"/>
        <v>0</v>
      </c>
    </row>
    <row r="2220" spans="1:28" x14ac:dyDescent="0.25">
      <c r="A2220" s="16">
        <f>OrdersTable!A2220</f>
        <v>884</v>
      </c>
      <c r="B2220" s="15" t="str">
        <f t="shared" si="749"/>
        <v>Mr</v>
      </c>
      <c r="C2220" s="15" t="str">
        <f t="shared" si="770"/>
        <v>Smy</v>
      </c>
      <c r="D2220" s="15" t="str">
        <f t="shared" si="750"/>
        <v>Corey Alexander</v>
      </c>
      <c r="E2220" s="15" t="str">
        <f t="shared" si="751"/>
        <v>47 Lindsay Circuit</v>
      </c>
      <c r="F2220" s="15" t="str">
        <f t="shared" si="752"/>
        <v>Boston</v>
      </c>
      <c r="G2220" s="15" t="str">
        <f t="shared" si="753"/>
        <v>SA</v>
      </c>
      <c r="H2220" s="15">
        <f t="shared" si="754"/>
        <v>5607</v>
      </c>
      <c r="I2220" s="15">
        <f t="shared" si="765"/>
        <v>2076</v>
      </c>
      <c r="J2220" s="15">
        <f>OrdersTable!B2220</f>
        <v>607</v>
      </c>
      <c r="K2220" s="15" t="str">
        <f t="shared" si="755"/>
        <v>iPhone Skins</v>
      </c>
      <c r="L2220" s="15" t="str">
        <f t="shared" si="756"/>
        <v>Doctor Who: iPhone Skin: Keep Calm I'm The Doctor</v>
      </c>
      <c r="M2220" s="15" t="str">
        <f t="shared" si="757"/>
        <v>-</v>
      </c>
      <c r="N2220" s="15">
        <f t="shared" si="758"/>
        <v>0.5</v>
      </c>
      <c r="O2220" s="15" t="str">
        <f t="shared" si="759"/>
        <v>A40</v>
      </c>
      <c r="P2220" s="15" t="str">
        <f t="shared" si="760"/>
        <v>Romana Imports</v>
      </c>
      <c r="Q2220" s="15" t="str">
        <f t="shared" si="761"/>
        <v>17 Lalla Ward Road</v>
      </c>
      <c r="R2220" s="3">
        <f>OrdersTable!C2220</f>
        <v>44721</v>
      </c>
      <c r="S2220" s="15">
        <f>OrdersTable!E2220</f>
        <v>8</v>
      </c>
      <c r="T2220" s="15">
        <f t="shared" si="762"/>
        <v>9.99</v>
      </c>
      <c r="U2220" s="15">
        <f t="shared" si="763"/>
        <v>13.81</v>
      </c>
      <c r="V2220" s="15">
        <f t="shared" si="764"/>
        <v>16.18</v>
      </c>
      <c r="W2220" s="15">
        <f>IF(MarkupType="Store Markup",ROUND(V2220+V2220*StoreMarkup,2),IF(MarkupType="Supplier Markup",V2220+V2220*SupplierMarkup,"Error at finding value"))</f>
        <v>25.48</v>
      </c>
      <c r="X2220" s="32" t="str">
        <f t="shared" si="766"/>
        <v>0.00</v>
      </c>
      <c r="Y2220" s="15">
        <f t="shared" si="767"/>
        <v>129.44</v>
      </c>
      <c r="Z2220" s="15">
        <f t="shared" si="768"/>
        <v>203.84</v>
      </c>
      <c r="AA2220" s="15">
        <f>IF(FreightType="Lethbridge-Stewart Freight ",ROUND(2.99+IF(N2220&gt;0.75,(N2220-0.75)*2.25,0)*S2220,2),IF(MarkupType="Supplier Markup",V2220+V2220*SupplierMarkup,"Error at finding value"))</f>
        <v>2.99</v>
      </c>
      <c r="AB2220" s="15">
        <f t="shared" si="769"/>
        <v>0</v>
      </c>
    </row>
    <row r="2221" spans="1:28" x14ac:dyDescent="0.25">
      <c r="A2221" s="16">
        <f>OrdersTable!A2221</f>
        <v>972</v>
      </c>
      <c r="B2221" s="15" t="str">
        <f t="shared" si="749"/>
        <v>Miss</v>
      </c>
      <c r="C2221" s="15" t="str">
        <f t="shared" si="770"/>
        <v>Walsh</v>
      </c>
      <c r="D2221" s="15" t="str">
        <f t="shared" si="750"/>
        <v>Alana Jane</v>
      </c>
      <c r="E2221" s="15" t="str">
        <f t="shared" si="751"/>
        <v>40 Betts Crescent</v>
      </c>
      <c r="F2221" s="15" t="str">
        <f t="shared" si="752"/>
        <v>Alleena</v>
      </c>
      <c r="G2221" s="15" t="str">
        <f t="shared" si="753"/>
        <v>NSW</v>
      </c>
      <c r="H2221" s="15">
        <f t="shared" si="754"/>
        <v>2671</v>
      </c>
      <c r="I2221" s="15">
        <f t="shared" si="765"/>
        <v>988</v>
      </c>
      <c r="J2221" s="15">
        <f>OrdersTable!B2221</f>
        <v>358</v>
      </c>
      <c r="K2221" s="15" t="str">
        <f t="shared" si="755"/>
        <v>Clothing and Apparel</v>
      </c>
      <c r="L2221" s="15" t="str">
        <f t="shared" si="756"/>
        <v xml:space="preserve">Doctor Who: T-Shirts: 5th Doctor Costume </v>
      </c>
      <c r="M2221" s="15" t="str">
        <f t="shared" si="757"/>
        <v>M</v>
      </c>
      <c r="N2221" s="15">
        <f t="shared" si="758"/>
        <v>0.8</v>
      </c>
      <c r="O2221" s="15" t="str">
        <f t="shared" si="759"/>
        <v>A30</v>
      </c>
      <c r="P2221" s="15" t="str">
        <f t="shared" si="760"/>
        <v>Chesterton Enterprises</v>
      </c>
      <c r="Q2221" s="15" t="str">
        <f t="shared" si="761"/>
        <v>41 William Russell Road</v>
      </c>
      <c r="R2221" s="3">
        <f>OrdersTable!C2221</f>
        <v>44721</v>
      </c>
      <c r="S2221" s="15">
        <f>OrdersTable!E2221</f>
        <v>8</v>
      </c>
      <c r="T2221" s="15">
        <f t="shared" si="762"/>
        <v>15.99</v>
      </c>
      <c r="U2221" s="15">
        <f t="shared" si="763"/>
        <v>21.96</v>
      </c>
      <c r="V2221" s="15">
        <f t="shared" si="764"/>
        <v>25.9</v>
      </c>
      <c r="W2221" s="15">
        <f>IF(MarkupType="Store Markup",ROUND(V2221+V2221*StoreMarkup,2),IF(MarkupType="Supplier Markup",V2221+V2221*SupplierMarkup,"Error at finding value"))</f>
        <v>40.79</v>
      </c>
      <c r="X2221" s="32" t="str">
        <f t="shared" si="766"/>
        <v>0.00</v>
      </c>
      <c r="Y2221" s="15">
        <f t="shared" si="767"/>
        <v>207.2</v>
      </c>
      <c r="Z2221" s="15">
        <f t="shared" si="768"/>
        <v>326.32</v>
      </c>
      <c r="AA2221" s="15">
        <f>IF(FreightType="Lethbridge-Stewart Freight ",ROUND(2.99+IF(N2221&gt;0.75,(N2221-0.75)*2.25,0)*S2221,2),IF(MarkupType="Supplier Markup",V2221+V2221*SupplierMarkup,"Error at finding value"))</f>
        <v>3.89</v>
      </c>
      <c r="AB2221" s="15">
        <f t="shared" si="769"/>
        <v>0</v>
      </c>
    </row>
    <row r="2222" spans="1:28" x14ac:dyDescent="0.25">
      <c r="A2222" s="16">
        <f>OrdersTable!A2222</f>
        <v>972</v>
      </c>
      <c r="B2222" s="15" t="str">
        <f t="shared" si="749"/>
        <v>Miss</v>
      </c>
      <c r="C2222" s="15" t="str">
        <f t="shared" si="770"/>
        <v>Walsh</v>
      </c>
      <c r="D2222" s="15" t="str">
        <f t="shared" si="750"/>
        <v>Alana Jane</v>
      </c>
      <c r="E2222" s="15" t="str">
        <f t="shared" si="751"/>
        <v>40 Betts Crescent</v>
      </c>
      <c r="F2222" s="15" t="str">
        <f t="shared" si="752"/>
        <v>Alleena</v>
      </c>
      <c r="G2222" s="15" t="str">
        <f t="shared" si="753"/>
        <v>NSW</v>
      </c>
      <c r="H2222" s="15">
        <f t="shared" si="754"/>
        <v>2671</v>
      </c>
      <c r="I2222" s="15">
        <f t="shared" si="765"/>
        <v>988</v>
      </c>
      <c r="J2222" s="15">
        <f>OrdersTable!B2222</f>
        <v>580</v>
      </c>
      <c r="K2222" s="15" t="str">
        <f t="shared" si="755"/>
        <v>Giftware</v>
      </c>
      <c r="L2222" s="15" t="str">
        <f t="shared" si="756"/>
        <v>Doctor Who: Wallpaper: Classic TARDIS Columns</v>
      </c>
      <c r="M2222" s="15" t="str">
        <f t="shared" si="757"/>
        <v>-</v>
      </c>
      <c r="N2222" s="15">
        <f t="shared" si="758"/>
        <v>0.65500000000000003</v>
      </c>
      <c r="O2222" s="15" t="str">
        <f t="shared" si="759"/>
        <v>A50</v>
      </c>
      <c r="P2222" s="15" t="str">
        <f t="shared" si="760"/>
        <v>Rassilon Ltd.</v>
      </c>
      <c r="Q2222" s="15" t="str">
        <f t="shared" si="761"/>
        <v>82 Richard Mathews Road</v>
      </c>
      <c r="R2222" s="3">
        <f>OrdersTable!C2222</f>
        <v>44721</v>
      </c>
      <c r="S2222" s="15">
        <f>OrdersTable!E2222</f>
        <v>6</v>
      </c>
      <c r="T2222" s="15">
        <f t="shared" si="762"/>
        <v>13.11</v>
      </c>
      <c r="U2222" s="15">
        <f t="shared" si="763"/>
        <v>18.18</v>
      </c>
      <c r="V2222" s="15">
        <f t="shared" si="764"/>
        <v>21.24</v>
      </c>
      <c r="W2222" s="15">
        <f>IF(MarkupType="Store Markup",ROUND(V2222+V2222*StoreMarkup,2),IF(MarkupType="Supplier Markup",V2222+V2222*SupplierMarkup,"Error at finding value"))</f>
        <v>33.450000000000003</v>
      </c>
      <c r="X2222" s="32" t="str">
        <f t="shared" si="766"/>
        <v>0.00</v>
      </c>
      <c r="Y2222" s="15">
        <f t="shared" si="767"/>
        <v>127.44</v>
      </c>
      <c r="Z2222" s="15">
        <f t="shared" si="768"/>
        <v>200.7</v>
      </c>
      <c r="AA2222" s="15">
        <f>IF(FreightType="Lethbridge-Stewart Freight ",ROUND(2.99+IF(N2222&gt;0.75,(N2222-0.75)*2.25,0)*S2222,2),IF(MarkupType="Supplier Markup",V2222+V2222*SupplierMarkup,"Error at finding value"))</f>
        <v>2.99</v>
      </c>
      <c r="AB2222" s="15">
        <f t="shared" si="769"/>
        <v>0</v>
      </c>
    </row>
    <row r="2223" spans="1:28" x14ac:dyDescent="0.25">
      <c r="A2223" s="16">
        <f>OrdersTable!A2223</f>
        <v>200</v>
      </c>
      <c r="B2223" s="15" t="str">
        <f t="shared" si="749"/>
        <v>Ms</v>
      </c>
      <c r="C2223" s="15" t="str">
        <f t="shared" si="770"/>
        <v>Barton</v>
      </c>
      <c r="D2223" s="15" t="str">
        <f t="shared" si="750"/>
        <v>Kimberley</v>
      </c>
      <c r="E2223" s="15" t="str">
        <f t="shared" si="751"/>
        <v>9 Decuyper Road</v>
      </c>
      <c r="F2223" s="15" t="str">
        <f t="shared" si="752"/>
        <v>Ashford</v>
      </c>
      <c r="G2223" s="15" t="str">
        <f t="shared" si="753"/>
        <v>SA</v>
      </c>
      <c r="H2223" s="15">
        <f t="shared" si="754"/>
        <v>5035</v>
      </c>
      <c r="I2223" s="15">
        <f t="shared" si="765"/>
        <v>1877</v>
      </c>
      <c r="J2223" s="15">
        <f>OrdersTable!B2223</f>
        <v>704</v>
      </c>
      <c r="K2223" s="15" t="str">
        <f t="shared" si="755"/>
        <v>Posters, Prints and Standees</v>
      </c>
      <c r="L2223" s="15" t="str">
        <f t="shared" si="756"/>
        <v>Doctor Who: Poster: Doctor's Enemies</v>
      </c>
      <c r="M2223" s="15" t="str">
        <f t="shared" si="757"/>
        <v>-</v>
      </c>
      <c r="N2223" s="15">
        <f t="shared" si="758"/>
        <v>0.2</v>
      </c>
      <c r="O2223" s="15" t="str">
        <f t="shared" si="759"/>
        <v>A30</v>
      </c>
      <c r="P2223" s="15" t="str">
        <f t="shared" si="760"/>
        <v>Chesterton Enterprises</v>
      </c>
      <c r="Q2223" s="15" t="str">
        <f t="shared" si="761"/>
        <v>41 William Russell Road</v>
      </c>
      <c r="R2223" s="3">
        <f>OrdersTable!C2223</f>
        <v>44722</v>
      </c>
      <c r="S2223" s="15">
        <f>OrdersTable!E2223</f>
        <v>3</v>
      </c>
      <c r="T2223" s="15">
        <f t="shared" si="762"/>
        <v>3.99</v>
      </c>
      <c r="U2223" s="15">
        <f t="shared" si="763"/>
        <v>5.52</v>
      </c>
      <c r="V2223" s="15">
        <f t="shared" si="764"/>
        <v>6.46</v>
      </c>
      <c r="W2223" s="15">
        <f>IF(MarkupType="Store Markup",ROUND(V2223+V2223*StoreMarkup,2),IF(MarkupType="Supplier Markup",V2223+V2223*SupplierMarkup,"Error at finding value"))</f>
        <v>10.17</v>
      </c>
      <c r="X2223" s="32" t="str">
        <f t="shared" si="766"/>
        <v>0.00</v>
      </c>
      <c r="Y2223" s="15">
        <f t="shared" si="767"/>
        <v>19.38</v>
      </c>
      <c r="Z2223" s="15">
        <f t="shared" si="768"/>
        <v>30.51</v>
      </c>
      <c r="AA2223" s="15">
        <f>IF(FreightType="Lethbridge-Stewart Freight ",ROUND(2.99+IF(N2223&gt;0.75,(N2223-0.75)*2.25,0)*S2223,2),IF(MarkupType="Supplier Markup",V2223+V2223*SupplierMarkup,"Error at finding value"))</f>
        <v>2.99</v>
      </c>
      <c r="AB2223" s="15">
        <f t="shared" si="769"/>
        <v>0</v>
      </c>
    </row>
    <row r="2224" spans="1:28" x14ac:dyDescent="0.25">
      <c r="A2224" s="16">
        <f>OrdersTable!A2224</f>
        <v>224</v>
      </c>
      <c r="B2224" s="15" t="str">
        <f t="shared" si="749"/>
        <v>Miss</v>
      </c>
      <c r="C2224" s="15" t="str">
        <f t="shared" si="770"/>
        <v>Baruwal</v>
      </c>
      <c r="D2224" s="15" t="str">
        <f t="shared" si="750"/>
        <v>Pratikshya</v>
      </c>
      <c r="E2224" s="15" t="str">
        <f t="shared" si="751"/>
        <v>43 Gilloway Street</v>
      </c>
      <c r="F2224" s="15" t="str">
        <f t="shared" si="752"/>
        <v>Iluka</v>
      </c>
      <c r="G2224" s="15" t="str">
        <f t="shared" si="753"/>
        <v>NSW</v>
      </c>
      <c r="H2224" s="15">
        <f t="shared" si="754"/>
        <v>2466</v>
      </c>
      <c r="I2224" s="15">
        <f t="shared" si="765"/>
        <v>347</v>
      </c>
      <c r="J2224" s="15">
        <f>OrdersTable!B2224</f>
        <v>667</v>
      </c>
      <c r="K2224" s="15" t="str">
        <f t="shared" si="755"/>
        <v>Mugs</v>
      </c>
      <c r="L2224" s="15" t="str">
        <f t="shared" si="756"/>
        <v>Doctor Who: Mug: Keep Calm And Don't Blink</v>
      </c>
      <c r="M2224" s="15" t="str">
        <f t="shared" si="757"/>
        <v>-</v>
      </c>
      <c r="N2224" s="15">
        <f t="shared" si="758"/>
        <v>0.35</v>
      </c>
      <c r="O2224" s="15" t="str">
        <f t="shared" si="759"/>
        <v>A10</v>
      </c>
      <c r="P2224" s="15" t="str">
        <f t="shared" si="760"/>
        <v>Gallifrey International</v>
      </c>
      <c r="Q2224" s="15" t="str">
        <f t="shared" si="761"/>
        <v>181 Arcadia Street</v>
      </c>
      <c r="R2224" s="3">
        <f>OrdersTable!C2224</f>
        <v>44722</v>
      </c>
      <c r="S2224" s="15">
        <f>OrdersTable!E2224</f>
        <v>9</v>
      </c>
      <c r="T2224" s="15">
        <f t="shared" si="762"/>
        <v>6.99</v>
      </c>
      <c r="U2224" s="15">
        <f t="shared" si="763"/>
        <v>9.84</v>
      </c>
      <c r="V2224" s="15">
        <f t="shared" si="764"/>
        <v>11.32</v>
      </c>
      <c r="W2224" s="15">
        <f>IF(MarkupType="Store Markup",ROUND(V2224+V2224*StoreMarkup,2),IF(MarkupType="Supplier Markup",V2224+V2224*SupplierMarkup,"Error at finding value"))</f>
        <v>17.829999999999998</v>
      </c>
      <c r="X2224" s="32" t="str">
        <f t="shared" si="766"/>
        <v>0.00</v>
      </c>
      <c r="Y2224" s="15">
        <f t="shared" si="767"/>
        <v>101.88</v>
      </c>
      <c r="Z2224" s="15">
        <f t="shared" si="768"/>
        <v>160.47</v>
      </c>
      <c r="AA2224" s="15">
        <f>IF(FreightType="Lethbridge-Stewart Freight ",ROUND(2.99+IF(N2224&gt;0.75,(N2224-0.75)*2.25,0)*S2224,2),IF(MarkupType="Supplier Markup",V2224+V2224*SupplierMarkup,"Error at finding value"))</f>
        <v>2.99</v>
      </c>
      <c r="AB2224" s="15">
        <f t="shared" si="769"/>
        <v>0</v>
      </c>
    </row>
    <row r="2225" spans="1:28" x14ac:dyDescent="0.25">
      <c r="A2225" s="16">
        <f>OrdersTable!A2225</f>
        <v>226</v>
      </c>
      <c r="B2225" s="15" t="str">
        <f t="shared" si="749"/>
        <v>Ms</v>
      </c>
      <c r="C2225" s="15" t="str">
        <f t="shared" si="770"/>
        <v>Stewart</v>
      </c>
      <c r="D2225" s="15" t="str">
        <f t="shared" si="750"/>
        <v>Jodi Louise</v>
      </c>
      <c r="E2225" s="15" t="str">
        <f t="shared" si="751"/>
        <v>33 Abington Court</v>
      </c>
      <c r="F2225" s="15" t="str">
        <f t="shared" si="752"/>
        <v>Iluka</v>
      </c>
      <c r="G2225" s="15" t="str">
        <f t="shared" si="753"/>
        <v>NSW</v>
      </c>
      <c r="H2225" s="15">
        <f t="shared" si="754"/>
        <v>2466</v>
      </c>
      <c r="I2225" s="15">
        <f t="shared" si="765"/>
        <v>347</v>
      </c>
      <c r="J2225" s="15">
        <f>OrdersTable!B2225</f>
        <v>671</v>
      </c>
      <c r="K2225" s="15" t="str">
        <f t="shared" si="755"/>
        <v>Mugs</v>
      </c>
      <c r="L2225" s="15" t="str">
        <f t="shared" si="756"/>
        <v>Doctor Who: Mug: TARDIS Inside</v>
      </c>
      <c r="M2225" s="15" t="str">
        <f t="shared" si="757"/>
        <v>-</v>
      </c>
      <c r="N2225" s="15">
        <f t="shared" si="758"/>
        <v>0.6</v>
      </c>
      <c r="O2225" s="15" t="str">
        <f t="shared" si="759"/>
        <v>A30</v>
      </c>
      <c r="P2225" s="15" t="str">
        <f t="shared" si="760"/>
        <v>Chesterton Enterprises</v>
      </c>
      <c r="Q2225" s="15" t="str">
        <f t="shared" si="761"/>
        <v>41 William Russell Road</v>
      </c>
      <c r="R2225" s="3">
        <f>OrdersTable!C2225</f>
        <v>44722</v>
      </c>
      <c r="S2225" s="15">
        <f>OrdersTable!E2225</f>
        <v>9</v>
      </c>
      <c r="T2225" s="15">
        <f t="shared" si="762"/>
        <v>11.99</v>
      </c>
      <c r="U2225" s="15">
        <f t="shared" si="763"/>
        <v>16.690000000000001</v>
      </c>
      <c r="V2225" s="15">
        <f t="shared" si="764"/>
        <v>19.420000000000002</v>
      </c>
      <c r="W2225" s="15">
        <f>IF(MarkupType="Store Markup",ROUND(V2225+V2225*StoreMarkup,2),IF(MarkupType="Supplier Markup",V2225+V2225*SupplierMarkup,"Error at finding value"))</f>
        <v>30.59</v>
      </c>
      <c r="X2225" s="32" t="str">
        <f t="shared" si="766"/>
        <v>0.00</v>
      </c>
      <c r="Y2225" s="15">
        <f t="shared" si="767"/>
        <v>174.78</v>
      </c>
      <c r="Z2225" s="15">
        <f t="shared" si="768"/>
        <v>275.31</v>
      </c>
      <c r="AA2225" s="15">
        <f>IF(FreightType="Lethbridge-Stewart Freight ",ROUND(2.99+IF(N2225&gt;0.75,(N2225-0.75)*2.25,0)*S2225,2),IF(MarkupType="Supplier Markup",V2225+V2225*SupplierMarkup,"Error at finding value"))</f>
        <v>2.99</v>
      </c>
      <c r="AB2225" s="15">
        <f t="shared" si="769"/>
        <v>0</v>
      </c>
    </row>
    <row r="2226" spans="1:28" x14ac:dyDescent="0.25">
      <c r="A2226" s="16">
        <f>OrdersTable!A2226</f>
        <v>254</v>
      </c>
      <c r="B2226" s="15" t="str">
        <f t="shared" si="749"/>
        <v>Miss</v>
      </c>
      <c r="C2226" s="15" t="str">
        <f t="shared" si="770"/>
        <v>Hoolihan</v>
      </c>
      <c r="D2226" s="15" t="str">
        <f t="shared" si="750"/>
        <v>Crystal Claire Grace</v>
      </c>
      <c r="E2226" s="15" t="str">
        <f t="shared" si="751"/>
        <v>7 Van Riet Avenue</v>
      </c>
      <c r="F2226" s="15" t="str">
        <f t="shared" si="752"/>
        <v>Aberfoyle</v>
      </c>
      <c r="G2226" s="15" t="str">
        <f t="shared" si="753"/>
        <v>NSW</v>
      </c>
      <c r="H2226" s="15">
        <f t="shared" si="754"/>
        <v>2350</v>
      </c>
      <c r="I2226" s="15">
        <f t="shared" si="765"/>
        <v>363</v>
      </c>
      <c r="J2226" s="15">
        <f>OrdersTable!B2226</f>
        <v>685</v>
      </c>
      <c r="K2226" s="15" t="str">
        <f t="shared" si="755"/>
        <v>Mugs</v>
      </c>
      <c r="L2226" s="15" t="str">
        <f t="shared" si="756"/>
        <v>Doctor Who: Teapot: Sliver TARDIS</v>
      </c>
      <c r="M2226" s="15" t="str">
        <f t="shared" si="757"/>
        <v>-</v>
      </c>
      <c r="N2226" s="15">
        <f t="shared" si="758"/>
        <v>1.35</v>
      </c>
      <c r="O2226" s="15" t="str">
        <f t="shared" si="759"/>
        <v>A30</v>
      </c>
      <c r="P2226" s="15" t="str">
        <f t="shared" si="760"/>
        <v>Chesterton Enterprises</v>
      </c>
      <c r="Q2226" s="15" t="str">
        <f t="shared" si="761"/>
        <v>41 William Russell Road</v>
      </c>
      <c r="R2226" s="3">
        <f>OrdersTable!C2226</f>
        <v>44722</v>
      </c>
      <c r="S2226" s="15">
        <f>OrdersTable!E2226</f>
        <v>2</v>
      </c>
      <c r="T2226" s="15">
        <f t="shared" si="762"/>
        <v>26.99</v>
      </c>
      <c r="U2226" s="15">
        <f t="shared" si="763"/>
        <v>36.869999999999997</v>
      </c>
      <c r="V2226" s="15">
        <f t="shared" si="764"/>
        <v>43.72</v>
      </c>
      <c r="W2226" s="15">
        <f>IF(MarkupType="Store Markup",ROUND(V2226+V2226*StoreMarkup,2),IF(MarkupType="Supplier Markup",V2226+V2226*SupplierMarkup,"Error at finding value"))</f>
        <v>68.86</v>
      </c>
      <c r="X2226" s="32" t="str">
        <f t="shared" si="766"/>
        <v>0.00</v>
      </c>
      <c r="Y2226" s="15">
        <f t="shared" si="767"/>
        <v>87.44</v>
      </c>
      <c r="Z2226" s="15">
        <f t="shared" si="768"/>
        <v>137.72</v>
      </c>
      <c r="AA2226" s="15">
        <f>IF(FreightType="Lethbridge-Stewart Freight ",ROUND(2.99+IF(N2226&gt;0.75,(N2226-0.75)*2.25,0)*S2226,2),IF(MarkupType="Supplier Markup",V2226+V2226*SupplierMarkup,"Error at finding value"))</f>
        <v>5.69</v>
      </c>
      <c r="AB2226" s="15">
        <f t="shared" si="769"/>
        <v>0</v>
      </c>
    </row>
    <row r="2227" spans="1:28" x14ac:dyDescent="0.25">
      <c r="A2227" s="16">
        <f>OrdersTable!A2227</f>
        <v>282</v>
      </c>
      <c r="B2227" s="15" t="str">
        <f t="shared" si="749"/>
        <v>Dr</v>
      </c>
      <c r="C2227" s="15" t="str">
        <f t="shared" si="770"/>
        <v>Johnson</v>
      </c>
      <c r="D2227" s="15" t="str">
        <f t="shared" si="750"/>
        <v>Samantha Emily Louise</v>
      </c>
      <c r="E2227" s="15" t="str">
        <f t="shared" si="751"/>
        <v>2 Wiggan Avenue</v>
      </c>
      <c r="F2227" s="15" t="str">
        <f t="shared" si="752"/>
        <v>Boston</v>
      </c>
      <c r="G2227" s="15" t="str">
        <f t="shared" si="753"/>
        <v>SA</v>
      </c>
      <c r="H2227" s="15">
        <f t="shared" si="754"/>
        <v>5607</v>
      </c>
      <c r="I2227" s="15">
        <f t="shared" si="765"/>
        <v>2076</v>
      </c>
      <c r="J2227" s="15">
        <f>OrdersTable!B2227</f>
        <v>515</v>
      </c>
      <c r="K2227" s="15" t="str">
        <f t="shared" si="755"/>
        <v>Giftware</v>
      </c>
      <c r="L2227" s="15" t="str">
        <f t="shared" si="756"/>
        <v>Doctor Who: Keyring K9</v>
      </c>
      <c r="M2227" s="15" t="str">
        <f t="shared" si="757"/>
        <v>-</v>
      </c>
      <c r="N2227" s="15">
        <f t="shared" si="758"/>
        <v>0.25</v>
      </c>
      <c r="O2227" s="15" t="str">
        <f t="shared" si="759"/>
        <v>A50</v>
      </c>
      <c r="P2227" s="15" t="str">
        <f t="shared" si="760"/>
        <v>Rassilon Ltd.</v>
      </c>
      <c r="Q2227" s="15" t="str">
        <f t="shared" si="761"/>
        <v>82 Richard Mathews Road</v>
      </c>
      <c r="R2227" s="3">
        <f>OrdersTable!C2227</f>
        <v>44722</v>
      </c>
      <c r="S2227" s="15">
        <f>OrdersTable!E2227</f>
        <v>2</v>
      </c>
      <c r="T2227" s="15">
        <f t="shared" si="762"/>
        <v>4.99</v>
      </c>
      <c r="U2227" s="15">
        <f t="shared" si="763"/>
        <v>6.91</v>
      </c>
      <c r="V2227" s="15">
        <f t="shared" si="764"/>
        <v>8.08</v>
      </c>
      <c r="W2227" s="15">
        <f>IF(MarkupType="Store Markup",ROUND(V2227+V2227*StoreMarkup,2),IF(MarkupType="Supplier Markup",V2227+V2227*SupplierMarkup,"Error at finding value"))</f>
        <v>12.73</v>
      </c>
      <c r="X2227" s="32" t="str">
        <f t="shared" si="766"/>
        <v>0.00</v>
      </c>
      <c r="Y2227" s="15">
        <f t="shared" si="767"/>
        <v>16.16</v>
      </c>
      <c r="Z2227" s="15">
        <f t="shared" si="768"/>
        <v>25.46</v>
      </c>
      <c r="AA2227" s="15">
        <f>IF(FreightType="Lethbridge-Stewart Freight ",ROUND(2.99+IF(N2227&gt;0.75,(N2227-0.75)*2.25,0)*S2227,2),IF(MarkupType="Supplier Markup",V2227+V2227*SupplierMarkup,"Error at finding value"))</f>
        <v>2.99</v>
      </c>
      <c r="AB2227" s="15">
        <f t="shared" si="769"/>
        <v>0</v>
      </c>
    </row>
    <row r="2228" spans="1:28" x14ac:dyDescent="0.25">
      <c r="A2228" s="16">
        <f>OrdersTable!A2228</f>
        <v>285</v>
      </c>
      <c r="B2228" s="15" t="str">
        <f t="shared" si="749"/>
        <v>Mr</v>
      </c>
      <c r="C2228" s="15" t="str">
        <f t="shared" si="770"/>
        <v>Temple Morgan</v>
      </c>
      <c r="D2228" s="15" t="str">
        <f t="shared" si="750"/>
        <v>Mathew Peter</v>
      </c>
      <c r="E2228" s="15" t="str">
        <f t="shared" si="751"/>
        <v>19 Tansky Court</v>
      </c>
      <c r="F2228" s="15" t="str">
        <f t="shared" si="752"/>
        <v>Belford</v>
      </c>
      <c r="G2228" s="15" t="str">
        <f t="shared" si="753"/>
        <v>NSW</v>
      </c>
      <c r="H2228" s="15">
        <f t="shared" si="754"/>
        <v>2335</v>
      </c>
      <c r="I2228" s="15">
        <f t="shared" si="765"/>
        <v>716</v>
      </c>
      <c r="J2228" s="15">
        <f>OrdersTable!B2228</f>
        <v>331</v>
      </c>
      <c r="K2228" s="15" t="str">
        <f t="shared" si="755"/>
        <v>Clothing and Apparel</v>
      </c>
      <c r="L2228" s="15" t="str">
        <f t="shared" si="756"/>
        <v xml:space="preserve">Doctor Who: T-Shirts: 4th Doctor Costume </v>
      </c>
      <c r="M2228" s="15" t="str">
        <f t="shared" si="757"/>
        <v>L</v>
      </c>
      <c r="N2228" s="15">
        <f t="shared" si="758"/>
        <v>0.8</v>
      </c>
      <c r="O2228" s="15" t="str">
        <f t="shared" si="759"/>
        <v>A20</v>
      </c>
      <c r="P2228" s="15" t="str">
        <f t="shared" si="760"/>
        <v>Morbius Inc.</v>
      </c>
      <c r="Q2228" s="15" t="str">
        <f t="shared" si="761"/>
        <v>56 Michael Spice Hwy</v>
      </c>
      <c r="R2228" s="3">
        <f>OrdersTable!C2228</f>
        <v>44722</v>
      </c>
      <c r="S2228" s="15">
        <f>OrdersTable!E2228</f>
        <v>1</v>
      </c>
      <c r="T2228" s="15">
        <f t="shared" si="762"/>
        <v>15.99</v>
      </c>
      <c r="U2228" s="15">
        <f t="shared" si="763"/>
        <v>22.08</v>
      </c>
      <c r="V2228" s="15">
        <f t="shared" si="764"/>
        <v>25.9</v>
      </c>
      <c r="W2228" s="15">
        <f>IF(MarkupType="Store Markup",ROUND(V2228+V2228*StoreMarkup,2),IF(MarkupType="Supplier Markup",V2228+V2228*SupplierMarkup,"Error at finding value"))</f>
        <v>40.79</v>
      </c>
      <c r="X2228" s="32" t="str">
        <f t="shared" si="766"/>
        <v>0.00</v>
      </c>
      <c r="Y2228" s="15">
        <f t="shared" si="767"/>
        <v>25.9</v>
      </c>
      <c r="Z2228" s="15">
        <f t="shared" si="768"/>
        <v>40.79</v>
      </c>
      <c r="AA2228" s="15">
        <f>IF(FreightType="Lethbridge-Stewart Freight ",ROUND(2.99+IF(N2228&gt;0.75,(N2228-0.75)*2.25,0)*S2228,2),IF(MarkupType="Supplier Markup",V2228+V2228*SupplierMarkup,"Error at finding value"))</f>
        <v>3.1</v>
      </c>
      <c r="AB2228" s="15">
        <f t="shared" si="769"/>
        <v>0</v>
      </c>
    </row>
    <row r="2229" spans="1:28" x14ac:dyDescent="0.25">
      <c r="A2229" s="16">
        <f>OrdersTable!A2229</f>
        <v>338</v>
      </c>
      <c r="B2229" s="15" t="str">
        <f t="shared" si="749"/>
        <v>Miss</v>
      </c>
      <c r="C2229" s="15" t="str">
        <f t="shared" si="770"/>
        <v>Pellegrino</v>
      </c>
      <c r="D2229" s="15" t="str">
        <f t="shared" si="750"/>
        <v>Samantha</v>
      </c>
      <c r="E2229" s="15" t="str">
        <f t="shared" si="751"/>
        <v>38 McKeown Street</v>
      </c>
      <c r="F2229" s="15" t="str">
        <f t="shared" si="752"/>
        <v>Avon Plains</v>
      </c>
      <c r="G2229" s="15" t="str">
        <f t="shared" si="753"/>
        <v>VIC</v>
      </c>
      <c r="H2229" s="15">
        <f t="shared" si="754"/>
        <v>3477</v>
      </c>
      <c r="I2229" s="15">
        <f t="shared" si="765"/>
        <v>1565</v>
      </c>
      <c r="J2229" s="15">
        <f>OrdersTable!B2229</f>
        <v>667</v>
      </c>
      <c r="K2229" s="15" t="str">
        <f t="shared" si="755"/>
        <v>Mugs</v>
      </c>
      <c r="L2229" s="15" t="str">
        <f t="shared" si="756"/>
        <v>Doctor Who: Mug: Keep Calm And Don't Blink</v>
      </c>
      <c r="M2229" s="15" t="str">
        <f t="shared" si="757"/>
        <v>-</v>
      </c>
      <c r="N2229" s="15">
        <f t="shared" si="758"/>
        <v>0.35</v>
      </c>
      <c r="O2229" s="15" t="str">
        <f t="shared" si="759"/>
        <v>A10</v>
      </c>
      <c r="P2229" s="15" t="str">
        <f t="shared" si="760"/>
        <v>Gallifrey International</v>
      </c>
      <c r="Q2229" s="15" t="str">
        <f t="shared" si="761"/>
        <v>181 Arcadia Street</v>
      </c>
      <c r="R2229" s="3">
        <f>OrdersTable!C2229</f>
        <v>44722</v>
      </c>
      <c r="S2229" s="15">
        <f>OrdersTable!E2229</f>
        <v>5</v>
      </c>
      <c r="T2229" s="15">
        <f t="shared" si="762"/>
        <v>6.99</v>
      </c>
      <c r="U2229" s="15">
        <f t="shared" si="763"/>
        <v>9.84</v>
      </c>
      <c r="V2229" s="15">
        <f t="shared" si="764"/>
        <v>11.32</v>
      </c>
      <c r="W2229" s="15">
        <f>IF(MarkupType="Store Markup",ROUND(V2229+V2229*StoreMarkup,2),IF(MarkupType="Supplier Markup",V2229+V2229*SupplierMarkup,"Error at finding value"))</f>
        <v>17.829999999999998</v>
      </c>
      <c r="X2229" s="32" t="str">
        <f t="shared" si="766"/>
        <v>0.00</v>
      </c>
      <c r="Y2229" s="15">
        <f t="shared" si="767"/>
        <v>56.6</v>
      </c>
      <c r="Z2229" s="15">
        <f t="shared" si="768"/>
        <v>89.15</v>
      </c>
      <c r="AA2229" s="15">
        <f>IF(FreightType="Lethbridge-Stewart Freight ",ROUND(2.99+IF(N2229&gt;0.75,(N2229-0.75)*2.25,0)*S2229,2),IF(MarkupType="Supplier Markup",V2229+V2229*SupplierMarkup,"Error at finding value"))</f>
        <v>2.99</v>
      </c>
      <c r="AB2229" s="15">
        <f t="shared" si="769"/>
        <v>0</v>
      </c>
    </row>
    <row r="2230" spans="1:28" x14ac:dyDescent="0.25">
      <c r="A2230" s="16">
        <f>OrdersTable!A2230</f>
        <v>491</v>
      </c>
      <c r="B2230" s="15" t="str">
        <f t="shared" si="749"/>
        <v>Miss</v>
      </c>
      <c r="C2230" s="15" t="str">
        <f t="shared" si="770"/>
        <v>Winks</v>
      </c>
      <c r="D2230" s="15" t="str">
        <f t="shared" si="750"/>
        <v>Lori-Ann</v>
      </c>
      <c r="E2230" s="15" t="str">
        <f t="shared" si="751"/>
        <v>40 Lyne Street</v>
      </c>
      <c r="F2230" s="15" t="str">
        <f t="shared" si="752"/>
        <v>Bray Park</v>
      </c>
      <c r="G2230" s="15" t="str">
        <f t="shared" si="753"/>
        <v>QLD</v>
      </c>
      <c r="H2230" s="15">
        <f t="shared" si="754"/>
        <v>4500</v>
      </c>
      <c r="I2230" s="15">
        <f t="shared" si="765"/>
        <v>139</v>
      </c>
      <c r="J2230" s="15">
        <f>OrdersTable!B2230</f>
        <v>840</v>
      </c>
      <c r="K2230" s="15" t="str">
        <f t="shared" si="755"/>
        <v>Statues and Busts</v>
      </c>
      <c r="L2230" s="15" t="str">
        <f t="shared" si="756"/>
        <v>Doctor Who: Signature Edition Statue: Gallifrey Edition: Patrick Troughton</v>
      </c>
      <c r="M2230" s="15" t="str">
        <f t="shared" si="757"/>
        <v>-</v>
      </c>
      <c r="N2230" s="15">
        <f t="shared" si="758"/>
        <v>2.5</v>
      </c>
      <c r="O2230" s="15" t="str">
        <f t="shared" si="759"/>
        <v>A40</v>
      </c>
      <c r="P2230" s="15" t="str">
        <f t="shared" si="760"/>
        <v>Romana Imports</v>
      </c>
      <c r="Q2230" s="15" t="str">
        <f t="shared" si="761"/>
        <v>17 Lalla Ward Road</v>
      </c>
      <c r="R2230" s="3">
        <f>OrdersTable!C2230</f>
        <v>44722</v>
      </c>
      <c r="S2230" s="15">
        <f>OrdersTable!E2230</f>
        <v>2</v>
      </c>
      <c r="T2230" s="15">
        <f t="shared" si="762"/>
        <v>49.99</v>
      </c>
      <c r="U2230" s="15">
        <f t="shared" si="763"/>
        <v>68.510000000000005</v>
      </c>
      <c r="V2230" s="15">
        <f t="shared" si="764"/>
        <v>80.98</v>
      </c>
      <c r="W2230" s="15">
        <f>IF(MarkupType="Store Markup",ROUND(V2230+V2230*StoreMarkup,2),IF(MarkupType="Supplier Markup",V2230+V2230*SupplierMarkup,"Error at finding value"))</f>
        <v>127.54</v>
      </c>
      <c r="X2230" s="32" t="str">
        <f t="shared" si="766"/>
        <v>0.00</v>
      </c>
      <c r="Y2230" s="15">
        <f t="shared" si="767"/>
        <v>161.96</v>
      </c>
      <c r="Z2230" s="15">
        <f t="shared" si="768"/>
        <v>255.08</v>
      </c>
      <c r="AA2230" s="15">
        <f>IF(FreightType="Lethbridge-Stewart Freight ",ROUND(2.99+IF(N2230&gt;0.75,(N2230-0.75)*2.25,0)*S2230,2),IF(MarkupType="Supplier Markup",V2230+V2230*SupplierMarkup,"Error at finding value"))</f>
        <v>10.87</v>
      </c>
      <c r="AB2230" s="15">
        <f t="shared" si="769"/>
        <v>0</v>
      </c>
    </row>
    <row r="2231" spans="1:28" x14ac:dyDescent="0.25">
      <c r="A2231" s="16">
        <f>OrdersTable!A2231</f>
        <v>515</v>
      </c>
      <c r="B2231" s="15" t="str">
        <f t="shared" si="749"/>
        <v>Mr</v>
      </c>
      <c r="C2231" s="15" t="str">
        <f t="shared" si="770"/>
        <v>Noffke</v>
      </c>
      <c r="D2231" s="15" t="str">
        <f t="shared" si="750"/>
        <v>William Thomas</v>
      </c>
      <c r="E2231" s="15" t="str">
        <f t="shared" si="751"/>
        <v>20 Tyler Drive</v>
      </c>
      <c r="F2231" s="15" t="str">
        <f t="shared" si="752"/>
        <v>Areegra</v>
      </c>
      <c r="G2231" s="15" t="str">
        <f t="shared" si="753"/>
        <v>VIC</v>
      </c>
      <c r="H2231" s="15">
        <f t="shared" si="754"/>
        <v>3480</v>
      </c>
      <c r="I2231" s="15">
        <f t="shared" si="765"/>
        <v>1559</v>
      </c>
      <c r="J2231" s="15">
        <f>OrdersTable!B2231</f>
        <v>711</v>
      </c>
      <c r="K2231" s="15" t="str">
        <f t="shared" si="755"/>
        <v>Posters, Prints and Standees</v>
      </c>
      <c r="L2231" s="15" t="str">
        <f t="shared" si="756"/>
        <v>Doctor Who: Poster: TARDIS Door Poster</v>
      </c>
      <c r="M2231" s="15" t="str">
        <f t="shared" si="757"/>
        <v>-</v>
      </c>
      <c r="N2231" s="15">
        <f t="shared" si="758"/>
        <v>0.3</v>
      </c>
      <c r="O2231" s="15" t="str">
        <f t="shared" si="759"/>
        <v>A20</v>
      </c>
      <c r="P2231" s="15" t="str">
        <f t="shared" si="760"/>
        <v>Morbius Inc.</v>
      </c>
      <c r="Q2231" s="15" t="str">
        <f t="shared" si="761"/>
        <v>56 Michael Spice Hwy</v>
      </c>
      <c r="R2231" s="3">
        <f>OrdersTable!C2231</f>
        <v>44722</v>
      </c>
      <c r="S2231" s="15">
        <f>OrdersTable!E2231</f>
        <v>5</v>
      </c>
      <c r="T2231" s="15">
        <f t="shared" si="762"/>
        <v>5.99</v>
      </c>
      <c r="U2231" s="15">
        <f t="shared" si="763"/>
        <v>8.41</v>
      </c>
      <c r="V2231" s="15">
        <f t="shared" si="764"/>
        <v>9.6999999999999993</v>
      </c>
      <c r="W2231" s="15">
        <f>IF(MarkupType="Store Markup",ROUND(V2231+V2231*StoreMarkup,2),IF(MarkupType="Supplier Markup",V2231+V2231*SupplierMarkup,"Error at finding value"))</f>
        <v>15.28</v>
      </c>
      <c r="X2231" s="32" t="str">
        <f t="shared" si="766"/>
        <v>0.00</v>
      </c>
      <c r="Y2231" s="15">
        <f t="shared" si="767"/>
        <v>48.5</v>
      </c>
      <c r="Z2231" s="15">
        <f t="shared" si="768"/>
        <v>76.400000000000006</v>
      </c>
      <c r="AA2231" s="15">
        <f>IF(FreightType="Lethbridge-Stewart Freight ",ROUND(2.99+IF(N2231&gt;0.75,(N2231-0.75)*2.25,0)*S2231,2),IF(MarkupType="Supplier Markup",V2231+V2231*SupplierMarkup,"Error at finding value"))</f>
        <v>2.99</v>
      </c>
      <c r="AB2231" s="15">
        <f t="shared" si="769"/>
        <v>0</v>
      </c>
    </row>
    <row r="2232" spans="1:28" x14ac:dyDescent="0.25">
      <c r="A2232" s="16">
        <f>OrdersTable!A2232</f>
        <v>586</v>
      </c>
      <c r="B2232" s="15" t="str">
        <f t="shared" si="749"/>
        <v>Dr</v>
      </c>
      <c r="C2232" s="15" t="str">
        <f t="shared" si="770"/>
        <v>Coetzee</v>
      </c>
      <c r="D2232" s="15" t="str">
        <f t="shared" si="750"/>
        <v>Riekert</v>
      </c>
      <c r="E2232" s="15" t="str">
        <f t="shared" si="751"/>
        <v>5 Western Road</v>
      </c>
      <c r="F2232" s="15" t="str">
        <f t="shared" si="752"/>
        <v>Alfredtown</v>
      </c>
      <c r="G2232" s="15" t="str">
        <f t="shared" si="753"/>
        <v>NSW</v>
      </c>
      <c r="H2232" s="15">
        <f t="shared" si="754"/>
        <v>2650</v>
      </c>
      <c r="I2232" s="15">
        <f t="shared" si="765"/>
        <v>1124</v>
      </c>
      <c r="J2232" s="15">
        <f>OrdersTable!B2232</f>
        <v>707</v>
      </c>
      <c r="K2232" s="15" t="str">
        <f t="shared" si="755"/>
        <v>Posters, Prints and Standees</v>
      </c>
      <c r="L2232" s="15" t="str">
        <f t="shared" si="756"/>
        <v>Doctor Who: Poster: Ironside Dalek Blueprint</v>
      </c>
      <c r="M2232" s="15" t="str">
        <f t="shared" si="757"/>
        <v>-</v>
      </c>
      <c r="N2232" s="15">
        <f t="shared" si="758"/>
        <v>0.2</v>
      </c>
      <c r="O2232" s="15" t="str">
        <f t="shared" si="759"/>
        <v>A20</v>
      </c>
      <c r="P2232" s="15" t="str">
        <f t="shared" si="760"/>
        <v>Morbius Inc.</v>
      </c>
      <c r="Q2232" s="15" t="str">
        <f t="shared" si="761"/>
        <v>56 Michael Spice Hwy</v>
      </c>
      <c r="R2232" s="3">
        <f>OrdersTable!C2232</f>
        <v>44722</v>
      </c>
      <c r="S2232" s="15">
        <f>OrdersTable!E2232</f>
        <v>7</v>
      </c>
      <c r="T2232" s="15">
        <f t="shared" si="762"/>
        <v>3.99</v>
      </c>
      <c r="U2232" s="15">
        <f t="shared" si="763"/>
        <v>5.48</v>
      </c>
      <c r="V2232" s="15">
        <f t="shared" si="764"/>
        <v>6.46</v>
      </c>
      <c r="W2232" s="15">
        <f>IF(MarkupType="Store Markup",ROUND(V2232+V2232*StoreMarkup,2),IF(MarkupType="Supplier Markup",V2232+V2232*SupplierMarkup,"Error at finding value"))</f>
        <v>10.17</v>
      </c>
      <c r="X2232" s="32" t="str">
        <f t="shared" si="766"/>
        <v>0.00</v>
      </c>
      <c r="Y2232" s="15">
        <f t="shared" si="767"/>
        <v>45.22</v>
      </c>
      <c r="Z2232" s="15">
        <f t="shared" si="768"/>
        <v>71.19</v>
      </c>
      <c r="AA2232" s="15">
        <f>IF(FreightType="Lethbridge-Stewart Freight ",ROUND(2.99+IF(N2232&gt;0.75,(N2232-0.75)*2.25,0)*S2232,2),IF(MarkupType="Supplier Markup",V2232+V2232*SupplierMarkup,"Error at finding value"))</f>
        <v>2.99</v>
      </c>
      <c r="AB2232" s="15">
        <f t="shared" si="769"/>
        <v>0</v>
      </c>
    </row>
    <row r="2233" spans="1:28" x14ac:dyDescent="0.25">
      <c r="A2233" s="16">
        <f>OrdersTable!A2233</f>
        <v>594</v>
      </c>
      <c r="B2233" s="15" t="str">
        <f t="shared" si="749"/>
        <v>Mrs</v>
      </c>
      <c r="C2233" s="15" t="str">
        <f t="shared" si="770"/>
        <v>Entriken</v>
      </c>
      <c r="D2233" s="15" t="str">
        <f t="shared" si="750"/>
        <v>Gwenda Dawn</v>
      </c>
      <c r="E2233" s="15" t="str">
        <f t="shared" si="751"/>
        <v>8 Miljkovic Drive</v>
      </c>
      <c r="F2233" s="15" t="str">
        <f t="shared" si="752"/>
        <v>Nayook</v>
      </c>
      <c r="G2233" s="15" t="str">
        <f t="shared" si="753"/>
        <v>VIC</v>
      </c>
      <c r="H2233" s="15">
        <f t="shared" si="754"/>
        <v>3832</v>
      </c>
      <c r="I2233" s="15">
        <f t="shared" si="765"/>
        <v>1552</v>
      </c>
      <c r="J2233" s="15">
        <f>OrdersTable!B2233</f>
        <v>699</v>
      </c>
      <c r="K2233" s="15" t="str">
        <f t="shared" si="755"/>
        <v>Posters, Prints and Standees</v>
      </c>
      <c r="L2233" s="15" t="str">
        <f t="shared" si="756"/>
        <v>Doctor Who: Half Sized Standee: The Master</v>
      </c>
      <c r="M2233" s="15" t="str">
        <f t="shared" si="757"/>
        <v>-</v>
      </c>
      <c r="N2233" s="15">
        <f t="shared" si="758"/>
        <v>0.5</v>
      </c>
      <c r="O2233" s="15" t="str">
        <f t="shared" si="759"/>
        <v>A20</v>
      </c>
      <c r="P2233" s="15" t="str">
        <f t="shared" si="760"/>
        <v>Morbius Inc.</v>
      </c>
      <c r="Q2233" s="15" t="str">
        <f t="shared" si="761"/>
        <v>56 Michael Spice Hwy</v>
      </c>
      <c r="R2233" s="3">
        <f>OrdersTable!C2233</f>
        <v>44722</v>
      </c>
      <c r="S2233" s="15">
        <f>OrdersTable!E2233</f>
        <v>6</v>
      </c>
      <c r="T2233" s="15">
        <f t="shared" si="762"/>
        <v>9.99</v>
      </c>
      <c r="U2233" s="15">
        <f t="shared" si="763"/>
        <v>13.79</v>
      </c>
      <c r="V2233" s="15">
        <f t="shared" si="764"/>
        <v>16.18</v>
      </c>
      <c r="W2233" s="15">
        <f>IF(MarkupType="Store Markup",ROUND(V2233+V2233*StoreMarkup,2),IF(MarkupType="Supplier Markup",V2233+V2233*SupplierMarkup,"Error at finding value"))</f>
        <v>25.48</v>
      </c>
      <c r="X2233" s="32" t="str">
        <f t="shared" si="766"/>
        <v>0.00</v>
      </c>
      <c r="Y2233" s="15">
        <f t="shared" si="767"/>
        <v>97.08</v>
      </c>
      <c r="Z2233" s="15">
        <f t="shared" si="768"/>
        <v>152.88</v>
      </c>
      <c r="AA2233" s="15">
        <f>IF(FreightType="Lethbridge-Stewart Freight ",ROUND(2.99+IF(N2233&gt;0.75,(N2233-0.75)*2.25,0)*S2233,2),IF(MarkupType="Supplier Markup",V2233+V2233*SupplierMarkup,"Error at finding value"))</f>
        <v>2.99</v>
      </c>
      <c r="AB2233" s="15">
        <f t="shared" si="769"/>
        <v>0</v>
      </c>
    </row>
    <row r="2234" spans="1:28" x14ac:dyDescent="0.25">
      <c r="A2234" s="16">
        <f>OrdersTable!A2234</f>
        <v>730</v>
      </c>
      <c r="B2234" s="15" t="str">
        <f t="shared" si="749"/>
        <v>Mr</v>
      </c>
      <c r="C2234" s="15" t="str">
        <f t="shared" si="770"/>
        <v>Romer</v>
      </c>
      <c r="D2234" s="15" t="str">
        <f t="shared" si="750"/>
        <v>Leo Alexander</v>
      </c>
      <c r="E2234" s="15" t="str">
        <f t="shared" si="751"/>
        <v>47 Bennett Circuit</v>
      </c>
      <c r="F2234" s="15" t="str">
        <f t="shared" si="752"/>
        <v>Caliph</v>
      </c>
      <c r="G2234" s="15" t="str">
        <f t="shared" si="753"/>
        <v>SA</v>
      </c>
      <c r="H2234" s="15">
        <f t="shared" si="754"/>
        <v>5310</v>
      </c>
      <c r="I2234" s="15">
        <f t="shared" si="765"/>
        <v>1720</v>
      </c>
      <c r="J2234" s="15">
        <f>OrdersTable!B2234</f>
        <v>689</v>
      </c>
      <c r="K2234" s="15" t="str">
        <f t="shared" si="755"/>
        <v>Posters, Prints and Standees</v>
      </c>
      <c r="L2234" s="15" t="str">
        <f t="shared" si="756"/>
        <v>Doctor Who: 16'x12' Framed Print: Cold War</v>
      </c>
      <c r="M2234" s="15" t="str">
        <f t="shared" si="757"/>
        <v>-</v>
      </c>
      <c r="N2234" s="15">
        <f t="shared" si="758"/>
        <v>0.75</v>
      </c>
      <c r="O2234" s="15" t="str">
        <f t="shared" si="759"/>
        <v>A50</v>
      </c>
      <c r="P2234" s="15" t="str">
        <f t="shared" si="760"/>
        <v>Rassilon Ltd.</v>
      </c>
      <c r="Q2234" s="15" t="str">
        <f t="shared" si="761"/>
        <v>82 Richard Mathews Road</v>
      </c>
      <c r="R2234" s="3">
        <f>OrdersTable!C2234</f>
        <v>44722</v>
      </c>
      <c r="S2234" s="15">
        <f>OrdersTable!E2234</f>
        <v>2</v>
      </c>
      <c r="T2234" s="15">
        <f t="shared" si="762"/>
        <v>14.99</v>
      </c>
      <c r="U2234" s="15">
        <f t="shared" si="763"/>
        <v>20.77</v>
      </c>
      <c r="V2234" s="15">
        <f t="shared" si="764"/>
        <v>24.28</v>
      </c>
      <c r="W2234" s="15">
        <f>IF(MarkupType="Store Markup",ROUND(V2234+V2234*StoreMarkup,2),IF(MarkupType="Supplier Markup",V2234+V2234*SupplierMarkup,"Error at finding value"))</f>
        <v>38.24</v>
      </c>
      <c r="X2234" s="32" t="str">
        <f t="shared" si="766"/>
        <v>0.00</v>
      </c>
      <c r="Y2234" s="15">
        <f t="shared" si="767"/>
        <v>48.56</v>
      </c>
      <c r="Z2234" s="15">
        <f t="shared" si="768"/>
        <v>76.48</v>
      </c>
      <c r="AA2234" s="15">
        <f>IF(FreightType="Lethbridge-Stewart Freight ",ROUND(2.99+IF(N2234&gt;0.75,(N2234-0.75)*2.25,0)*S2234,2),IF(MarkupType="Supplier Markup",V2234+V2234*SupplierMarkup,"Error at finding value"))</f>
        <v>2.99</v>
      </c>
      <c r="AB2234" s="15">
        <f t="shared" si="769"/>
        <v>0</v>
      </c>
    </row>
    <row r="2235" spans="1:28" x14ac:dyDescent="0.25">
      <c r="A2235" s="16">
        <f>OrdersTable!A2235</f>
        <v>761</v>
      </c>
      <c r="B2235" s="15" t="str">
        <f t="shared" si="749"/>
        <v>Miss</v>
      </c>
      <c r="C2235" s="15" t="str">
        <f t="shared" si="770"/>
        <v>Randall</v>
      </c>
      <c r="D2235" s="15" t="str">
        <f t="shared" si="750"/>
        <v>Kylee</v>
      </c>
      <c r="E2235" s="15" t="str">
        <f t="shared" si="751"/>
        <v>45 Cremasco Avenue</v>
      </c>
      <c r="F2235" s="15" t="str">
        <f t="shared" si="752"/>
        <v>Breakwater</v>
      </c>
      <c r="G2235" s="15" t="str">
        <f t="shared" si="753"/>
        <v>VIC</v>
      </c>
      <c r="H2235" s="15">
        <f t="shared" si="754"/>
        <v>3219</v>
      </c>
      <c r="I2235" s="15">
        <f t="shared" si="765"/>
        <v>1596</v>
      </c>
      <c r="J2235" s="15">
        <f>OrdersTable!B2235</f>
        <v>341</v>
      </c>
      <c r="K2235" s="15" t="str">
        <f t="shared" si="755"/>
        <v>Clothing and Apparel</v>
      </c>
      <c r="L2235" s="15" t="str">
        <f t="shared" si="756"/>
        <v xml:space="preserve">Doctor Who: T-Shirts: 4th Doctor Costume </v>
      </c>
      <c r="M2235" s="15" t="str">
        <f t="shared" si="757"/>
        <v>XL</v>
      </c>
      <c r="N2235" s="15">
        <f t="shared" si="758"/>
        <v>0.8</v>
      </c>
      <c r="O2235" s="15" t="str">
        <f t="shared" si="759"/>
        <v>A20</v>
      </c>
      <c r="P2235" s="15" t="str">
        <f t="shared" si="760"/>
        <v>Morbius Inc.</v>
      </c>
      <c r="Q2235" s="15" t="str">
        <f t="shared" si="761"/>
        <v>56 Michael Spice Hwy</v>
      </c>
      <c r="R2235" s="3">
        <f>OrdersTable!C2235</f>
        <v>44722</v>
      </c>
      <c r="S2235" s="15">
        <f>OrdersTable!E2235</f>
        <v>9</v>
      </c>
      <c r="T2235" s="15">
        <f t="shared" si="762"/>
        <v>15.99</v>
      </c>
      <c r="U2235" s="15">
        <f t="shared" si="763"/>
        <v>22.05</v>
      </c>
      <c r="V2235" s="15">
        <f t="shared" si="764"/>
        <v>25.9</v>
      </c>
      <c r="W2235" s="15">
        <f>IF(MarkupType="Store Markup",ROUND(V2235+V2235*StoreMarkup,2),IF(MarkupType="Supplier Markup",V2235+V2235*SupplierMarkup,"Error at finding value"))</f>
        <v>40.79</v>
      </c>
      <c r="X2235" s="32" t="str">
        <f t="shared" si="766"/>
        <v>0.00</v>
      </c>
      <c r="Y2235" s="15">
        <f t="shared" si="767"/>
        <v>233.1</v>
      </c>
      <c r="Z2235" s="15">
        <f t="shared" si="768"/>
        <v>367.11</v>
      </c>
      <c r="AA2235" s="15">
        <f>IF(FreightType="Lethbridge-Stewart Freight ",ROUND(2.99+IF(N2235&gt;0.75,(N2235-0.75)*2.25,0)*S2235,2),IF(MarkupType="Supplier Markup",V2235+V2235*SupplierMarkup,"Error at finding value"))</f>
        <v>4</v>
      </c>
      <c r="AB2235" s="15">
        <f t="shared" si="769"/>
        <v>0</v>
      </c>
    </row>
    <row r="2236" spans="1:28" x14ac:dyDescent="0.25">
      <c r="A2236" s="16">
        <f>OrdersTable!A2236</f>
        <v>771</v>
      </c>
      <c r="B2236" s="15" t="str">
        <f t="shared" si="749"/>
        <v>Dr</v>
      </c>
      <c r="C2236" s="15" t="str">
        <f t="shared" si="770"/>
        <v>Virk</v>
      </c>
      <c r="D2236" s="15" t="str">
        <f t="shared" si="750"/>
        <v>Balraj Singh</v>
      </c>
      <c r="E2236" s="15" t="str">
        <f t="shared" si="751"/>
        <v>39 Napanje Drive</v>
      </c>
      <c r="F2236" s="15" t="str">
        <f t="shared" si="752"/>
        <v>Abington</v>
      </c>
      <c r="G2236" s="15" t="str">
        <f t="shared" si="753"/>
        <v>QLD</v>
      </c>
      <c r="H2236" s="15">
        <f t="shared" si="754"/>
        <v>4660</v>
      </c>
      <c r="I2236" s="15">
        <f t="shared" si="765"/>
        <v>336</v>
      </c>
      <c r="J2236" s="15">
        <f>OrdersTable!B2236</f>
        <v>849</v>
      </c>
      <c r="K2236" s="15" t="str">
        <f t="shared" si="755"/>
        <v>Statues and Busts</v>
      </c>
      <c r="L2236" s="15" t="str">
        <f t="shared" si="756"/>
        <v>Doctor Who: Statue: Cyber Controller</v>
      </c>
      <c r="M2236" s="15" t="str">
        <f t="shared" si="757"/>
        <v>-</v>
      </c>
      <c r="N2236" s="15">
        <f t="shared" si="758"/>
        <v>5</v>
      </c>
      <c r="O2236" s="15" t="str">
        <f t="shared" si="759"/>
        <v>A10</v>
      </c>
      <c r="P2236" s="15" t="str">
        <f t="shared" si="760"/>
        <v>Gallifrey International</v>
      </c>
      <c r="Q2236" s="15" t="str">
        <f t="shared" si="761"/>
        <v>181 Arcadia Street</v>
      </c>
      <c r="R2236" s="3">
        <f>OrdersTable!C2236</f>
        <v>44722</v>
      </c>
      <c r="S2236" s="15">
        <f>OrdersTable!E2236</f>
        <v>6</v>
      </c>
      <c r="T2236" s="15">
        <f t="shared" si="762"/>
        <v>99.99</v>
      </c>
      <c r="U2236" s="15">
        <f t="shared" si="763"/>
        <v>136.41</v>
      </c>
      <c r="V2236" s="15">
        <f t="shared" si="764"/>
        <v>161.97999999999999</v>
      </c>
      <c r="W2236" s="15">
        <f>IF(MarkupType="Store Markup",ROUND(V2236+V2236*StoreMarkup,2),IF(MarkupType="Supplier Markup",V2236+V2236*SupplierMarkup,"Error at finding value"))</f>
        <v>255.12</v>
      </c>
      <c r="X2236" s="32">
        <f t="shared" si="766"/>
        <v>18.18</v>
      </c>
      <c r="Y2236" s="15">
        <f t="shared" si="767"/>
        <v>971.88</v>
      </c>
      <c r="Z2236" s="15">
        <f t="shared" si="768"/>
        <v>1421.64</v>
      </c>
      <c r="AA2236" s="15">
        <f>IF(FreightType="Lethbridge-Stewart Freight ",ROUND(2.99+IF(N2236&gt;0.75,(N2236-0.75)*2.25,0)*S2236,2),IF(MarkupType="Supplier Markup",V2236+V2236*SupplierMarkup,"Error at finding value"))</f>
        <v>60.37</v>
      </c>
      <c r="AB2236" s="15">
        <f t="shared" si="769"/>
        <v>109.08</v>
      </c>
    </row>
    <row r="2237" spans="1:28" x14ac:dyDescent="0.25">
      <c r="A2237" s="16">
        <f>OrdersTable!A2237</f>
        <v>983</v>
      </c>
      <c r="B2237" s="15" t="str">
        <f t="shared" si="749"/>
        <v>Mrs</v>
      </c>
      <c r="C2237" s="15" t="str">
        <f t="shared" si="770"/>
        <v>Bennett</v>
      </c>
      <c r="D2237" s="15" t="str">
        <f t="shared" si="750"/>
        <v>Mikayla Elizabeth</v>
      </c>
      <c r="E2237" s="15" t="str">
        <f t="shared" si="751"/>
        <v>35 Khanal Crescent</v>
      </c>
      <c r="F2237" s="15" t="str">
        <f t="shared" si="752"/>
        <v>Bamboo</v>
      </c>
      <c r="G2237" s="15" t="str">
        <f t="shared" si="753"/>
        <v>QLD</v>
      </c>
      <c r="H2237" s="15">
        <f t="shared" si="754"/>
        <v>4873</v>
      </c>
      <c r="I2237" s="15">
        <f t="shared" si="765"/>
        <v>1741</v>
      </c>
      <c r="J2237" s="15">
        <f>OrdersTable!B2237</f>
        <v>812</v>
      </c>
      <c r="K2237" s="15" t="str">
        <f t="shared" si="755"/>
        <v>Statues and Busts</v>
      </c>
      <c r="L2237" s="15" t="str">
        <f t="shared" si="756"/>
        <v>Doctor Who: Masterpiece Collection Maxi Bust: Dalek: Day Of The Daleks</v>
      </c>
      <c r="M2237" s="15" t="str">
        <f t="shared" si="757"/>
        <v>-</v>
      </c>
      <c r="N2237" s="15">
        <f t="shared" si="758"/>
        <v>2.5</v>
      </c>
      <c r="O2237" s="15" t="str">
        <f t="shared" si="759"/>
        <v>A20</v>
      </c>
      <c r="P2237" s="15" t="str">
        <f t="shared" si="760"/>
        <v>Morbius Inc.</v>
      </c>
      <c r="Q2237" s="15" t="str">
        <f t="shared" si="761"/>
        <v>56 Michael Spice Hwy</v>
      </c>
      <c r="R2237" s="3">
        <f>OrdersTable!C2237</f>
        <v>44722</v>
      </c>
      <c r="S2237" s="15">
        <f>OrdersTable!E2237</f>
        <v>8</v>
      </c>
      <c r="T2237" s="15">
        <f t="shared" si="762"/>
        <v>49.99</v>
      </c>
      <c r="U2237" s="15">
        <f t="shared" si="763"/>
        <v>68.47</v>
      </c>
      <c r="V2237" s="15">
        <f t="shared" si="764"/>
        <v>80.98</v>
      </c>
      <c r="W2237" s="15">
        <f>IF(MarkupType="Store Markup",ROUND(V2237+V2237*StoreMarkup,2),IF(MarkupType="Supplier Markup",V2237+V2237*SupplierMarkup,"Error at finding value"))</f>
        <v>127.54</v>
      </c>
      <c r="X2237" s="32">
        <f t="shared" si="766"/>
        <v>9.09</v>
      </c>
      <c r="Y2237" s="15">
        <f t="shared" si="767"/>
        <v>647.84</v>
      </c>
      <c r="Z2237" s="15">
        <f t="shared" si="768"/>
        <v>947.6</v>
      </c>
      <c r="AA2237" s="15">
        <f>IF(FreightType="Lethbridge-Stewart Freight ",ROUND(2.99+IF(N2237&gt;0.75,(N2237-0.75)*2.25,0)*S2237,2),IF(MarkupType="Supplier Markup",V2237+V2237*SupplierMarkup,"Error at finding value"))</f>
        <v>34.49</v>
      </c>
      <c r="AB2237" s="15">
        <f t="shared" si="769"/>
        <v>72.72</v>
      </c>
    </row>
    <row r="2238" spans="1:28" x14ac:dyDescent="0.25">
      <c r="A2238" s="16">
        <f>OrdersTable!A2238</f>
        <v>468</v>
      </c>
      <c r="B2238" s="15" t="str">
        <f t="shared" si="749"/>
        <v>Mrs</v>
      </c>
      <c r="C2238" s="15" t="str">
        <f t="shared" si="770"/>
        <v>Van Essen</v>
      </c>
      <c r="D2238" s="15" t="str">
        <f t="shared" si="750"/>
        <v>Bianca Jane</v>
      </c>
      <c r="E2238" s="15" t="str">
        <f t="shared" si="751"/>
        <v>47 Ward Circuit</v>
      </c>
      <c r="F2238" s="15" t="str">
        <f t="shared" si="752"/>
        <v>Batlow</v>
      </c>
      <c r="G2238" s="15" t="str">
        <f t="shared" si="753"/>
        <v>NSW</v>
      </c>
      <c r="H2238" s="15">
        <f t="shared" si="754"/>
        <v>2730</v>
      </c>
      <c r="I2238" s="15">
        <f t="shared" si="765"/>
        <v>1138</v>
      </c>
      <c r="J2238" s="15">
        <f>OrdersTable!B2238</f>
        <v>667</v>
      </c>
      <c r="K2238" s="15" t="str">
        <f t="shared" si="755"/>
        <v>Mugs</v>
      </c>
      <c r="L2238" s="15" t="str">
        <f t="shared" si="756"/>
        <v>Doctor Who: Mug: Keep Calm And Don't Blink</v>
      </c>
      <c r="M2238" s="15" t="str">
        <f t="shared" si="757"/>
        <v>-</v>
      </c>
      <c r="N2238" s="15">
        <f t="shared" si="758"/>
        <v>0.35</v>
      </c>
      <c r="O2238" s="15" t="str">
        <f t="shared" si="759"/>
        <v>A10</v>
      </c>
      <c r="P2238" s="15" t="str">
        <f t="shared" si="760"/>
        <v>Gallifrey International</v>
      </c>
      <c r="Q2238" s="15" t="str">
        <f t="shared" si="761"/>
        <v>181 Arcadia Street</v>
      </c>
      <c r="R2238" s="3">
        <f>OrdersTable!C2238</f>
        <v>44723</v>
      </c>
      <c r="S2238" s="15">
        <f>OrdersTable!E2238</f>
        <v>1</v>
      </c>
      <c r="T2238" s="15">
        <f t="shared" si="762"/>
        <v>6.99</v>
      </c>
      <c r="U2238" s="15">
        <f t="shared" si="763"/>
        <v>9.84</v>
      </c>
      <c r="V2238" s="15">
        <f t="shared" si="764"/>
        <v>11.32</v>
      </c>
      <c r="W2238" s="15">
        <f>IF(MarkupType="Store Markup",ROUND(V2238+V2238*StoreMarkup,2),IF(MarkupType="Supplier Markup",V2238+V2238*SupplierMarkup,"Error at finding value"))</f>
        <v>17.829999999999998</v>
      </c>
      <c r="X2238" s="32" t="str">
        <f t="shared" si="766"/>
        <v>0.00</v>
      </c>
      <c r="Y2238" s="15">
        <f t="shared" si="767"/>
        <v>11.32</v>
      </c>
      <c r="Z2238" s="15">
        <f t="shared" si="768"/>
        <v>17.829999999999998</v>
      </c>
      <c r="AA2238" s="15">
        <f>IF(FreightType="Lethbridge-Stewart Freight ",ROUND(2.99+IF(N2238&gt;0.75,(N2238-0.75)*2.25,0)*S2238,2),IF(MarkupType="Supplier Markup",V2238+V2238*SupplierMarkup,"Error at finding value"))</f>
        <v>2.99</v>
      </c>
      <c r="AB2238" s="15">
        <f t="shared" si="769"/>
        <v>0</v>
      </c>
    </row>
    <row r="2239" spans="1:28" x14ac:dyDescent="0.25">
      <c r="A2239" s="16">
        <f>OrdersTable!A2239</f>
        <v>526</v>
      </c>
      <c r="B2239" s="15" t="str">
        <f t="shared" si="749"/>
        <v>Mrs</v>
      </c>
      <c r="C2239" s="15" t="str">
        <f t="shared" si="770"/>
        <v>Bradford</v>
      </c>
      <c r="D2239" s="15" t="str">
        <f t="shared" si="750"/>
        <v>Haleigh Renae Ann</v>
      </c>
      <c r="E2239" s="15" t="str">
        <f t="shared" si="751"/>
        <v>31 Johnston Road</v>
      </c>
      <c r="F2239" s="15" t="str">
        <f t="shared" si="752"/>
        <v>Ashford</v>
      </c>
      <c r="G2239" s="15" t="str">
        <f t="shared" si="753"/>
        <v>SA</v>
      </c>
      <c r="H2239" s="15">
        <f t="shared" si="754"/>
        <v>5035</v>
      </c>
      <c r="I2239" s="15">
        <f t="shared" si="765"/>
        <v>1877</v>
      </c>
      <c r="J2239" s="15">
        <f>OrdersTable!B2239</f>
        <v>747</v>
      </c>
      <c r="K2239" s="15" t="str">
        <f t="shared" si="755"/>
        <v>Props and Replicas</v>
      </c>
      <c r="L2239" s="15" t="str">
        <f t="shared" si="756"/>
        <v>Doctor Who: The Master's Fob Watch</v>
      </c>
      <c r="M2239" s="15" t="str">
        <f t="shared" si="757"/>
        <v>-</v>
      </c>
      <c r="N2239" s="15">
        <f t="shared" si="758"/>
        <v>2.25</v>
      </c>
      <c r="O2239" s="15" t="str">
        <f t="shared" si="759"/>
        <v>A10</v>
      </c>
      <c r="P2239" s="15" t="str">
        <f t="shared" si="760"/>
        <v>Gallifrey International</v>
      </c>
      <c r="Q2239" s="15" t="str">
        <f t="shared" si="761"/>
        <v>181 Arcadia Street</v>
      </c>
      <c r="R2239" s="3">
        <f>OrdersTable!C2239</f>
        <v>44723</v>
      </c>
      <c r="S2239" s="15">
        <f>OrdersTable!E2239</f>
        <v>9</v>
      </c>
      <c r="T2239" s="15">
        <f t="shared" si="762"/>
        <v>44.99</v>
      </c>
      <c r="U2239" s="15">
        <f t="shared" si="763"/>
        <v>61.7</v>
      </c>
      <c r="V2239" s="15">
        <f t="shared" si="764"/>
        <v>72.88</v>
      </c>
      <c r="W2239" s="15">
        <f>IF(MarkupType="Store Markup",ROUND(V2239+V2239*StoreMarkup,2),IF(MarkupType="Supplier Markup",V2239+V2239*SupplierMarkup,"Error at finding value"))</f>
        <v>114.79</v>
      </c>
      <c r="X2239" s="32">
        <f t="shared" si="766"/>
        <v>8.18</v>
      </c>
      <c r="Y2239" s="15">
        <f t="shared" si="767"/>
        <v>655.92</v>
      </c>
      <c r="Z2239" s="15">
        <f t="shared" si="768"/>
        <v>959.49</v>
      </c>
      <c r="AA2239" s="15">
        <f>IF(FreightType="Lethbridge-Stewart Freight ",ROUND(2.99+IF(N2239&gt;0.75,(N2239-0.75)*2.25,0)*S2239,2),IF(MarkupType="Supplier Markup",V2239+V2239*SupplierMarkup,"Error at finding value"))</f>
        <v>33.369999999999997</v>
      </c>
      <c r="AB2239" s="15">
        <f t="shared" si="769"/>
        <v>73.62</v>
      </c>
    </row>
    <row r="2240" spans="1:28" x14ac:dyDescent="0.25">
      <c r="A2240" s="16">
        <f>OrdersTable!A2240</f>
        <v>543</v>
      </c>
      <c r="B2240" s="15" t="str">
        <f t="shared" si="749"/>
        <v>Ms</v>
      </c>
      <c r="C2240" s="15" t="str">
        <f t="shared" si="770"/>
        <v>Mendezona</v>
      </c>
      <c r="D2240" s="15" t="str">
        <f t="shared" si="750"/>
        <v>Tara Colleen-Mary</v>
      </c>
      <c r="E2240" s="15" t="str">
        <f t="shared" si="751"/>
        <v>27 Picone Drive</v>
      </c>
      <c r="F2240" s="15" t="str">
        <f t="shared" si="752"/>
        <v>Aberfoyle</v>
      </c>
      <c r="G2240" s="15" t="str">
        <f t="shared" si="753"/>
        <v>NSW</v>
      </c>
      <c r="H2240" s="15">
        <f t="shared" si="754"/>
        <v>2350</v>
      </c>
      <c r="I2240" s="15">
        <f t="shared" si="765"/>
        <v>363</v>
      </c>
      <c r="J2240" s="15">
        <f>OrdersTable!B2240</f>
        <v>358</v>
      </c>
      <c r="K2240" s="15" t="str">
        <f t="shared" si="755"/>
        <v>Clothing and Apparel</v>
      </c>
      <c r="L2240" s="15" t="str">
        <f t="shared" si="756"/>
        <v xml:space="preserve">Doctor Who: T-Shirts: 5th Doctor Costume </v>
      </c>
      <c r="M2240" s="15" t="str">
        <f t="shared" si="757"/>
        <v>M</v>
      </c>
      <c r="N2240" s="15">
        <f t="shared" si="758"/>
        <v>0.8</v>
      </c>
      <c r="O2240" s="15" t="str">
        <f t="shared" si="759"/>
        <v>A30</v>
      </c>
      <c r="P2240" s="15" t="str">
        <f t="shared" si="760"/>
        <v>Chesterton Enterprises</v>
      </c>
      <c r="Q2240" s="15" t="str">
        <f t="shared" si="761"/>
        <v>41 William Russell Road</v>
      </c>
      <c r="R2240" s="3">
        <f>OrdersTable!C2240</f>
        <v>44723</v>
      </c>
      <c r="S2240" s="15">
        <f>OrdersTable!E2240</f>
        <v>10</v>
      </c>
      <c r="T2240" s="15">
        <f t="shared" si="762"/>
        <v>15.99</v>
      </c>
      <c r="U2240" s="15">
        <f t="shared" si="763"/>
        <v>21.96</v>
      </c>
      <c r="V2240" s="15">
        <f t="shared" si="764"/>
        <v>25.9</v>
      </c>
      <c r="W2240" s="15">
        <f>IF(MarkupType="Store Markup",ROUND(V2240+V2240*StoreMarkup,2),IF(MarkupType="Supplier Markup",V2240+V2240*SupplierMarkup,"Error at finding value"))</f>
        <v>40.79</v>
      </c>
      <c r="X2240" s="32" t="str">
        <f t="shared" si="766"/>
        <v>0.00</v>
      </c>
      <c r="Y2240" s="15">
        <f t="shared" si="767"/>
        <v>259</v>
      </c>
      <c r="Z2240" s="15">
        <f t="shared" si="768"/>
        <v>407.9</v>
      </c>
      <c r="AA2240" s="15">
        <f>IF(FreightType="Lethbridge-Stewart Freight ",ROUND(2.99+IF(N2240&gt;0.75,(N2240-0.75)*2.25,0)*S2240,2),IF(MarkupType="Supplier Markup",V2240+V2240*SupplierMarkup,"Error at finding value"))</f>
        <v>4.12</v>
      </c>
      <c r="AB2240" s="15">
        <f t="shared" si="769"/>
        <v>0</v>
      </c>
    </row>
    <row r="2241" spans="1:28" x14ac:dyDescent="0.25">
      <c r="A2241" s="16">
        <f>OrdersTable!A2241</f>
        <v>651</v>
      </c>
      <c r="B2241" s="15" t="str">
        <f t="shared" si="749"/>
        <v>Mr</v>
      </c>
      <c r="C2241" s="15" t="str">
        <f t="shared" si="770"/>
        <v>Wilkes</v>
      </c>
      <c r="D2241" s="15" t="str">
        <f t="shared" si="750"/>
        <v>Harley</v>
      </c>
      <c r="E2241" s="15" t="str">
        <f t="shared" si="751"/>
        <v>12 Locke Circuit</v>
      </c>
      <c r="F2241" s="15" t="str">
        <f t="shared" si="752"/>
        <v>Bray Park</v>
      </c>
      <c r="G2241" s="15" t="str">
        <f t="shared" si="753"/>
        <v>QLD</v>
      </c>
      <c r="H2241" s="15">
        <f t="shared" si="754"/>
        <v>4500</v>
      </c>
      <c r="I2241" s="15">
        <f t="shared" si="765"/>
        <v>139</v>
      </c>
      <c r="J2241" s="15">
        <f>OrdersTable!B2241</f>
        <v>583</v>
      </c>
      <c r="K2241" s="15" t="str">
        <f t="shared" si="755"/>
        <v>iPhone Skins</v>
      </c>
      <c r="L2241" s="15" t="str">
        <f t="shared" si="756"/>
        <v>Doctor Who: iPhone Skin: Cyberman Delete</v>
      </c>
      <c r="M2241" s="15" t="str">
        <f t="shared" si="757"/>
        <v>-</v>
      </c>
      <c r="N2241" s="15">
        <f t="shared" si="758"/>
        <v>0.3</v>
      </c>
      <c r="O2241" s="15" t="str">
        <f t="shared" si="759"/>
        <v>A50</v>
      </c>
      <c r="P2241" s="15" t="str">
        <f t="shared" si="760"/>
        <v>Rassilon Ltd.</v>
      </c>
      <c r="Q2241" s="15" t="str">
        <f t="shared" si="761"/>
        <v>82 Richard Mathews Road</v>
      </c>
      <c r="R2241" s="3">
        <f>OrdersTable!C2241</f>
        <v>44723</v>
      </c>
      <c r="S2241" s="15">
        <f>OrdersTable!E2241</f>
        <v>6</v>
      </c>
      <c r="T2241" s="15">
        <f t="shared" si="762"/>
        <v>5.99</v>
      </c>
      <c r="U2241" s="15">
        <f t="shared" si="763"/>
        <v>8.23</v>
      </c>
      <c r="V2241" s="15">
        <f t="shared" si="764"/>
        <v>9.6999999999999993</v>
      </c>
      <c r="W2241" s="15">
        <f>IF(MarkupType="Store Markup",ROUND(V2241+V2241*StoreMarkup,2),IF(MarkupType="Supplier Markup",V2241+V2241*SupplierMarkup,"Error at finding value"))</f>
        <v>15.28</v>
      </c>
      <c r="X2241" s="32" t="str">
        <f t="shared" si="766"/>
        <v>0.00</v>
      </c>
      <c r="Y2241" s="15">
        <f t="shared" si="767"/>
        <v>58.2</v>
      </c>
      <c r="Z2241" s="15">
        <f t="shared" si="768"/>
        <v>91.68</v>
      </c>
      <c r="AA2241" s="15">
        <f>IF(FreightType="Lethbridge-Stewart Freight ",ROUND(2.99+IF(N2241&gt;0.75,(N2241-0.75)*2.25,0)*S2241,2),IF(MarkupType="Supplier Markup",V2241+V2241*SupplierMarkup,"Error at finding value"))</f>
        <v>2.99</v>
      </c>
      <c r="AB2241" s="15">
        <f t="shared" si="769"/>
        <v>0</v>
      </c>
    </row>
    <row r="2242" spans="1:28" x14ac:dyDescent="0.25">
      <c r="A2242" s="16">
        <f>OrdersTable!A2242</f>
        <v>747</v>
      </c>
      <c r="B2242" s="15" t="str">
        <f t="shared" si="749"/>
        <v>Miss</v>
      </c>
      <c r="C2242" s="15" t="str">
        <f t="shared" si="770"/>
        <v>Coom</v>
      </c>
      <c r="D2242" s="15" t="str">
        <f t="shared" si="750"/>
        <v>Mackenzie Megan</v>
      </c>
      <c r="E2242" s="15" t="str">
        <f t="shared" si="751"/>
        <v>2 Tsalikis Road</v>
      </c>
      <c r="F2242" s="15" t="str">
        <f t="shared" si="752"/>
        <v>Aberfoyle</v>
      </c>
      <c r="G2242" s="15" t="str">
        <f t="shared" si="753"/>
        <v>NSW</v>
      </c>
      <c r="H2242" s="15">
        <f t="shared" si="754"/>
        <v>2350</v>
      </c>
      <c r="I2242" s="15">
        <f t="shared" si="765"/>
        <v>363</v>
      </c>
      <c r="J2242" s="15">
        <f>OrdersTable!B2242</f>
        <v>679</v>
      </c>
      <c r="K2242" s="15" t="str">
        <f t="shared" si="755"/>
        <v>Mugs</v>
      </c>
      <c r="L2242" s="15" t="str">
        <f t="shared" si="756"/>
        <v>Doctor Who: Mug: The Fifth Doctor</v>
      </c>
      <c r="M2242" s="15" t="str">
        <f t="shared" si="757"/>
        <v>-</v>
      </c>
      <c r="N2242" s="15">
        <f t="shared" si="758"/>
        <v>0.45</v>
      </c>
      <c r="O2242" s="15" t="str">
        <f t="shared" si="759"/>
        <v>A40</v>
      </c>
      <c r="P2242" s="15" t="str">
        <f t="shared" si="760"/>
        <v>Romana Imports</v>
      </c>
      <c r="Q2242" s="15" t="str">
        <f t="shared" si="761"/>
        <v>17 Lalla Ward Road</v>
      </c>
      <c r="R2242" s="3">
        <f>OrdersTable!C2242</f>
        <v>44723</v>
      </c>
      <c r="S2242" s="15">
        <f>OrdersTable!E2242</f>
        <v>4</v>
      </c>
      <c r="T2242" s="15">
        <f t="shared" si="762"/>
        <v>8.99</v>
      </c>
      <c r="U2242" s="15">
        <f t="shared" si="763"/>
        <v>12.28</v>
      </c>
      <c r="V2242" s="15">
        <f t="shared" si="764"/>
        <v>14.56</v>
      </c>
      <c r="W2242" s="15">
        <f>IF(MarkupType="Store Markup",ROUND(V2242+V2242*StoreMarkup,2),IF(MarkupType="Supplier Markup",V2242+V2242*SupplierMarkup,"Error at finding value"))</f>
        <v>22.93</v>
      </c>
      <c r="X2242" s="32" t="str">
        <f t="shared" si="766"/>
        <v>0.00</v>
      </c>
      <c r="Y2242" s="15">
        <f t="shared" si="767"/>
        <v>58.24</v>
      </c>
      <c r="Z2242" s="15">
        <f t="shared" si="768"/>
        <v>91.72</v>
      </c>
      <c r="AA2242" s="15">
        <f>IF(FreightType="Lethbridge-Stewart Freight ",ROUND(2.99+IF(N2242&gt;0.75,(N2242-0.75)*2.25,0)*S2242,2),IF(MarkupType="Supplier Markup",V2242+V2242*SupplierMarkup,"Error at finding value"))</f>
        <v>2.99</v>
      </c>
      <c r="AB2242" s="15">
        <f t="shared" si="769"/>
        <v>0</v>
      </c>
    </row>
    <row r="2243" spans="1:28" x14ac:dyDescent="0.25">
      <c r="A2243" s="16">
        <f>OrdersTable!A2243</f>
        <v>758</v>
      </c>
      <c r="B2243" s="15" t="str">
        <f t="shared" si="749"/>
        <v>Mr</v>
      </c>
      <c r="C2243" s="15" t="str">
        <f t="shared" si="770"/>
        <v>Whitehorn</v>
      </c>
      <c r="D2243" s="15" t="str">
        <f t="shared" si="750"/>
        <v>James</v>
      </c>
      <c r="E2243" s="15" t="str">
        <f t="shared" si="751"/>
        <v>32 Raubenheimer Circuit</v>
      </c>
      <c r="F2243" s="15" t="str">
        <f t="shared" si="752"/>
        <v>Belconnen</v>
      </c>
      <c r="G2243" s="15" t="str">
        <f t="shared" si="753"/>
        <v>ACT</v>
      </c>
      <c r="H2243" s="15">
        <f t="shared" si="754"/>
        <v>2617</v>
      </c>
      <c r="I2243" s="15">
        <f t="shared" si="765"/>
        <v>1194</v>
      </c>
      <c r="J2243" s="15">
        <f>OrdersTable!B2243</f>
        <v>219</v>
      </c>
      <c r="K2243" s="15" t="str">
        <f t="shared" si="755"/>
        <v>Clothing and Apparel</v>
      </c>
      <c r="L2243" s="15" t="str">
        <f t="shared" si="756"/>
        <v>Doctor Who: Men's Winter Pyjamas</v>
      </c>
      <c r="M2243" s="15" t="str">
        <f t="shared" si="757"/>
        <v>M</v>
      </c>
      <c r="N2243" s="15">
        <f t="shared" si="758"/>
        <v>1.5</v>
      </c>
      <c r="O2243" s="15" t="str">
        <f t="shared" si="759"/>
        <v>A40</v>
      </c>
      <c r="P2243" s="15" t="str">
        <f t="shared" si="760"/>
        <v>Romana Imports</v>
      </c>
      <c r="Q2243" s="15" t="str">
        <f t="shared" si="761"/>
        <v>17 Lalla Ward Road</v>
      </c>
      <c r="R2243" s="3">
        <f>OrdersTable!C2243</f>
        <v>44723</v>
      </c>
      <c r="S2243" s="15">
        <f>OrdersTable!E2243</f>
        <v>7</v>
      </c>
      <c r="T2243" s="15">
        <f t="shared" si="762"/>
        <v>29.99</v>
      </c>
      <c r="U2243" s="15">
        <f t="shared" si="763"/>
        <v>41.24</v>
      </c>
      <c r="V2243" s="15">
        <f t="shared" si="764"/>
        <v>48.58</v>
      </c>
      <c r="W2243" s="15">
        <f>IF(MarkupType="Store Markup",ROUND(V2243+V2243*StoreMarkup,2),IF(MarkupType="Supplier Markup",V2243+V2243*SupplierMarkup,"Error at finding value"))</f>
        <v>76.510000000000005</v>
      </c>
      <c r="X2243" s="32" t="str">
        <f t="shared" si="766"/>
        <v>0.00</v>
      </c>
      <c r="Y2243" s="15">
        <f t="shared" si="767"/>
        <v>340.06</v>
      </c>
      <c r="Z2243" s="15">
        <f t="shared" si="768"/>
        <v>535.57000000000005</v>
      </c>
      <c r="AA2243" s="15">
        <f>IF(FreightType="Lethbridge-Stewart Freight ",ROUND(2.99+IF(N2243&gt;0.75,(N2243-0.75)*2.25,0)*S2243,2),IF(MarkupType="Supplier Markup",V2243+V2243*SupplierMarkup,"Error at finding value"))</f>
        <v>14.8</v>
      </c>
      <c r="AB2243" s="15">
        <f t="shared" si="769"/>
        <v>0</v>
      </c>
    </row>
    <row r="2244" spans="1:28" x14ac:dyDescent="0.25">
      <c r="A2244" s="16">
        <f>OrdersTable!A2244</f>
        <v>761</v>
      </c>
      <c r="B2244" s="15" t="str">
        <f t="shared" ref="B2244:B2307" si="771">VLOOKUP($A2244,Cust,2,0)</f>
        <v>Miss</v>
      </c>
      <c r="C2244" s="15" t="str">
        <f t="shared" si="770"/>
        <v>Randall</v>
      </c>
      <c r="D2244" s="15" t="str">
        <f t="shared" ref="D2244:D2307" si="772">VLOOKUP($A2244,Cust,4,0)</f>
        <v>Kylee</v>
      </c>
      <c r="E2244" s="15" t="str">
        <f t="shared" ref="E2244:E2307" si="773">VLOOKUP($A2244,Cust,6,0)</f>
        <v>45 Cremasco Avenue</v>
      </c>
      <c r="F2244" s="15" t="str">
        <f t="shared" ref="F2244:F2307" si="774">VLOOKUP($A2244,Cust,7,0)</f>
        <v>Breakwater</v>
      </c>
      <c r="G2244" s="15" t="str">
        <f t="shared" ref="G2244:G2307" si="775">VLOOKUP($A2244,Cust,8,0)</f>
        <v>VIC</v>
      </c>
      <c r="H2244" s="15">
        <f t="shared" ref="H2244:H2307" si="776">VLOOKUP($A2244,Cust,9,0)</f>
        <v>3219</v>
      </c>
      <c r="I2244" s="15">
        <f t="shared" si="765"/>
        <v>1596</v>
      </c>
      <c r="J2244" s="15">
        <f>OrdersTable!B2244</f>
        <v>679</v>
      </c>
      <c r="K2244" s="15" t="str">
        <f t="shared" ref="K2244:K2307" si="777">VLOOKUP($J2244,Itms,2,0)</f>
        <v>Mugs</v>
      </c>
      <c r="L2244" s="15" t="str">
        <f t="shared" ref="L2244:L2307" si="778">VLOOKUP($J2244,Itms,3,0)</f>
        <v>Doctor Who: Mug: The Fifth Doctor</v>
      </c>
      <c r="M2244" s="15" t="str">
        <f t="shared" ref="M2244:M2307" si="779">VLOOKUP($J2244,Itms,4,0)</f>
        <v>-</v>
      </c>
      <c r="N2244" s="15">
        <f t="shared" ref="N2244:N2307" si="780">VLOOKUP($J2244,Itms,5,0)</f>
        <v>0.45</v>
      </c>
      <c r="O2244" s="15" t="str">
        <f t="shared" ref="O2244:O2307" si="781">VLOOKUP($J2244,Itms,6,0)</f>
        <v>A40</v>
      </c>
      <c r="P2244" s="15" t="str">
        <f t="shared" ref="P2244:P2307" si="782">VLOOKUP($O2244,Supp,2,0)</f>
        <v>Romana Imports</v>
      </c>
      <c r="Q2244" s="15" t="str">
        <f t="shared" ref="Q2244:Q2307" si="783">VLOOKUP($O2244,Supp,3,0)</f>
        <v>17 Lalla Ward Road</v>
      </c>
      <c r="R2244" s="3">
        <f>OrdersTable!C2244</f>
        <v>44723</v>
      </c>
      <c r="S2244" s="15">
        <f>OrdersTable!E2244</f>
        <v>10</v>
      </c>
      <c r="T2244" s="15">
        <f t="shared" ref="T2244:T2307" si="784">VLOOKUP($J2244,Itms,9,0)</f>
        <v>8.99</v>
      </c>
      <c r="U2244" s="15">
        <f t="shared" ref="U2244:U2307" si="785">VLOOKUP($J2244,Itms,10,0)</f>
        <v>12.28</v>
      </c>
      <c r="V2244" s="15">
        <f t="shared" ref="V2244:V2307" si="786">IF(ExchRateType="IR",ROUND(T2244*ExchRateIR,2),IF(ExchRateType="CA",ROUND(U2244*ExchRateCA,2),"Error at finding value"))</f>
        <v>14.56</v>
      </c>
      <c r="W2244" s="15">
        <f>IF(MarkupType="Store Markup",ROUND(V2244+V2244*StoreMarkup,2),IF(MarkupType="Supplier Markup",V2244+V2244*SupplierMarkup,"Error at finding value"))</f>
        <v>22.93</v>
      </c>
      <c r="X2244" s="32" t="str">
        <f t="shared" si="766"/>
        <v>0.00</v>
      </c>
      <c r="Y2244" s="15">
        <f t="shared" si="767"/>
        <v>145.6</v>
      </c>
      <c r="Z2244" s="15">
        <f t="shared" si="768"/>
        <v>229.3</v>
      </c>
      <c r="AA2244" s="15">
        <f>IF(FreightType="Lethbridge-Stewart Freight ",ROUND(2.99+IF(N2244&gt;0.75,(N2244-0.75)*2.25,0)*S2244,2),IF(MarkupType="Supplier Markup",V2244+V2244*SupplierMarkup,"Error at finding value"))</f>
        <v>2.99</v>
      </c>
      <c r="AB2244" s="15">
        <f t="shared" si="769"/>
        <v>0</v>
      </c>
    </row>
    <row r="2245" spans="1:28" x14ac:dyDescent="0.25">
      <c r="A2245" s="16">
        <f>OrdersTable!A2245</f>
        <v>961</v>
      </c>
      <c r="B2245" s="15" t="str">
        <f t="shared" si="771"/>
        <v>Ms</v>
      </c>
      <c r="C2245" s="15" t="str">
        <f t="shared" si="770"/>
        <v>Schuh</v>
      </c>
      <c r="D2245" s="15" t="str">
        <f t="shared" si="772"/>
        <v>Rebecca Anne</v>
      </c>
      <c r="E2245" s="15" t="str">
        <f t="shared" si="773"/>
        <v>48 Wilson Court</v>
      </c>
      <c r="F2245" s="15" t="str">
        <f t="shared" si="774"/>
        <v>Breakwater</v>
      </c>
      <c r="G2245" s="15" t="str">
        <f t="shared" si="775"/>
        <v>VIC</v>
      </c>
      <c r="H2245" s="15">
        <f t="shared" si="776"/>
        <v>3219</v>
      </c>
      <c r="I2245" s="15">
        <f t="shared" ref="I2245:I2308" si="787">VLOOKUP($A2245,Cust,10,0)</f>
        <v>1596</v>
      </c>
      <c r="J2245" s="15">
        <f>OrdersTable!B2245</f>
        <v>840</v>
      </c>
      <c r="K2245" s="15" t="str">
        <f t="shared" si="777"/>
        <v>Statues and Busts</v>
      </c>
      <c r="L2245" s="15" t="str">
        <f t="shared" si="778"/>
        <v>Doctor Who: Signature Edition Statue: Gallifrey Edition: Patrick Troughton</v>
      </c>
      <c r="M2245" s="15" t="str">
        <f t="shared" si="779"/>
        <v>-</v>
      </c>
      <c r="N2245" s="15">
        <f t="shared" si="780"/>
        <v>2.5</v>
      </c>
      <c r="O2245" s="15" t="str">
        <f t="shared" si="781"/>
        <v>A40</v>
      </c>
      <c r="P2245" s="15" t="str">
        <f t="shared" si="782"/>
        <v>Romana Imports</v>
      </c>
      <c r="Q2245" s="15" t="str">
        <f t="shared" si="783"/>
        <v>17 Lalla Ward Road</v>
      </c>
      <c r="R2245" s="3">
        <f>OrdersTable!C2245</f>
        <v>44723</v>
      </c>
      <c r="S2245" s="15">
        <f>OrdersTable!E2245</f>
        <v>8</v>
      </c>
      <c r="T2245" s="15">
        <f t="shared" si="784"/>
        <v>49.99</v>
      </c>
      <c r="U2245" s="15">
        <f t="shared" si="785"/>
        <v>68.510000000000005</v>
      </c>
      <c r="V2245" s="15">
        <f t="shared" si="786"/>
        <v>80.98</v>
      </c>
      <c r="W2245" s="15">
        <f>IF(MarkupType="Store Markup",ROUND(V2245+V2245*StoreMarkup,2),IF(MarkupType="Supplier Markup",V2245+V2245*SupplierMarkup,"Error at finding value"))</f>
        <v>127.54</v>
      </c>
      <c r="X2245" s="32">
        <f t="shared" ref="X2245:X2308" si="788">IF(AND(W2245&gt;100,S2245&gt;=3),ROUND(0.07125*W2245,2),"0.00")</f>
        <v>9.09</v>
      </c>
      <c r="Y2245" s="15">
        <f t="shared" ref="Y2245:Y2308" si="789">ROUND(V2245*S2245,2)</f>
        <v>647.84</v>
      </c>
      <c r="Z2245" s="15">
        <f t="shared" ref="Z2245:Z2308" si="790">ROUND((W2245-X2245)*S2245,2)</f>
        <v>947.6</v>
      </c>
      <c r="AA2245" s="15">
        <f>IF(FreightType="Lethbridge-Stewart Freight ",ROUND(2.99+IF(N2245&gt;0.75,(N2245-0.75)*2.25,0)*S2245,2),IF(MarkupType="Supplier Markup",V2245+V2245*SupplierMarkup,"Error at finding value"))</f>
        <v>34.49</v>
      </c>
      <c r="AB2245" s="15">
        <f t="shared" ref="AB2245:AB2308" si="791">ROUND(X2245*S2245,2)</f>
        <v>72.72</v>
      </c>
    </row>
    <row r="2246" spans="1:28" x14ac:dyDescent="0.25">
      <c r="A2246" s="16">
        <f>OrdersTable!A2246</f>
        <v>139</v>
      </c>
      <c r="B2246" s="15" t="str">
        <f t="shared" si="771"/>
        <v>Mrs</v>
      </c>
      <c r="C2246" s="15" t="str">
        <f t="shared" si="770"/>
        <v>Atkinson</v>
      </c>
      <c r="D2246" s="15" t="str">
        <f t="shared" si="772"/>
        <v>Leanne</v>
      </c>
      <c r="E2246" s="15" t="str">
        <f t="shared" si="773"/>
        <v>45 Maloney Boulevard</v>
      </c>
      <c r="F2246" s="15" t="str">
        <f t="shared" si="774"/>
        <v>Avon Plains</v>
      </c>
      <c r="G2246" s="15" t="str">
        <f t="shared" si="775"/>
        <v>VIC</v>
      </c>
      <c r="H2246" s="15">
        <f t="shared" si="776"/>
        <v>3477</v>
      </c>
      <c r="I2246" s="15">
        <f t="shared" si="787"/>
        <v>1565</v>
      </c>
      <c r="J2246" s="15">
        <f>OrdersTable!B2246</f>
        <v>282</v>
      </c>
      <c r="K2246" s="15" t="str">
        <f t="shared" si="777"/>
        <v>Clothing and Apparel</v>
      </c>
      <c r="L2246" s="15" t="str">
        <f t="shared" si="778"/>
        <v>Doctor Who: Tardis Laplander Hat</v>
      </c>
      <c r="M2246" s="15" t="str">
        <f t="shared" si="779"/>
        <v>-</v>
      </c>
      <c r="N2246" s="15">
        <f t="shared" si="780"/>
        <v>0.97499999999999998</v>
      </c>
      <c r="O2246" s="15" t="str">
        <f t="shared" si="781"/>
        <v>A10</v>
      </c>
      <c r="P2246" s="15" t="str">
        <f t="shared" si="782"/>
        <v>Gallifrey International</v>
      </c>
      <c r="Q2246" s="15" t="str">
        <f t="shared" si="783"/>
        <v>181 Arcadia Street</v>
      </c>
      <c r="R2246" s="3">
        <f>OrdersTable!C2246</f>
        <v>44724</v>
      </c>
      <c r="S2246" s="15">
        <f>OrdersTable!E2246</f>
        <v>3</v>
      </c>
      <c r="T2246" s="15">
        <f t="shared" si="784"/>
        <v>19.5</v>
      </c>
      <c r="U2246" s="15">
        <f t="shared" si="785"/>
        <v>26.93</v>
      </c>
      <c r="V2246" s="15">
        <f t="shared" si="786"/>
        <v>31.59</v>
      </c>
      <c r="W2246" s="15">
        <f>IF(MarkupType="Store Markup",ROUND(V2246+V2246*StoreMarkup,2),IF(MarkupType="Supplier Markup",V2246+V2246*SupplierMarkup,"Error at finding value"))</f>
        <v>49.75</v>
      </c>
      <c r="X2246" s="32" t="str">
        <f t="shared" si="788"/>
        <v>0.00</v>
      </c>
      <c r="Y2246" s="15">
        <f t="shared" si="789"/>
        <v>94.77</v>
      </c>
      <c r="Z2246" s="15">
        <f t="shared" si="790"/>
        <v>149.25</v>
      </c>
      <c r="AA2246" s="15">
        <f>IF(FreightType="Lethbridge-Stewart Freight ",ROUND(2.99+IF(N2246&gt;0.75,(N2246-0.75)*2.25,0)*S2246,2),IF(MarkupType="Supplier Markup",V2246+V2246*SupplierMarkup,"Error at finding value"))</f>
        <v>4.51</v>
      </c>
      <c r="AB2246" s="15">
        <f t="shared" si="791"/>
        <v>0</v>
      </c>
    </row>
    <row r="2247" spans="1:28" x14ac:dyDescent="0.25">
      <c r="A2247" s="16">
        <f>OrdersTable!A2247</f>
        <v>141</v>
      </c>
      <c r="B2247" s="15" t="str">
        <f t="shared" si="771"/>
        <v>Mr</v>
      </c>
      <c r="C2247" s="15" t="str">
        <f t="shared" si="770"/>
        <v>Bergmann</v>
      </c>
      <c r="D2247" s="15" t="str">
        <f t="shared" si="772"/>
        <v>Beau Jay</v>
      </c>
      <c r="E2247" s="15" t="str">
        <f t="shared" si="773"/>
        <v>47 McCullough Circuit</v>
      </c>
      <c r="F2247" s="15" t="str">
        <f t="shared" si="774"/>
        <v>Breakwater</v>
      </c>
      <c r="G2247" s="15" t="str">
        <f t="shared" si="775"/>
        <v>VIC</v>
      </c>
      <c r="H2247" s="15">
        <f t="shared" si="776"/>
        <v>3219</v>
      </c>
      <c r="I2247" s="15">
        <f t="shared" si="787"/>
        <v>1596</v>
      </c>
      <c r="J2247" s="15">
        <f>OrdersTable!B2247</f>
        <v>812</v>
      </c>
      <c r="K2247" s="15" t="str">
        <f t="shared" si="777"/>
        <v>Statues and Busts</v>
      </c>
      <c r="L2247" s="15" t="str">
        <f t="shared" si="778"/>
        <v>Doctor Who: Masterpiece Collection Maxi Bust: Dalek: Day Of The Daleks</v>
      </c>
      <c r="M2247" s="15" t="str">
        <f t="shared" si="779"/>
        <v>-</v>
      </c>
      <c r="N2247" s="15">
        <f t="shared" si="780"/>
        <v>2.5</v>
      </c>
      <c r="O2247" s="15" t="str">
        <f t="shared" si="781"/>
        <v>A20</v>
      </c>
      <c r="P2247" s="15" t="str">
        <f t="shared" si="782"/>
        <v>Morbius Inc.</v>
      </c>
      <c r="Q2247" s="15" t="str">
        <f t="shared" si="783"/>
        <v>56 Michael Spice Hwy</v>
      </c>
      <c r="R2247" s="3">
        <f>OrdersTable!C2247</f>
        <v>44724</v>
      </c>
      <c r="S2247" s="15">
        <f>OrdersTable!E2247</f>
        <v>9</v>
      </c>
      <c r="T2247" s="15">
        <f t="shared" si="784"/>
        <v>49.99</v>
      </c>
      <c r="U2247" s="15">
        <f t="shared" si="785"/>
        <v>68.47</v>
      </c>
      <c r="V2247" s="15">
        <f t="shared" si="786"/>
        <v>80.98</v>
      </c>
      <c r="W2247" s="15">
        <f>IF(MarkupType="Store Markup",ROUND(V2247+V2247*StoreMarkup,2),IF(MarkupType="Supplier Markup",V2247+V2247*SupplierMarkup,"Error at finding value"))</f>
        <v>127.54</v>
      </c>
      <c r="X2247" s="32">
        <f t="shared" si="788"/>
        <v>9.09</v>
      </c>
      <c r="Y2247" s="15">
        <f t="shared" si="789"/>
        <v>728.82</v>
      </c>
      <c r="Z2247" s="15">
        <f t="shared" si="790"/>
        <v>1066.05</v>
      </c>
      <c r="AA2247" s="15">
        <f>IF(FreightType="Lethbridge-Stewart Freight ",ROUND(2.99+IF(N2247&gt;0.75,(N2247-0.75)*2.25,0)*S2247,2),IF(MarkupType="Supplier Markup",V2247+V2247*SupplierMarkup,"Error at finding value"))</f>
        <v>38.43</v>
      </c>
      <c r="AB2247" s="15">
        <f t="shared" si="791"/>
        <v>81.81</v>
      </c>
    </row>
    <row r="2248" spans="1:28" x14ac:dyDescent="0.25">
      <c r="A2248" s="16">
        <f>OrdersTable!A2248</f>
        <v>142</v>
      </c>
      <c r="B2248" s="15" t="str">
        <f t="shared" si="771"/>
        <v>Miss</v>
      </c>
      <c r="C2248" s="15" t="str">
        <f t="shared" si="770"/>
        <v>Western</v>
      </c>
      <c r="D2248" s="15" t="str">
        <f t="shared" si="772"/>
        <v>Lee Reuben</v>
      </c>
      <c r="E2248" s="15" t="str">
        <f t="shared" si="773"/>
        <v>14 Fields Road</v>
      </c>
      <c r="F2248" s="15" t="str">
        <f t="shared" si="774"/>
        <v>Airly</v>
      </c>
      <c r="G2248" s="15" t="str">
        <f t="shared" si="775"/>
        <v>VIC</v>
      </c>
      <c r="H2248" s="15">
        <f t="shared" si="776"/>
        <v>3851</v>
      </c>
      <c r="I2248" s="15">
        <f t="shared" si="787"/>
        <v>1583</v>
      </c>
      <c r="J2248" s="15">
        <f>OrdersTable!B2248</f>
        <v>530</v>
      </c>
      <c r="K2248" s="15" t="str">
        <f t="shared" si="777"/>
        <v>Giftware</v>
      </c>
      <c r="L2248" s="15" t="str">
        <f t="shared" si="778"/>
        <v>Doctor Who: Keyring TARDIS</v>
      </c>
      <c r="M2248" s="15" t="str">
        <f t="shared" si="779"/>
        <v>-</v>
      </c>
      <c r="N2248" s="15">
        <f t="shared" si="780"/>
        <v>0.25</v>
      </c>
      <c r="O2248" s="15" t="str">
        <f t="shared" si="781"/>
        <v>A20</v>
      </c>
      <c r="P2248" s="15" t="str">
        <f t="shared" si="782"/>
        <v>Morbius Inc.</v>
      </c>
      <c r="Q2248" s="15" t="str">
        <f t="shared" si="783"/>
        <v>56 Michael Spice Hwy</v>
      </c>
      <c r="R2248" s="3">
        <f>OrdersTable!C2248</f>
        <v>44724</v>
      </c>
      <c r="S2248" s="15">
        <f>OrdersTable!E2248</f>
        <v>1</v>
      </c>
      <c r="T2248" s="15">
        <f t="shared" si="784"/>
        <v>4.99</v>
      </c>
      <c r="U2248" s="15">
        <f t="shared" si="785"/>
        <v>7.1</v>
      </c>
      <c r="V2248" s="15">
        <f t="shared" si="786"/>
        <v>8.08</v>
      </c>
      <c r="W2248" s="15">
        <f>IF(MarkupType="Store Markup",ROUND(V2248+V2248*StoreMarkup,2),IF(MarkupType="Supplier Markup",V2248+V2248*SupplierMarkup,"Error at finding value"))</f>
        <v>12.73</v>
      </c>
      <c r="X2248" s="32" t="str">
        <f t="shared" si="788"/>
        <v>0.00</v>
      </c>
      <c r="Y2248" s="15">
        <f t="shared" si="789"/>
        <v>8.08</v>
      </c>
      <c r="Z2248" s="15">
        <f t="shared" si="790"/>
        <v>12.73</v>
      </c>
      <c r="AA2248" s="15">
        <f>IF(FreightType="Lethbridge-Stewart Freight ",ROUND(2.99+IF(N2248&gt;0.75,(N2248-0.75)*2.25,0)*S2248,2),IF(MarkupType="Supplier Markup",V2248+V2248*SupplierMarkup,"Error at finding value"))</f>
        <v>2.99</v>
      </c>
      <c r="AB2248" s="15">
        <f t="shared" si="791"/>
        <v>0</v>
      </c>
    </row>
    <row r="2249" spans="1:28" x14ac:dyDescent="0.25">
      <c r="A2249" s="16">
        <f>OrdersTable!A2249</f>
        <v>146</v>
      </c>
      <c r="B2249" s="15" t="str">
        <f t="shared" si="771"/>
        <v>Miss</v>
      </c>
      <c r="C2249" s="15" t="str">
        <f t="shared" si="770"/>
        <v>Brown</v>
      </c>
      <c r="D2249" s="15" t="str">
        <f t="shared" si="772"/>
        <v>Sarah Danielle</v>
      </c>
      <c r="E2249" s="15" t="str">
        <f t="shared" si="773"/>
        <v>50 Brieschke Court</v>
      </c>
      <c r="F2249" s="15" t="str">
        <f t="shared" si="774"/>
        <v>Bray Park</v>
      </c>
      <c r="G2249" s="15" t="str">
        <f t="shared" si="775"/>
        <v>QLD</v>
      </c>
      <c r="H2249" s="15">
        <f t="shared" si="776"/>
        <v>4500</v>
      </c>
      <c r="I2249" s="15">
        <f t="shared" si="787"/>
        <v>139</v>
      </c>
      <c r="J2249" s="15">
        <f>OrdersTable!B2249</f>
        <v>683</v>
      </c>
      <c r="K2249" s="15" t="str">
        <f t="shared" si="777"/>
        <v>Mugs</v>
      </c>
      <c r="L2249" s="15" t="str">
        <f t="shared" si="778"/>
        <v>Doctor Who: Mug: The Tenth Doctor</v>
      </c>
      <c r="M2249" s="15" t="str">
        <f t="shared" si="779"/>
        <v>-</v>
      </c>
      <c r="N2249" s="15">
        <f t="shared" si="780"/>
        <v>0.45</v>
      </c>
      <c r="O2249" s="15" t="str">
        <f t="shared" si="781"/>
        <v>A20</v>
      </c>
      <c r="P2249" s="15" t="str">
        <f t="shared" si="782"/>
        <v>Morbius Inc.</v>
      </c>
      <c r="Q2249" s="15" t="str">
        <f t="shared" si="783"/>
        <v>56 Michael Spice Hwy</v>
      </c>
      <c r="R2249" s="3">
        <f>OrdersTable!C2249</f>
        <v>44724</v>
      </c>
      <c r="S2249" s="15">
        <f>OrdersTable!E2249</f>
        <v>6</v>
      </c>
      <c r="T2249" s="15">
        <f t="shared" si="784"/>
        <v>8.99</v>
      </c>
      <c r="U2249" s="15">
        <f t="shared" si="785"/>
        <v>12.54</v>
      </c>
      <c r="V2249" s="15">
        <f t="shared" si="786"/>
        <v>14.56</v>
      </c>
      <c r="W2249" s="15">
        <f>IF(MarkupType="Store Markup",ROUND(V2249+V2249*StoreMarkup,2),IF(MarkupType="Supplier Markup",V2249+V2249*SupplierMarkup,"Error at finding value"))</f>
        <v>22.93</v>
      </c>
      <c r="X2249" s="32" t="str">
        <f t="shared" si="788"/>
        <v>0.00</v>
      </c>
      <c r="Y2249" s="15">
        <f t="shared" si="789"/>
        <v>87.36</v>
      </c>
      <c r="Z2249" s="15">
        <f t="shared" si="790"/>
        <v>137.58000000000001</v>
      </c>
      <c r="AA2249" s="15">
        <f>IF(FreightType="Lethbridge-Stewart Freight ",ROUND(2.99+IF(N2249&gt;0.75,(N2249-0.75)*2.25,0)*S2249,2),IF(MarkupType="Supplier Markup",V2249+V2249*SupplierMarkup,"Error at finding value"))</f>
        <v>2.99</v>
      </c>
      <c r="AB2249" s="15">
        <f t="shared" si="791"/>
        <v>0</v>
      </c>
    </row>
    <row r="2250" spans="1:28" x14ac:dyDescent="0.25">
      <c r="A2250" s="16">
        <f>OrdersTable!A2250</f>
        <v>190</v>
      </c>
      <c r="B2250" s="15" t="str">
        <f t="shared" si="771"/>
        <v>Mr</v>
      </c>
      <c r="C2250" s="15" t="str">
        <f t="shared" si="770"/>
        <v>Azar</v>
      </c>
      <c r="D2250" s="15" t="str">
        <f t="shared" si="772"/>
        <v>Hector Antonio</v>
      </c>
      <c r="E2250" s="15" t="str">
        <f t="shared" si="773"/>
        <v>38 Hope Avenue</v>
      </c>
      <c r="F2250" s="15" t="str">
        <f t="shared" si="774"/>
        <v>Glenfern</v>
      </c>
      <c r="G2250" s="15" t="str">
        <f t="shared" si="775"/>
        <v>QLD</v>
      </c>
      <c r="H2250" s="15">
        <f t="shared" si="776"/>
        <v>4515</v>
      </c>
      <c r="I2250" s="15">
        <f t="shared" si="787"/>
        <v>128</v>
      </c>
      <c r="J2250" s="15">
        <f>OrdersTable!B2250</f>
        <v>792</v>
      </c>
      <c r="K2250" s="15" t="str">
        <f t="shared" si="777"/>
        <v>Statues and Busts</v>
      </c>
      <c r="L2250" s="15" t="str">
        <f t="shared" si="778"/>
        <v>Doctor Who: Masterpiece Collection Maxi Bust: 3rd Doctor</v>
      </c>
      <c r="M2250" s="15" t="str">
        <f t="shared" si="779"/>
        <v>-</v>
      </c>
      <c r="N2250" s="15">
        <f t="shared" si="780"/>
        <v>2.5</v>
      </c>
      <c r="O2250" s="15" t="str">
        <f t="shared" si="781"/>
        <v>A20</v>
      </c>
      <c r="P2250" s="15" t="str">
        <f t="shared" si="782"/>
        <v>Morbius Inc.</v>
      </c>
      <c r="Q2250" s="15" t="str">
        <f t="shared" si="783"/>
        <v>56 Michael Spice Hwy</v>
      </c>
      <c r="R2250" s="3">
        <f>OrdersTable!C2250</f>
        <v>44724</v>
      </c>
      <c r="S2250" s="15">
        <f>OrdersTable!E2250</f>
        <v>1</v>
      </c>
      <c r="T2250" s="15">
        <f t="shared" si="784"/>
        <v>49.99</v>
      </c>
      <c r="U2250" s="15">
        <f t="shared" si="785"/>
        <v>68.39</v>
      </c>
      <c r="V2250" s="15">
        <f t="shared" si="786"/>
        <v>80.98</v>
      </c>
      <c r="W2250" s="15">
        <f>IF(MarkupType="Store Markup",ROUND(V2250+V2250*StoreMarkup,2),IF(MarkupType="Supplier Markup",V2250+V2250*SupplierMarkup,"Error at finding value"))</f>
        <v>127.54</v>
      </c>
      <c r="X2250" s="32" t="str">
        <f t="shared" si="788"/>
        <v>0.00</v>
      </c>
      <c r="Y2250" s="15">
        <f t="shared" si="789"/>
        <v>80.98</v>
      </c>
      <c r="Z2250" s="15">
        <f t="shared" si="790"/>
        <v>127.54</v>
      </c>
      <c r="AA2250" s="15">
        <f>IF(FreightType="Lethbridge-Stewart Freight ",ROUND(2.99+IF(N2250&gt;0.75,(N2250-0.75)*2.25,0)*S2250,2),IF(MarkupType="Supplier Markup",V2250+V2250*SupplierMarkup,"Error at finding value"))</f>
        <v>6.93</v>
      </c>
      <c r="AB2250" s="15">
        <f t="shared" si="791"/>
        <v>0</v>
      </c>
    </row>
    <row r="2251" spans="1:28" x14ac:dyDescent="0.25">
      <c r="A2251" s="16">
        <f>OrdersTable!A2251</f>
        <v>224</v>
      </c>
      <c r="B2251" s="15" t="str">
        <f t="shared" si="771"/>
        <v>Miss</v>
      </c>
      <c r="C2251" s="15" t="str">
        <f t="shared" ref="C2251:C2314" si="792">VLOOKUP($A2251,Cust,3,0)</f>
        <v>Baruwal</v>
      </c>
      <c r="D2251" s="15" t="str">
        <f t="shared" si="772"/>
        <v>Pratikshya</v>
      </c>
      <c r="E2251" s="15" t="str">
        <f t="shared" si="773"/>
        <v>43 Gilloway Street</v>
      </c>
      <c r="F2251" s="15" t="str">
        <f t="shared" si="774"/>
        <v>Iluka</v>
      </c>
      <c r="G2251" s="15" t="str">
        <f t="shared" si="775"/>
        <v>NSW</v>
      </c>
      <c r="H2251" s="15">
        <f t="shared" si="776"/>
        <v>2466</v>
      </c>
      <c r="I2251" s="15">
        <f t="shared" si="787"/>
        <v>347</v>
      </c>
      <c r="J2251" s="15">
        <f>OrdersTable!B2251</f>
        <v>698</v>
      </c>
      <c r="K2251" s="15" t="str">
        <f t="shared" si="777"/>
        <v>Posters, Prints and Standees</v>
      </c>
      <c r="L2251" s="15" t="str">
        <f t="shared" si="778"/>
        <v>Doctor Who: Art Print: My Mysterious Doctor</v>
      </c>
      <c r="M2251" s="15" t="str">
        <f t="shared" si="779"/>
        <v>-</v>
      </c>
      <c r="N2251" s="15">
        <f t="shared" si="780"/>
        <v>0.75</v>
      </c>
      <c r="O2251" s="15" t="str">
        <f t="shared" si="781"/>
        <v>A30</v>
      </c>
      <c r="P2251" s="15" t="str">
        <f t="shared" si="782"/>
        <v>Chesterton Enterprises</v>
      </c>
      <c r="Q2251" s="15" t="str">
        <f t="shared" si="783"/>
        <v>41 William Russell Road</v>
      </c>
      <c r="R2251" s="3">
        <f>OrdersTable!C2251</f>
        <v>44724</v>
      </c>
      <c r="S2251" s="15">
        <f>OrdersTable!E2251</f>
        <v>7</v>
      </c>
      <c r="T2251" s="15">
        <f t="shared" si="784"/>
        <v>14.99</v>
      </c>
      <c r="U2251" s="15">
        <f t="shared" si="785"/>
        <v>20.56</v>
      </c>
      <c r="V2251" s="15">
        <f t="shared" si="786"/>
        <v>24.28</v>
      </c>
      <c r="W2251" s="15">
        <f>IF(MarkupType="Store Markup",ROUND(V2251+V2251*StoreMarkup,2),IF(MarkupType="Supplier Markup",V2251+V2251*SupplierMarkup,"Error at finding value"))</f>
        <v>38.24</v>
      </c>
      <c r="X2251" s="32" t="str">
        <f t="shared" si="788"/>
        <v>0.00</v>
      </c>
      <c r="Y2251" s="15">
        <f t="shared" si="789"/>
        <v>169.96</v>
      </c>
      <c r="Z2251" s="15">
        <f t="shared" si="790"/>
        <v>267.68</v>
      </c>
      <c r="AA2251" s="15">
        <f>IF(FreightType="Lethbridge-Stewart Freight ",ROUND(2.99+IF(N2251&gt;0.75,(N2251-0.75)*2.25,0)*S2251,2),IF(MarkupType="Supplier Markup",V2251+V2251*SupplierMarkup,"Error at finding value"))</f>
        <v>2.99</v>
      </c>
      <c r="AB2251" s="15">
        <f t="shared" si="791"/>
        <v>0</v>
      </c>
    </row>
    <row r="2252" spans="1:28" x14ac:dyDescent="0.25">
      <c r="A2252" s="16">
        <f>OrdersTable!A2252</f>
        <v>302</v>
      </c>
      <c r="B2252" s="15" t="str">
        <f t="shared" si="771"/>
        <v>Ms</v>
      </c>
      <c r="C2252" s="15" t="str">
        <f t="shared" si="792"/>
        <v>Lamshed</v>
      </c>
      <c r="D2252" s="15" t="str">
        <f t="shared" si="772"/>
        <v>Laura Clare</v>
      </c>
      <c r="E2252" s="15" t="str">
        <f t="shared" si="773"/>
        <v>22 Edser Drive</v>
      </c>
      <c r="F2252" s="15" t="str">
        <f t="shared" si="774"/>
        <v>Caliph</v>
      </c>
      <c r="G2252" s="15" t="str">
        <f t="shared" si="775"/>
        <v>SA</v>
      </c>
      <c r="H2252" s="15">
        <f t="shared" si="776"/>
        <v>5310</v>
      </c>
      <c r="I2252" s="15">
        <f t="shared" si="787"/>
        <v>1720</v>
      </c>
      <c r="J2252" s="15">
        <f>OrdersTable!B2252</f>
        <v>201</v>
      </c>
      <c r="K2252" s="15" t="str">
        <f t="shared" si="777"/>
        <v>Clothing and Apparel</v>
      </c>
      <c r="L2252" s="15" t="str">
        <f t="shared" si="778"/>
        <v>Doctor Who: Dalek Beanie</v>
      </c>
      <c r="M2252" s="15" t="str">
        <f t="shared" si="779"/>
        <v>-</v>
      </c>
      <c r="N2252" s="15">
        <f t="shared" si="780"/>
        <v>1.1399999999999999</v>
      </c>
      <c r="O2252" s="15" t="str">
        <f t="shared" si="781"/>
        <v>A50</v>
      </c>
      <c r="P2252" s="15" t="str">
        <f t="shared" si="782"/>
        <v>Rassilon Ltd.</v>
      </c>
      <c r="Q2252" s="15" t="str">
        <f t="shared" si="783"/>
        <v>82 Richard Mathews Road</v>
      </c>
      <c r="R2252" s="3">
        <f>OrdersTable!C2252</f>
        <v>44724</v>
      </c>
      <c r="S2252" s="15">
        <f>OrdersTable!E2252</f>
        <v>6</v>
      </c>
      <c r="T2252" s="15">
        <f t="shared" si="784"/>
        <v>22.75</v>
      </c>
      <c r="U2252" s="15">
        <f t="shared" si="785"/>
        <v>31.26</v>
      </c>
      <c r="V2252" s="15">
        <f t="shared" si="786"/>
        <v>36.86</v>
      </c>
      <c r="W2252" s="15">
        <f>IF(MarkupType="Store Markup",ROUND(V2252+V2252*StoreMarkup,2),IF(MarkupType="Supplier Markup",V2252+V2252*SupplierMarkup,"Error at finding value"))</f>
        <v>58.05</v>
      </c>
      <c r="X2252" s="32" t="str">
        <f t="shared" si="788"/>
        <v>0.00</v>
      </c>
      <c r="Y2252" s="15">
        <f t="shared" si="789"/>
        <v>221.16</v>
      </c>
      <c r="Z2252" s="15">
        <f t="shared" si="790"/>
        <v>348.3</v>
      </c>
      <c r="AA2252" s="15">
        <f>IF(FreightType="Lethbridge-Stewart Freight ",ROUND(2.99+IF(N2252&gt;0.75,(N2252-0.75)*2.25,0)*S2252,2),IF(MarkupType="Supplier Markup",V2252+V2252*SupplierMarkup,"Error at finding value"))</f>
        <v>8.26</v>
      </c>
      <c r="AB2252" s="15">
        <f t="shared" si="791"/>
        <v>0</v>
      </c>
    </row>
    <row r="2253" spans="1:28" x14ac:dyDescent="0.25">
      <c r="A2253" s="16">
        <f>OrdersTable!A2253</f>
        <v>332</v>
      </c>
      <c r="B2253" s="15" t="str">
        <f t="shared" si="771"/>
        <v>Mr</v>
      </c>
      <c r="C2253" s="15" t="str">
        <f t="shared" si="792"/>
        <v>Selman</v>
      </c>
      <c r="D2253" s="15" t="str">
        <f t="shared" si="772"/>
        <v>Jack Ryan</v>
      </c>
      <c r="E2253" s="15" t="str">
        <f t="shared" si="773"/>
        <v>17 Van Essen Street</v>
      </c>
      <c r="F2253" s="15" t="str">
        <f t="shared" si="774"/>
        <v>Airly</v>
      </c>
      <c r="G2253" s="15" t="str">
        <f t="shared" si="775"/>
        <v>VIC</v>
      </c>
      <c r="H2253" s="15">
        <f t="shared" si="776"/>
        <v>3851</v>
      </c>
      <c r="I2253" s="15">
        <f t="shared" si="787"/>
        <v>1583</v>
      </c>
      <c r="J2253" s="15">
        <f>OrdersTable!B2253</f>
        <v>759</v>
      </c>
      <c r="K2253" s="15" t="str">
        <f t="shared" si="777"/>
        <v>Statues and Busts</v>
      </c>
      <c r="L2253" s="15" t="str">
        <f t="shared" si="778"/>
        <v>Doctor Who: Legends Forever Bust: Jon Pertwee</v>
      </c>
      <c r="M2253" s="15" t="str">
        <f t="shared" si="779"/>
        <v>-</v>
      </c>
      <c r="N2253" s="15">
        <f t="shared" si="780"/>
        <v>1.375</v>
      </c>
      <c r="O2253" s="15" t="str">
        <f t="shared" si="781"/>
        <v>A30</v>
      </c>
      <c r="P2253" s="15" t="str">
        <f t="shared" si="782"/>
        <v>Chesterton Enterprises</v>
      </c>
      <c r="Q2253" s="15" t="str">
        <f t="shared" si="783"/>
        <v>41 William Russell Road</v>
      </c>
      <c r="R2253" s="3">
        <f>OrdersTable!C2253</f>
        <v>44724</v>
      </c>
      <c r="S2253" s="15">
        <f>OrdersTable!E2253</f>
        <v>10</v>
      </c>
      <c r="T2253" s="15">
        <f t="shared" si="784"/>
        <v>27.5</v>
      </c>
      <c r="U2253" s="15">
        <f t="shared" si="785"/>
        <v>37.630000000000003</v>
      </c>
      <c r="V2253" s="15">
        <f t="shared" si="786"/>
        <v>44.55</v>
      </c>
      <c r="W2253" s="15">
        <f>IF(MarkupType="Store Markup",ROUND(V2253+V2253*StoreMarkup,2),IF(MarkupType="Supplier Markup",V2253+V2253*SupplierMarkup,"Error at finding value"))</f>
        <v>70.17</v>
      </c>
      <c r="X2253" s="32" t="str">
        <f t="shared" si="788"/>
        <v>0.00</v>
      </c>
      <c r="Y2253" s="15">
        <f t="shared" si="789"/>
        <v>445.5</v>
      </c>
      <c r="Z2253" s="15">
        <f t="shared" si="790"/>
        <v>701.7</v>
      </c>
      <c r="AA2253" s="15">
        <f>IF(FreightType="Lethbridge-Stewart Freight ",ROUND(2.99+IF(N2253&gt;0.75,(N2253-0.75)*2.25,0)*S2253,2),IF(MarkupType="Supplier Markup",V2253+V2253*SupplierMarkup,"Error at finding value"))</f>
        <v>17.05</v>
      </c>
      <c r="AB2253" s="15">
        <f t="shared" si="791"/>
        <v>0</v>
      </c>
    </row>
    <row r="2254" spans="1:28" x14ac:dyDescent="0.25">
      <c r="A2254" s="16">
        <f>OrdersTable!A2254</f>
        <v>467</v>
      </c>
      <c r="B2254" s="15" t="str">
        <f t="shared" si="771"/>
        <v>Mrs</v>
      </c>
      <c r="C2254" s="15" t="str">
        <f t="shared" si="792"/>
        <v>Daniell</v>
      </c>
      <c r="D2254" s="15" t="str">
        <f t="shared" si="772"/>
        <v>Bronte Eliza</v>
      </c>
      <c r="E2254" s="15" t="str">
        <f t="shared" si="773"/>
        <v>41 Wilson Boulevard</v>
      </c>
      <c r="F2254" s="15" t="str">
        <f t="shared" si="774"/>
        <v>Aberfoyle</v>
      </c>
      <c r="G2254" s="15" t="str">
        <f t="shared" si="775"/>
        <v>NSW</v>
      </c>
      <c r="H2254" s="15">
        <f t="shared" si="776"/>
        <v>2350</v>
      </c>
      <c r="I2254" s="15">
        <f t="shared" si="787"/>
        <v>363</v>
      </c>
      <c r="J2254" s="15">
        <f>OrdersTable!B2254</f>
        <v>745</v>
      </c>
      <c r="K2254" s="15" t="str">
        <f t="shared" si="777"/>
        <v>Props and Replicas</v>
      </c>
      <c r="L2254" s="15" t="str">
        <f t="shared" si="778"/>
        <v>Doctor Who: TARDIS Type 40 Plaque</v>
      </c>
      <c r="M2254" s="15" t="str">
        <f t="shared" si="779"/>
        <v>-</v>
      </c>
      <c r="N2254" s="15">
        <f t="shared" si="780"/>
        <v>1.75</v>
      </c>
      <c r="O2254" s="15" t="str">
        <f t="shared" si="781"/>
        <v>A30</v>
      </c>
      <c r="P2254" s="15" t="str">
        <f t="shared" si="782"/>
        <v>Chesterton Enterprises</v>
      </c>
      <c r="Q2254" s="15" t="str">
        <f t="shared" si="783"/>
        <v>41 William Russell Road</v>
      </c>
      <c r="R2254" s="3">
        <f>OrdersTable!C2254</f>
        <v>44724</v>
      </c>
      <c r="S2254" s="15">
        <f>OrdersTable!E2254</f>
        <v>5</v>
      </c>
      <c r="T2254" s="15">
        <f t="shared" si="784"/>
        <v>34.99</v>
      </c>
      <c r="U2254" s="15">
        <f t="shared" si="785"/>
        <v>47.86</v>
      </c>
      <c r="V2254" s="15">
        <f t="shared" si="786"/>
        <v>56.68</v>
      </c>
      <c r="W2254" s="15">
        <f>IF(MarkupType="Store Markup",ROUND(V2254+V2254*StoreMarkup,2),IF(MarkupType="Supplier Markup",V2254+V2254*SupplierMarkup,"Error at finding value"))</f>
        <v>89.27</v>
      </c>
      <c r="X2254" s="32" t="str">
        <f t="shared" si="788"/>
        <v>0.00</v>
      </c>
      <c r="Y2254" s="15">
        <f t="shared" si="789"/>
        <v>283.39999999999998</v>
      </c>
      <c r="Z2254" s="15">
        <f t="shared" si="790"/>
        <v>446.35</v>
      </c>
      <c r="AA2254" s="15">
        <f>IF(FreightType="Lethbridge-Stewart Freight ",ROUND(2.99+IF(N2254&gt;0.75,(N2254-0.75)*2.25,0)*S2254,2),IF(MarkupType="Supplier Markup",V2254+V2254*SupplierMarkup,"Error at finding value"))</f>
        <v>14.24</v>
      </c>
      <c r="AB2254" s="15">
        <f t="shared" si="791"/>
        <v>0</v>
      </c>
    </row>
    <row r="2255" spans="1:28" x14ac:dyDescent="0.25">
      <c r="A2255" s="16">
        <f>OrdersTable!A2255</f>
        <v>467</v>
      </c>
      <c r="B2255" s="15" t="str">
        <f t="shared" si="771"/>
        <v>Mrs</v>
      </c>
      <c r="C2255" s="15" t="str">
        <f t="shared" si="792"/>
        <v>Daniell</v>
      </c>
      <c r="D2255" s="15" t="str">
        <f t="shared" si="772"/>
        <v>Bronte Eliza</v>
      </c>
      <c r="E2255" s="15" t="str">
        <f t="shared" si="773"/>
        <v>41 Wilson Boulevard</v>
      </c>
      <c r="F2255" s="15" t="str">
        <f t="shared" si="774"/>
        <v>Aberfoyle</v>
      </c>
      <c r="G2255" s="15" t="str">
        <f t="shared" si="775"/>
        <v>NSW</v>
      </c>
      <c r="H2255" s="15">
        <f t="shared" si="776"/>
        <v>2350</v>
      </c>
      <c r="I2255" s="15">
        <f t="shared" si="787"/>
        <v>363</v>
      </c>
      <c r="J2255" s="15">
        <f>OrdersTable!B2255</f>
        <v>810</v>
      </c>
      <c r="K2255" s="15" t="str">
        <f t="shared" si="777"/>
        <v>Statues and Busts</v>
      </c>
      <c r="L2255" s="15" t="str">
        <f t="shared" si="778"/>
        <v>Doctor Who: Masterpiece Collection Maxi Bust: Amy Pond</v>
      </c>
      <c r="M2255" s="15" t="str">
        <f t="shared" si="779"/>
        <v>-</v>
      </c>
      <c r="N2255" s="15">
        <f t="shared" si="780"/>
        <v>2.5</v>
      </c>
      <c r="O2255" s="15" t="str">
        <f t="shared" si="781"/>
        <v>A50</v>
      </c>
      <c r="P2255" s="15" t="str">
        <f t="shared" si="782"/>
        <v>Rassilon Ltd.</v>
      </c>
      <c r="Q2255" s="15" t="str">
        <f t="shared" si="783"/>
        <v>82 Richard Mathews Road</v>
      </c>
      <c r="R2255" s="3">
        <f>OrdersTable!C2255</f>
        <v>44724</v>
      </c>
      <c r="S2255" s="15">
        <f>OrdersTable!E2255</f>
        <v>5</v>
      </c>
      <c r="T2255" s="15">
        <f t="shared" si="784"/>
        <v>49.99</v>
      </c>
      <c r="U2255" s="15">
        <f t="shared" si="785"/>
        <v>68.260000000000005</v>
      </c>
      <c r="V2255" s="15">
        <f t="shared" si="786"/>
        <v>80.98</v>
      </c>
      <c r="W2255" s="15">
        <f>IF(MarkupType="Store Markup",ROUND(V2255+V2255*StoreMarkup,2),IF(MarkupType="Supplier Markup",V2255+V2255*SupplierMarkup,"Error at finding value"))</f>
        <v>127.54</v>
      </c>
      <c r="X2255" s="32">
        <f t="shared" si="788"/>
        <v>9.09</v>
      </c>
      <c r="Y2255" s="15">
        <f t="shared" si="789"/>
        <v>404.9</v>
      </c>
      <c r="Z2255" s="15">
        <f t="shared" si="790"/>
        <v>592.25</v>
      </c>
      <c r="AA2255" s="15">
        <f>IF(FreightType="Lethbridge-Stewart Freight ",ROUND(2.99+IF(N2255&gt;0.75,(N2255-0.75)*2.25,0)*S2255,2),IF(MarkupType="Supplier Markup",V2255+V2255*SupplierMarkup,"Error at finding value"))</f>
        <v>22.68</v>
      </c>
      <c r="AB2255" s="15">
        <f t="shared" si="791"/>
        <v>45.45</v>
      </c>
    </row>
    <row r="2256" spans="1:28" x14ac:dyDescent="0.25">
      <c r="A2256" s="16">
        <f>OrdersTable!A2256</f>
        <v>500</v>
      </c>
      <c r="B2256" s="15" t="str">
        <f t="shared" si="771"/>
        <v>Ms</v>
      </c>
      <c r="C2256" s="15" t="str">
        <f t="shared" si="792"/>
        <v>Helmers</v>
      </c>
      <c r="D2256" s="15" t="str">
        <f t="shared" si="772"/>
        <v>Kristy-Lee</v>
      </c>
      <c r="E2256" s="15" t="str">
        <f t="shared" si="773"/>
        <v>43 Welthagen Court</v>
      </c>
      <c r="F2256" s="15" t="str">
        <f t="shared" si="774"/>
        <v>Areegra</v>
      </c>
      <c r="G2256" s="15" t="str">
        <f t="shared" si="775"/>
        <v>VIC</v>
      </c>
      <c r="H2256" s="15">
        <f t="shared" si="776"/>
        <v>3480</v>
      </c>
      <c r="I2256" s="15">
        <f t="shared" si="787"/>
        <v>1559</v>
      </c>
      <c r="J2256" s="15">
        <f>OrdersTable!B2256</f>
        <v>758</v>
      </c>
      <c r="K2256" s="15" t="str">
        <f t="shared" si="777"/>
        <v>Statues and Busts</v>
      </c>
      <c r="L2256" s="15" t="str">
        <f t="shared" si="778"/>
        <v>Doctor Who: Helmet: Sontaran Officer Linx</v>
      </c>
      <c r="M2256" s="15" t="str">
        <f t="shared" si="779"/>
        <v>-</v>
      </c>
      <c r="N2256" s="15">
        <f t="shared" si="780"/>
        <v>1.75</v>
      </c>
      <c r="O2256" s="15" t="str">
        <f t="shared" si="781"/>
        <v>A50</v>
      </c>
      <c r="P2256" s="15" t="str">
        <f t="shared" si="782"/>
        <v>Rassilon Ltd.</v>
      </c>
      <c r="Q2256" s="15" t="str">
        <f t="shared" si="783"/>
        <v>82 Richard Mathews Road</v>
      </c>
      <c r="R2256" s="3">
        <f>OrdersTable!C2256</f>
        <v>44724</v>
      </c>
      <c r="S2256" s="15">
        <f>OrdersTable!E2256</f>
        <v>4</v>
      </c>
      <c r="T2256" s="15">
        <f t="shared" si="784"/>
        <v>34.99</v>
      </c>
      <c r="U2256" s="15">
        <f t="shared" si="785"/>
        <v>47.79</v>
      </c>
      <c r="V2256" s="15">
        <f t="shared" si="786"/>
        <v>56.68</v>
      </c>
      <c r="W2256" s="15">
        <f>IF(MarkupType="Store Markup",ROUND(V2256+V2256*StoreMarkup,2),IF(MarkupType="Supplier Markup",V2256+V2256*SupplierMarkup,"Error at finding value"))</f>
        <v>89.27</v>
      </c>
      <c r="X2256" s="32" t="str">
        <f t="shared" si="788"/>
        <v>0.00</v>
      </c>
      <c r="Y2256" s="15">
        <f t="shared" si="789"/>
        <v>226.72</v>
      </c>
      <c r="Z2256" s="15">
        <f t="shared" si="790"/>
        <v>357.08</v>
      </c>
      <c r="AA2256" s="15">
        <f>IF(FreightType="Lethbridge-Stewart Freight ",ROUND(2.99+IF(N2256&gt;0.75,(N2256-0.75)*2.25,0)*S2256,2),IF(MarkupType="Supplier Markup",V2256+V2256*SupplierMarkup,"Error at finding value"))</f>
        <v>11.99</v>
      </c>
      <c r="AB2256" s="15">
        <f t="shared" si="791"/>
        <v>0</v>
      </c>
    </row>
    <row r="2257" spans="1:28" x14ac:dyDescent="0.25">
      <c r="A2257" s="16">
        <f>OrdersTable!A2257</f>
        <v>527</v>
      </c>
      <c r="B2257" s="15" t="str">
        <f t="shared" si="771"/>
        <v>Mr</v>
      </c>
      <c r="C2257" s="15" t="str">
        <f t="shared" si="792"/>
        <v>McTaggart</v>
      </c>
      <c r="D2257" s="15" t="str">
        <f t="shared" si="772"/>
        <v>Daniel</v>
      </c>
      <c r="E2257" s="15" t="str">
        <f t="shared" si="773"/>
        <v>24 Mulholland Avenue</v>
      </c>
      <c r="F2257" s="15" t="str">
        <f t="shared" si="774"/>
        <v>Belconnen</v>
      </c>
      <c r="G2257" s="15" t="str">
        <f t="shared" si="775"/>
        <v>ACT</v>
      </c>
      <c r="H2257" s="15">
        <f t="shared" si="776"/>
        <v>2617</v>
      </c>
      <c r="I2257" s="15">
        <f t="shared" si="787"/>
        <v>1194</v>
      </c>
      <c r="J2257" s="15">
        <f>OrdersTable!B2257</f>
        <v>374</v>
      </c>
      <c r="K2257" s="15" t="str">
        <f t="shared" si="777"/>
        <v>Clothing and Apparel</v>
      </c>
      <c r="L2257" s="15" t="str">
        <f t="shared" si="778"/>
        <v xml:space="preserve">Doctor Who: T-Shirts: 5th Doctor Costume </v>
      </c>
      <c r="M2257" s="15" t="str">
        <f t="shared" si="779"/>
        <v>XL</v>
      </c>
      <c r="N2257" s="15">
        <f t="shared" si="780"/>
        <v>0.8</v>
      </c>
      <c r="O2257" s="15" t="str">
        <f t="shared" si="781"/>
        <v>A50</v>
      </c>
      <c r="P2257" s="15" t="str">
        <f t="shared" si="782"/>
        <v>Rassilon Ltd.</v>
      </c>
      <c r="Q2257" s="15" t="str">
        <f t="shared" si="783"/>
        <v>82 Richard Mathews Road</v>
      </c>
      <c r="R2257" s="3">
        <f>OrdersTable!C2257</f>
        <v>44724</v>
      </c>
      <c r="S2257" s="15">
        <f>OrdersTable!E2257</f>
        <v>4</v>
      </c>
      <c r="T2257" s="15">
        <f t="shared" si="784"/>
        <v>15.99</v>
      </c>
      <c r="U2257" s="15">
        <f t="shared" si="785"/>
        <v>21.97</v>
      </c>
      <c r="V2257" s="15">
        <f t="shared" si="786"/>
        <v>25.9</v>
      </c>
      <c r="W2257" s="15">
        <f>IF(MarkupType="Store Markup",ROUND(V2257+V2257*StoreMarkup,2),IF(MarkupType="Supplier Markup",V2257+V2257*SupplierMarkup,"Error at finding value"))</f>
        <v>40.79</v>
      </c>
      <c r="X2257" s="32" t="str">
        <f t="shared" si="788"/>
        <v>0.00</v>
      </c>
      <c r="Y2257" s="15">
        <f t="shared" si="789"/>
        <v>103.6</v>
      </c>
      <c r="Z2257" s="15">
        <f t="shared" si="790"/>
        <v>163.16</v>
      </c>
      <c r="AA2257" s="15">
        <f>IF(FreightType="Lethbridge-Stewart Freight ",ROUND(2.99+IF(N2257&gt;0.75,(N2257-0.75)*2.25,0)*S2257,2),IF(MarkupType="Supplier Markup",V2257+V2257*SupplierMarkup,"Error at finding value"))</f>
        <v>3.44</v>
      </c>
      <c r="AB2257" s="15">
        <f t="shared" si="791"/>
        <v>0</v>
      </c>
    </row>
    <row r="2258" spans="1:28" x14ac:dyDescent="0.25">
      <c r="A2258" s="16">
        <f>OrdersTable!A2258</f>
        <v>651</v>
      </c>
      <c r="B2258" s="15" t="str">
        <f t="shared" si="771"/>
        <v>Mr</v>
      </c>
      <c r="C2258" s="15" t="str">
        <f t="shared" si="792"/>
        <v>Wilkes</v>
      </c>
      <c r="D2258" s="15" t="str">
        <f t="shared" si="772"/>
        <v>Harley</v>
      </c>
      <c r="E2258" s="15" t="str">
        <f t="shared" si="773"/>
        <v>12 Locke Circuit</v>
      </c>
      <c r="F2258" s="15" t="str">
        <f t="shared" si="774"/>
        <v>Bray Park</v>
      </c>
      <c r="G2258" s="15" t="str">
        <f t="shared" si="775"/>
        <v>QLD</v>
      </c>
      <c r="H2258" s="15">
        <f t="shared" si="776"/>
        <v>4500</v>
      </c>
      <c r="I2258" s="15">
        <f t="shared" si="787"/>
        <v>139</v>
      </c>
      <c r="J2258" s="15">
        <f>OrdersTable!B2258</f>
        <v>699</v>
      </c>
      <c r="K2258" s="15" t="str">
        <f t="shared" si="777"/>
        <v>Posters, Prints and Standees</v>
      </c>
      <c r="L2258" s="15" t="str">
        <f t="shared" si="778"/>
        <v>Doctor Who: Half Sized Standee: The Master</v>
      </c>
      <c r="M2258" s="15" t="str">
        <f t="shared" si="779"/>
        <v>-</v>
      </c>
      <c r="N2258" s="15">
        <f t="shared" si="780"/>
        <v>0.5</v>
      </c>
      <c r="O2258" s="15" t="str">
        <f t="shared" si="781"/>
        <v>A20</v>
      </c>
      <c r="P2258" s="15" t="str">
        <f t="shared" si="782"/>
        <v>Morbius Inc.</v>
      </c>
      <c r="Q2258" s="15" t="str">
        <f t="shared" si="783"/>
        <v>56 Michael Spice Hwy</v>
      </c>
      <c r="R2258" s="3">
        <f>OrdersTable!C2258</f>
        <v>44724</v>
      </c>
      <c r="S2258" s="15">
        <f>OrdersTable!E2258</f>
        <v>10</v>
      </c>
      <c r="T2258" s="15">
        <f t="shared" si="784"/>
        <v>9.99</v>
      </c>
      <c r="U2258" s="15">
        <f t="shared" si="785"/>
        <v>13.79</v>
      </c>
      <c r="V2258" s="15">
        <f t="shared" si="786"/>
        <v>16.18</v>
      </c>
      <c r="W2258" s="15">
        <f>IF(MarkupType="Store Markup",ROUND(V2258+V2258*StoreMarkup,2),IF(MarkupType="Supplier Markup",V2258+V2258*SupplierMarkup,"Error at finding value"))</f>
        <v>25.48</v>
      </c>
      <c r="X2258" s="32" t="str">
        <f t="shared" si="788"/>
        <v>0.00</v>
      </c>
      <c r="Y2258" s="15">
        <f t="shared" si="789"/>
        <v>161.80000000000001</v>
      </c>
      <c r="Z2258" s="15">
        <f t="shared" si="790"/>
        <v>254.8</v>
      </c>
      <c r="AA2258" s="15">
        <f>IF(FreightType="Lethbridge-Stewart Freight ",ROUND(2.99+IF(N2258&gt;0.75,(N2258-0.75)*2.25,0)*S2258,2),IF(MarkupType="Supplier Markup",V2258+V2258*SupplierMarkup,"Error at finding value"))</f>
        <v>2.99</v>
      </c>
      <c r="AB2258" s="15">
        <f t="shared" si="791"/>
        <v>0</v>
      </c>
    </row>
    <row r="2259" spans="1:28" x14ac:dyDescent="0.25">
      <c r="A2259" s="16">
        <f>OrdersTable!A2259</f>
        <v>843</v>
      </c>
      <c r="B2259" s="15" t="str">
        <f t="shared" si="771"/>
        <v>Mr</v>
      </c>
      <c r="C2259" s="15" t="str">
        <f t="shared" si="792"/>
        <v>Goodwin</v>
      </c>
      <c r="D2259" s="15" t="str">
        <f t="shared" si="772"/>
        <v>Damon Joel</v>
      </c>
      <c r="E2259" s="15" t="str">
        <f t="shared" si="773"/>
        <v>40 Powell Boulevard</v>
      </c>
      <c r="F2259" s="15" t="str">
        <f t="shared" si="774"/>
        <v>Abington</v>
      </c>
      <c r="G2259" s="15" t="str">
        <f t="shared" si="775"/>
        <v>QLD</v>
      </c>
      <c r="H2259" s="15">
        <f t="shared" si="776"/>
        <v>4660</v>
      </c>
      <c r="I2259" s="15">
        <f t="shared" si="787"/>
        <v>336</v>
      </c>
      <c r="J2259" s="15">
        <f>OrdersTable!B2259</f>
        <v>805</v>
      </c>
      <c r="K2259" s="15" t="str">
        <f t="shared" si="777"/>
        <v>Statues and Busts</v>
      </c>
      <c r="L2259" s="15" t="str">
        <f t="shared" si="778"/>
        <v>Doctor Who: Masterpiece Collection Maxi Bust: 5th Doctor</v>
      </c>
      <c r="M2259" s="15" t="str">
        <f t="shared" si="779"/>
        <v>-</v>
      </c>
      <c r="N2259" s="15">
        <f t="shared" si="780"/>
        <v>2.5</v>
      </c>
      <c r="O2259" s="15" t="str">
        <f t="shared" si="781"/>
        <v>A20</v>
      </c>
      <c r="P2259" s="15" t="str">
        <f t="shared" si="782"/>
        <v>Morbius Inc.</v>
      </c>
      <c r="Q2259" s="15" t="str">
        <f t="shared" si="783"/>
        <v>56 Michael Spice Hwy</v>
      </c>
      <c r="R2259" s="3">
        <f>OrdersTable!C2259</f>
        <v>44724</v>
      </c>
      <c r="S2259" s="15">
        <f>OrdersTable!E2259</f>
        <v>5</v>
      </c>
      <c r="T2259" s="15">
        <f t="shared" si="784"/>
        <v>49.99</v>
      </c>
      <c r="U2259" s="15">
        <f t="shared" si="785"/>
        <v>68.42</v>
      </c>
      <c r="V2259" s="15">
        <f t="shared" si="786"/>
        <v>80.98</v>
      </c>
      <c r="W2259" s="15">
        <f>IF(MarkupType="Store Markup",ROUND(V2259+V2259*StoreMarkup,2),IF(MarkupType="Supplier Markup",V2259+V2259*SupplierMarkup,"Error at finding value"))</f>
        <v>127.54</v>
      </c>
      <c r="X2259" s="32">
        <f t="shared" si="788"/>
        <v>9.09</v>
      </c>
      <c r="Y2259" s="15">
        <f t="shared" si="789"/>
        <v>404.9</v>
      </c>
      <c r="Z2259" s="15">
        <f t="shared" si="790"/>
        <v>592.25</v>
      </c>
      <c r="AA2259" s="15">
        <f>IF(FreightType="Lethbridge-Stewart Freight ",ROUND(2.99+IF(N2259&gt;0.75,(N2259-0.75)*2.25,0)*S2259,2),IF(MarkupType="Supplier Markup",V2259+V2259*SupplierMarkup,"Error at finding value"))</f>
        <v>22.68</v>
      </c>
      <c r="AB2259" s="15">
        <f t="shared" si="791"/>
        <v>45.45</v>
      </c>
    </row>
    <row r="2260" spans="1:28" x14ac:dyDescent="0.25">
      <c r="A2260" s="16">
        <f>OrdersTable!A2260</f>
        <v>983</v>
      </c>
      <c r="B2260" s="15" t="str">
        <f t="shared" si="771"/>
        <v>Mrs</v>
      </c>
      <c r="C2260" s="15" t="str">
        <f t="shared" si="792"/>
        <v>Bennett</v>
      </c>
      <c r="D2260" s="15" t="str">
        <f t="shared" si="772"/>
        <v>Mikayla Elizabeth</v>
      </c>
      <c r="E2260" s="15" t="str">
        <f t="shared" si="773"/>
        <v>35 Khanal Crescent</v>
      </c>
      <c r="F2260" s="15" t="str">
        <f t="shared" si="774"/>
        <v>Bamboo</v>
      </c>
      <c r="G2260" s="15" t="str">
        <f t="shared" si="775"/>
        <v>QLD</v>
      </c>
      <c r="H2260" s="15">
        <f t="shared" si="776"/>
        <v>4873</v>
      </c>
      <c r="I2260" s="15">
        <f t="shared" si="787"/>
        <v>1741</v>
      </c>
      <c r="J2260" s="15">
        <f>OrdersTable!B2260</f>
        <v>759</v>
      </c>
      <c r="K2260" s="15" t="str">
        <f t="shared" si="777"/>
        <v>Statues and Busts</v>
      </c>
      <c r="L2260" s="15" t="str">
        <f t="shared" si="778"/>
        <v>Doctor Who: Legends Forever Bust: Jon Pertwee</v>
      </c>
      <c r="M2260" s="15" t="str">
        <f t="shared" si="779"/>
        <v>-</v>
      </c>
      <c r="N2260" s="15">
        <f t="shared" si="780"/>
        <v>1.375</v>
      </c>
      <c r="O2260" s="15" t="str">
        <f t="shared" si="781"/>
        <v>A30</v>
      </c>
      <c r="P2260" s="15" t="str">
        <f t="shared" si="782"/>
        <v>Chesterton Enterprises</v>
      </c>
      <c r="Q2260" s="15" t="str">
        <f t="shared" si="783"/>
        <v>41 William Russell Road</v>
      </c>
      <c r="R2260" s="3">
        <f>OrdersTable!C2260</f>
        <v>44724</v>
      </c>
      <c r="S2260" s="15">
        <f>OrdersTable!E2260</f>
        <v>8</v>
      </c>
      <c r="T2260" s="15">
        <f t="shared" si="784"/>
        <v>27.5</v>
      </c>
      <c r="U2260" s="15">
        <f t="shared" si="785"/>
        <v>37.630000000000003</v>
      </c>
      <c r="V2260" s="15">
        <f t="shared" si="786"/>
        <v>44.55</v>
      </c>
      <c r="W2260" s="15">
        <f>IF(MarkupType="Store Markup",ROUND(V2260+V2260*StoreMarkup,2),IF(MarkupType="Supplier Markup",V2260+V2260*SupplierMarkup,"Error at finding value"))</f>
        <v>70.17</v>
      </c>
      <c r="X2260" s="32" t="str">
        <f t="shared" si="788"/>
        <v>0.00</v>
      </c>
      <c r="Y2260" s="15">
        <f t="shared" si="789"/>
        <v>356.4</v>
      </c>
      <c r="Z2260" s="15">
        <f t="shared" si="790"/>
        <v>561.36</v>
      </c>
      <c r="AA2260" s="15">
        <f>IF(FreightType="Lethbridge-Stewart Freight ",ROUND(2.99+IF(N2260&gt;0.75,(N2260-0.75)*2.25,0)*S2260,2),IF(MarkupType="Supplier Markup",V2260+V2260*SupplierMarkup,"Error at finding value"))</f>
        <v>14.24</v>
      </c>
      <c r="AB2260" s="15">
        <f t="shared" si="791"/>
        <v>0</v>
      </c>
    </row>
    <row r="2261" spans="1:28" x14ac:dyDescent="0.25">
      <c r="A2261" s="16">
        <f>OrdersTable!A2261</f>
        <v>112</v>
      </c>
      <c r="B2261" s="15" t="str">
        <f t="shared" si="771"/>
        <v>Mr</v>
      </c>
      <c r="C2261" s="15" t="str">
        <f t="shared" si="792"/>
        <v>Dahal</v>
      </c>
      <c r="D2261" s="15" t="str">
        <f t="shared" si="772"/>
        <v>Subash</v>
      </c>
      <c r="E2261" s="15" t="str">
        <f t="shared" si="773"/>
        <v>121-127 Railway Pde, Granville, NSW 2142</v>
      </c>
      <c r="F2261" s="15" t="str">
        <f t="shared" si="774"/>
        <v>Granville</v>
      </c>
      <c r="G2261" s="15" t="str">
        <f t="shared" si="775"/>
        <v>NSW</v>
      </c>
      <c r="H2261" s="15">
        <f t="shared" si="776"/>
        <v>2142</v>
      </c>
      <c r="I2261" s="15">
        <f t="shared" si="787"/>
        <v>907</v>
      </c>
      <c r="J2261" s="15">
        <f>OrdersTable!B2261</f>
        <v>792</v>
      </c>
      <c r="K2261" s="15" t="str">
        <f t="shared" si="777"/>
        <v>Statues and Busts</v>
      </c>
      <c r="L2261" s="15" t="str">
        <f t="shared" si="778"/>
        <v>Doctor Who: Masterpiece Collection Maxi Bust: 3rd Doctor</v>
      </c>
      <c r="M2261" s="15" t="str">
        <f t="shared" si="779"/>
        <v>-</v>
      </c>
      <c r="N2261" s="15">
        <f t="shared" si="780"/>
        <v>2.5</v>
      </c>
      <c r="O2261" s="15" t="str">
        <f t="shared" si="781"/>
        <v>A20</v>
      </c>
      <c r="P2261" s="15" t="str">
        <f t="shared" si="782"/>
        <v>Morbius Inc.</v>
      </c>
      <c r="Q2261" s="15" t="str">
        <f t="shared" si="783"/>
        <v>56 Michael Spice Hwy</v>
      </c>
      <c r="R2261" s="3">
        <f>OrdersTable!C2261</f>
        <v>44725</v>
      </c>
      <c r="S2261" s="15">
        <f>OrdersTable!E2261</f>
        <v>2</v>
      </c>
      <c r="T2261" s="15">
        <f t="shared" si="784"/>
        <v>49.99</v>
      </c>
      <c r="U2261" s="15">
        <f t="shared" si="785"/>
        <v>68.39</v>
      </c>
      <c r="V2261" s="15">
        <f t="shared" si="786"/>
        <v>80.98</v>
      </c>
      <c r="W2261" s="15">
        <f>IF(MarkupType="Store Markup",ROUND(V2261+V2261*StoreMarkup,2),IF(MarkupType="Supplier Markup",V2261+V2261*SupplierMarkup,"Error at finding value"))</f>
        <v>127.54</v>
      </c>
      <c r="X2261" s="32" t="str">
        <f t="shared" si="788"/>
        <v>0.00</v>
      </c>
      <c r="Y2261" s="15">
        <f t="shared" si="789"/>
        <v>161.96</v>
      </c>
      <c r="Z2261" s="15">
        <f t="shared" si="790"/>
        <v>255.08</v>
      </c>
      <c r="AA2261" s="15">
        <f>IF(FreightType="Lethbridge-Stewart Freight ",ROUND(2.99+IF(N2261&gt;0.75,(N2261-0.75)*2.25,0)*S2261,2),IF(MarkupType="Supplier Markup",V2261+V2261*SupplierMarkup,"Error at finding value"))</f>
        <v>10.87</v>
      </c>
      <c r="AB2261" s="15">
        <f t="shared" si="791"/>
        <v>0</v>
      </c>
    </row>
    <row r="2262" spans="1:28" x14ac:dyDescent="0.25">
      <c r="A2262" s="16">
        <f>OrdersTable!A2262</f>
        <v>190</v>
      </c>
      <c r="B2262" s="15" t="str">
        <f t="shared" si="771"/>
        <v>Mr</v>
      </c>
      <c r="C2262" s="15" t="str">
        <f t="shared" si="792"/>
        <v>Azar</v>
      </c>
      <c r="D2262" s="15" t="str">
        <f t="shared" si="772"/>
        <v>Hector Antonio</v>
      </c>
      <c r="E2262" s="15" t="str">
        <f t="shared" si="773"/>
        <v>38 Hope Avenue</v>
      </c>
      <c r="F2262" s="15" t="str">
        <f t="shared" si="774"/>
        <v>Glenfern</v>
      </c>
      <c r="G2262" s="15" t="str">
        <f t="shared" si="775"/>
        <v>QLD</v>
      </c>
      <c r="H2262" s="15">
        <f t="shared" si="776"/>
        <v>4515</v>
      </c>
      <c r="I2262" s="15">
        <f t="shared" si="787"/>
        <v>128</v>
      </c>
      <c r="J2262" s="15">
        <f>OrdersTable!B2262</f>
        <v>689</v>
      </c>
      <c r="K2262" s="15" t="str">
        <f t="shared" si="777"/>
        <v>Posters, Prints and Standees</v>
      </c>
      <c r="L2262" s="15" t="str">
        <f t="shared" si="778"/>
        <v>Doctor Who: 16'x12' Framed Print: Cold War</v>
      </c>
      <c r="M2262" s="15" t="str">
        <f t="shared" si="779"/>
        <v>-</v>
      </c>
      <c r="N2262" s="15">
        <f t="shared" si="780"/>
        <v>0.75</v>
      </c>
      <c r="O2262" s="15" t="str">
        <f t="shared" si="781"/>
        <v>A50</v>
      </c>
      <c r="P2262" s="15" t="str">
        <f t="shared" si="782"/>
        <v>Rassilon Ltd.</v>
      </c>
      <c r="Q2262" s="15" t="str">
        <f t="shared" si="783"/>
        <v>82 Richard Mathews Road</v>
      </c>
      <c r="R2262" s="3">
        <f>OrdersTable!C2262</f>
        <v>44725</v>
      </c>
      <c r="S2262" s="15">
        <f>OrdersTable!E2262</f>
        <v>7</v>
      </c>
      <c r="T2262" s="15">
        <f t="shared" si="784"/>
        <v>14.99</v>
      </c>
      <c r="U2262" s="15">
        <f t="shared" si="785"/>
        <v>20.77</v>
      </c>
      <c r="V2262" s="15">
        <f t="shared" si="786"/>
        <v>24.28</v>
      </c>
      <c r="W2262" s="15">
        <f>IF(MarkupType="Store Markup",ROUND(V2262+V2262*StoreMarkup,2),IF(MarkupType="Supplier Markup",V2262+V2262*SupplierMarkup,"Error at finding value"))</f>
        <v>38.24</v>
      </c>
      <c r="X2262" s="32" t="str">
        <f t="shared" si="788"/>
        <v>0.00</v>
      </c>
      <c r="Y2262" s="15">
        <f t="shared" si="789"/>
        <v>169.96</v>
      </c>
      <c r="Z2262" s="15">
        <f t="shared" si="790"/>
        <v>267.68</v>
      </c>
      <c r="AA2262" s="15">
        <f>IF(FreightType="Lethbridge-Stewart Freight ",ROUND(2.99+IF(N2262&gt;0.75,(N2262-0.75)*2.25,0)*S2262,2),IF(MarkupType="Supplier Markup",V2262+V2262*SupplierMarkup,"Error at finding value"))</f>
        <v>2.99</v>
      </c>
      <c r="AB2262" s="15">
        <f t="shared" si="791"/>
        <v>0</v>
      </c>
    </row>
    <row r="2263" spans="1:28" x14ac:dyDescent="0.25">
      <c r="A2263" s="16">
        <f>OrdersTable!A2263</f>
        <v>254</v>
      </c>
      <c r="B2263" s="15" t="str">
        <f t="shared" si="771"/>
        <v>Miss</v>
      </c>
      <c r="C2263" s="15" t="str">
        <f t="shared" si="792"/>
        <v>Hoolihan</v>
      </c>
      <c r="D2263" s="15" t="str">
        <f t="shared" si="772"/>
        <v>Crystal Claire Grace</v>
      </c>
      <c r="E2263" s="15" t="str">
        <f t="shared" si="773"/>
        <v>7 Van Riet Avenue</v>
      </c>
      <c r="F2263" s="15" t="str">
        <f t="shared" si="774"/>
        <v>Aberfoyle</v>
      </c>
      <c r="G2263" s="15" t="str">
        <f t="shared" si="775"/>
        <v>NSW</v>
      </c>
      <c r="H2263" s="15">
        <f t="shared" si="776"/>
        <v>2350</v>
      </c>
      <c r="I2263" s="15">
        <f t="shared" si="787"/>
        <v>363</v>
      </c>
      <c r="J2263" s="15">
        <f>OrdersTable!B2263</f>
        <v>582</v>
      </c>
      <c r="K2263" s="15" t="str">
        <f t="shared" si="777"/>
        <v>Giftware</v>
      </c>
      <c r="L2263" s="15" t="str">
        <f t="shared" si="778"/>
        <v>Doctor Who: Wallpaper: Classic TARDIS Roundels</v>
      </c>
      <c r="M2263" s="15" t="str">
        <f t="shared" si="779"/>
        <v>-</v>
      </c>
      <c r="N2263" s="15">
        <f t="shared" si="780"/>
        <v>1.75</v>
      </c>
      <c r="O2263" s="15" t="str">
        <f t="shared" si="781"/>
        <v>A40</v>
      </c>
      <c r="P2263" s="15" t="str">
        <f t="shared" si="782"/>
        <v>Romana Imports</v>
      </c>
      <c r="Q2263" s="15" t="str">
        <f t="shared" si="783"/>
        <v>17 Lalla Ward Road</v>
      </c>
      <c r="R2263" s="3">
        <f>OrdersTable!C2263</f>
        <v>44725</v>
      </c>
      <c r="S2263" s="15">
        <f>OrdersTable!E2263</f>
        <v>9</v>
      </c>
      <c r="T2263" s="15">
        <f t="shared" si="784"/>
        <v>34.99</v>
      </c>
      <c r="U2263" s="15">
        <f t="shared" si="785"/>
        <v>47.77</v>
      </c>
      <c r="V2263" s="15">
        <f t="shared" si="786"/>
        <v>56.68</v>
      </c>
      <c r="W2263" s="15">
        <f>IF(MarkupType="Store Markup",ROUND(V2263+V2263*StoreMarkup,2),IF(MarkupType="Supplier Markup",V2263+V2263*SupplierMarkup,"Error at finding value"))</f>
        <v>89.27</v>
      </c>
      <c r="X2263" s="32" t="str">
        <f t="shared" si="788"/>
        <v>0.00</v>
      </c>
      <c r="Y2263" s="15">
        <f t="shared" si="789"/>
        <v>510.12</v>
      </c>
      <c r="Z2263" s="15">
        <f t="shared" si="790"/>
        <v>803.43</v>
      </c>
      <c r="AA2263" s="15">
        <f>IF(FreightType="Lethbridge-Stewart Freight ",ROUND(2.99+IF(N2263&gt;0.75,(N2263-0.75)*2.25,0)*S2263,2),IF(MarkupType="Supplier Markup",V2263+V2263*SupplierMarkup,"Error at finding value"))</f>
        <v>23.24</v>
      </c>
      <c r="AB2263" s="15">
        <f t="shared" si="791"/>
        <v>0</v>
      </c>
    </row>
    <row r="2264" spans="1:28" x14ac:dyDescent="0.25">
      <c r="A2264" s="16">
        <f>OrdersTable!A2264</f>
        <v>284</v>
      </c>
      <c r="B2264" s="15" t="str">
        <f t="shared" si="771"/>
        <v>Mr</v>
      </c>
      <c r="C2264" s="15" t="str">
        <f t="shared" si="792"/>
        <v>Aitcheson</v>
      </c>
      <c r="D2264" s="15" t="str">
        <f t="shared" si="772"/>
        <v>Ben James</v>
      </c>
      <c r="E2264" s="15" t="str">
        <f t="shared" si="773"/>
        <v>32 Evans Avenue</v>
      </c>
      <c r="F2264" s="15" t="str">
        <f t="shared" si="774"/>
        <v>Batlow</v>
      </c>
      <c r="G2264" s="15" t="str">
        <f t="shared" si="775"/>
        <v>NSW</v>
      </c>
      <c r="H2264" s="15">
        <f t="shared" si="776"/>
        <v>2730</v>
      </c>
      <c r="I2264" s="15">
        <f t="shared" si="787"/>
        <v>1138</v>
      </c>
      <c r="J2264" s="15">
        <f>OrdersTable!B2264</f>
        <v>239</v>
      </c>
      <c r="K2264" s="15" t="str">
        <f t="shared" si="777"/>
        <v>Clothing and Apparel</v>
      </c>
      <c r="L2264" s="15" t="str">
        <f t="shared" si="778"/>
        <v>Doctor Who: Men's Winter Pyjamas</v>
      </c>
      <c r="M2264" s="15" t="str">
        <f t="shared" si="779"/>
        <v>L</v>
      </c>
      <c r="N2264" s="15">
        <f t="shared" si="780"/>
        <v>1.5</v>
      </c>
      <c r="O2264" s="15" t="str">
        <f t="shared" si="781"/>
        <v>A10</v>
      </c>
      <c r="P2264" s="15" t="str">
        <f t="shared" si="782"/>
        <v>Gallifrey International</v>
      </c>
      <c r="Q2264" s="15" t="str">
        <f t="shared" si="783"/>
        <v>181 Arcadia Street</v>
      </c>
      <c r="R2264" s="3">
        <f>OrdersTable!C2264</f>
        <v>44725</v>
      </c>
      <c r="S2264" s="15">
        <f>OrdersTable!E2264</f>
        <v>1</v>
      </c>
      <c r="T2264" s="15">
        <f t="shared" si="784"/>
        <v>29.99</v>
      </c>
      <c r="U2264" s="15">
        <f t="shared" si="785"/>
        <v>41.23</v>
      </c>
      <c r="V2264" s="15">
        <f t="shared" si="786"/>
        <v>48.58</v>
      </c>
      <c r="W2264" s="15">
        <f>IF(MarkupType="Store Markup",ROUND(V2264+V2264*StoreMarkup,2),IF(MarkupType="Supplier Markup",V2264+V2264*SupplierMarkup,"Error at finding value"))</f>
        <v>76.510000000000005</v>
      </c>
      <c r="X2264" s="32" t="str">
        <f t="shared" si="788"/>
        <v>0.00</v>
      </c>
      <c r="Y2264" s="15">
        <f t="shared" si="789"/>
        <v>48.58</v>
      </c>
      <c r="Z2264" s="15">
        <f t="shared" si="790"/>
        <v>76.510000000000005</v>
      </c>
      <c r="AA2264" s="15">
        <f>IF(FreightType="Lethbridge-Stewart Freight ",ROUND(2.99+IF(N2264&gt;0.75,(N2264-0.75)*2.25,0)*S2264,2),IF(MarkupType="Supplier Markup",V2264+V2264*SupplierMarkup,"Error at finding value"))</f>
        <v>4.68</v>
      </c>
      <c r="AB2264" s="15">
        <f t="shared" si="791"/>
        <v>0</v>
      </c>
    </row>
    <row r="2265" spans="1:28" x14ac:dyDescent="0.25">
      <c r="A2265" s="16">
        <f>OrdersTable!A2265</f>
        <v>285</v>
      </c>
      <c r="B2265" s="15" t="str">
        <f t="shared" si="771"/>
        <v>Mr</v>
      </c>
      <c r="C2265" s="15" t="str">
        <f t="shared" si="792"/>
        <v>Temple Morgan</v>
      </c>
      <c r="D2265" s="15" t="str">
        <f t="shared" si="772"/>
        <v>Mathew Peter</v>
      </c>
      <c r="E2265" s="15" t="str">
        <f t="shared" si="773"/>
        <v>19 Tansky Court</v>
      </c>
      <c r="F2265" s="15" t="str">
        <f t="shared" si="774"/>
        <v>Belford</v>
      </c>
      <c r="G2265" s="15" t="str">
        <f t="shared" si="775"/>
        <v>NSW</v>
      </c>
      <c r="H2265" s="15">
        <f t="shared" si="776"/>
        <v>2335</v>
      </c>
      <c r="I2265" s="15">
        <f t="shared" si="787"/>
        <v>716</v>
      </c>
      <c r="J2265" s="15">
        <f>OrdersTable!B2265</f>
        <v>373</v>
      </c>
      <c r="K2265" s="15" t="str">
        <f t="shared" si="777"/>
        <v>Clothing and Apparel</v>
      </c>
      <c r="L2265" s="15" t="str">
        <f t="shared" si="778"/>
        <v xml:space="preserve">Doctor Who: T-Shirts: 5th Doctor Costume </v>
      </c>
      <c r="M2265" s="15" t="str">
        <f t="shared" si="779"/>
        <v>L</v>
      </c>
      <c r="N2265" s="15">
        <f t="shared" si="780"/>
        <v>0.8</v>
      </c>
      <c r="O2265" s="15" t="str">
        <f t="shared" si="781"/>
        <v>A20</v>
      </c>
      <c r="P2265" s="15" t="str">
        <f t="shared" si="782"/>
        <v>Morbius Inc.</v>
      </c>
      <c r="Q2265" s="15" t="str">
        <f t="shared" si="783"/>
        <v>56 Michael Spice Hwy</v>
      </c>
      <c r="R2265" s="3">
        <f>OrdersTable!C2265</f>
        <v>44725</v>
      </c>
      <c r="S2265" s="15">
        <f>OrdersTable!E2265</f>
        <v>5</v>
      </c>
      <c r="T2265" s="15">
        <f t="shared" si="784"/>
        <v>15.99</v>
      </c>
      <c r="U2265" s="15">
        <f t="shared" si="785"/>
        <v>22.09</v>
      </c>
      <c r="V2265" s="15">
        <f t="shared" si="786"/>
        <v>25.9</v>
      </c>
      <c r="W2265" s="15">
        <f>IF(MarkupType="Store Markup",ROUND(V2265+V2265*StoreMarkup,2),IF(MarkupType="Supplier Markup",V2265+V2265*SupplierMarkup,"Error at finding value"))</f>
        <v>40.79</v>
      </c>
      <c r="X2265" s="32" t="str">
        <f t="shared" si="788"/>
        <v>0.00</v>
      </c>
      <c r="Y2265" s="15">
        <f t="shared" si="789"/>
        <v>129.5</v>
      </c>
      <c r="Z2265" s="15">
        <f t="shared" si="790"/>
        <v>203.95</v>
      </c>
      <c r="AA2265" s="15">
        <f>IF(FreightType="Lethbridge-Stewart Freight ",ROUND(2.99+IF(N2265&gt;0.75,(N2265-0.75)*2.25,0)*S2265,2),IF(MarkupType="Supplier Markup",V2265+V2265*SupplierMarkup,"Error at finding value"))</f>
        <v>3.55</v>
      </c>
      <c r="AB2265" s="15">
        <f t="shared" si="791"/>
        <v>0</v>
      </c>
    </row>
    <row r="2266" spans="1:28" x14ac:dyDescent="0.25">
      <c r="A2266" s="16">
        <f>OrdersTable!A2266</f>
        <v>302</v>
      </c>
      <c r="B2266" s="15" t="str">
        <f t="shared" si="771"/>
        <v>Ms</v>
      </c>
      <c r="C2266" s="15" t="str">
        <f t="shared" si="792"/>
        <v>Lamshed</v>
      </c>
      <c r="D2266" s="15" t="str">
        <f t="shared" si="772"/>
        <v>Laura Clare</v>
      </c>
      <c r="E2266" s="15" t="str">
        <f t="shared" si="773"/>
        <v>22 Edser Drive</v>
      </c>
      <c r="F2266" s="15" t="str">
        <f t="shared" si="774"/>
        <v>Caliph</v>
      </c>
      <c r="G2266" s="15" t="str">
        <f t="shared" si="775"/>
        <v>SA</v>
      </c>
      <c r="H2266" s="15">
        <f t="shared" si="776"/>
        <v>5310</v>
      </c>
      <c r="I2266" s="15">
        <f t="shared" si="787"/>
        <v>1720</v>
      </c>
      <c r="J2266" s="15">
        <f>OrdersTable!B2266</f>
        <v>582</v>
      </c>
      <c r="K2266" s="15" t="str">
        <f t="shared" si="777"/>
        <v>Giftware</v>
      </c>
      <c r="L2266" s="15" t="str">
        <f t="shared" si="778"/>
        <v>Doctor Who: Wallpaper: Classic TARDIS Roundels</v>
      </c>
      <c r="M2266" s="15" t="str">
        <f t="shared" si="779"/>
        <v>-</v>
      </c>
      <c r="N2266" s="15">
        <f t="shared" si="780"/>
        <v>1.75</v>
      </c>
      <c r="O2266" s="15" t="str">
        <f t="shared" si="781"/>
        <v>A40</v>
      </c>
      <c r="P2266" s="15" t="str">
        <f t="shared" si="782"/>
        <v>Romana Imports</v>
      </c>
      <c r="Q2266" s="15" t="str">
        <f t="shared" si="783"/>
        <v>17 Lalla Ward Road</v>
      </c>
      <c r="R2266" s="3">
        <f>OrdersTable!C2266</f>
        <v>44725</v>
      </c>
      <c r="S2266" s="15">
        <f>OrdersTable!E2266</f>
        <v>10</v>
      </c>
      <c r="T2266" s="15">
        <f t="shared" si="784"/>
        <v>34.99</v>
      </c>
      <c r="U2266" s="15">
        <f t="shared" si="785"/>
        <v>47.77</v>
      </c>
      <c r="V2266" s="15">
        <f t="shared" si="786"/>
        <v>56.68</v>
      </c>
      <c r="W2266" s="15">
        <f>IF(MarkupType="Store Markup",ROUND(V2266+V2266*StoreMarkup,2),IF(MarkupType="Supplier Markup",V2266+V2266*SupplierMarkup,"Error at finding value"))</f>
        <v>89.27</v>
      </c>
      <c r="X2266" s="32" t="str">
        <f t="shared" si="788"/>
        <v>0.00</v>
      </c>
      <c r="Y2266" s="15">
        <f t="shared" si="789"/>
        <v>566.79999999999995</v>
      </c>
      <c r="Z2266" s="15">
        <f t="shared" si="790"/>
        <v>892.7</v>
      </c>
      <c r="AA2266" s="15">
        <f>IF(FreightType="Lethbridge-Stewart Freight ",ROUND(2.99+IF(N2266&gt;0.75,(N2266-0.75)*2.25,0)*S2266,2),IF(MarkupType="Supplier Markup",V2266+V2266*SupplierMarkup,"Error at finding value"))</f>
        <v>25.49</v>
      </c>
      <c r="AB2266" s="15">
        <f t="shared" si="791"/>
        <v>0</v>
      </c>
    </row>
    <row r="2267" spans="1:28" x14ac:dyDescent="0.25">
      <c r="A2267" s="16">
        <f>OrdersTable!A2267</f>
        <v>312</v>
      </c>
      <c r="B2267" s="15" t="str">
        <f t="shared" si="771"/>
        <v>Mr</v>
      </c>
      <c r="C2267" s="15" t="str">
        <f t="shared" si="792"/>
        <v>Lloyd</v>
      </c>
      <c r="D2267" s="15" t="str">
        <f t="shared" si="772"/>
        <v>Ben</v>
      </c>
      <c r="E2267" s="15" t="str">
        <f t="shared" si="773"/>
        <v>13 Stark Avenue</v>
      </c>
      <c r="F2267" s="15" t="str">
        <f t="shared" si="774"/>
        <v>Iluka</v>
      </c>
      <c r="G2267" s="15" t="str">
        <f t="shared" si="775"/>
        <v>NSW</v>
      </c>
      <c r="H2267" s="15">
        <f t="shared" si="776"/>
        <v>2466</v>
      </c>
      <c r="I2267" s="15">
        <f t="shared" si="787"/>
        <v>347</v>
      </c>
      <c r="J2267" s="15">
        <f>OrdersTable!B2267</f>
        <v>740</v>
      </c>
      <c r="K2267" s="15" t="str">
        <f t="shared" si="777"/>
        <v>Props and Replicas</v>
      </c>
      <c r="L2267" s="15" t="str">
        <f t="shared" si="778"/>
        <v>Doctor Who: River Song Squareness Blaster</v>
      </c>
      <c r="M2267" s="15" t="str">
        <f t="shared" si="779"/>
        <v>-</v>
      </c>
      <c r="N2267" s="15">
        <f t="shared" si="780"/>
        <v>14.8</v>
      </c>
      <c r="O2267" s="15" t="str">
        <f t="shared" si="781"/>
        <v>A40</v>
      </c>
      <c r="P2267" s="15" t="str">
        <f t="shared" si="782"/>
        <v>Romana Imports</v>
      </c>
      <c r="Q2267" s="15" t="str">
        <f t="shared" si="783"/>
        <v>17 Lalla Ward Road</v>
      </c>
      <c r="R2267" s="3">
        <f>OrdersTable!C2267</f>
        <v>44725</v>
      </c>
      <c r="S2267" s="15">
        <f>OrdersTable!E2267</f>
        <v>2</v>
      </c>
      <c r="T2267" s="15">
        <f t="shared" si="784"/>
        <v>295.99</v>
      </c>
      <c r="U2267" s="15">
        <f t="shared" si="785"/>
        <v>403.84</v>
      </c>
      <c r="V2267" s="15">
        <f t="shared" si="786"/>
        <v>479.5</v>
      </c>
      <c r="W2267" s="15">
        <f>IF(MarkupType="Store Markup",ROUND(V2267+V2267*StoreMarkup,2),IF(MarkupType="Supplier Markup",V2267+V2267*SupplierMarkup,"Error at finding value"))</f>
        <v>755.21</v>
      </c>
      <c r="X2267" s="32" t="str">
        <f t="shared" si="788"/>
        <v>0.00</v>
      </c>
      <c r="Y2267" s="15">
        <f t="shared" si="789"/>
        <v>959</v>
      </c>
      <c r="Z2267" s="15">
        <f t="shared" si="790"/>
        <v>1510.42</v>
      </c>
      <c r="AA2267" s="15">
        <f>IF(FreightType="Lethbridge-Stewart Freight ",ROUND(2.99+IF(N2267&gt;0.75,(N2267-0.75)*2.25,0)*S2267,2),IF(MarkupType="Supplier Markup",V2267+V2267*SupplierMarkup,"Error at finding value"))</f>
        <v>66.22</v>
      </c>
      <c r="AB2267" s="15">
        <f t="shared" si="791"/>
        <v>0</v>
      </c>
    </row>
    <row r="2268" spans="1:28" x14ac:dyDescent="0.25">
      <c r="A2268" s="16">
        <f>OrdersTable!A2268</f>
        <v>362</v>
      </c>
      <c r="B2268" s="15" t="str">
        <f t="shared" si="771"/>
        <v>Mr</v>
      </c>
      <c r="C2268" s="15" t="str">
        <f t="shared" si="792"/>
        <v>Hurst</v>
      </c>
      <c r="D2268" s="15" t="str">
        <f t="shared" si="772"/>
        <v>Ralph Gregory</v>
      </c>
      <c r="E2268" s="15" t="str">
        <f t="shared" si="773"/>
        <v>45 Blakeney Road</v>
      </c>
      <c r="F2268" s="15" t="str">
        <f t="shared" si="774"/>
        <v>Iluka</v>
      </c>
      <c r="G2268" s="15" t="str">
        <f t="shared" si="775"/>
        <v>NSW</v>
      </c>
      <c r="H2268" s="15">
        <f t="shared" si="776"/>
        <v>2466</v>
      </c>
      <c r="I2268" s="15">
        <f t="shared" si="787"/>
        <v>347</v>
      </c>
      <c r="J2268" s="15">
        <f>OrdersTable!B2268</f>
        <v>769</v>
      </c>
      <c r="K2268" s="15" t="str">
        <f t="shared" si="777"/>
        <v>Statues and Busts</v>
      </c>
      <c r="L2268" s="15" t="str">
        <f t="shared" si="778"/>
        <v>Doctor Who: Legends Forever Bust: Tom Baker</v>
      </c>
      <c r="M2268" s="15" t="str">
        <f t="shared" si="779"/>
        <v>-</v>
      </c>
      <c r="N2268" s="15">
        <f t="shared" si="780"/>
        <v>1.375</v>
      </c>
      <c r="O2268" s="15" t="str">
        <f t="shared" si="781"/>
        <v>A30</v>
      </c>
      <c r="P2268" s="15" t="str">
        <f t="shared" si="782"/>
        <v>Chesterton Enterprises</v>
      </c>
      <c r="Q2268" s="15" t="str">
        <f t="shared" si="783"/>
        <v>41 William Russell Road</v>
      </c>
      <c r="R2268" s="3">
        <f>OrdersTable!C2268</f>
        <v>44725</v>
      </c>
      <c r="S2268" s="15">
        <f>OrdersTable!E2268</f>
        <v>4</v>
      </c>
      <c r="T2268" s="15">
        <f t="shared" si="784"/>
        <v>27.5</v>
      </c>
      <c r="U2268" s="15">
        <f t="shared" si="785"/>
        <v>37.76</v>
      </c>
      <c r="V2268" s="15">
        <f t="shared" si="786"/>
        <v>44.55</v>
      </c>
      <c r="W2268" s="15">
        <f>IF(MarkupType="Store Markup",ROUND(V2268+V2268*StoreMarkup,2),IF(MarkupType="Supplier Markup",V2268+V2268*SupplierMarkup,"Error at finding value"))</f>
        <v>70.17</v>
      </c>
      <c r="X2268" s="32" t="str">
        <f t="shared" si="788"/>
        <v>0.00</v>
      </c>
      <c r="Y2268" s="15">
        <f t="shared" si="789"/>
        <v>178.2</v>
      </c>
      <c r="Z2268" s="15">
        <f t="shared" si="790"/>
        <v>280.68</v>
      </c>
      <c r="AA2268" s="15">
        <f>IF(FreightType="Lethbridge-Stewart Freight ",ROUND(2.99+IF(N2268&gt;0.75,(N2268-0.75)*2.25,0)*S2268,2),IF(MarkupType="Supplier Markup",V2268+V2268*SupplierMarkup,"Error at finding value"))</f>
        <v>8.6199999999999992</v>
      </c>
      <c r="AB2268" s="15">
        <f t="shared" si="791"/>
        <v>0</v>
      </c>
    </row>
    <row r="2269" spans="1:28" x14ac:dyDescent="0.25">
      <c r="A2269" s="16">
        <f>OrdersTable!A2269</f>
        <v>467</v>
      </c>
      <c r="B2269" s="15" t="str">
        <f t="shared" si="771"/>
        <v>Mrs</v>
      </c>
      <c r="C2269" s="15" t="str">
        <f t="shared" si="792"/>
        <v>Daniell</v>
      </c>
      <c r="D2269" s="15" t="str">
        <f t="shared" si="772"/>
        <v>Bronte Eliza</v>
      </c>
      <c r="E2269" s="15" t="str">
        <f t="shared" si="773"/>
        <v>41 Wilson Boulevard</v>
      </c>
      <c r="F2269" s="15" t="str">
        <f t="shared" si="774"/>
        <v>Aberfoyle</v>
      </c>
      <c r="G2269" s="15" t="str">
        <f t="shared" si="775"/>
        <v>NSW</v>
      </c>
      <c r="H2269" s="15">
        <f t="shared" si="776"/>
        <v>2350</v>
      </c>
      <c r="I2269" s="15">
        <f t="shared" si="787"/>
        <v>363</v>
      </c>
      <c r="J2269" s="15">
        <f>OrdersTable!B2269</f>
        <v>594</v>
      </c>
      <c r="K2269" s="15" t="str">
        <f t="shared" si="777"/>
        <v>iPhone Skins</v>
      </c>
      <c r="L2269" s="15" t="str">
        <f t="shared" si="778"/>
        <v>Doctor Who: iPhone Skin: Keep Calm And Don't Blink</v>
      </c>
      <c r="M2269" s="15" t="str">
        <f t="shared" si="779"/>
        <v>-</v>
      </c>
      <c r="N2269" s="15">
        <f t="shared" si="780"/>
        <v>0.5</v>
      </c>
      <c r="O2269" s="15" t="str">
        <f t="shared" si="781"/>
        <v>A20</v>
      </c>
      <c r="P2269" s="15" t="str">
        <f t="shared" si="782"/>
        <v>Morbius Inc.</v>
      </c>
      <c r="Q2269" s="15" t="str">
        <f t="shared" si="783"/>
        <v>56 Michael Spice Hwy</v>
      </c>
      <c r="R2269" s="3">
        <f>OrdersTable!C2269</f>
        <v>44725</v>
      </c>
      <c r="S2269" s="15">
        <f>OrdersTable!E2269</f>
        <v>9</v>
      </c>
      <c r="T2269" s="15">
        <f t="shared" si="784"/>
        <v>9.99</v>
      </c>
      <c r="U2269" s="15">
        <f t="shared" si="785"/>
        <v>13.88</v>
      </c>
      <c r="V2269" s="15">
        <f t="shared" si="786"/>
        <v>16.18</v>
      </c>
      <c r="W2269" s="15">
        <f>IF(MarkupType="Store Markup",ROUND(V2269+V2269*StoreMarkup,2),IF(MarkupType="Supplier Markup",V2269+V2269*SupplierMarkup,"Error at finding value"))</f>
        <v>25.48</v>
      </c>
      <c r="X2269" s="32" t="str">
        <f t="shared" si="788"/>
        <v>0.00</v>
      </c>
      <c r="Y2269" s="15">
        <f t="shared" si="789"/>
        <v>145.62</v>
      </c>
      <c r="Z2269" s="15">
        <f t="shared" si="790"/>
        <v>229.32</v>
      </c>
      <c r="AA2269" s="15">
        <f>IF(FreightType="Lethbridge-Stewart Freight ",ROUND(2.99+IF(N2269&gt;0.75,(N2269-0.75)*2.25,0)*S2269,2),IF(MarkupType="Supplier Markup",V2269+V2269*SupplierMarkup,"Error at finding value"))</f>
        <v>2.99</v>
      </c>
      <c r="AB2269" s="15">
        <f t="shared" si="791"/>
        <v>0</v>
      </c>
    </row>
    <row r="2270" spans="1:28" x14ac:dyDescent="0.25">
      <c r="A2270" s="16">
        <f>OrdersTable!A2270</f>
        <v>468</v>
      </c>
      <c r="B2270" s="15" t="str">
        <f t="shared" si="771"/>
        <v>Mrs</v>
      </c>
      <c r="C2270" s="15" t="str">
        <f t="shared" si="792"/>
        <v>Van Essen</v>
      </c>
      <c r="D2270" s="15" t="str">
        <f t="shared" si="772"/>
        <v>Bianca Jane</v>
      </c>
      <c r="E2270" s="15" t="str">
        <f t="shared" si="773"/>
        <v>47 Ward Circuit</v>
      </c>
      <c r="F2270" s="15" t="str">
        <f t="shared" si="774"/>
        <v>Batlow</v>
      </c>
      <c r="G2270" s="15" t="str">
        <f t="shared" si="775"/>
        <v>NSW</v>
      </c>
      <c r="H2270" s="15">
        <f t="shared" si="776"/>
        <v>2730</v>
      </c>
      <c r="I2270" s="15">
        <f t="shared" si="787"/>
        <v>1138</v>
      </c>
      <c r="J2270" s="15">
        <f>OrdersTable!B2270</f>
        <v>852</v>
      </c>
      <c r="K2270" s="15" t="str">
        <f t="shared" si="777"/>
        <v>Statues and Busts</v>
      </c>
      <c r="L2270" s="15" t="str">
        <f t="shared" si="778"/>
        <v>Doctor Who: Statue: Revenge Of The Cybermen Cyberleader</v>
      </c>
      <c r="M2270" s="15" t="str">
        <f t="shared" si="779"/>
        <v>-</v>
      </c>
      <c r="N2270" s="15">
        <f t="shared" si="780"/>
        <v>5.4</v>
      </c>
      <c r="O2270" s="15" t="str">
        <f t="shared" si="781"/>
        <v>A50</v>
      </c>
      <c r="P2270" s="15" t="str">
        <f t="shared" si="782"/>
        <v>Rassilon Ltd.</v>
      </c>
      <c r="Q2270" s="15" t="str">
        <f t="shared" si="783"/>
        <v>82 Richard Mathews Road</v>
      </c>
      <c r="R2270" s="3">
        <f>OrdersTable!C2270</f>
        <v>44725</v>
      </c>
      <c r="S2270" s="15">
        <f>OrdersTable!E2270</f>
        <v>6</v>
      </c>
      <c r="T2270" s="15">
        <f t="shared" si="784"/>
        <v>108</v>
      </c>
      <c r="U2270" s="15">
        <f t="shared" si="785"/>
        <v>147.29</v>
      </c>
      <c r="V2270" s="15">
        <f t="shared" si="786"/>
        <v>174.96</v>
      </c>
      <c r="W2270" s="15">
        <f>IF(MarkupType="Store Markup",ROUND(V2270+V2270*StoreMarkup,2),IF(MarkupType="Supplier Markup",V2270+V2270*SupplierMarkup,"Error at finding value"))</f>
        <v>275.56</v>
      </c>
      <c r="X2270" s="32">
        <f t="shared" si="788"/>
        <v>19.63</v>
      </c>
      <c r="Y2270" s="15">
        <f t="shared" si="789"/>
        <v>1049.76</v>
      </c>
      <c r="Z2270" s="15">
        <f t="shared" si="790"/>
        <v>1535.58</v>
      </c>
      <c r="AA2270" s="15">
        <f>IF(FreightType="Lethbridge-Stewart Freight ",ROUND(2.99+IF(N2270&gt;0.75,(N2270-0.75)*2.25,0)*S2270,2),IF(MarkupType="Supplier Markup",V2270+V2270*SupplierMarkup,"Error at finding value"))</f>
        <v>65.77</v>
      </c>
      <c r="AB2270" s="15">
        <f t="shared" si="791"/>
        <v>117.78</v>
      </c>
    </row>
    <row r="2271" spans="1:28" x14ac:dyDescent="0.25">
      <c r="A2271" s="16">
        <f>OrdersTable!A2271</f>
        <v>526</v>
      </c>
      <c r="B2271" s="15" t="str">
        <f t="shared" si="771"/>
        <v>Mrs</v>
      </c>
      <c r="C2271" s="15" t="str">
        <f t="shared" si="792"/>
        <v>Bradford</v>
      </c>
      <c r="D2271" s="15" t="str">
        <f t="shared" si="772"/>
        <v>Haleigh Renae Ann</v>
      </c>
      <c r="E2271" s="15" t="str">
        <f t="shared" si="773"/>
        <v>31 Johnston Road</v>
      </c>
      <c r="F2271" s="15" t="str">
        <f t="shared" si="774"/>
        <v>Ashford</v>
      </c>
      <c r="G2271" s="15" t="str">
        <f t="shared" si="775"/>
        <v>SA</v>
      </c>
      <c r="H2271" s="15">
        <f t="shared" si="776"/>
        <v>5035</v>
      </c>
      <c r="I2271" s="15">
        <f t="shared" si="787"/>
        <v>1877</v>
      </c>
      <c r="J2271" s="15">
        <f>OrdersTable!B2271</f>
        <v>710</v>
      </c>
      <c r="K2271" s="15" t="str">
        <f t="shared" si="777"/>
        <v>Posters, Prints and Standees</v>
      </c>
      <c r="L2271" s="15" t="str">
        <f t="shared" si="778"/>
        <v>Doctor Who: Poster: Regenerate</v>
      </c>
      <c r="M2271" s="15" t="str">
        <f t="shared" si="779"/>
        <v>-</v>
      </c>
      <c r="N2271" s="15">
        <f t="shared" si="780"/>
        <v>0.2</v>
      </c>
      <c r="O2271" s="15" t="str">
        <f t="shared" si="781"/>
        <v>A40</v>
      </c>
      <c r="P2271" s="15" t="str">
        <f t="shared" si="782"/>
        <v>Romana Imports</v>
      </c>
      <c r="Q2271" s="15" t="str">
        <f t="shared" si="783"/>
        <v>17 Lalla Ward Road</v>
      </c>
      <c r="R2271" s="3">
        <f>OrdersTable!C2271</f>
        <v>44725</v>
      </c>
      <c r="S2271" s="15">
        <f>OrdersTable!E2271</f>
        <v>7</v>
      </c>
      <c r="T2271" s="15">
        <f t="shared" si="784"/>
        <v>3.99</v>
      </c>
      <c r="U2271" s="15">
        <f t="shared" si="785"/>
        <v>5.5</v>
      </c>
      <c r="V2271" s="15">
        <f t="shared" si="786"/>
        <v>6.46</v>
      </c>
      <c r="W2271" s="15">
        <f>IF(MarkupType="Store Markup",ROUND(V2271+V2271*StoreMarkup,2),IF(MarkupType="Supplier Markup",V2271+V2271*SupplierMarkup,"Error at finding value"))</f>
        <v>10.17</v>
      </c>
      <c r="X2271" s="32" t="str">
        <f t="shared" si="788"/>
        <v>0.00</v>
      </c>
      <c r="Y2271" s="15">
        <f t="shared" si="789"/>
        <v>45.22</v>
      </c>
      <c r="Z2271" s="15">
        <f t="shared" si="790"/>
        <v>71.19</v>
      </c>
      <c r="AA2271" s="15">
        <f>IF(FreightType="Lethbridge-Stewart Freight ",ROUND(2.99+IF(N2271&gt;0.75,(N2271-0.75)*2.25,0)*S2271,2),IF(MarkupType="Supplier Markup",V2271+V2271*SupplierMarkup,"Error at finding value"))</f>
        <v>2.99</v>
      </c>
      <c r="AB2271" s="15">
        <f t="shared" si="791"/>
        <v>0</v>
      </c>
    </row>
    <row r="2272" spans="1:28" x14ac:dyDescent="0.25">
      <c r="A2272" s="16">
        <f>OrdersTable!A2272</f>
        <v>580</v>
      </c>
      <c r="B2272" s="15" t="str">
        <f t="shared" si="771"/>
        <v>Mr</v>
      </c>
      <c r="C2272" s="15" t="str">
        <f t="shared" si="792"/>
        <v>Faatoafe</v>
      </c>
      <c r="D2272" s="15" t="str">
        <f t="shared" si="772"/>
        <v>Jasson Iosefa</v>
      </c>
      <c r="E2272" s="15" t="str">
        <f t="shared" si="773"/>
        <v>29 Schaffer Boulevard</v>
      </c>
      <c r="F2272" s="15" t="str">
        <f t="shared" si="774"/>
        <v>Binduli</v>
      </c>
      <c r="G2272" s="15" t="str">
        <f t="shared" si="775"/>
        <v>WA</v>
      </c>
      <c r="H2272" s="15">
        <f t="shared" si="776"/>
        <v>6430</v>
      </c>
      <c r="I2272" s="15">
        <f t="shared" si="787"/>
        <v>3543</v>
      </c>
      <c r="J2272" s="15">
        <f>OrdersTable!B2272</f>
        <v>515</v>
      </c>
      <c r="K2272" s="15" t="str">
        <f t="shared" si="777"/>
        <v>Giftware</v>
      </c>
      <c r="L2272" s="15" t="str">
        <f t="shared" si="778"/>
        <v>Doctor Who: Keyring K9</v>
      </c>
      <c r="M2272" s="15" t="str">
        <f t="shared" si="779"/>
        <v>-</v>
      </c>
      <c r="N2272" s="15">
        <f t="shared" si="780"/>
        <v>0.25</v>
      </c>
      <c r="O2272" s="15" t="str">
        <f t="shared" si="781"/>
        <v>A50</v>
      </c>
      <c r="P2272" s="15" t="str">
        <f t="shared" si="782"/>
        <v>Rassilon Ltd.</v>
      </c>
      <c r="Q2272" s="15" t="str">
        <f t="shared" si="783"/>
        <v>82 Richard Mathews Road</v>
      </c>
      <c r="R2272" s="3">
        <f>OrdersTable!C2272</f>
        <v>44725</v>
      </c>
      <c r="S2272" s="15">
        <f>OrdersTable!E2272</f>
        <v>8</v>
      </c>
      <c r="T2272" s="15">
        <f t="shared" si="784"/>
        <v>4.99</v>
      </c>
      <c r="U2272" s="15">
        <f t="shared" si="785"/>
        <v>6.91</v>
      </c>
      <c r="V2272" s="15">
        <f t="shared" si="786"/>
        <v>8.08</v>
      </c>
      <c r="W2272" s="15">
        <f>IF(MarkupType="Store Markup",ROUND(V2272+V2272*StoreMarkup,2),IF(MarkupType="Supplier Markup",V2272+V2272*SupplierMarkup,"Error at finding value"))</f>
        <v>12.73</v>
      </c>
      <c r="X2272" s="32" t="str">
        <f t="shared" si="788"/>
        <v>0.00</v>
      </c>
      <c r="Y2272" s="15">
        <f t="shared" si="789"/>
        <v>64.64</v>
      </c>
      <c r="Z2272" s="15">
        <f t="shared" si="790"/>
        <v>101.84</v>
      </c>
      <c r="AA2272" s="15">
        <f>IF(FreightType="Lethbridge-Stewart Freight ",ROUND(2.99+IF(N2272&gt;0.75,(N2272-0.75)*2.25,0)*S2272,2),IF(MarkupType="Supplier Markup",V2272+V2272*SupplierMarkup,"Error at finding value"))</f>
        <v>2.99</v>
      </c>
      <c r="AB2272" s="15">
        <f t="shared" si="791"/>
        <v>0</v>
      </c>
    </row>
    <row r="2273" spans="1:28" x14ac:dyDescent="0.25">
      <c r="A2273" s="16">
        <f>OrdersTable!A2273</f>
        <v>609</v>
      </c>
      <c r="B2273" s="15" t="str">
        <f t="shared" si="771"/>
        <v>Ms</v>
      </c>
      <c r="C2273" s="15" t="str">
        <f t="shared" si="792"/>
        <v>Ashley</v>
      </c>
      <c r="D2273" s="15" t="str">
        <f t="shared" si="772"/>
        <v>Matthew</v>
      </c>
      <c r="E2273" s="15" t="str">
        <f t="shared" si="773"/>
        <v>3 Wagener Crescent</v>
      </c>
      <c r="F2273" s="15" t="str">
        <f t="shared" si="774"/>
        <v>Aberfoyle</v>
      </c>
      <c r="G2273" s="15" t="str">
        <f t="shared" si="775"/>
        <v>NSW</v>
      </c>
      <c r="H2273" s="15">
        <f t="shared" si="776"/>
        <v>2350</v>
      </c>
      <c r="I2273" s="15">
        <f t="shared" si="787"/>
        <v>363</v>
      </c>
      <c r="J2273" s="15">
        <f>OrdersTable!B2273</f>
        <v>849</v>
      </c>
      <c r="K2273" s="15" t="str">
        <f t="shared" si="777"/>
        <v>Statues and Busts</v>
      </c>
      <c r="L2273" s="15" t="str">
        <f t="shared" si="778"/>
        <v>Doctor Who: Statue: Cyber Controller</v>
      </c>
      <c r="M2273" s="15" t="str">
        <f t="shared" si="779"/>
        <v>-</v>
      </c>
      <c r="N2273" s="15">
        <f t="shared" si="780"/>
        <v>5</v>
      </c>
      <c r="O2273" s="15" t="str">
        <f t="shared" si="781"/>
        <v>A10</v>
      </c>
      <c r="P2273" s="15" t="str">
        <f t="shared" si="782"/>
        <v>Gallifrey International</v>
      </c>
      <c r="Q2273" s="15" t="str">
        <f t="shared" si="783"/>
        <v>181 Arcadia Street</v>
      </c>
      <c r="R2273" s="3">
        <f>OrdersTable!C2273</f>
        <v>44725</v>
      </c>
      <c r="S2273" s="15">
        <f>OrdersTable!E2273</f>
        <v>2</v>
      </c>
      <c r="T2273" s="15">
        <f t="shared" si="784"/>
        <v>99.99</v>
      </c>
      <c r="U2273" s="15">
        <f t="shared" si="785"/>
        <v>136.41</v>
      </c>
      <c r="V2273" s="15">
        <f t="shared" si="786"/>
        <v>161.97999999999999</v>
      </c>
      <c r="W2273" s="15">
        <f>IF(MarkupType="Store Markup",ROUND(V2273+V2273*StoreMarkup,2),IF(MarkupType="Supplier Markup",V2273+V2273*SupplierMarkup,"Error at finding value"))</f>
        <v>255.12</v>
      </c>
      <c r="X2273" s="32" t="str">
        <f t="shared" si="788"/>
        <v>0.00</v>
      </c>
      <c r="Y2273" s="15">
        <f t="shared" si="789"/>
        <v>323.95999999999998</v>
      </c>
      <c r="Z2273" s="15">
        <f t="shared" si="790"/>
        <v>510.24</v>
      </c>
      <c r="AA2273" s="15">
        <f>IF(FreightType="Lethbridge-Stewart Freight ",ROUND(2.99+IF(N2273&gt;0.75,(N2273-0.75)*2.25,0)*S2273,2),IF(MarkupType="Supplier Markup",V2273+V2273*SupplierMarkup,"Error at finding value"))</f>
        <v>22.12</v>
      </c>
      <c r="AB2273" s="15">
        <f t="shared" si="791"/>
        <v>0</v>
      </c>
    </row>
    <row r="2274" spans="1:28" x14ac:dyDescent="0.25">
      <c r="A2274" s="16">
        <f>OrdersTable!A2274</f>
        <v>730</v>
      </c>
      <c r="B2274" s="15" t="str">
        <f t="shared" si="771"/>
        <v>Mr</v>
      </c>
      <c r="C2274" s="15" t="str">
        <f t="shared" si="792"/>
        <v>Romer</v>
      </c>
      <c r="D2274" s="15" t="str">
        <f t="shared" si="772"/>
        <v>Leo Alexander</v>
      </c>
      <c r="E2274" s="15" t="str">
        <f t="shared" si="773"/>
        <v>47 Bennett Circuit</v>
      </c>
      <c r="F2274" s="15" t="str">
        <f t="shared" si="774"/>
        <v>Caliph</v>
      </c>
      <c r="G2274" s="15" t="str">
        <f t="shared" si="775"/>
        <v>SA</v>
      </c>
      <c r="H2274" s="15">
        <f t="shared" si="776"/>
        <v>5310</v>
      </c>
      <c r="I2274" s="15">
        <f t="shared" si="787"/>
        <v>1720</v>
      </c>
      <c r="J2274" s="15">
        <f>OrdersTable!B2274</f>
        <v>853</v>
      </c>
      <c r="K2274" s="15" t="str">
        <f t="shared" si="777"/>
        <v>Statues and Busts</v>
      </c>
      <c r="L2274" s="15" t="str">
        <f t="shared" si="778"/>
        <v>Doctor Who: Statue: The Master And Auton</v>
      </c>
      <c r="M2274" s="15" t="str">
        <f t="shared" si="779"/>
        <v>-</v>
      </c>
      <c r="N2274" s="15">
        <f t="shared" si="780"/>
        <v>3.5</v>
      </c>
      <c r="O2274" s="15" t="str">
        <f t="shared" si="781"/>
        <v>A50</v>
      </c>
      <c r="P2274" s="15" t="str">
        <f t="shared" si="782"/>
        <v>Rassilon Ltd.</v>
      </c>
      <c r="Q2274" s="15" t="str">
        <f t="shared" si="783"/>
        <v>82 Richard Mathews Road</v>
      </c>
      <c r="R2274" s="3">
        <f>OrdersTable!C2274</f>
        <v>44725</v>
      </c>
      <c r="S2274" s="15">
        <f>OrdersTable!E2274</f>
        <v>9</v>
      </c>
      <c r="T2274" s="15">
        <f t="shared" si="784"/>
        <v>69.989999999999995</v>
      </c>
      <c r="U2274" s="15">
        <f t="shared" si="785"/>
        <v>95.51</v>
      </c>
      <c r="V2274" s="15">
        <f t="shared" si="786"/>
        <v>113.38</v>
      </c>
      <c r="W2274" s="15">
        <f>IF(MarkupType="Store Markup",ROUND(V2274+V2274*StoreMarkup,2),IF(MarkupType="Supplier Markup",V2274+V2274*SupplierMarkup,"Error at finding value"))</f>
        <v>178.57</v>
      </c>
      <c r="X2274" s="32">
        <f t="shared" si="788"/>
        <v>12.72</v>
      </c>
      <c r="Y2274" s="15">
        <f t="shared" si="789"/>
        <v>1020.42</v>
      </c>
      <c r="Z2274" s="15">
        <f t="shared" si="790"/>
        <v>1492.65</v>
      </c>
      <c r="AA2274" s="15">
        <f>IF(FreightType="Lethbridge-Stewart Freight ",ROUND(2.99+IF(N2274&gt;0.75,(N2274-0.75)*2.25,0)*S2274,2),IF(MarkupType="Supplier Markup",V2274+V2274*SupplierMarkup,"Error at finding value"))</f>
        <v>58.68</v>
      </c>
      <c r="AB2274" s="15">
        <f t="shared" si="791"/>
        <v>114.48</v>
      </c>
    </row>
    <row r="2275" spans="1:28" x14ac:dyDescent="0.25">
      <c r="A2275" s="16">
        <f>OrdersTable!A2275</f>
        <v>843</v>
      </c>
      <c r="B2275" s="15" t="str">
        <f t="shared" si="771"/>
        <v>Mr</v>
      </c>
      <c r="C2275" s="15" t="str">
        <f t="shared" si="792"/>
        <v>Goodwin</v>
      </c>
      <c r="D2275" s="15" t="str">
        <f t="shared" si="772"/>
        <v>Damon Joel</v>
      </c>
      <c r="E2275" s="15" t="str">
        <f t="shared" si="773"/>
        <v>40 Powell Boulevard</v>
      </c>
      <c r="F2275" s="15" t="str">
        <f t="shared" si="774"/>
        <v>Abington</v>
      </c>
      <c r="G2275" s="15" t="str">
        <f t="shared" si="775"/>
        <v>QLD</v>
      </c>
      <c r="H2275" s="15">
        <f t="shared" si="776"/>
        <v>4660</v>
      </c>
      <c r="I2275" s="15">
        <f t="shared" si="787"/>
        <v>336</v>
      </c>
      <c r="J2275" s="15">
        <f>OrdersTable!B2275</f>
        <v>673</v>
      </c>
      <c r="K2275" s="15" t="str">
        <f t="shared" si="777"/>
        <v>Mugs</v>
      </c>
      <c r="L2275" s="15" t="str">
        <f t="shared" si="778"/>
        <v>Doctor Who: Mug: TARDIS With Lid</v>
      </c>
      <c r="M2275" s="15" t="str">
        <f t="shared" si="779"/>
        <v>-</v>
      </c>
      <c r="N2275" s="15">
        <f t="shared" si="780"/>
        <v>0.58499999999999996</v>
      </c>
      <c r="O2275" s="15" t="str">
        <f t="shared" si="781"/>
        <v>A10</v>
      </c>
      <c r="P2275" s="15" t="str">
        <f t="shared" si="782"/>
        <v>Gallifrey International</v>
      </c>
      <c r="Q2275" s="15" t="str">
        <f t="shared" si="783"/>
        <v>181 Arcadia Street</v>
      </c>
      <c r="R2275" s="3">
        <f>OrdersTable!C2275</f>
        <v>44725</v>
      </c>
      <c r="S2275" s="15">
        <f>OrdersTable!E2275</f>
        <v>7</v>
      </c>
      <c r="T2275" s="15">
        <f t="shared" si="784"/>
        <v>11.69</v>
      </c>
      <c r="U2275" s="15">
        <f t="shared" si="785"/>
        <v>16.190000000000001</v>
      </c>
      <c r="V2275" s="15">
        <f t="shared" si="786"/>
        <v>18.940000000000001</v>
      </c>
      <c r="W2275" s="15">
        <f>IF(MarkupType="Store Markup",ROUND(V2275+V2275*StoreMarkup,2),IF(MarkupType="Supplier Markup",V2275+V2275*SupplierMarkup,"Error at finding value"))</f>
        <v>29.83</v>
      </c>
      <c r="X2275" s="32" t="str">
        <f t="shared" si="788"/>
        <v>0.00</v>
      </c>
      <c r="Y2275" s="15">
        <f t="shared" si="789"/>
        <v>132.58000000000001</v>
      </c>
      <c r="Z2275" s="15">
        <f t="shared" si="790"/>
        <v>208.81</v>
      </c>
      <c r="AA2275" s="15">
        <f>IF(FreightType="Lethbridge-Stewart Freight ",ROUND(2.99+IF(N2275&gt;0.75,(N2275-0.75)*2.25,0)*S2275,2),IF(MarkupType="Supplier Markup",V2275+V2275*SupplierMarkup,"Error at finding value"))</f>
        <v>2.99</v>
      </c>
      <c r="AB2275" s="15">
        <f t="shared" si="791"/>
        <v>0</v>
      </c>
    </row>
    <row r="2276" spans="1:28" x14ac:dyDescent="0.25">
      <c r="A2276" s="16">
        <f>OrdersTable!A2276</f>
        <v>22</v>
      </c>
      <c r="B2276" s="15" t="str">
        <f t="shared" si="771"/>
        <v>Mr</v>
      </c>
      <c r="C2276" s="15" t="str">
        <f t="shared" si="792"/>
        <v>Tyrrell</v>
      </c>
      <c r="D2276" s="15" t="str">
        <f t="shared" si="772"/>
        <v>Timothy James</v>
      </c>
      <c r="E2276" s="15" t="str">
        <f t="shared" si="773"/>
        <v>48 Lambourne Crescent</v>
      </c>
      <c r="F2276" s="15" t="str">
        <f t="shared" si="774"/>
        <v>Belford</v>
      </c>
      <c r="G2276" s="15" t="str">
        <f t="shared" si="775"/>
        <v>NSW</v>
      </c>
      <c r="H2276" s="15">
        <f t="shared" si="776"/>
        <v>2335</v>
      </c>
      <c r="I2276" s="15">
        <f t="shared" si="787"/>
        <v>716</v>
      </c>
      <c r="J2276" s="15">
        <f>OrdersTable!B2276</f>
        <v>689</v>
      </c>
      <c r="K2276" s="15" t="str">
        <f t="shared" si="777"/>
        <v>Posters, Prints and Standees</v>
      </c>
      <c r="L2276" s="15" t="str">
        <f t="shared" si="778"/>
        <v>Doctor Who: 16'x12' Framed Print: Cold War</v>
      </c>
      <c r="M2276" s="15" t="str">
        <f t="shared" si="779"/>
        <v>-</v>
      </c>
      <c r="N2276" s="15">
        <f t="shared" si="780"/>
        <v>0.75</v>
      </c>
      <c r="O2276" s="15" t="str">
        <f t="shared" si="781"/>
        <v>A50</v>
      </c>
      <c r="P2276" s="15" t="str">
        <f t="shared" si="782"/>
        <v>Rassilon Ltd.</v>
      </c>
      <c r="Q2276" s="15" t="str">
        <f t="shared" si="783"/>
        <v>82 Richard Mathews Road</v>
      </c>
      <c r="R2276" s="3">
        <f>OrdersTable!C2276</f>
        <v>44726</v>
      </c>
      <c r="S2276" s="15">
        <f>OrdersTable!E2276</f>
        <v>3</v>
      </c>
      <c r="T2276" s="15">
        <f t="shared" si="784"/>
        <v>14.99</v>
      </c>
      <c r="U2276" s="15">
        <f t="shared" si="785"/>
        <v>20.77</v>
      </c>
      <c r="V2276" s="15">
        <f t="shared" si="786"/>
        <v>24.28</v>
      </c>
      <c r="W2276" s="15">
        <f>IF(MarkupType="Store Markup",ROUND(V2276+V2276*StoreMarkup,2),IF(MarkupType="Supplier Markup",V2276+V2276*SupplierMarkup,"Error at finding value"))</f>
        <v>38.24</v>
      </c>
      <c r="X2276" s="32" t="str">
        <f t="shared" si="788"/>
        <v>0.00</v>
      </c>
      <c r="Y2276" s="15">
        <f t="shared" si="789"/>
        <v>72.84</v>
      </c>
      <c r="Z2276" s="15">
        <f t="shared" si="790"/>
        <v>114.72</v>
      </c>
      <c r="AA2276" s="15">
        <f>IF(FreightType="Lethbridge-Stewart Freight ",ROUND(2.99+IF(N2276&gt;0.75,(N2276-0.75)*2.25,0)*S2276,2),IF(MarkupType="Supplier Markup",V2276+V2276*SupplierMarkup,"Error at finding value"))</f>
        <v>2.99</v>
      </c>
      <c r="AB2276" s="15">
        <f t="shared" si="791"/>
        <v>0</v>
      </c>
    </row>
    <row r="2277" spans="1:28" x14ac:dyDescent="0.25">
      <c r="A2277" s="16">
        <f>OrdersTable!A2277</f>
        <v>112</v>
      </c>
      <c r="B2277" s="15" t="str">
        <f t="shared" si="771"/>
        <v>Mr</v>
      </c>
      <c r="C2277" s="15" t="str">
        <f t="shared" si="792"/>
        <v>Dahal</v>
      </c>
      <c r="D2277" s="15" t="str">
        <f t="shared" si="772"/>
        <v>Subash</v>
      </c>
      <c r="E2277" s="15" t="str">
        <f t="shared" si="773"/>
        <v>121-127 Railway Pde, Granville, NSW 2142</v>
      </c>
      <c r="F2277" s="15" t="str">
        <f t="shared" si="774"/>
        <v>Granville</v>
      </c>
      <c r="G2277" s="15" t="str">
        <f t="shared" si="775"/>
        <v>NSW</v>
      </c>
      <c r="H2277" s="15">
        <f t="shared" si="776"/>
        <v>2142</v>
      </c>
      <c r="I2277" s="15">
        <f t="shared" si="787"/>
        <v>907</v>
      </c>
      <c r="J2277" s="15">
        <f>OrdersTable!B2277</f>
        <v>853</v>
      </c>
      <c r="K2277" s="15" t="str">
        <f t="shared" si="777"/>
        <v>Statues and Busts</v>
      </c>
      <c r="L2277" s="15" t="str">
        <f t="shared" si="778"/>
        <v>Doctor Who: Statue: The Master And Auton</v>
      </c>
      <c r="M2277" s="15" t="str">
        <f t="shared" si="779"/>
        <v>-</v>
      </c>
      <c r="N2277" s="15">
        <f t="shared" si="780"/>
        <v>3.5</v>
      </c>
      <c r="O2277" s="15" t="str">
        <f t="shared" si="781"/>
        <v>A50</v>
      </c>
      <c r="P2277" s="15" t="str">
        <f t="shared" si="782"/>
        <v>Rassilon Ltd.</v>
      </c>
      <c r="Q2277" s="15" t="str">
        <f t="shared" si="783"/>
        <v>82 Richard Mathews Road</v>
      </c>
      <c r="R2277" s="3">
        <f>OrdersTable!C2277</f>
        <v>44726</v>
      </c>
      <c r="S2277" s="15">
        <f>OrdersTable!E2277</f>
        <v>9</v>
      </c>
      <c r="T2277" s="15">
        <f t="shared" si="784"/>
        <v>69.989999999999995</v>
      </c>
      <c r="U2277" s="15">
        <f t="shared" si="785"/>
        <v>95.51</v>
      </c>
      <c r="V2277" s="15">
        <f t="shared" si="786"/>
        <v>113.38</v>
      </c>
      <c r="W2277" s="15">
        <f>IF(MarkupType="Store Markup",ROUND(V2277+V2277*StoreMarkup,2),IF(MarkupType="Supplier Markup",V2277+V2277*SupplierMarkup,"Error at finding value"))</f>
        <v>178.57</v>
      </c>
      <c r="X2277" s="32">
        <f t="shared" si="788"/>
        <v>12.72</v>
      </c>
      <c r="Y2277" s="15">
        <f t="shared" si="789"/>
        <v>1020.42</v>
      </c>
      <c r="Z2277" s="15">
        <f t="shared" si="790"/>
        <v>1492.65</v>
      </c>
      <c r="AA2277" s="15">
        <f>IF(FreightType="Lethbridge-Stewart Freight ",ROUND(2.99+IF(N2277&gt;0.75,(N2277-0.75)*2.25,0)*S2277,2),IF(MarkupType="Supplier Markup",V2277+V2277*SupplierMarkup,"Error at finding value"))</f>
        <v>58.68</v>
      </c>
      <c r="AB2277" s="15">
        <f t="shared" si="791"/>
        <v>114.48</v>
      </c>
    </row>
    <row r="2278" spans="1:28" x14ac:dyDescent="0.25">
      <c r="A2278" s="16">
        <f>OrdersTable!A2278</f>
        <v>284</v>
      </c>
      <c r="B2278" s="15" t="str">
        <f t="shared" si="771"/>
        <v>Mr</v>
      </c>
      <c r="C2278" s="15" t="str">
        <f t="shared" si="792"/>
        <v>Aitcheson</v>
      </c>
      <c r="D2278" s="15" t="str">
        <f t="shared" si="772"/>
        <v>Ben James</v>
      </c>
      <c r="E2278" s="15" t="str">
        <f t="shared" si="773"/>
        <v>32 Evans Avenue</v>
      </c>
      <c r="F2278" s="15" t="str">
        <f t="shared" si="774"/>
        <v>Batlow</v>
      </c>
      <c r="G2278" s="15" t="str">
        <f t="shared" si="775"/>
        <v>NSW</v>
      </c>
      <c r="H2278" s="15">
        <f t="shared" si="776"/>
        <v>2730</v>
      </c>
      <c r="I2278" s="15">
        <f t="shared" si="787"/>
        <v>1138</v>
      </c>
      <c r="J2278" s="15">
        <f>OrdersTable!B2278</f>
        <v>711</v>
      </c>
      <c r="K2278" s="15" t="str">
        <f t="shared" si="777"/>
        <v>Posters, Prints and Standees</v>
      </c>
      <c r="L2278" s="15" t="str">
        <f t="shared" si="778"/>
        <v>Doctor Who: Poster: TARDIS Door Poster</v>
      </c>
      <c r="M2278" s="15" t="str">
        <f t="shared" si="779"/>
        <v>-</v>
      </c>
      <c r="N2278" s="15">
        <f t="shared" si="780"/>
        <v>0.3</v>
      </c>
      <c r="O2278" s="15" t="str">
        <f t="shared" si="781"/>
        <v>A20</v>
      </c>
      <c r="P2278" s="15" t="str">
        <f t="shared" si="782"/>
        <v>Morbius Inc.</v>
      </c>
      <c r="Q2278" s="15" t="str">
        <f t="shared" si="783"/>
        <v>56 Michael Spice Hwy</v>
      </c>
      <c r="R2278" s="3">
        <f>OrdersTable!C2278</f>
        <v>44726</v>
      </c>
      <c r="S2278" s="15">
        <f>OrdersTable!E2278</f>
        <v>9</v>
      </c>
      <c r="T2278" s="15">
        <f t="shared" si="784"/>
        <v>5.99</v>
      </c>
      <c r="U2278" s="15">
        <f t="shared" si="785"/>
        <v>8.41</v>
      </c>
      <c r="V2278" s="15">
        <f t="shared" si="786"/>
        <v>9.6999999999999993</v>
      </c>
      <c r="W2278" s="15">
        <f>IF(MarkupType="Store Markup",ROUND(V2278+V2278*StoreMarkup,2),IF(MarkupType="Supplier Markup",V2278+V2278*SupplierMarkup,"Error at finding value"))</f>
        <v>15.28</v>
      </c>
      <c r="X2278" s="32" t="str">
        <f t="shared" si="788"/>
        <v>0.00</v>
      </c>
      <c r="Y2278" s="15">
        <f t="shared" si="789"/>
        <v>87.3</v>
      </c>
      <c r="Z2278" s="15">
        <f t="shared" si="790"/>
        <v>137.52000000000001</v>
      </c>
      <c r="AA2278" s="15">
        <f>IF(FreightType="Lethbridge-Stewart Freight ",ROUND(2.99+IF(N2278&gt;0.75,(N2278-0.75)*2.25,0)*S2278,2),IF(MarkupType="Supplier Markup",V2278+V2278*SupplierMarkup,"Error at finding value"))</f>
        <v>2.99</v>
      </c>
      <c r="AB2278" s="15">
        <f t="shared" si="791"/>
        <v>0</v>
      </c>
    </row>
    <row r="2279" spans="1:28" x14ac:dyDescent="0.25">
      <c r="A2279" s="16">
        <f>OrdersTable!A2279</f>
        <v>284</v>
      </c>
      <c r="B2279" s="15" t="str">
        <f t="shared" si="771"/>
        <v>Mr</v>
      </c>
      <c r="C2279" s="15" t="str">
        <f t="shared" si="792"/>
        <v>Aitcheson</v>
      </c>
      <c r="D2279" s="15" t="str">
        <f t="shared" si="772"/>
        <v>Ben James</v>
      </c>
      <c r="E2279" s="15" t="str">
        <f t="shared" si="773"/>
        <v>32 Evans Avenue</v>
      </c>
      <c r="F2279" s="15" t="str">
        <f t="shared" si="774"/>
        <v>Batlow</v>
      </c>
      <c r="G2279" s="15" t="str">
        <f t="shared" si="775"/>
        <v>NSW</v>
      </c>
      <c r="H2279" s="15">
        <f t="shared" si="776"/>
        <v>2730</v>
      </c>
      <c r="I2279" s="15">
        <f t="shared" si="787"/>
        <v>1138</v>
      </c>
      <c r="J2279" s="15">
        <f>OrdersTable!B2279</f>
        <v>843</v>
      </c>
      <c r="K2279" s="15" t="str">
        <f t="shared" si="777"/>
        <v>Statues and Busts</v>
      </c>
      <c r="L2279" s="15" t="str">
        <f t="shared" si="778"/>
        <v>Doctor Who: Signature Edition Statue: Gallifrey Edition: Tom Baker</v>
      </c>
      <c r="M2279" s="15" t="str">
        <f t="shared" si="779"/>
        <v>-</v>
      </c>
      <c r="N2279" s="15">
        <f t="shared" si="780"/>
        <v>2.5</v>
      </c>
      <c r="O2279" s="15" t="str">
        <f t="shared" si="781"/>
        <v>A20</v>
      </c>
      <c r="P2279" s="15" t="str">
        <f t="shared" si="782"/>
        <v>Morbius Inc.</v>
      </c>
      <c r="Q2279" s="15" t="str">
        <f t="shared" si="783"/>
        <v>56 Michael Spice Hwy</v>
      </c>
      <c r="R2279" s="3">
        <f>OrdersTable!C2279</f>
        <v>44726</v>
      </c>
      <c r="S2279" s="15">
        <f>OrdersTable!E2279</f>
        <v>9</v>
      </c>
      <c r="T2279" s="15">
        <f t="shared" si="784"/>
        <v>49.99</v>
      </c>
      <c r="U2279" s="15">
        <f t="shared" si="785"/>
        <v>68.33</v>
      </c>
      <c r="V2279" s="15">
        <f t="shared" si="786"/>
        <v>80.98</v>
      </c>
      <c r="W2279" s="15">
        <f>IF(MarkupType="Store Markup",ROUND(V2279+V2279*StoreMarkup,2),IF(MarkupType="Supplier Markup",V2279+V2279*SupplierMarkup,"Error at finding value"))</f>
        <v>127.54</v>
      </c>
      <c r="X2279" s="32">
        <f t="shared" si="788"/>
        <v>9.09</v>
      </c>
      <c r="Y2279" s="15">
        <f t="shared" si="789"/>
        <v>728.82</v>
      </c>
      <c r="Z2279" s="15">
        <f t="shared" si="790"/>
        <v>1066.05</v>
      </c>
      <c r="AA2279" s="15">
        <f>IF(FreightType="Lethbridge-Stewart Freight ",ROUND(2.99+IF(N2279&gt;0.75,(N2279-0.75)*2.25,0)*S2279,2),IF(MarkupType="Supplier Markup",V2279+V2279*SupplierMarkup,"Error at finding value"))</f>
        <v>38.43</v>
      </c>
      <c r="AB2279" s="15">
        <f t="shared" si="791"/>
        <v>81.81</v>
      </c>
    </row>
    <row r="2280" spans="1:28" x14ac:dyDescent="0.25">
      <c r="A2280" s="16">
        <f>OrdersTable!A2280</f>
        <v>332</v>
      </c>
      <c r="B2280" s="15" t="str">
        <f t="shared" si="771"/>
        <v>Mr</v>
      </c>
      <c r="C2280" s="15" t="str">
        <f t="shared" si="792"/>
        <v>Selman</v>
      </c>
      <c r="D2280" s="15" t="str">
        <f t="shared" si="772"/>
        <v>Jack Ryan</v>
      </c>
      <c r="E2280" s="15" t="str">
        <f t="shared" si="773"/>
        <v>17 Van Essen Street</v>
      </c>
      <c r="F2280" s="15" t="str">
        <f t="shared" si="774"/>
        <v>Airly</v>
      </c>
      <c r="G2280" s="15" t="str">
        <f t="shared" si="775"/>
        <v>VIC</v>
      </c>
      <c r="H2280" s="15">
        <f t="shared" si="776"/>
        <v>3851</v>
      </c>
      <c r="I2280" s="15">
        <f t="shared" si="787"/>
        <v>1583</v>
      </c>
      <c r="J2280" s="15">
        <f>OrdersTable!B2280</f>
        <v>652</v>
      </c>
      <c r="K2280" s="15" t="str">
        <f t="shared" si="777"/>
        <v>Mugs</v>
      </c>
      <c r="L2280" s="15" t="str">
        <f t="shared" si="778"/>
        <v>Doctor Who: Mug: Dalek 2D</v>
      </c>
      <c r="M2280" s="15" t="str">
        <f t="shared" si="779"/>
        <v>-</v>
      </c>
      <c r="N2280" s="15">
        <f t="shared" si="780"/>
        <v>0.35</v>
      </c>
      <c r="O2280" s="15" t="str">
        <f t="shared" si="781"/>
        <v>A10</v>
      </c>
      <c r="P2280" s="15" t="str">
        <f t="shared" si="782"/>
        <v>Gallifrey International</v>
      </c>
      <c r="Q2280" s="15" t="str">
        <f t="shared" si="783"/>
        <v>181 Arcadia Street</v>
      </c>
      <c r="R2280" s="3">
        <f>OrdersTable!C2280</f>
        <v>44726</v>
      </c>
      <c r="S2280" s="15">
        <f>OrdersTable!E2280</f>
        <v>6</v>
      </c>
      <c r="T2280" s="15">
        <f t="shared" si="784"/>
        <v>6.99</v>
      </c>
      <c r="U2280" s="15">
        <f t="shared" si="785"/>
        <v>9.8800000000000008</v>
      </c>
      <c r="V2280" s="15">
        <f t="shared" si="786"/>
        <v>11.32</v>
      </c>
      <c r="W2280" s="15">
        <f>IF(MarkupType="Store Markup",ROUND(V2280+V2280*StoreMarkup,2),IF(MarkupType="Supplier Markup",V2280+V2280*SupplierMarkup,"Error at finding value"))</f>
        <v>17.829999999999998</v>
      </c>
      <c r="X2280" s="32" t="str">
        <f t="shared" si="788"/>
        <v>0.00</v>
      </c>
      <c r="Y2280" s="15">
        <f t="shared" si="789"/>
        <v>67.92</v>
      </c>
      <c r="Z2280" s="15">
        <f t="shared" si="790"/>
        <v>106.98</v>
      </c>
      <c r="AA2280" s="15">
        <f>IF(FreightType="Lethbridge-Stewart Freight ",ROUND(2.99+IF(N2280&gt;0.75,(N2280-0.75)*2.25,0)*S2280,2),IF(MarkupType="Supplier Markup",V2280+V2280*SupplierMarkup,"Error at finding value"))</f>
        <v>2.99</v>
      </c>
      <c r="AB2280" s="15">
        <f t="shared" si="791"/>
        <v>0</v>
      </c>
    </row>
    <row r="2281" spans="1:28" x14ac:dyDescent="0.25">
      <c r="A2281" s="16">
        <f>OrdersTable!A2281</f>
        <v>543</v>
      </c>
      <c r="B2281" s="15" t="str">
        <f t="shared" si="771"/>
        <v>Ms</v>
      </c>
      <c r="C2281" s="15" t="str">
        <f t="shared" si="792"/>
        <v>Mendezona</v>
      </c>
      <c r="D2281" s="15" t="str">
        <f t="shared" si="772"/>
        <v>Tara Colleen-Mary</v>
      </c>
      <c r="E2281" s="15" t="str">
        <f t="shared" si="773"/>
        <v>27 Picone Drive</v>
      </c>
      <c r="F2281" s="15" t="str">
        <f t="shared" si="774"/>
        <v>Aberfoyle</v>
      </c>
      <c r="G2281" s="15" t="str">
        <f t="shared" si="775"/>
        <v>NSW</v>
      </c>
      <c r="H2281" s="15">
        <f t="shared" si="776"/>
        <v>2350</v>
      </c>
      <c r="I2281" s="15">
        <f t="shared" si="787"/>
        <v>363</v>
      </c>
      <c r="J2281" s="15">
        <f>OrdersTable!B2281</f>
        <v>186</v>
      </c>
      <c r="K2281" s="15" t="str">
        <f t="shared" si="777"/>
        <v>Bobbleheads</v>
      </c>
      <c r="L2281" s="15" t="str">
        <f t="shared" si="778"/>
        <v>Doctor Who: Monitor Mate: 50th Anniversary Original TARDIS</v>
      </c>
      <c r="M2281" s="15" t="str">
        <f t="shared" si="779"/>
        <v>-</v>
      </c>
      <c r="N2281" s="15">
        <f t="shared" si="780"/>
        <v>0.45</v>
      </c>
      <c r="O2281" s="15" t="str">
        <f t="shared" si="781"/>
        <v>A20</v>
      </c>
      <c r="P2281" s="15" t="str">
        <f t="shared" si="782"/>
        <v>Morbius Inc.</v>
      </c>
      <c r="Q2281" s="15" t="str">
        <f t="shared" si="783"/>
        <v>56 Michael Spice Hwy</v>
      </c>
      <c r="R2281" s="3">
        <f>OrdersTable!C2281</f>
        <v>44726</v>
      </c>
      <c r="S2281" s="15">
        <f>OrdersTable!E2281</f>
        <v>3</v>
      </c>
      <c r="T2281" s="15">
        <f t="shared" si="784"/>
        <v>8.99</v>
      </c>
      <c r="U2281" s="15">
        <f t="shared" si="785"/>
        <v>12.46</v>
      </c>
      <c r="V2281" s="15">
        <f t="shared" si="786"/>
        <v>14.56</v>
      </c>
      <c r="W2281" s="15">
        <f>IF(MarkupType="Store Markup",ROUND(V2281+V2281*StoreMarkup,2),IF(MarkupType="Supplier Markup",V2281+V2281*SupplierMarkup,"Error at finding value"))</f>
        <v>22.93</v>
      </c>
      <c r="X2281" s="32" t="str">
        <f t="shared" si="788"/>
        <v>0.00</v>
      </c>
      <c r="Y2281" s="15">
        <f t="shared" si="789"/>
        <v>43.68</v>
      </c>
      <c r="Z2281" s="15">
        <f t="shared" si="790"/>
        <v>68.790000000000006</v>
      </c>
      <c r="AA2281" s="15">
        <f>IF(FreightType="Lethbridge-Stewart Freight ",ROUND(2.99+IF(N2281&gt;0.75,(N2281-0.75)*2.25,0)*S2281,2),IF(MarkupType="Supplier Markup",V2281+V2281*SupplierMarkup,"Error at finding value"))</f>
        <v>2.99</v>
      </c>
      <c r="AB2281" s="15">
        <f t="shared" si="791"/>
        <v>0</v>
      </c>
    </row>
    <row r="2282" spans="1:28" x14ac:dyDescent="0.25">
      <c r="A2282" s="16">
        <f>OrdersTable!A2282</f>
        <v>609</v>
      </c>
      <c r="B2282" s="15" t="str">
        <f t="shared" si="771"/>
        <v>Ms</v>
      </c>
      <c r="C2282" s="15" t="str">
        <f t="shared" si="792"/>
        <v>Ashley</v>
      </c>
      <c r="D2282" s="15" t="str">
        <f t="shared" si="772"/>
        <v>Matthew</v>
      </c>
      <c r="E2282" s="15" t="str">
        <f t="shared" si="773"/>
        <v>3 Wagener Crescent</v>
      </c>
      <c r="F2282" s="15" t="str">
        <f t="shared" si="774"/>
        <v>Aberfoyle</v>
      </c>
      <c r="G2282" s="15" t="str">
        <f t="shared" si="775"/>
        <v>NSW</v>
      </c>
      <c r="H2282" s="15">
        <f t="shared" si="776"/>
        <v>2350</v>
      </c>
      <c r="I2282" s="15">
        <f t="shared" si="787"/>
        <v>363</v>
      </c>
      <c r="J2282" s="15">
        <f>OrdersTable!B2282</f>
        <v>213</v>
      </c>
      <c r="K2282" s="15" t="str">
        <f t="shared" si="777"/>
        <v>Clothing and Apparel</v>
      </c>
      <c r="L2282" s="15" t="str">
        <f t="shared" si="778"/>
        <v>Doctor Who: Fez and Bow Tie</v>
      </c>
      <c r="M2282" s="15" t="str">
        <f t="shared" si="779"/>
        <v>-</v>
      </c>
      <c r="N2282" s="15">
        <f t="shared" si="780"/>
        <v>0.97499999999999998</v>
      </c>
      <c r="O2282" s="15" t="str">
        <f t="shared" si="781"/>
        <v>A50</v>
      </c>
      <c r="P2282" s="15" t="str">
        <f t="shared" si="782"/>
        <v>Rassilon Ltd.</v>
      </c>
      <c r="Q2282" s="15" t="str">
        <f t="shared" si="783"/>
        <v>82 Richard Mathews Road</v>
      </c>
      <c r="R2282" s="3">
        <f>OrdersTable!C2282</f>
        <v>44726</v>
      </c>
      <c r="S2282" s="15">
        <f>OrdersTable!E2282</f>
        <v>1</v>
      </c>
      <c r="T2282" s="15">
        <f t="shared" si="784"/>
        <v>19.5</v>
      </c>
      <c r="U2282" s="15">
        <f t="shared" si="785"/>
        <v>26.88</v>
      </c>
      <c r="V2282" s="15">
        <f t="shared" si="786"/>
        <v>31.59</v>
      </c>
      <c r="W2282" s="15">
        <f>IF(MarkupType="Store Markup",ROUND(V2282+V2282*StoreMarkup,2),IF(MarkupType="Supplier Markup",V2282+V2282*SupplierMarkup,"Error at finding value"))</f>
        <v>49.75</v>
      </c>
      <c r="X2282" s="32" t="str">
        <f t="shared" si="788"/>
        <v>0.00</v>
      </c>
      <c r="Y2282" s="15">
        <f t="shared" si="789"/>
        <v>31.59</v>
      </c>
      <c r="Z2282" s="15">
        <f t="shared" si="790"/>
        <v>49.75</v>
      </c>
      <c r="AA2282" s="15">
        <f>IF(FreightType="Lethbridge-Stewart Freight ",ROUND(2.99+IF(N2282&gt;0.75,(N2282-0.75)*2.25,0)*S2282,2),IF(MarkupType="Supplier Markup",V2282+V2282*SupplierMarkup,"Error at finding value"))</f>
        <v>3.5</v>
      </c>
      <c r="AB2282" s="15">
        <f t="shared" si="791"/>
        <v>0</v>
      </c>
    </row>
    <row r="2283" spans="1:28" x14ac:dyDescent="0.25">
      <c r="A2283" s="16">
        <f>OrdersTable!A2283</f>
        <v>610</v>
      </c>
      <c r="B2283" s="15" t="str">
        <f t="shared" si="771"/>
        <v>Ms</v>
      </c>
      <c r="C2283" s="15" t="str">
        <f t="shared" si="792"/>
        <v>Bichel</v>
      </c>
      <c r="D2283" s="15" t="str">
        <f t="shared" si="772"/>
        <v>Abbey Kate</v>
      </c>
      <c r="E2283" s="15" t="str">
        <f t="shared" si="773"/>
        <v>32 Rambau Avenue</v>
      </c>
      <c r="F2283" s="15" t="str">
        <f t="shared" si="774"/>
        <v>Bamboo</v>
      </c>
      <c r="G2283" s="15" t="str">
        <f t="shared" si="775"/>
        <v>QLD</v>
      </c>
      <c r="H2283" s="15">
        <f t="shared" si="776"/>
        <v>4873</v>
      </c>
      <c r="I2283" s="15">
        <f t="shared" si="787"/>
        <v>1741</v>
      </c>
      <c r="J2283" s="15">
        <f>OrdersTable!B2283</f>
        <v>787</v>
      </c>
      <c r="K2283" s="15" t="str">
        <f t="shared" si="777"/>
        <v>Statues and Busts</v>
      </c>
      <c r="L2283" s="15" t="str">
        <f t="shared" si="778"/>
        <v>Doctor Who: Masterpiece Collection Maxi Bust: 1st Doctor</v>
      </c>
      <c r="M2283" s="15" t="str">
        <f t="shared" si="779"/>
        <v>-</v>
      </c>
      <c r="N2283" s="15">
        <f t="shared" si="780"/>
        <v>2.5</v>
      </c>
      <c r="O2283" s="15" t="str">
        <f t="shared" si="781"/>
        <v>A10</v>
      </c>
      <c r="P2283" s="15" t="str">
        <f t="shared" si="782"/>
        <v>Gallifrey International</v>
      </c>
      <c r="Q2283" s="15" t="str">
        <f t="shared" si="783"/>
        <v>181 Arcadia Street</v>
      </c>
      <c r="R2283" s="3">
        <f>OrdersTable!C2283</f>
        <v>44726</v>
      </c>
      <c r="S2283" s="15">
        <f>OrdersTable!E2283</f>
        <v>3</v>
      </c>
      <c r="T2283" s="15">
        <f t="shared" si="784"/>
        <v>49.99</v>
      </c>
      <c r="U2283" s="15">
        <f t="shared" si="785"/>
        <v>68.290000000000006</v>
      </c>
      <c r="V2283" s="15">
        <f t="shared" si="786"/>
        <v>80.98</v>
      </c>
      <c r="W2283" s="15">
        <f>IF(MarkupType="Store Markup",ROUND(V2283+V2283*StoreMarkup,2),IF(MarkupType="Supplier Markup",V2283+V2283*SupplierMarkup,"Error at finding value"))</f>
        <v>127.54</v>
      </c>
      <c r="X2283" s="32">
        <f t="shared" si="788"/>
        <v>9.09</v>
      </c>
      <c r="Y2283" s="15">
        <f t="shared" si="789"/>
        <v>242.94</v>
      </c>
      <c r="Z2283" s="15">
        <f t="shared" si="790"/>
        <v>355.35</v>
      </c>
      <c r="AA2283" s="15">
        <f>IF(FreightType="Lethbridge-Stewart Freight ",ROUND(2.99+IF(N2283&gt;0.75,(N2283-0.75)*2.25,0)*S2283,2),IF(MarkupType="Supplier Markup",V2283+V2283*SupplierMarkup,"Error at finding value"))</f>
        <v>14.8</v>
      </c>
      <c r="AB2283" s="15">
        <f t="shared" si="791"/>
        <v>27.27</v>
      </c>
    </row>
    <row r="2284" spans="1:28" x14ac:dyDescent="0.25">
      <c r="A2284" s="16">
        <f>OrdersTable!A2284</f>
        <v>611</v>
      </c>
      <c r="B2284" s="15" t="str">
        <f t="shared" si="771"/>
        <v>Mr</v>
      </c>
      <c r="C2284" s="15" t="str">
        <f t="shared" si="792"/>
        <v>Wittman</v>
      </c>
      <c r="D2284" s="15" t="str">
        <f t="shared" si="772"/>
        <v>Nicholas Jackson</v>
      </c>
      <c r="E2284" s="15" t="str">
        <f t="shared" si="773"/>
        <v>48 Sheppard-Kadel Way</v>
      </c>
      <c r="F2284" s="15" t="str">
        <f t="shared" si="774"/>
        <v>Nayook</v>
      </c>
      <c r="G2284" s="15" t="str">
        <f t="shared" si="775"/>
        <v>VIC</v>
      </c>
      <c r="H2284" s="15">
        <f t="shared" si="776"/>
        <v>3832</v>
      </c>
      <c r="I2284" s="15">
        <f t="shared" si="787"/>
        <v>1552</v>
      </c>
      <c r="J2284" s="15">
        <f>OrdersTable!B2284</f>
        <v>757</v>
      </c>
      <c r="K2284" s="15" t="str">
        <f t="shared" si="777"/>
        <v>Statues and Busts</v>
      </c>
      <c r="L2284" s="15" t="str">
        <f t="shared" si="778"/>
        <v>Doctor Who: Helmet: Ice Warrior</v>
      </c>
      <c r="M2284" s="15" t="str">
        <f t="shared" si="779"/>
        <v>-</v>
      </c>
      <c r="N2284" s="15">
        <f t="shared" si="780"/>
        <v>1.75</v>
      </c>
      <c r="O2284" s="15" t="str">
        <f t="shared" si="781"/>
        <v>A20</v>
      </c>
      <c r="P2284" s="15" t="str">
        <f t="shared" si="782"/>
        <v>Morbius Inc.</v>
      </c>
      <c r="Q2284" s="15" t="str">
        <f t="shared" si="783"/>
        <v>56 Michael Spice Hwy</v>
      </c>
      <c r="R2284" s="3">
        <f>OrdersTable!C2284</f>
        <v>44726</v>
      </c>
      <c r="S2284" s="15">
        <f>OrdersTable!E2284</f>
        <v>7</v>
      </c>
      <c r="T2284" s="15">
        <f t="shared" si="784"/>
        <v>34.99</v>
      </c>
      <c r="U2284" s="15">
        <f t="shared" si="785"/>
        <v>47.88</v>
      </c>
      <c r="V2284" s="15">
        <f t="shared" si="786"/>
        <v>56.68</v>
      </c>
      <c r="W2284" s="15">
        <f>IF(MarkupType="Store Markup",ROUND(V2284+V2284*StoreMarkup,2),IF(MarkupType="Supplier Markup",V2284+V2284*SupplierMarkup,"Error at finding value"))</f>
        <v>89.27</v>
      </c>
      <c r="X2284" s="32" t="str">
        <f t="shared" si="788"/>
        <v>0.00</v>
      </c>
      <c r="Y2284" s="15">
        <f t="shared" si="789"/>
        <v>396.76</v>
      </c>
      <c r="Z2284" s="15">
        <f t="shared" si="790"/>
        <v>624.89</v>
      </c>
      <c r="AA2284" s="15">
        <f>IF(FreightType="Lethbridge-Stewart Freight ",ROUND(2.99+IF(N2284&gt;0.75,(N2284-0.75)*2.25,0)*S2284,2),IF(MarkupType="Supplier Markup",V2284+V2284*SupplierMarkup,"Error at finding value"))</f>
        <v>18.739999999999998</v>
      </c>
      <c r="AB2284" s="15">
        <f t="shared" si="791"/>
        <v>0</v>
      </c>
    </row>
    <row r="2285" spans="1:28" x14ac:dyDescent="0.25">
      <c r="A2285" s="16">
        <f>OrdersTable!A2285</f>
        <v>669</v>
      </c>
      <c r="B2285" s="15" t="str">
        <f t="shared" si="771"/>
        <v>Dr</v>
      </c>
      <c r="C2285" s="15" t="str">
        <f t="shared" si="792"/>
        <v>Ferjani</v>
      </c>
      <c r="D2285" s="15" t="str">
        <f t="shared" si="772"/>
        <v>Rabah</v>
      </c>
      <c r="E2285" s="15" t="str">
        <f t="shared" si="773"/>
        <v>2 Codrington Street</v>
      </c>
      <c r="F2285" s="15" t="str">
        <f t="shared" si="774"/>
        <v>Belford</v>
      </c>
      <c r="G2285" s="15" t="str">
        <f t="shared" si="775"/>
        <v>NSW</v>
      </c>
      <c r="H2285" s="15">
        <f t="shared" si="776"/>
        <v>2335</v>
      </c>
      <c r="I2285" s="15">
        <f t="shared" si="787"/>
        <v>716</v>
      </c>
      <c r="J2285" s="15">
        <f>OrdersTable!B2285</f>
        <v>810</v>
      </c>
      <c r="K2285" s="15" t="str">
        <f t="shared" si="777"/>
        <v>Statues and Busts</v>
      </c>
      <c r="L2285" s="15" t="str">
        <f t="shared" si="778"/>
        <v>Doctor Who: Masterpiece Collection Maxi Bust: Amy Pond</v>
      </c>
      <c r="M2285" s="15" t="str">
        <f t="shared" si="779"/>
        <v>-</v>
      </c>
      <c r="N2285" s="15">
        <f t="shared" si="780"/>
        <v>2.5</v>
      </c>
      <c r="O2285" s="15" t="str">
        <f t="shared" si="781"/>
        <v>A50</v>
      </c>
      <c r="P2285" s="15" t="str">
        <f t="shared" si="782"/>
        <v>Rassilon Ltd.</v>
      </c>
      <c r="Q2285" s="15" t="str">
        <f t="shared" si="783"/>
        <v>82 Richard Mathews Road</v>
      </c>
      <c r="R2285" s="3">
        <f>OrdersTable!C2285</f>
        <v>44726</v>
      </c>
      <c r="S2285" s="15">
        <f>OrdersTable!E2285</f>
        <v>10</v>
      </c>
      <c r="T2285" s="15">
        <f t="shared" si="784"/>
        <v>49.99</v>
      </c>
      <c r="U2285" s="15">
        <f t="shared" si="785"/>
        <v>68.260000000000005</v>
      </c>
      <c r="V2285" s="15">
        <f t="shared" si="786"/>
        <v>80.98</v>
      </c>
      <c r="W2285" s="15">
        <f>IF(MarkupType="Store Markup",ROUND(V2285+V2285*StoreMarkup,2),IF(MarkupType="Supplier Markup",V2285+V2285*SupplierMarkup,"Error at finding value"))</f>
        <v>127.54</v>
      </c>
      <c r="X2285" s="32">
        <f t="shared" si="788"/>
        <v>9.09</v>
      </c>
      <c r="Y2285" s="15">
        <f t="shared" si="789"/>
        <v>809.8</v>
      </c>
      <c r="Z2285" s="15">
        <f t="shared" si="790"/>
        <v>1184.5</v>
      </c>
      <c r="AA2285" s="15">
        <f>IF(FreightType="Lethbridge-Stewart Freight ",ROUND(2.99+IF(N2285&gt;0.75,(N2285-0.75)*2.25,0)*S2285,2),IF(MarkupType="Supplier Markup",V2285+V2285*SupplierMarkup,"Error at finding value"))</f>
        <v>42.37</v>
      </c>
      <c r="AB2285" s="15">
        <f t="shared" si="791"/>
        <v>90.9</v>
      </c>
    </row>
    <row r="2286" spans="1:28" x14ac:dyDescent="0.25">
      <c r="A2286" s="16">
        <f>OrdersTable!A2286</f>
        <v>750</v>
      </c>
      <c r="B2286" s="15" t="str">
        <f t="shared" si="771"/>
        <v>Ms</v>
      </c>
      <c r="C2286" s="15" t="str">
        <f t="shared" si="792"/>
        <v>Talbot</v>
      </c>
      <c r="D2286" s="15" t="str">
        <f t="shared" si="772"/>
        <v>Carlie Wenderly</v>
      </c>
      <c r="E2286" s="15" t="str">
        <f t="shared" si="773"/>
        <v>31 Somerville Way</v>
      </c>
      <c r="F2286" s="15" t="str">
        <f t="shared" si="774"/>
        <v>Boston</v>
      </c>
      <c r="G2286" s="15" t="str">
        <f t="shared" si="775"/>
        <v>SA</v>
      </c>
      <c r="H2286" s="15">
        <f t="shared" si="776"/>
        <v>5607</v>
      </c>
      <c r="I2286" s="15">
        <f t="shared" si="787"/>
        <v>2076</v>
      </c>
      <c r="J2286" s="15">
        <f>OrdersTable!B2286</f>
        <v>710</v>
      </c>
      <c r="K2286" s="15" t="str">
        <f t="shared" si="777"/>
        <v>Posters, Prints and Standees</v>
      </c>
      <c r="L2286" s="15" t="str">
        <f t="shared" si="778"/>
        <v>Doctor Who: Poster: Regenerate</v>
      </c>
      <c r="M2286" s="15" t="str">
        <f t="shared" si="779"/>
        <v>-</v>
      </c>
      <c r="N2286" s="15">
        <f t="shared" si="780"/>
        <v>0.2</v>
      </c>
      <c r="O2286" s="15" t="str">
        <f t="shared" si="781"/>
        <v>A40</v>
      </c>
      <c r="P2286" s="15" t="str">
        <f t="shared" si="782"/>
        <v>Romana Imports</v>
      </c>
      <c r="Q2286" s="15" t="str">
        <f t="shared" si="783"/>
        <v>17 Lalla Ward Road</v>
      </c>
      <c r="R2286" s="3">
        <f>OrdersTable!C2286</f>
        <v>44726</v>
      </c>
      <c r="S2286" s="15">
        <f>OrdersTable!E2286</f>
        <v>5</v>
      </c>
      <c r="T2286" s="15">
        <f t="shared" si="784"/>
        <v>3.99</v>
      </c>
      <c r="U2286" s="15">
        <f t="shared" si="785"/>
        <v>5.5</v>
      </c>
      <c r="V2286" s="15">
        <f t="shared" si="786"/>
        <v>6.46</v>
      </c>
      <c r="W2286" s="15">
        <f>IF(MarkupType="Store Markup",ROUND(V2286+V2286*StoreMarkup,2),IF(MarkupType="Supplier Markup",V2286+V2286*SupplierMarkup,"Error at finding value"))</f>
        <v>10.17</v>
      </c>
      <c r="X2286" s="32" t="str">
        <f t="shared" si="788"/>
        <v>0.00</v>
      </c>
      <c r="Y2286" s="15">
        <f t="shared" si="789"/>
        <v>32.299999999999997</v>
      </c>
      <c r="Z2286" s="15">
        <f t="shared" si="790"/>
        <v>50.85</v>
      </c>
      <c r="AA2286" s="15">
        <f>IF(FreightType="Lethbridge-Stewart Freight ",ROUND(2.99+IF(N2286&gt;0.75,(N2286-0.75)*2.25,0)*S2286,2),IF(MarkupType="Supplier Markup",V2286+V2286*SupplierMarkup,"Error at finding value"))</f>
        <v>2.99</v>
      </c>
      <c r="AB2286" s="15">
        <f t="shared" si="791"/>
        <v>0</v>
      </c>
    </row>
    <row r="2287" spans="1:28" x14ac:dyDescent="0.25">
      <c r="A2287" s="16">
        <f>OrdersTable!A2287</f>
        <v>906</v>
      </c>
      <c r="B2287" s="15" t="str">
        <f t="shared" si="771"/>
        <v>Mrs</v>
      </c>
      <c r="C2287" s="15" t="str">
        <f t="shared" si="792"/>
        <v>Turner</v>
      </c>
      <c r="D2287" s="15" t="str">
        <f t="shared" si="772"/>
        <v>Courtney</v>
      </c>
      <c r="E2287" s="15" t="str">
        <f t="shared" si="773"/>
        <v>42 Fearon Avenue</v>
      </c>
      <c r="F2287" s="15" t="str">
        <f t="shared" si="774"/>
        <v>Breakwater</v>
      </c>
      <c r="G2287" s="15" t="str">
        <f t="shared" si="775"/>
        <v>VIC</v>
      </c>
      <c r="H2287" s="15">
        <f t="shared" si="776"/>
        <v>3219</v>
      </c>
      <c r="I2287" s="15">
        <f t="shared" si="787"/>
        <v>1596</v>
      </c>
      <c r="J2287" s="15">
        <f>OrdersTable!B2287</f>
        <v>758</v>
      </c>
      <c r="K2287" s="15" t="str">
        <f t="shared" si="777"/>
        <v>Statues and Busts</v>
      </c>
      <c r="L2287" s="15" t="str">
        <f t="shared" si="778"/>
        <v>Doctor Who: Helmet: Sontaran Officer Linx</v>
      </c>
      <c r="M2287" s="15" t="str">
        <f t="shared" si="779"/>
        <v>-</v>
      </c>
      <c r="N2287" s="15">
        <f t="shared" si="780"/>
        <v>1.75</v>
      </c>
      <c r="O2287" s="15" t="str">
        <f t="shared" si="781"/>
        <v>A50</v>
      </c>
      <c r="P2287" s="15" t="str">
        <f t="shared" si="782"/>
        <v>Rassilon Ltd.</v>
      </c>
      <c r="Q2287" s="15" t="str">
        <f t="shared" si="783"/>
        <v>82 Richard Mathews Road</v>
      </c>
      <c r="R2287" s="3">
        <f>OrdersTable!C2287</f>
        <v>44726</v>
      </c>
      <c r="S2287" s="15">
        <f>OrdersTable!E2287</f>
        <v>9</v>
      </c>
      <c r="T2287" s="15">
        <f t="shared" si="784"/>
        <v>34.99</v>
      </c>
      <c r="U2287" s="15">
        <f t="shared" si="785"/>
        <v>47.79</v>
      </c>
      <c r="V2287" s="15">
        <f t="shared" si="786"/>
        <v>56.68</v>
      </c>
      <c r="W2287" s="15">
        <f>IF(MarkupType="Store Markup",ROUND(V2287+V2287*StoreMarkup,2),IF(MarkupType="Supplier Markup",V2287+V2287*SupplierMarkup,"Error at finding value"))</f>
        <v>89.27</v>
      </c>
      <c r="X2287" s="32" t="str">
        <f t="shared" si="788"/>
        <v>0.00</v>
      </c>
      <c r="Y2287" s="15">
        <f t="shared" si="789"/>
        <v>510.12</v>
      </c>
      <c r="Z2287" s="15">
        <f t="shared" si="790"/>
        <v>803.43</v>
      </c>
      <c r="AA2287" s="15">
        <f>IF(FreightType="Lethbridge-Stewart Freight ",ROUND(2.99+IF(N2287&gt;0.75,(N2287-0.75)*2.25,0)*S2287,2),IF(MarkupType="Supplier Markup",V2287+V2287*SupplierMarkup,"Error at finding value"))</f>
        <v>23.24</v>
      </c>
      <c r="AB2287" s="15">
        <f t="shared" si="791"/>
        <v>0</v>
      </c>
    </row>
    <row r="2288" spans="1:28" x14ac:dyDescent="0.25">
      <c r="A2288" s="16">
        <f>OrdersTable!A2288</f>
        <v>923</v>
      </c>
      <c r="B2288" s="15" t="str">
        <f t="shared" si="771"/>
        <v>Ms</v>
      </c>
      <c r="C2288" s="15" t="str">
        <f t="shared" si="792"/>
        <v>Savage</v>
      </c>
      <c r="D2288" s="15" t="str">
        <f t="shared" si="772"/>
        <v>Eliza Margaret</v>
      </c>
      <c r="E2288" s="15" t="str">
        <f t="shared" si="773"/>
        <v>28 Whisson Crescent</v>
      </c>
      <c r="F2288" s="15" t="str">
        <f t="shared" si="774"/>
        <v>Belconnen</v>
      </c>
      <c r="G2288" s="15" t="str">
        <f t="shared" si="775"/>
        <v>ACT</v>
      </c>
      <c r="H2288" s="15">
        <f t="shared" si="776"/>
        <v>2617</v>
      </c>
      <c r="I2288" s="15">
        <f t="shared" si="787"/>
        <v>1194</v>
      </c>
      <c r="J2288" s="15">
        <f>OrdersTable!B2288</f>
        <v>726</v>
      </c>
      <c r="K2288" s="15" t="str">
        <f t="shared" si="777"/>
        <v>Props and Replicas</v>
      </c>
      <c r="L2288" s="15" t="str">
        <f t="shared" si="778"/>
        <v>Doctor Who: Dalek Death Ray</v>
      </c>
      <c r="M2288" s="15" t="str">
        <f t="shared" si="779"/>
        <v>-</v>
      </c>
      <c r="N2288" s="15">
        <f t="shared" si="780"/>
        <v>18</v>
      </c>
      <c r="O2288" s="15" t="str">
        <f t="shared" si="781"/>
        <v>A30</v>
      </c>
      <c r="P2288" s="15" t="str">
        <f t="shared" si="782"/>
        <v>Chesterton Enterprises</v>
      </c>
      <c r="Q2288" s="15" t="str">
        <f t="shared" si="783"/>
        <v>41 William Russell Road</v>
      </c>
      <c r="R2288" s="3">
        <f>OrdersTable!C2288</f>
        <v>44726</v>
      </c>
      <c r="S2288" s="15">
        <f>OrdersTable!E2288</f>
        <v>7</v>
      </c>
      <c r="T2288" s="15">
        <f t="shared" si="784"/>
        <v>359.99</v>
      </c>
      <c r="U2288" s="15">
        <f t="shared" si="785"/>
        <v>491.12</v>
      </c>
      <c r="V2288" s="15">
        <f t="shared" si="786"/>
        <v>583.17999999999995</v>
      </c>
      <c r="W2288" s="15">
        <f>IF(MarkupType="Store Markup",ROUND(V2288+V2288*StoreMarkup,2),IF(MarkupType="Supplier Markup",V2288+V2288*SupplierMarkup,"Error at finding value"))</f>
        <v>918.51</v>
      </c>
      <c r="X2288" s="32">
        <f t="shared" si="788"/>
        <v>65.44</v>
      </c>
      <c r="Y2288" s="15">
        <f t="shared" si="789"/>
        <v>4082.26</v>
      </c>
      <c r="Z2288" s="15">
        <f t="shared" si="790"/>
        <v>5971.49</v>
      </c>
      <c r="AA2288" s="15">
        <f>IF(FreightType="Lethbridge-Stewart Freight ",ROUND(2.99+IF(N2288&gt;0.75,(N2288-0.75)*2.25,0)*S2288,2),IF(MarkupType="Supplier Markup",V2288+V2288*SupplierMarkup,"Error at finding value"))</f>
        <v>274.68</v>
      </c>
      <c r="AB2288" s="15">
        <f t="shared" si="791"/>
        <v>458.08</v>
      </c>
    </row>
    <row r="2289" spans="1:28" x14ac:dyDescent="0.25">
      <c r="A2289" s="16">
        <f>OrdersTable!A2289</f>
        <v>139</v>
      </c>
      <c r="B2289" s="15" t="str">
        <f t="shared" si="771"/>
        <v>Mrs</v>
      </c>
      <c r="C2289" s="15" t="str">
        <f t="shared" si="792"/>
        <v>Atkinson</v>
      </c>
      <c r="D2289" s="15" t="str">
        <f t="shared" si="772"/>
        <v>Leanne</v>
      </c>
      <c r="E2289" s="15" t="str">
        <f t="shared" si="773"/>
        <v>45 Maloney Boulevard</v>
      </c>
      <c r="F2289" s="15" t="str">
        <f t="shared" si="774"/>
        <v>Avon Plains</v>
      </c>
      <c r="G2289" s="15" t="str">
        <f t="shared" si="775"/>
        <v>VIC</v>
      </c>
      <c r="H2289" s="15">
        <f t="shared" si="776"/>
        <v>3477</v>
      </c>
      <c r="I2289" s="15">
        <f t="shared" si="787"/>
        <v>1565</v>
      </c>
      <c r="J2289" s="15">
        <f>OrdersTable!B2289</f>
        <v>702</v>
      </c>
      <c r="K2289" s="15" t="str">
        <f t="shared" si="777"/>
        <v>Posters, Prints and Standees</v>
      </c>
      <c r="L2289" s="15" t="str">
        <f t="shared" si="778"/>
        <v>Doctor Who: Poster: Daleks</v>
      </c>
      <c r="M2289" s="15" t="str">
        <f t="shared" si="779"/>
        <v>-</v>
      </c>
      <c r="N2289" s="15">
        <f t="shared" si="780"/>
        <v>0.2</v>
      </c>
      <c r="O2289" s="15" t="str">
        <f t="shared" si="781"/>
        <v>A50</v>
      </c>
      <c r="P2289" s="15" t="str">
        <f t="shared" si="782"/>
        <v>Rassilon Ltd.</v>
      </c>
      <c r="Q2289" s="15" t="str">
        <f t="shared" si="783"/>
        <v>82 Richard Mathews Road</v>
      </c>
      <c r="R2289" s="3">
        <f>OrdersTable!C2289</f>
        <v>44727</v>
      </c>
      <c r="S2289" s="15">
        <f>OrdersTable!E2289</f>
        <v>1</v>
      </c>
      <c r="T2289" s="15">
        <f t="shared" si="784"/>
        <v>3.99</v>
      </c>
      <c r="U2289" s="15">
        <f t="shared" si="785"/>
        <v>5.46</v>
      </c>
      <c r="V2289" s="15">
        <f t="shared" si="786"/>
        <v>6.46</v>
      </c>
      <c r="W2289" s="15">
        <f>IF(MarkupType="Store Markup",ROUND(V2289+V2289*StoreMarkup,2),IF(MarkupType="Supplier Markup",V2289+V2289*SupplierMarkup,"Error at finding value"))</f>
        <v>10.17</v>
      </c>
      <c r="X2289" s="32" t="str">
        <f t="shared" si="788"/>
        <v>0.00</v>
      </c>
      <c r="Y2289" s="15">
        <f t="shared" si="789"/>
        <v>6.46</v>
      </c>
      <c r="Z2289" s="15">
        <f t="shared" si="790"/>
        <v>10.17</v>
      </c>
      <c r="AA2289" s="15">
        <f>IF(FreightType="Lethbridge-Stewart Freight ",ROUND(2.99+IF(N2289&gt;0.75,(N2289-0.75)*2.25,0)*S2289,2),IF(MarkupType="Supplier Markup",V2289+V2289*SupplierMarkup,"Error at finding value"))</f>
        <v>2.99</v>
      </c>
      <c r="AB2289" s="15">
        <f t="shared" si="791"/>
        <v>0</v>
      </c>
    </row>
    <row r="2290" spans="1:28" x14ac:dyDescent="0.25">
      <c r="A2290" s="16">
        <f>OrdersTable!A2290</f>
        <v>146</v>
      </c>
      <c r="B2290" s="15" t="str">
        <f t="shared" si="771"/>
        <v>Miss</v>
      </c>
      <c r="C2290" s="15" t="str">
        <f t="shared" si="792"/>
        <v>Brown</v>
      </c>
      <c r="D2290" s="15" t="str">
        <f t="shared" si="772"/>
        <v>Sarah Danielle</v>
      </c>
      <c r="E2290" s="15" t="str">
        <f t="shared" si="773"/>
        <v>50 Brieschke Court</v>
      </c>
      <c r="F2290" s="15" t="str">
        <f t="shared" si="774"/>
        <v>Bray Park</v>
      </c>
      <c r="G2290" s="15" t="str">
        <f t="shared" si="775"/>
        <v>QLD</v>
      </c>
      <c r="H2290" s="15">
        <f t="shared" si="776"/>
        <v>4500</v>
      </c>
      <c r="I2290" s="15">
        <f t="shared" si="787"/>
        <v>139</v>
      </c>
      <c r="J2290" s="15">
        <f>OrdersTable!B2290</f>
        <v>316</v>
      </c>
      <c r="K2290" s="15" t="str">
        <f t="shared" si="777"/>
        <v>Clothing and Apparel</v>
      </c>
      <c r="L2290" s="15" t="str">
        <f t="shared" si="778"/>
        <v xml:space="preserve">Doctor Who: T-Shirts: 4th Doctor Costume </v>
      </c>
      <c r="M2290" s="15" t="str">
        <f t="shared" si="779"/>
        <v>S</v>
      </c>
      <c r="N2290" s="15">
        <f t="shared" si="780"/>
        <v>0.8</v>
      </c>
      <c r="O2290" s="15" t="str">
        <f t="shared" si="781"/>
        <v>A30</v>
      </c>
      <c r="P2290" s="15" t="str">
        <f t="shared" si="782"/>
        <v>Chesterton Enterprises</v>
      </c>
      <c r="Q2290" s="15" t="str">
        <f t="shared" si="783"/>
        <v>41 William Russell Road</v>
      </c>
      <c r="R2290" s="3">
        <f>OrdersTable!C2290</f>
        <v>44727</v>
      </c>
      <c r="S2290" s="15">
        <f>OrdersTable!E2290</f>
        <v>1</v>
      </c>
      <c r="T2290" s="15">
        <f t="shared" si="784"/>
        <v>15.99</v>
      </c>
      <c r="U2290" s="15">
        <f t="shared" si="785"/>
        <v>21.94</v>
      </c>
      <c r="V2290" s="15">
        <f t="shared" si="786"/>
        <v>25.9</v>
      </c>
      <c r="W2290" s="15">
        <f>IF(MarkupType="Store Markup",ROUND(V2290+V2290*StoreMarkup,2),IF(MarkupType="Supplier Markup",V2290+V2290*SupplierMarkup,"Error at finding value"))</f>
        <v>40.79</v>
      </c>
      <c r="X2290" s="32" t="str">
        <f t="shared" si="788"/>
        <v>0.00</v>
      </c>
      <c r="Y2290" s="15">
        <f t="shared" si="789"/>
        <v>25.9</v>
      </c>
      <c r="Z2290" s="15">
        <f t="shared" si="790"/>
        <v>40.79</v>
      </c>
      <c r="AA2290" s="15">
        <f>IF(FreightType="Lethbridge-Stewart Freight ",ROUND(2.99+IF(N2290&gt;0.75,(N2290-0.75)*2.25,0)*S2290,2),IF(MarkupType="Supplier Markup",V2290+V2290*SupplierMarkup,"Error at finding value"))</f>
        <v>3.1</v>
      </c>
      <c r="AB2290" s="15">
        <f t="shared" si="791"/>
        <v>0</v>
      </c>
    </row>
    <row r="2291" spans="1:28" x14ac:dyDescent="0.25">
      <c r="A2291" s="16">
        <f>OrdersTable!A2291</f>
        <v>146</v>
      </c>
      <c r="B2291" s="15" t="str">
        <f t="shared" si="771"/>
        <v>Miss</v>
      </c>
      <c r="C2291" s="15" t="str">
        <f t="shared" si="792"/>
        <v>Brown</v>
      </c>
      <c r="D2291" s="15" t="str">
        <f t="shared" si="772"/>
        <v>Sarah Danielle</v>
      </c>
      <c r="E2291" s="15" t="str">
        <f t="shared" si="773"/>
        <v>50 Brieschke Court</v>
      </c>
      <c r="F2291" s="15" t="str">
        <f t="shared" si="774"/>
        <v>Bray Park</v>
      </c>
      <c r="G2291" s="15" t="str">
        <f t="shared" si="775"/>
        <v>QLD</v>
      </c>
      <c r="H2291" s="15">
        <f t="shared" si="776"/>
        <v>4500</v>
      </c>
      <c r="I2291" s="15">
        <f t="shared" si="787"/>
        <v>139</v>
      </c>
      <c r="J2291" s="15">
        <f>OrdersTable!B2291</f>
        <v>719</v>
      </c>
      <c r="K2291" s="15" t="str">
        <f t="shared" si="777"/>
        <v>Posters, Prints and Standees</v>
      </c>
      <c r="L2291" s="15" t="str">
        <f t="shared" si="778"/>
        <v>Doctor Who: Standee: Supreme Dalek</v>
      </c>
      <c r="M2291" s="15" t="str">
        <f t="shared" si="779"/>
        <v>-</v>
      </c>
      <c r="N2291" s="15">
        <f t="shared" si="780"/>
        <v>1.125</v>
      </c>
      <c r="O2291" s="15" t="str">
        <f t="shared" si="781"/>
        <v>A50</v>
      </c>
      <c r="P2291" s="15" t="str">
        <f t="shared" si="782"/>
        <v>Rassilon Ltd.</v>
      </c>
      <c r="Q2291" s="15" t="str">
        <f t="shared" si="783"/>
        <v>82 Richard Mathews Road</v>
      </c>
      <c r="R2291" s="3">
        <f>OrdersTable!C2291</f>
        <v>44727</v>
      </c>
      <c r="S2291" s="15">
        <f>OrdersTable!E2291</f>
        <v>6</v>
      </c>
      <c r="T2291" s="15">
        <f t="shared" si="784"/>
        <v>22.49</v>
      </c>
      <c r="U2291" s="15">
        <f t="shared" si="785"/>
        <v>30.76</v>
      </c>
      <c r="V2291" s="15">
        <f t="shared" si="786"/>
        <v>36.43</v>
      </c>
      <c r="W2291" s="15">
        <f>IF(MarkupType="Store Markup",ROUND(V2291+V2291*StoreMarkup,2),IF(MarkupType="Supplier Markup",V2291+V2291*SupplierMarkup,"Error at finding value"))</f>
        <v>57.38</v>
      </c>
      <c r="X2291" s="32" t="str">
        <f t="shared" si="788"/>
        <v>0.00</v>
      </c>
      <c r="Y2291" s="15">
        <f t="shared" si="789"/>
        <v>218.58</v>
      </c>
      <c r="Z2291" s="15">
        <f t="shared" si="790"/>
        <v>344.28</v>
      </c>
      <c r="AA2291" s="15">
        <f>IF(FreightType="Lethbridge-Stewart Freight ",ROUND(2.99+IF(N2291&gt;0.75,(N2291-0.75)*2.25,0)*S2291,2),IF(MarkupType="Supplier Markup",V2291+V2291*SupplierMarkup,"Error at finding value"))</f>
        <v>8.0500000000000007</v>
      </c>
      <c r="AB2291" s="15">
        <f t="shared" si="791"/>
        <v>0</v>
      </c>
    </row>
    <row r="2292" spans="1:28" x14ac:dyDescent="0.25">
      <c r="A2292" s="16">
        <f>OrdersTable!A2292</f>
        <v>200</v>
      </c>
      <c r="B2292" s="15" t="str">
        <f t="shared" si="771"/>
        <v>Ms</v>
      </c>
      <c r="C2292" s="15" t="str">
        <f t="shared" si="792"/>
        <v>Barton</v>
      </c>
      <c r="D2292" s="15" t="str">
        <f t="shared" si="772"/>
        <v>Kimberley</v>
      </c>
      <c r="E2292" s="15" t="str">
        <f t="shared" si="773"/>
        <v>9 Decuyper Road</v>
      </c>
      <c r="F2292" s="15" t="str">
        <f t="shared" si="774"/>
        <v>Ashford</v>
      </c>
      <c r="G2292" s="15" t="str">
        <f t="shared" si="775"/>
        <v>SA</v>
      </c>
      <c r="H2292" s="15">
        <f t="shared" si="776"/>
        <v>5035</v>
      </c>
      <c r="I2292" s="15">
        <f t="shared" si="787"/>
        <v>1877</v>
      </c>
      <c r="J2292" s="15">
        <f>OrdersTable!B2292</f>
        <v>583</v>
      </c>
      <c r="K2292" s="15" t="str">
        <f t="shared" si="777"/>
        <v>iPhone Skins</v>
      </c>
      <c r="L2292" s="15" t="str">
        <f t="shared" si="778"/>
        <v>Doctor Who: iPhone Skin: Cyberman Delete</v>
      </c>
      <c r="M2292" s="15" t="str">
        <f t="shared" si="779"/>
        <v>-</v>
      </c>
      <c r="N2292" s="15">
        <f t="shared" si="780"/>
        <v>0.3</v>
      </c>
      <c r="O2292" s="15" t="str">
        <f t="shared" si="781"/>
        <v>A50</v>
      </c>
      <c r="P2292" s="15" t="str">
        <f t="shared" si="782"/>
        <v>Rassilon Ltd.</v>
      </c>
      <c r="Q2292" s="15" t="str">
        <f t="shared" si="783"/>
        <v>82 Richard Mathews Road</v>
      </c>
      <c r="R2292" s="3">
        <f>OrdersTable!C2292</f>
        <v>44727</v>
      </c>
      <c r="S2292" s="15">
        <f>OrdersTable!E2292</f>
        <v>5</v>
      </c>
      <c r="T2292" s="15">
        <f t="shared" si="784"/>
        <v>5.99</v>
      </c>
      <c r="U2292" s="15">
        <f t="shared" si="785"/>
        <v>8.23</v>
      </c>
      <c r="V2292" s="15">
        <f t="shared" si="786"/>
        <v>9.6999999999999993</v>
      </c>
      <c r="W2292" s="15">
        <f>IF(MarkupType="Store Markup",ROUND(V2292+V2292*StoreMarkup,2),IF(MarkupType="Supplier Markup",V2292+V2292*SupplierMarkup,"Error at finding value"))</f>
        <v>15.28</v>
      </c>
      <c r="X2292" s="32" t="str">
        <f t="shared" si="788"/>
        <v>0.00</v>
      </c>
      <c r="Y2292" s="15">
        <f t="shared" si="789"/>
        <v>48.5</v>
      </c>
      <c r="Z2292" s="15">
        <f t="shared" si="790"/>
        <v>76.400000000000006</v>
      </c>
      <c r="AA2292" s="15">
        <f>IF(FreightType="Lethbridge-Stewart Freight ",ROUND(2.99+IF(N2292&gt;0.75,(N2292-0.75)*2.25,0)*S2292,2),IF(MarkupType="Supplier Markup",V2292+V2292*SupplierMarkup,"Error at finding value"))</f>
        <v>2.99</v>
      </c>
      <c r="AB2292" s="15">
        <f t="shared" si="791"/>
        <v>0</v>
      </c>
    </row>
    <row r="2293" spans="1:28" x14ac:dyDescent="0.25">
      <c r="A2293" s="16">
        <f>OrdersTable!A2293</f>
        <v>308</v>
      </c>
      <c r="B2293" s="15" t="str">
        <f t="shared" si="771"/>
        <v>Dr</v>
      </c>
      <c r="C2293" s="15" t="str">
        <f t="shared" si="792"/>
        <v>Azar</v>
      </c>
      <c r="D2293" s="15" t="str">
        <f t="shared" si="772"/>
        <v>Mariam</v>
      </c>
      <c r="E2293" s="15" t="str">
        <f t="shared" si="773"/>
        <v>26 Osmond Road</v>
      </c>
      <c r="F2293" s="15" t="str">
        <f t="shared" si="774"/>
        <v>Boston</v>
      </c>
      <c r="G2293" s="15" t="str">
        <f t="shared" si="775"/>
        <v>SA</v>
      </c>
      <c r="H2293" s="15">
        <f t="shared" si="776"/>
        <v>5607</v>
      </c>
      <c r="I2293" s="15">
        <f t="shared" si="787"/>
        <v>2076</v>
      </c>
      <c r="J2293" s="15">
        <f>OrdersTable!B2293</f>
        <v>769</v>
      </c>
      <c r="K2293" s="15" t="str">
        <f t="shared" si="777"/>
        <v>Statues and Busts</v>
      </c>
      <c r="L2293" s="15" t="str">
        <f t="shared" si="778"/>
        <v>Doctor Who: Legends Forever Bust: Tom Baker</v>
      </c>
      <c r="M2293" s="15" t="str">
        <f t="shared" si="779"/>
        <v>-</v>
      </c>
      <c r="N2293" s="15">
        <f t="shared" si="780"/>
        <v>1.375</v>
      </c>
      <c r="O2293" s="15" t="str">
        <f t="shared" si="781"/>
        <v>A30</v>
      </c>
      <c r="P2293" s="15" t="str">
        <f t="shared" si="782"/>
        <v>Chesterton Enterprises</v>
      </c>
      <c r="Q2293" s="15" t="str">
        <f t="shared" si="783"/>
        <v>41 William Russell Road</v>
      </c>
      <c r="R2293" s="3">
        <f>OrdersTable!C2293</f>
        <v>44727</v>
      </c>
      <c r="S2293" s="15">
        <f>OrdersTable!E2293</f>
        <v>6</v>
      </c>
      <c r="T2293" s="15">
        <f t="shared" si="784"/>
        <v>27.5</v>
      </c>
      <c r="U2293" s="15">
        <f t="shared" si="785"/>
        <v>37.76</v>
      </c>
      <c r="V2293" s="15">
        <f t="shared" si="786"/>
        <v>44.55</v>
      </c>
      <c r="W2293" s="15">
        <f>IF(MarkupType="Store Markup",ROUND(V2293+V2293*StoreMarkup,2),IF(MarkupType="Supplier Markup",V2293+V2293*SupplierMarkup,"Error at finding value"))</f>
        <v>70.17</v>
      </c>
      <c r="X2293" s="32" t="str">
        <f t="shared" si="788"/>
        <v>0.00</v>
      </c>
      <c r="Y2293" s="15">
        <f t="shared" si="789"/>
        <v>267.3</v>
      </c>
      <c r="Z2293" s="15">
        <f t="shared" si="790"/>
        <v>421.02</v>
      </c>
      <c r="AA2293" s="15">
        <f>IF(FreightType="Lethbridge-Stewart Freight ",ROUND(2.99+IF(N2293&gt;0.75,(N2293-0.75)*2.25,0)*S2293,2),IF(MarkupType="Supplier Markup",V2293+V2293*SupplierMarkup,"Error at finding value"))</f>
        <v>11.43</v>
      </c>
      <c r="AB2293" s="15">
        <f t="shared" si="791"/>
        <v>0</v>
      </c>
    </row>
    <row r="2294" spans="1:28" x14ac:dyDescent="0.25">
      <c r="A2294" s="16">
        <f>OrdersTable!A2294</f>
        <v>323</v>
      </c>
      <c r="B2294" s="15" t="str">
        <f t="shared" si="771"/>
        <v>Dr</v>
      </c>
      <c r="C2294" s="15" t="str">
        <f t="shared" si="792"/>
        <v>King</v>
      </c>
      <c r="D2294" s="15" t="str">
        <f t="shared" si="772"/>
        <v>Leith</v>
      </c>
      <c r="E2294" s="15" t="str">
        <f t="shared" si="773"/>
        <v>25 Carbone Court</v>
      </c>
      <c r="F2294" s="15" t="str">
        <f t="shared" si="774"/>
        <v>Nayook</v>
      </c>
      <c r="G2294" s="15" t="str">
        <f t="shared" si="775"/>
        <v>VIC</v>
      </c>
      <c r="H2294" s="15">
        <f t="shared" si="776"/>
        <v>3832</v>
      </c>
      <c r="I2294" s="15">
        <f t="shared" si="787"/>
        <v>1552</v>
      </c>
      <c r="J2294" s="15">
        <f>OrdersTable!B2294</f>
        <v>694</v>
      </c>
      <c r="K2294" s="15" t="str">
        <f t="shared" si="777"/>
        <v>Posters, Prints and Standees</v>
      </c>
      <c r="L2294" s="15" t="str">
        <f t="shared" si="778"/>
        <v>Doctor Who: 16'x12' Framed Print: Hide</v>
      </c>
      <c r="M2294" s="15" t="str">
        <f t="shared" si="779"/>
        <v>-</v>
      </c>
      <c r="N2294" s="15">
        <f t="shared" si="780"/>
        <v>0.75</v>
      </c>
      <c r="O2294" s="15" t="str">
        <f t="shared" si="781"/>
        <v>A40</v>
      </c>
      <c r="P2294" s="15" t="str">
        <f t="shared" si="782"/>
        <v>Romana Imports</v>
      </c>
      <c r="Q2294" s="15" t="str">
        <f t="shared" si="783"/>
        <v>17 Lalla Ward Road</v>
      </c>
      <c r="R2294" s="3">
        <f>OrdersTable!C2294</f>
        <v>44727</v>
      </c>
      <c r="S2294" s="15">
        <f>OrdersTable!E2294</f>
        <v>5</v>
      </c>
      <c r="T2294" s="15">
        <f t="shared" si="784"/>
        <v>14.99</v>
      </c>
      <c r="U2294" s="15">
        <f t="shared" si="785"/>
        <v>20.49</v>
      </c>
      <c r="V2294" s="15">
        <f t="shared" si="786"/>
        <v>24.28</v>
      </c>
      <c r="W2294" s="15">
        <f>IF(MarkupType="Store Markup",ROUND(V2294+V2294*StoreMarkup,2),IF(MarkupType="Supplier Markup",V2294+V2294*SupplierMarkup,"Error at finding value"))</f>
        <v>38.24</v>
      </c>
      <c r="X2294" s="32" t="str">
        <f t="shared" si="788"/>
        <v>0.00</v>
      </c>
      <c r="Y2294" s="15">
        <f t="shared" si="789"/>
        <v>121.4</v>
      </c>
      <c r="Z2294" s="15">
        <f t="shared" si="790"/>
        <v>191.2</v>
      </c>
      <c r="AA2294" s="15">
        <f>IF(FreightType="Lethbridge-Stewart Freight ",ROUND(2.99+IF(N2294&gt;0.75,(N2294-0.75)*2.25,0)*S2294,2),IF(MarkupType="Supplier Markup",V2294+V2294*SupplierMarkup,"Error at finding value"))</f>
        <v>2.99</v>
      </c>
      <c r="AB2294" s="15">
        <f t="shared" si="791"/>
        <v>0</v>
      </c>
    </row>
    <row r="2295" spans="1:28" x14ac:dyDescent="0.25">
      <c r="A2295" s="16">
        <f>OrdersTable!A2295</f>
        <v>329</v>
      </c>
      <c r="B2295" s="15" t="str">
        <f t="shared" si="771"/>
        <v>Ms</v>
      </c>
      <c r="C2295" s="15" t="str">
        <f t="shared" si="792"/>
        <v>Hubbard</v>
      </c>
      <c r="D2295" s="15" t="str">
        <f t="shared" si="772"/>
        <v>Sonya Marie</v>
      </c>
      <c r="E2295" s="15" t="str">
        <f t="shared" si="773"/>
        <v>42 Keable Crescent</v>
      </c>
      <c r="F2295" s="15" t="str">
        <f t="shared" si="774"/>
        <v>Boston</v>
      </c>
      <c r="G2295" s="15" t="str">
        <f t="shared" si="775"/>
        <v>SA</v>
      </c>
      <c r="H2295" s="15">
        <f t="shared" si="776"/>
        <v>5607</v>
      </c>
      <c r="I2295" s="15">
        <f t="shared" si="787"/>
        <v>2076</v>
      </c>
      <c r="J2295" s="15">
        <f>OrdersTable!B2295</f>
        <v>817</v>
      </c>
      <c r="K2295" s="15" t="str">
        <f t="shared" si="777"/>
        <v>Statues and Busts</v>
      </c>
      <c r="L2295" s="15" t="str">
        <f t="shared" si="778"/>
        <v>Doctor Who: Masterpiece Collection Maxi Bust: Torchwood Captain Jack Harkness</v>
      </c>
      <c r="M2295" s="15" t="str">
        <f t="shared" si="779"/>
        <v>-</v>
      </c>
      <c r="N2295" s="15">
        <f t="shared" si="780"/>
        <v>2.5</v>
      </c>
      <c r="O2295" s="15" t="str">
        <f t="shared" si="781"/>
        <v>A10</v>
      </c>
      <c r="P2295" s="15" t="str">
        <f t="shared" si="782"/>
        <v>Gallifrey International</v>
      </c>
      <c r="Q2295" s="15" t="str">
        <f t="shared" si="783"/>
        <v>181 Arcadia Street</v>
      </c>
      <c r="R2295" s="3">
        <f>OrdersTable!C2295</f>
        <v>44727</v>
      </c>
      <c r="S2295" s="15">
        <f>OrdersTable!E2295</f>
        <v>9</v>
      </c>
      <c r="T2295" s="15">
        <f t="shared" si="784"/>
        <v>49.99</v>
      </c>
      <c r="U2295" s="15">
        <f t="shared" si="785"/>
        <v>68.44</v>
      </c>
      <c r="V2295" s="15">
        <f t="shared" si="786"/>
        <v>80.98</v>
      </c>
      <c r="W2295" s="15">
        <f>IF(MarkupType="Store Markup",ROUND(V2295+V2295*StoreMarkup,2),IF(MarkupType="Supplier Markup",V2295+V2295*SupplierMarkup,"Error at finding value"))</f>
        <v>127.54</v>
      </c>
      <c r="X2295" s="32">
        <f t="shared" si="788"/>
        <v>9.09</v>
      </c>
      <c r="Y2295" s="15">
        <f t="shared" si="789"/>
        <v>728.82</v>
      </c>
      <c r="Z2295" s="15">
        <f t="shared" si="790"/>
        <v>1066.05</v>
      </c>
      <c r="AA2295" s="15">
        <f>IF(FreightType="Lethbridge-Stewart Freight ",ROUND(2.99+IF(N2295&gt;0.75,(N2295-0.75)*2.25,0)*S2295,2),IF(MarkupType="Supplier Markup",V2295+V2295*SupplierMarkup,"Error at finding value"))</f>
        <v>38.43</v>
      </c>
      <c r="AB2295" s="15">
        <f t="shared" si="791"/>
        <v>81.81</v>
      </c>
    </row>
    <row r="2296" spans="1:28" x14ac:dyDescent="0.25">
      <c r="A2296" s="16">
        <f>OrdersTable!A2296</f>
        <v>334</v>
      </c>
      <c r="B2296" s="15" t="str">
        <f t="shared" si="771"/>
        <v>Mrs</v>
      </c>
      <c r="C2296" s="15" t="str">
        <f t="shared" si="792"/>
        <v>Wilson</v>
      </c>
      <c r="D2296" s="15" t="str">
        <f t="shared" si="772"/>
        <v>Hayley Lauren</v>
      </c>
      <c r="E2296" s="15" t="str">
        <f t="shared" si="773"/>
        <v>3 Ashley Crescent</v>
      </c>
      <c r="F2296" s="15" t="str">
        <f t="shared" si="774"/>
        <v>Black Hills</v>
      </c>
      <c r="G2296" s="15" t="str">
        <f t="shared" si="775"/>
        <v>TAS</v>
      </c>
      <c r="H2296" s="15">
        <f t="shared" si="776"/>
        <v>7140</v>
      </c>
      <c r="I2296" s="15">
        <f t="shared" si="787"/>
        <v>2191</v>
      </c>
      <c r="J2296" s="15">
        <f>OrdersTable!B2296</f>
        <v>813</v>
      </c>
      <c r="K2296" s="15" t="str">
        <f t="shared" si="777"/>
        <v>Statues and Busts</v>
      </c>
      <c r="L2296" s="15" t="str">
        <f t="shared" si="778"/>
        <v>Doctor Who: Masterpiece Collection Maxi Bust: Leela</v>
      </c>
      <c r="M2296" s="15" t="str">
        <f t="shared" si="779"/>
        <v>-</v>
      </c>
      <c r="N2296" s="15">
        <f t="shared" si="780"/>
        <v>2.5</v>
      </c>
      <c r="O2296" s="15" t="str">
        <f t="shared" si="781"/>
        <v>A30</v>
      </c>
      <c r="P2296" s="15" t="str">
        <f t="shared" si="782"/>
        <v>Chesterton Enterprises</v>
      </c>
      <c r="Q2296" s="15" t="str">
        <f t="shared" si="783"/>
        <v>41 William Russell Road</v>
      </c>
      <c r="R2296" s="3">
        <f>OrdersTable!C2296</f>
        <v>44727</v>
      </c>
      <c r="S2296" s="15">
        <f>OrdersTable!E2296</f>
        <v>7</v>
      </c>
      <c r="T2296" s="15">
        <f t="shared" si="784"/>
        <v>49.99</v>
      </c>
      <c r="U2296" s="15">
        <f t="shared" si="785"/>
        <v>68.319999999999993</v>
      </c>
      <c r="V2296" s="15">
        <f t="shared" si="786"/>
        <v>80.98</v>
      </c>
      <c r="W2296" s="15">
        <f>IF(MarkupType="Store Markup",ROUND(V2296+V2296*StoreMarkup,2),IF(MarkupType="Supplier Markup",V2296+V2296*SupplierMarkup,"Error at finding value"))</f>
        <v>127.54</v>
      </c>
      <c r="X2296" s="32">
        <f t="shared" si="788"/>
        <v>9.09</v>
      </c>
      <c r="Y2296" s="15">
        <f t="shared" si="789"/>
        <v>566.86</v>
      </c>
      <c r="Z2296" s="15">
        <f t="shared" si="790"/>
        <v>829.15</v>
      </c>
      <c r="AA2296" s="15">
        <f>IF(FreightType="Lethbridge-Stewart Freight ",ROUND(2.99+IF(N2296&gt;0.75,(N2296-0.75)*2.25,0)*S2296,2),IF(MarkupType="Supplier Markup",V2296+V2296*SupplierMarkup,"Error at finding value"))</f>
        <v>30.55</v>
      </c>
      <c r="AB2296" s="15">
        <f t="shared" si="791"/>
        <v>63.63</v>
      </c>
    </row>
    <row r="2297" spans="1:28" x14ac:dyDescent="0.25">
      <c r="A2297" s="16">
        <f>OrdersTable!A2297</f>
        <v>491</v>
      </c>
      <c r="B2297" s="15" t="str">
        <f t="shared" si="771"/>
        <v>Miss</v>
      </c>
      <c r="C2297" s="15" t="str">
        <f t="shared" si="792"/>
        <v>Winks</v>
      </c>
      <c r="D2297" s="15" t="str">
        <f t="shared" si="772"/>
        <v>Lori-Ann</v>
      </c>
      <c r="E2297" s="15" t="str">
        <f t="shared" si="773"/>
        <v>40 Lyne Street</v>
      </c>
      <c r="F2297" s="15" t="str">
        <f t="shared" si="774"/>
        <v>Bray Park</v>
      </c>
      <c r="G2297" s="15" t="str">
        <f t="shared" si="775"/>
        <v>QLD</v>
      </c>
      <c r="H2297" s="15">
        <f t="shared" si="776"/>
        <v>4500</v>
      </c>
      <c r="I2297" s="15">
        <f t="shared" si="787"/>
        <v>139</v>
      </c>
      <c r="J2297" s="15">
        <f>OrdersTable!B2297</f>
        <v>805</v>
      </c>
      <c r="K2297" s="15" t="str">
        <f t="shared" si="777"/>
        <v>Statues and Busts</v>
      </c>
      <c r="L2297" s="15" t="str">
        <f t="shared" si="778"/>
        <v>Doctor Who: Masterpiece Collection Maxi Bust: 5th Doctor</v>
      </c>
      <c r="M2297" s="15" t="str">
        <f t="shared" si="779"/>
        <v>-</v>
      </c>
      <c r="N2297" s="15">
        <f t="shared" si="780"/>
        <v>2.5</v>
      </c>
      <c r="O2297" s="15" t="str">
        <f t="shared" si="781"/>
        <v>A20</v>
      </c>
      <c r="P2297" s="15" t="str">
        <f t="shared" si="782"/>
        <v>Morbius Inc.</v>
      </c>
      <c r="Q2297" s="15" t="str">
        <f t="shared" si="783"/>
        <v>56 Michael Spice Hwy</v>
      </c>
      <c r="R2297" s="3">
        <f>OrdersTable!C2297</f>
        <v>44727</v>
      </c>
      <c r="S2297" s="15">
        <f>OrdersTable!E2297</f>
        <v>9</v>
      </c>
      <c r="T2297" s="15">
        <f t="shared" si="784"/>
        <v>49.99</v>
      </c>
      <c r="U2297" s="15">
        <f t="shared" si="785"/>
        <v>68.42</v>
      </c>
      <c r="V2297" s="15">
        <f t="shared" si="786"/>
        <v>80.98</v>
      </c>
      <c r="W2297" s="15">
        <f>IF(MarkupType="Store Markup",ROUND(V2297+V2297*StoreMarkup,2),IF(MarkupType="Supplier Markup",V2297+V2297*SupplierMarkup,"Error at finding value"))</f>
        <v>127.54</v>
      </c>
      <c r="X2297" s="32">
        <f t="shared" si="788"/>
        <v>9.09</v>
      </c>
      <c r="Y2297" s="15">
        <f t="shared" si="789"/>
        <v>728.82</v>
      </c>
      <c r="Z2297" s="15">
        <f t="shared" si="790"/>
        <v>1066.05</v>
      </c>
      <c r="AA2297" s="15">
        <f>IF(FreightType="Lethbridge-Stewart Freight ",ROUND(2.99+IF(N2297&gt;0.75,(N2297-0.75)*2.25,0)*S2297,2),IF(MarkupType="Supplier Markup",V2297+V2297*SupplierMarkup,"Error at finding value"))</f>
        <v>38.43</v>
      </c>
      <c r="AB2297" s="15">
        <f t="shared" si="791"/>
        <v>81.81</v>
      </c>
    </row>
    <row r="2298" spans="1:28" x14ac:dyDescent="0.25">
      <c r="A2298" s="16">
        <f>OrdersTable!A2298</f>
        <v>543</v>
      </c>
      <c r="B2298" s="15" t="str">
        <f t="shared" si="771"/>
        <v>Ms</v>
      </c>
      <c r="C2298" s="15" t="str">
        <f t="shared" si="792"/>
        <v>Mendezona</v>
      </c>
      <c r="D2298" s="15" t="str">
        <f t="shared" si="772"/>
        <v>Tara Colleen-Mary</v>
      </c>
      <c r="E2298" s="15" t="str">
        <f t="shared" si="773"/>
        <v>27 Picone Drive</v>
      </c>
      <c r="F2298" s="15" t="str">
        <f t="shared" si="774"/>
        <v>Aberfoyle</v>
      </c>
      <c r="G2298" s="15" t="str">
        <f t="shared" si="775"/>
        <v>NSW</v>
      </c>
      <c r="H2298" s="15">
        <f t="shared" si="776"/>
        <v>2350</v>
      </c>
      <c r="I2298" s="15">
        <f t="shared" si="787"/>
        <v>363</v>
      </c>
      <c r="J2298" s="15">
        <f>OrdersTable!B2298</f>
        <v>701</v>
      </c>
      <c r="K2298" s="15" t="str">
        <f t="shared" si="777"/>
        <v>Posters, Prints and Standees</v>
      </c>
      <c r="L2298" s="15" t="str">
        <f t="shared" si="778"/>
        <v>Doctor Who: Half Sized Standee: The TARDIS</v>
      </c>
      <c r="M2298" s="15" t="str">
        <f t="shared" si="779"/>
        <v>-</v>
      </c>
      <c r="N2298" s="15">
        <f t="shared" si="780"/>
        <v>0.5</v>
      </c>
      <c r="O2298" s="15" t="str">
        <f t="shared" si="781"/>
        <v>A40</v>
      </c>
      <c r="P2298" s="15" t="str">
        <f t="shared" si="782"/>
        <v>Romana Imports</v>
      </c>
      <c r="Q2298" s="15" t="str">
        <f t="shared" si="783"/>
        <v>17 Lalla Ward Road</v>
      </c>
      <c r="R2298" s="3">
        <f>OrdersTable!C2298</f>
        <v>44727</v>
      </c>
      <c r="S2298" s="15">
        <f>OrdersTable!E2298</f>
        <v>7</v>
      </c>
      <c r="T2298" s="15">
        <f t="shared" si="784"/>
        <v>9.99</v>
      </c>
      <c r="U2298" s="15">
        <f t="shared" si="785"/>
        <v>13.83</v>
      </c>
      <c r="V2298" s="15">
        <f t="shared" si="786"/>
        <v>16.18</v>
      </c>
      <c r="W2298" s="15">
        <f>IF(MarkupType="Store Markup",ROUND(V2298+V2298*StoreMarkup,2),IF(MarkupType="Supplier Markup",V2298+V2298*SupplierMarkup,"Error at finding value"))</f>
        <v>25.48</v>
      </c>
      <c r="X2298" s="32" t="str">
        <f t="shared" si="788"/>
        <v>0.00</v>
      </c>
      <c r="Y2298" s="15">
        <f t="shared" si="789"/>
        <v>113.26</v>
      </c>
      <c r="Z2298" s="15">
        <f t="shared" si="790"/>
        <v>178.36</v>
      </c>
      <c r="AA2298" s="15">
        <f>IF(FreightType="Lethbridge-Stewart Freight ",ROUND(2.99+IF(N2298&gt;0.75,(N2298-0.75)*2.25,0)*S2298,2),IF(MarkupType="Supplier Markup",V2298+V2298*SupplierMarkup,"Error at finding value"))</f>
        <v>2.99</v>
      </c>
      <c r="AB2298" s="15">
        <f t="shared" si="791"/>
        <v>0</v>
      </c>
    </row>
    <row r="2299" spans="1:28" x14ac:dyDescent="0.25">
      <c r="A2299" s="16">
        <f>OrdersTable!A2299</f>
        <v>546</v>
      </c>
      <c r="B2299" s="15" t="str">
        <f t="shared" si="771"/>
        <v>Ms</v>
      </c>
      <c r="C2299" s="15" t="str">
        <f t="shared" si="792"/>
        <v>Shortt</v>
      </c>
      <c r="D2299" s="15" t="str">
        <f t="shared" si="772"/>
        <v>Rickylee Sidonia</v>
      </c>
      <c r="E2299" s="15" t="str">
        <f t="shared" si="773"/>
        <v>4 Hughes Road</v>
      </c>
      <c r="F2299" s="15" t="str">
        <f t="shared" si="774"/>
        <v>Glenfern</v>
      </c>
      <c r="G2299" s="15" t="str">
        <f t="shared" si="775"/>
        <v>QLD</v>
      </c>
      <c r="H2299" s="15">
        <f t="shared" si="776"/>
        <v>4515</v>
      </c>
      <c r="I2299" s="15">
        <f t="shared" si="787"/>
        <v>128</v>
      </c>
      <c r="J2299" s="15">
        <f>OrdersTable!B2299</f>
        <v>787</v>
      </c>
      <c r="K2299" s="15" t="str">
        <f t="shared" si="777"/>
        <v>Statues and Busts</v>
      </c>
      <c r="L2299" s="15" t="str">
        <f t="shared" si="778"/>
        <v>Doctor Who: Masterpiece Collection Maxi Bust: 1st Doctor</v>
      </c>
      <c r="M2299" s="15" t="str">
        <f t="shared" si="779"/>
        <v>-</v>
      </c>
      <c r="N2299" s="15">
        <f t="shared" si="780"/>
        <v>2.5</v>
      </c>
      <c r="O2299" s="15" t="str">
        <f t="shared" si="781"/>
        <v>A10</v>
      </c>
      <c r="P2299" s="15" t="str">
        <f t="shared" si="782"/>
        <v>Gallifrey International</v>
      </c>
      <c r="Q2299" s="15" t="str">
        <f t="shared" si="783"/>
        <v>181 Arcadia Street</v>
      </c>
      <c r="R2299" s="3">
        <f>OrdersTable!C2299</f>
        <v>44727</v>
      </c>
      <c r="S2299" s="15">
        <f>OrdersTable!E2299</f>
        <v>2</v>
      </c>
      <c r="T2299" s="15">
        <f t="shared" si="784"/>
        <v>49.99</v>
      </c>
      <c r="U2299" s="15">
        <f t="shared" si="785"/>
        <v>68.290000000000006</v>
      </c>
      <c r="V2299" s="15">
        <f t="shared" si="786"/>
        <v>80.98</v>
      </c>
      <c r="W2299" s="15">
        <f>IF(MarkupType="Store Markup",ROUND(V2299+V2299*StoreMarkup,2),IF(MarkupType="Supplier Markup",V2299+V2299*SupplierMarkup,"Error at finding value"))</f>
        <v>127.54</v>
      </c>
      <c r="X2299" s="32" t="str">
        <f t="shared" si="788"/>
        <v>0.00</v>
      </c>
      <c r="Y2299" s="15">
        <f t="shared" si="789"/>
        <v>161.96</v>
      </c>
      <c r="Z2299" s="15">
        <f t="shared" si="790"/>
        <v>255.08</v>
      </c>
      <c r="AA2299" s="15">
        <f>IF(FreightType="Lethbridge-Stewart Freight ",ROUND(2.99+IF(N2299&gt;0.75,(N2299-0.75)*2.25,0)*S2299,2),IF(MarkupType="Supplier Markup",V2299+V2299*SupplierMarkup,"Error at finding value"))</f>
        <v>10.87</v>
      </c>
      <c r="AB2299" s="15">
        <f t="shared" si="791"/>
        <v>0</v>
      </c>
    </row>
    <row r="2300" spans="1:28" x14ac:dyDescent="0.25">
      <c r="A2300" s="16">
        <f>OrdersTable!A2300</f>
        <v>557</v>
      </c>
      <c r="B2300" s="15" t="str">
        <f t="shared" si="771"/>
        <v>Mrs</v>
      </c>
      <c r="C2300" s="15" t="str">
        <f t="shared" si="792"/>
        <v>Allen</v>
      </c>
      <c r="D2300" s="15" t="str">
        <f t="shared" si="772"/>
        <v>Morgan</v>
      </c>
      <c r="E2300" s="15" t="str">
        <f t="shared" si="773"/>
        <v>15 Winsor Street</v>
      </c>
      <c r="F2300" s="15" t="str">
        <f t="shared" si="774"/>
        <v>Appletree Flat</v>
      </c>
      <c r="G2300" s="15" t="str">
        <f t="shared" si="775"/>
        <v>NSW</v>
      </c>
      <c r="H2300" s="15">
        <f t="shared" si="776"/>
        <v>2330</v>
      </c>
      <c r="I2300" s="15">
        <f t="shared" si="787"/>
        <v>691</v>
      </c>
      <c r="J2300" s="15">
        <f>OrdersTable!B2300</f>
        <v>701</v>
      </c>
      <c r="K2300" s="15" t="str">
        <f t="shared" si="777"/>
        <v>Posters, Prints and Standees</v>
      </c>
      <c r="L2300" s="15" t="str">
        <f t="shared" si="778"/>
        <v>Doctor Who: Half Sized Standee: The TARDIS</v>
      </c>
      <c r="M2300" s="15" t="str">
        <f t="shared" si="779"/>
        <v>-</v>
      </c>
      <c r="N2300" s="15">
        <f t="shared" si="780"/>
        <v>0.5</v>
      </c>
      <c r="O2300" s="15" t="str">
        <f t="shared" si="781"/>
        <v>A40</v>
      </c>
      <c r="P2300" s="15" t="str">
        <f t="shared" si="782"/>
        <v>Romana Imports</v>
      </c>
      <c r="Q2300" s="15" t="str">
        <f t="shared" si="783"/>
        <v>17 Lalla Ward Road</v>
      </c>
      <c r="R2300" s="3">
        <f>OrdersTable!C2300</f>
        <v>44727</v>
      </c>
      <c r="S2300" s="15">
        <f>OrdersTable!E2300</f>
        <v>2</v>
      </c>
      <c r="T2300" s="15">
        <f t="shared" si="784"/>
        <v>9.99</v>
      </c>
      <c r="U2300" s="15">
        <f t="shared" si="785"/>
        <v>13.83</v>
      </c>
      <c r="V2300" s="15">
        <f t="shared" si="786"/>
        <v>16.18</v>
      </c>
      <c r="W2300" s="15">
        <f>IF(MarkupType="Store Markup",ROUND(V2300+V2300*StoreMarkup,2),IF(MarkupType="Supplier Markup",V2300+V2300*SupplierMarkup,"Error at finding value"))</f>
        <v>25.48</v>
      </c>
      <c r="X2300" s="32" t="str">
        <f t="shared" si="788"/>
        <v>0.00</v>
      </c>
      <c r="Y2300" s="15">
        <f t="shared" si="789"/>
        <v>32.36</v>
      </c>
      <c r="Z2300" s="15">
        <f t="shared" si="790"/>
        <v>50.96</v>
      </c>
      <c r="AA2300" s="15">
        <f>IF(FreightType="Lethbridge-Stewart Freight ",ROUND(2.99+IF(N2300&gt;0.75,(N2300-0.75)*2.25,0)*S2300,2),IF(MarkupType="Supplier Markup",V2300+V2300*SupplierMarkup,"Error at finding value"))</f>
        <v>2.99</v>
      </c>
      <c r="AB2300" s="15">
        <f t="shared" si="791"/>
        <v>0</v>
      </c>
    </row>
    <row r="2301" spans="1:28" x14ac:dyDescent="0.25">
      <c r="A2301" s="16">
        <f>OrdersTable!A2301</f>
        <v>561</v>
      </c>
      <c r="B2301" s="15" t="str">
        <f t="shared" si="771"/>
        <v>Ms</v>
      </c>
      <c r="C2301" s="15" t="str">
        <f t="shared" si="792"/>
        <v>Mulcahy</v>
      </c>
      <c r="D2301" s="15" t="str">
        <f t="shared" si="772"/>
        <v>Jodie Leigh</v>
      </c>
      <c r="E2301" s="15" t="str">
        <f t="shared" si="773"/>
        <v>32 Scott Crescent</v>
      </c>
      <c r="F2301" s="15" t="str">
        <f t="shared" si="774"/>
        <v>Bray Park</v>
      </c>
      <c r="G2301" s="15" t="str">
        <f t="shared" si="775"/>
        <v>QLD</v>
      </c>
      <c r="H2301" s="15">
        <f t="shared" si="776"/>
        <v>4500</v>
      </c>
      <c r="I2301" s="15">
        <f t="shared" si="787"/>
        <v>139</v>
      </c>
      <c r="J2301" s="15">
        <f>OrdersTable!B2301</f>
        <v>316</v>
      </c>
      <c r="K2301" s="15" t="str">
        <f t="shared" si="777"/>
        <v>Clothing and Apparel</v>
      </c>
      <c r="L2301" s="15" t="str">
        <f t="shared" si="778"/>
        <v xml:space="preserve">Doctor Who: T-Shirts: 4th Doctor Costume </v>
      </c>
      <c r="M2301" s="15" t="str">
        <f t="shared" si="779"/>
        <v>S</v>
      </c>
      <c r="N2301" s="15">
        <f t="shared" si="780"/>
        <v>0.8</v>
      </c>
      <c r="O2301" s="15" t="str">
        <f t="shared" si="781"/>
        <v>A30</v>
      </c>
      <c r="P2301" s="15" t="str">
        <f t="shared" si="782"/>
        <v>Chesterton Enterprises</v>
      </c>
      <c r="Q2301" s="15" t="str">
        <f t="shared" si="783"/>
        <v>41 William Russell Road</v>
      </c>
      <c r="R2301" s="3">
        <f>OrdersTable!C2301</f>
        <v>44727</v>
      </c>
      <c r="S2301" s="15">
        <f>OrdersTable!E2301</f>
        <v>5</v>
      </c>
      <c r="T2301" s="15">
        <f t="shared" si="784"/>
        <v>15.99</v>
      </c>
      <c r="U2301" s="15">
        <f t="shared" si="785"/>
        <v>21.94</v>
      </c>
      <c r="V2301" s="15">
        <f t="shared" si="786"/>
        <v>25.9</v>
      </c>
      <c r="W2301" s="15">
        <f>IF(MarkupType="Store Markup",ROUND(V2301+V2301*StoreMarkup,2),IF(MarkupType="Supplier Markup",V2301+V2301*SupplierMarkup,"Error at finding value"))</f>
        <v>40.79</v>
      </c>
      <c r="X2301" s="32" t="str">
        <f t="shared" si="788"/>
        <v>0.00</v>
      </c>
      <c r="Y2301" s="15">
        <f t="shared" si="789"/>
        <v>129.5</v>
      </c>
      <c r="Z2301" s="15">
        <f t="shared" si="790"/>
        <v>203.95</v>
      </c>
      <c r="AA2301" s="15">
        <f>IF(FreightType="Lethbridge-Stewart Freight ",ROUND(2.99+IF(N2301&gt;0.75,(N2301-0.75)*2.25,0)*S2301,2),IF(MarkupType="Supplier Markup",V2301+V2301*SupplierMarkup,"Error at finding value"))</f>
        <v>3.55</v>
      </c>
      <c r="AB2301" s="15">
        <f t="shared" si="791"/>
        <v>0</v>
      </c>
    </row>
    <row r="2302" spans="1:28" x14ac:dyDescent="0.25">
      <c r="A2302" s="16">
        <f>OrdersTable!A2302</f>
        <v>567</v>
      </c>
      <c r="B2302" s="15" t="str">
        <f t="shared" si="771"/>
        <v>Ms</v>
      </c>
      <c r="C2302" s="15" t="str">
        <f t="shared" si="792"/>
        <v>Perkins</v>
      </c>
      <c r="D2302" s="15" t="str">
        <f t="shared" si="772"/>
        <v>Sarah</v>
      </c>
      <c r="E2302" s="15" t="str">
        <f t="shared" si="773"/>
        <v>7 Tengdahl Road</v>
      </c>
      <c r="F2302" s="15" t="str">
        <f t="shared" si="774"/>
        <v>Areegra</v>
      </c>
      <c r="G2302" s="15" t="str">
        <f t="shared" si="775"/>
        <v>VIC</v>
      </c>
      <c r="H2302" s="15">
        <f t="shared" si="776"/>
        <v>3480</v>
      </c>
      <c r="I2302" s="15">
        <f t="shared" si="787"/>
        <v>1559</v>
      </c>
      <c r="J2302" s="15">
        <f>OrdersTable!B2302</f>
        <v>719</v>
      </c>
      <c r="K2302" s="15" t="str">
        <f t="shared" si="777"/>
        <v>Posters, Prints and Standees</v>
      </c>
      <c r="L2302" s="15" t="str">
        <f t="shared" si="778"/>
        <v>Doctor Who: Standee: Supreme Dalek</v>
      </c>
      <c r="M2302" s="15" t="str">
        <f t="shared" si="779"/>
        <v>-</v>
      </c>
      <c r="N2302" s="15">
        <f t="shared" si="780"/>
        <v>1.125</v>
      </c>
      <c r="O2302" s="15" t="str">
        <f t="shared" si="781"/>
        <v>A50</v>
      </c>
      <c r="P2302" s="15" t="str">
        <f t="shared" si="782"/>
        <v>Rassilon Ltd.</v>
      </c>
      <c r="Q2302" s="15" t="str">
        <f t="shared" si="783"/>
        <v>82 Richard Mathews Road</v>
      </c>
      <c r="R2302" s="3">
        <f>OrdersTable!C2302</f>
        <v>44727</v>
      </c>
      <c r="S2302" s="15">
        <f>OrdersTable!E2302</f>
        <v>7</v>
      </c>
      <c r="T2302" s="15">
        <f t="shared" si="784"/>
        <v>22.49</v>
      </c>
      <c r="U2302" s="15">
        <f t="shared" si="785"/>
        <v>30.76</v>
      </c>
      <c r="V2302" s="15">
        <f t="shared" si="786"/>
        <v>36.43</v>
      </c>
      <c r="W2302" s="15">
        <f>IF(MarkupType="Store Markup",ROUND(V2302+V2302*StoreMarkup,2),IF(MarkupType="Supplier Markup",V2302+V2302*SupplierMarkup,"Error at finding value"))</f>
        <v>57.38</v>
      </c>
      <c r="X2302" s="32" t="str">
        <f t="shared" si="788"/>
        <v>0.00</v>
      </c>
      <c r="Y2302" s="15">
        <f t="shared" si="789"/>
        <v>255.01</v>
      </c>
      <c r="Z2302" s="15">
        <f t="shared" si="790"/>
        <v>401.66</v>
      </c>
      <c r="AA2302" s="15">
        <f>IF(FreightType="Lethbridge-Stewart Freight ",ROUND(2.99+IF(N2302&gt;0.75,(N2302-0.75)*2.25,0)*S2302,2),IF(MarkupType="Supplier Markup",V2302+V2302*SupplierMarkup,"Error at finding value"))</f>
        <v>8.9</v>
      </c>
      <c r="AB2302" s="15">
        <f t="shared" si="791"/>
        <v>0</v>
      </c>
    </row>
    <row r="2303" spans="1:28" x14ac:dyDescent="0.25">
      <c r="A2303" s="16">
        <f>OrdersTable!A2303</f>
        <v>750</v>
      </c>
      <c r="B2303" s="15" t="str">
        <f t="shared" si="771"/>
        <v>Ms</v>
      </c>
      <c r="C2303" s="15" t="str">
        <f t="shared" si="792"/>
        <v>Talbot</v>
      </c>
      <c r="D2303" s="15" t="str">
        <f t="shared" si="772"/>
        <v>Carlie Wenderly</v>
      </c>
      <c r="E2303" s="15" t="str">
        <f t="shared" si="773"/>
        <v>31 Somerville Way</v>
      </c>
      <c r="F2303" s="15" t="str">
        <f t="shared" si="774"/>
        <v>Boston</v>
      </c>
      <c r="G2303" s="15" t="str">
        <f t="shared" si="775"/>
        <v>SA</v>
      </c>
      <c r="H2303" s="15">
        <f t="shared" si="776"/>
        <v>5607</v>
      </c>
      <c r="I2303" s="15">
        <f t="shared" si="787"/>
        <v>2076</v>
      </c>
      <c r="J2303" s="15">
        <f>OrdersTable!B2303</f>
        <v>145</v>
      </c>
      <c r="K2303" s="15" t="str">
        <f t="shared" si="777"/>
        <v>Bobbleheads</v>
      </c>
      <c r="L2303" s="15" t="str">
        <f t="shared" si="778"/>
        <v>Doctor Who: Bobblehead: Eleventh Doctor</v>
      </c>
      <c r="M2303" s="15" t="str">
        <f t="shared" si="779"/>
        <v>-</v>
      </c>
      <c r="N2303" s="15">
        <f t="shared" si="780"/>
        <v>1</v>
      </c>
      <c r="O2303" s="15" t="str">
        <f t="shared" si="781"/>
        <v>A30</v>
      </c>
      <c r="P2303" s="15" t="str">
        <f t="shared" si="782"/>
        <v>Chesterton Enterprises</v>
      </c>
      <c r="Q2303" s="15" t="str">
        <f t="shared" si="783"/>
        <v>41 William Russell Road</v>
      </c>
      <c r="R2303" s="3">
        <f>OrdersTable!C2303</f>
        <v>44727</v>
      </c>
      <c r="S2303" s="15">
        <f>OrdersTable!E2303</f>
        <v>3</v>
      </c>
      <c r="T2303" s="15">
        <f t="shared" si="784"/>
        <v>19.989999999999998</v>
      </c>
      <c r="U2303" s="15">
        <f t="shared" si="785"/>
        <v>27.54</v>
      </c>
      <c r="V2303" s="15">
        <f t="shared" si="786"/>
        <v>32.380000000000003</v>
      </c>
      <c r="W2303" s="15">
        <f>IF(MarkupType="Store Markup",ROUND(V2303+V2303*StoreMarkup,2),IF(MarkupType="Supplier Markup",V2303+V2303*SupplierMarkup,"Error at finding value"))</f>
        <v>51</v>
      </c>
      <c r="X2303" s="32" t="str">
        <f t="shared" si="788"/>
        <v>0.00</v>
      </c>
      <c r="Y2303" s="15">
        <f t="shared" si="789"/>
        <v>97.14</v>
      </c>
      <c r="Z2303" s="15">
        <f t="shared" si="790"/>
        <v>153</v>
      </c>
      <c r="AA2303" s="15">
        <f>IF(FreightType="Lethbridge-Stewart Freight ",ROUND(2.99+IF(N2303&gt;0.75,(N2303-0.75)*2.25,0)*S2303,2),IF(MarkupType="Supplier Markup",V2303+V2303*SupplierMarkup,"Error at finding value"))</f>
        <v>4.68</v>
      </c>
      <c r="AB2303" s="15">
        <f t="shared" si="791"/>
        <v>0</v>
      </c>
    </row>
    <row r="2304" spans="1:28" x14ac:dyDescent="0.25">
      <c r="A2304" s="16">
        <f>OrdersTable!A2304</f>
        <v>158</v>
      </c>
      <c r="B2304" s="15" t="str">
        <f t="shared" si="771"/>
        <v>Mr</v>
      </c>
      <c r="C2304" s="15" t="str">
        <f t="shared" si="792"/>
        <v>Fowler</v>
      </c>
      <c r="D2304" s="15" t="str">
        <f t="shared" si="772"/>
        <v>James</v>
      </c>
      <c r="E2304" s="15" t="str">
        <f t="shared" si="773"/>
        <v>30 Virk Court</v>
      </c>
      <c r="F2304" s="15" t="str">
        <f t="shared" si="774"/>
        <v>Black Hills</v>
      </c>
      <c r="G2304" s="15" t="str">
        <f t="shared" si="775"/>
        <v>TAS</v>
      </c>
      <c r="H2304" s="15">
        <f t="shared" si="776"/>
        <v>7140</v>
      </c>
      <c r="I2304" s="15">
        <f t="shared" si="787"/>
        <v>2191</v>
      </c>
      <c r="J2304" s="15">
        <f>OrdersTable!B2304</f>
        <v>852</v>
      </c>
      <c r="K2304" s="15" t="str">
        <f t="shared" si="777"/>
        <v>Statues and Busts</v>
      </c>
      <c r="L2304" s="15" t="str">
        <f t="shared" si="778"/>
        <v>Doctor Who: Statue: Revenge Of The Cybermen Cyberleader</v>
      </c>
      <c r="M2304" s="15" t="str">
        <f t="shared" si="779"/>
        <v>-</v>
      </c>
      <c r="N2304" s="15">
        <f t="shared" si="780"/>
        <v>5.4</v>
      </c>
      <c r="O2304" s="15" t="str">
        <f t="shared" si="781"/>
        <v>A50</v>
      </c>
      <c r="P2304" s="15" t="str">
        <f t="shared" si="782"/>
        <v>Rassilon Ltd.</v>
      </c>
      <c r="Q2304" s="15" t="str">
        <f t="shared" si="783"/>
        <v>82 Richard Mathews Road</v>
      </c>
      <c r="R2304" s="3">
        <f>OrdersTable!C2304</f>
        <v>44728</v>
      </c>
      <c r="S2304" s="15">
        <f>OrdersTable!E2304</f>
        <v>2</v>
      </c>
      <c r="T2304" s="15">
        <f t="shared" si="784"/>
        <v>108</v>
      </c>
      <c r="U2304" s="15">
        <f t="shared" si="785"/>
        <v>147.29</v>
      </c>
      <c r="V2304" s="15">
        <f t="shared" si="786"/>
        <v>174.96</v>
      </c>
      <c r="W2304" s="15">
        <f>IF(MarkupType="Store Markup",ROUND(V2304+V2304*StoreMarkup,2),IF(MarkupType="Supplier Markup",V2304+V2304*SupplierMarkup,"Error at finding value"))</f>
        <v>275.56</v>
      </c>
      <c r="X2304" s="32" t="str">
        <f t="shared" si="788"/>
        <v>0.00</v>
      </c>
      <c r="Y2304" s="15">
        <f t="shared" si="789"/>
        <v>349.92</v>
      </c>
      <c r="Z2304" s="15">
        <f t="shared" si="790"/>
        <v>551.12</v>
      </c>
      <c r="AA2304" s="15">
        <f>IF(FreightType="Lethbridge-Stewart Freight ",ROUND(2.99+IF(N2304&gt;0.75,(N2304-0.75)*2.25,0)*S2304,2),IF(MarkupType="Supplier Markup",V2304+V2304*SupplierMarkup,"Error at finding value"))</f>
        <v>23.92</v>
      </c>
      <c r="AB2304" s="15">
        <f t="shared" si="791"/>
        <v>0</v>
      </c>
    </row>
    <row r="2305" spans="1:28" x14ac:dyDescent="0.25">
      <c r="A2305" s="16">
        <f>OrdersTable!A2305</f>
        <v>224</v>
      </c>
      <c r="B2305" s="15" t="str">
        <f t="shared" si="771"/>
        <v>Miss</v>
      </c>
      <c r="C2305" s="15" t="str">
        <f t="shared" si="792"/>
        <v>Baruwal</v>
      </c>
      <c r="D2305" s="15" t="str">
        <f t="shared" si="772"/>
        <v>Pratikshya</v>
      </c>
      <c r="E2305" s="15" t="str">
        <f t="shared" si="773"/>
        <v>43 Gilloway Street</v>
      </c>
      <c r="F2305" s="15" t="str">
        <f t="shared" si="774"/>
        <v>Iluka</v>
      </c>
      <c r="G2305" s="15" t="str">
        <f t="shared" si="775"/>
        <v>NSW</v>
      </c>
      <c r="H2305" s="15">
        <f t="shared" si="776"/>
        <v>2466</v>
      </c>
      <c r="I2305" s="15">
        <f t="shared" si="787"/>
        <v>347</v>
      </c>
      <c r="J2305" s="15">
        <f>OrdersTable!B2305</f>
        <v>607</v>
      </c>
      <c r="K2305" s="15" t="str">
        <f t="shared" si="777"/>
        <v>iPhone Skins</v>
      </c>
      <c r="L2305" s="15" t="str">
        <f t="shared" si="778"/>
        <v>Doctor Who: iPhone Skin: Keep Calm I'm The Doctor</v>
      </c>
      <c r="M2305" s="15" t="str">
        <f t="shared" si="779"/>
        <v>-</v>
      </c>
      <c r="N2305" s="15">
        <f t="shared" si="780"/>
        <v>0.5</v>
      </c>
      <c r="O2305" s="15" t="str">
        <f t="shared" si="781"/>
        <v>A40</v>
      </c>
      <c r="P2305" s="15" t="str">
        <f t="shared" si="782"/>
        <v>Romana Imports</v>
      </c>
      <c r="Q2305" s="15" t="str">
        <f t="shared" si="783"/>
        <v>17 Lalla Ward Road</v>
      </c>
      <c r="R2305" s="3">
        <f>OrdersTable!C2305</f>
        <v>44728</v>
      </c>
      <c r="S2305" s="15">
        <f>OrdersTable!E2305</f>
        <v>6</v>
      </c>
      <c r="T2305" s="15">
        <f t="shared" si="784"/>
        <v>9.99</v>
      </c>
      <c r="U2305" s="15">
        <f t="shared" si="785"/>
        <v>13.81</v>
      </c>
      <c r="V2305" s="15">
        <f t="shared" si="786"/>
        <v>16.18</v>
      </c>
      <c r="W2305" s="15">
        <f>IF(MarkupType="Store Markup",ROUND(V2305+V2305*StoreMarkup,2),IF(MarkupType="Supplier Markup",V2305+V2305*SupplierMarkup,"Error at finding value"))</f>
        <v>25.48</v>
      </c>
      <c r="X2305" s="32" t="str">
        <f t="shared" si="788"/>
        <v>0.00</v>
      </c>
      <c r="Y2305" s="15">
        <f t="shared" si="789"/>
        <v>97.08</v>
      </c>
      <c r="Z2305" s="15">
        <f t="shared" si="790"/>
        <v>152.88</v>
      </c>
      <c r="AA2305" s="15">
        <f>IF(FreightType="Lethbridge-Stewart Freight ",ROUND(2.99+IF(N2305&gt;0.75,(N2305-0.75)*2.25,0)*S2305,2),IF(MarkupType="Supplier Markup",V2305+V2305*SupplierMarkup,"Error at finding value"))</f>
        <v>2.99</v>
      </c>
      <c r="AB2305" s="15">
        <f t="shared" si="791"/>
        <v>0</v>
      </c>
    </row>
    <row r="2306" spans="1:28" x14ac:dyDescent="0.25">
      <c r="A2306" s="16">
        <f>OrdersTable!A2306</f>
        <v>232</v>
      </c>
      <c r="B2306" s="15" t="str">
        <f t="shared" si="771"/>
        <v>Mrs</v>
      </c>
      <c r="C2306" s="15" t="str">
        <f t="shared" si="792"/>
        <v>Bishop</v>
      </c>
      <c r="D2306" s="15" t="str">
        <f t="shared" si="772"/>
        <v>Katherine Marie</v>
      </c>
      <c r="E2306" s="15" t="str">
        <f t="shared" si="773"/>
        <v>19 Whitehorn Circuit</v>
      </c>
      <c r="F2306" s="15" t="str">
        <f t="shared" si="774"/>
        <v>Black Hills</v>
      </c>
      <c r="G2306" s="15" t="str">
        <f t="shared" si="775"/>
        <v>TAS</v>
      </c>
      <c r="H2306" s="15">
        <f t="shared" si="776"/>
        <v>7140</v>
      </c>
      <c r="I2306" s="15">
        <f t="shared" si="787"/>
        <v>2191</v>
      </c>
      <c r="J2306" s="15">
        <f>OrdersTable!B2306</f>
        <v>330</v>
      </c>
      <c r="K2306" s="15" t="str">
        <f t="shared" si="777"/>
        <v>Clothing and Apparel</v>
      </c>
      <c r="L2306" s="15" t="str">
        <f t="shared" si="778"/>
        <v xml:space="preserve">Doctor Who: T-Shirts: 4th Doctor Costume </v>
      </c>
      <c r="M2306" s="15" t="str">
        <f t="shared" si="779"/>
        <v>M</v>
      </c>
      <c r="N2306" s="15">
        <f t="shared" si="780"/>
        <v>0.8</v>
      </c>
      <c r="O2306" s="15" t="str">
        <f t="shared" si="781"/>
        <v>A20</v>
      </c>
      <c r="P2306" s="15" t="str">
        <f t="shared" si="782"/>
        <v>Morbius Inc.</v>
      </c>
      <c r="Q2306" s="15" t="str">
        <f t="shared" si="783"/>
        <v>56 Michael Spice Hwy</v>
      </c>
      <c r="R2306" s="3">
        <f>OrdersTable!C2306</f>
        <v>44728</v>
      </c>
      <c r="S2306" s="15">
        <f>OrdersTable!E2306</f>
        <v>7</v>
      </c>
      <c r="T2306" s="15">
        <f t="shared" si="784"/>
        <v>15.99</v>
      </c>
      <c r="U2306" s="15">
        <f t="shared" si="785"/>
        <v>22.03</v>
      </c>
      <c r="V2306" s="15">
        <f t="shared" si="786"/>
        <v>25.9</v>
      </c>
      <c r="W2306" s="15">
        <f>IF(MarkupType="Store Markup",ROUND(V2306+V2306*StoreMarkup,2),IF(MarkupType="Supplier Markup",V2306+V2306*SupplierMarkup,"Error at finding value"))</f>
        <v>40.79</v>
      </c>
      <c r="X2306" s="32" t="str">
        <f t="shared" si="788"/>
        <v>0.00</v>
      </c>
      <c r="Y2306" s="15">
        <f t="shared" si="789"/>
        <v>181.3</v>
      </c>
      <c r="Z2306" s="15">
        <f t="shared" si="790"/>
        <v>285.52999999999997</v>
      </c>
      <c r="AA2306" s="15">
        <f>IF(FreightType="Lethbridge-Stewart Freight ",ROUND(2.99+IF(N2306&gt;0.75,(N2306-0.75)*2.25,0)*S2306,2),IF(MarkupType="Supplier Markup",V2306+V2306*SupplierMarkup,"Error at finding value"))</f>
        <v>3.78</v>
      </c>
      <c r="AB2306" s="15">
        <f t="shared" si="791"/>
        <v>0</v>
      </c>
    </row>
    <row r="2307" spans="1:28" x14ac:dyDescent="0.25">
      <c r="A2307" s="16">
        <f>OrdersTable!A2307</f>
        <v>308</v>
      </c>
      <c r="B2307" s="15" t="str">
        <f t="shared" si="771"/>
        <v>Dr</v>
      </c>
      <c r="C2307" s="15" t="str">
        <f t="shared" si="792"/>
        <v>Azar</v>
      </c>
      <c r="D2307" s="15" t="str">
        <f t="shared" si="772"/>
        <v>Mariam</v>
      </c>
      <c r="E2307" s="15" t="str">
        <f t="shared" si="773"/>
        <v>26 Osmond Road</v>
      </c>
      <c r="F2307" s="15" t="str">
        <f t="shared" si="774"/>
        <v>Boston</v>
      </c>
      <c r="G2307" s="15" t="str">
        <f t="shared" si="775"/>
        <v>SA</v>
      </c>
      <c r="H2307" s="15">
        <f t="shared" si="776"/>
        <v>5607</v>
      </c>
      <c r="I2307" s="15">
        <f t="shared" si="787"/>
        <v>2076</v>
      </c>
      <c r="J2307" s="15">
        <f>OrdersTable!B2307</f>
        <v>316</v>
      </c>
      <c r="K2307" s="15" t="str">
        <f t="shared" si="777"/>
        <v>Clothing and Apparel</v>
      </c>
      <c r="L2307" s="15" t="str">
        <f t="shared" si="778"/>
        <v xml:space="preserve">Doctor Who: T-Shirts: 4th Doctor Costume </v>
      </c>
      <c r="M2307" s="15" t="str">
        <f t="shared" si="779"/>
        <v>S</v>
      </c>
      <c r="N2307" s="15">
        <f t="shared" si="780"/>
        <v>0.8</v>
      </c>
      <c r="O2307" s="15" t="str">
        <f t="shared" si="781"/>
        <v>A30</v>
      </c>
      <c r="P2307" s="15" t="str">
        <f t="shared" si="782"/>
        <v>Chesterton Enterprises</v>
      </c>
      <c r="Q2307" s="15" t="str">
        <f t="shared" si="783"/>
        <v>41 William Russell Road</v>
      </c>
      <c r="R2307" s="3">
        <f>OrdersTable!C2307</f>
        <v>44728</v>
      </c>
      <c r="S2307" s="15">
        <f>OrdersTable!E2307</f>
        <v>9</v>
      </c>
      <c r="T2307" s="15">
        <f t="shared" si="784"/>
        <v>15.99</v>
      </c>
      <c r="U2307" s="15">
        <f t="shared" si="785"/>
        <v>21.94</v>
      </c>
      <c r="V2307" s="15">
        <f t="shared" si="786"/>
        <v>25.9</v>
      </c>
      <c r="W2307" s="15">
        <f>IF(MarkupType="Store Markup",ROUND(V2307+V2307*StoreMarkup,2),IF(MarkupType="Supplier Markup",V2307+V2307*SupplierMarkup,"Error at finding value"))</f>
        <v>40.79</v>
      </c>
      <c r="X2307" s="32" t="str">
        <f t="shared" si="788"/>
        <v>0.00</v>
      </c>
      <c r="Y2307" s="15">
        <f t="shared" si="789"/>
        <v>233.1</v>
      </c>
      <c r="Z2307" s="15">
        <f t="shared" si="790"/>
        <v>367.11</v>
      </c>
      <c r="AA2307" s="15">
        <f>IF(FreightType="Lethbridge-Stewart Freight ",ROUND(2.99+IF(N2307&gt;0.75,(N2307-0.75)*2.25,0)*S2307,2),IF(MarkupType="Supplier Markup",V2307+V2307*SupplierMarkup,"Error at finding value"))</f>
        <v>4</v>
      </c>
      <c r="AB2307" s="15">
        <f t="shared" si="791"/>
        <v>0</v>
      </c>
    </row>
    <row r="2308" spans="1:28" x14ac:dyDescent="0.25">
      <c r="A2308" s="16">
        <f>OrdersTable!A2308</f>
        <v>330</v>
      </c>
      <c r="B2308" s="15" t="str">
        <f t="shared" ref="B2308:B2371" si="793">VLOOKUP($A2308,Cust,2,0)</f>
        <v>Mr</v>
      </c>
      <c r="C2308" s="15" t="str">
        <f t="shared" si="792"/>
        <v>Liesegang</v>
      </c>
      <c r="D2308" s="15" t="str">
        <f t="shared" ref="D2308:D2371" si="794">VLOOKUP($A2308,Cust,4,0)</f>
        <v>Darcey Michelle</v>
      </c>
      <c r="E2308" s="15" t="str">
        <f t="shared" ref="E2308:E2371" si="795">VLOOKUP($A2308,Cust,6,0)</f>
        <v>50 McCann Drive</v>
      </c>
      <c r="F2308" s="15" t="str">
        <f t="shared" ref="F2308:F2371" si="796">VLOOKUP($A2308,Cust,7,0)</f>
        <v>Binduli</v>
      </c>
      <c r="G2308" s="15" t="str">
        <f t="shared" ref="G2308:G2371" si="797">VLOOKUP($A2308,Cust,8,0)</f>
        <v>WA</v>
      </c>
      <c r="H2308" s="15">
        <f t="shared" ref="H2308:H2371" si="798">VLOOKUP($A2308,Cust,9,0)</f>
        <v>6430</v>
      </c>
      <c r="I2308" s="15">
        <f t="shared" si="787"/>
        <v>3543</v>
      </c>
      <c r="J2308" s="15">
        <f>OrdersTable!B2308</f>
        <v>145</v>
      </c>
      <c r="K2308" s="15" t="str">
        <f t="shared" ref="K2308:K2371" si="799">VLOOKUP($J2308,Itms,2,0)</f>
        <v>Bobbleheads</v>
      </c>
      <c r="L2308" s="15" t="str">
        <f t="shared" ref="L2308:L2371" si="800">VLOOKUP($J2308,Itms,3,0)</f>
        <v>Doctor Who: Bobblehead: Eleventh Doctor</v>
      </c>
      <c r="M2308" s="15" t="str">
        <f t="shared" ref="M2308:M2371" si="801">VLOOKUP($J2308,Itms,4,0)</f>
        <v>-</v>
      </c>
      <c r="N2308" s="15">
        <f t="shared" ref="N2308:N2371" si="802">VLOOKUP($J2308,Itms,5,0)</f>
        <v>1</v>
      </c>
      <c r="O2308" s="15" t="str">
        <f t="shared" ref="O2308:O2371" si="803">VLOOKUP($J2308,Itms,6,0)</f>
        <v>A30</v>
      </c>
      <c r="P2308" s="15" t="str">
        <f t="shared" ref="P2308:P2371" si="804">VLOOKUP($O2308,Supp,2,0)</f>
        <v>Chesterton Enterprises</v>
      </c>
      <c r="Q2308" s="15" t="str">
        <f t="shared" ref="Q2308:Q2371" si="805">VLOOKUP($O2308,Supp,3,0)</f>
        <v>41 William Russell Road</v>
      </c>
      <c r="R2308" s="3">
        <f>OrdersTable!C2308</f>
        <v>44728</v>
      </c>
      <c r="S2308" s="15">
        <f>OrdersTable!E2308</f>
        <v>10</v>
      </c>
      <c r="T2308" s="15">
        <f t="shared" ref="T2308:T2371" si="806">VLOOKUP($J2308,Itms,9,0)</f>
        <v>19.989999999999998</v>
      </c>
      <c r="U2308" s="15">
        <f t="shared" ref="U2308:U2371" si="807">VLOOKUP($J2308,Itms,10,0)</f>
        <v>27.54</v>
      </c>
      <c r="V2308" s="15">
        <f t="shared" ref="V2308:V2371" si="808">IF(ExchRateType="IR",ROUND(T2308*ExchRateIR,2),IF(ExchRateType="CA",ROUND(U2308*ExchRateCA,2),"Error at finding value"))</f>
        <v>32.380000000000003</v>
      </c>
      <c r="W2308" s="15">
        <f>IF(MarkupType="Store Markup",ROUND(V2308+V2308*StoreMarkup,2),IF(MarkupType="Supplier Markup",V2308+V2308*SupplierMarkup,"Error at finding value"))</f>
        <v>51</v>
      </c>
      <c r="X2308" s="32" t="str">
        <f t="shared" si="788"/>
        <v>0.00</v>
      </c>
      <c r="Y2308" s="15">
        <f t="shared" si="789"/>
        <v>323.8</v>
      </c>
      <c r="Z2308" s="15">
        <f t="shared" si="790"/>
        <v>510</v>
      </c>
      <c r="AA2308" s="15">
        <f>IF(FreightType="Lethbridge-Stewart Freight ",ROUND(2.99+IF(N2308&gt;0.75,(N2308-0.75)*2.25,0)*S2308,2),IF(MarkupType="Supplier Markup",V2308+V2308*SupplierMarkup,"Error at finding value"))</f>
        <v>8.6199999999999992</v>
      </c>
      <c r="AB2308" s="15">
        <f t="shared" si="791"/>
        <v>0</v>
      </c>
    </row>
    <row r="2309" spans="1:28" x14ac:dyDescent="0.25">
      <c r="A2309" s="16">
        <f>OrdersTable!A2309</f>
        <v>331</v>
      </c>
      <c r="B2309" s="15" t="str">
        <f t="shared" si="793"/>
        <v>Mrs</v>
      </c>
      <c r="C2309" s="15" t="str">
        <f t="shared" si="792"/>
        <v>McKenzie</v>
      </c>
      <c r="D2309" s="15" t="str">
        <f t="shared" si="794"/>
        <v>Melinda Kate</v>
      </c>
      <c r="E2309" s="15" t="str">
        <f t="shared" si="795"/>
        <v>49 McKay Way</v>
      </c>
      <c r="F2309" s="15" t="str">
        <f t="shared" si="796"/>
        <v>Black Hills</v>
      </c>
      <c r="G2309" s="15" t="str">
        <f t="shared" si="797"/>
        <v>TAS</v>
      </c>
      <c r="H2309" s="15">
        <f t="shared" si="798"/>
        <v>7140</v>
      </c>
      <c r="I2309" s="15">
        <f t="shared" ref="I2309:I2372" si="809">VLOOKUP($A2309,Cust,10,0)</f>
        <v>2191</v>
      </c>
      <c r="J2309" s="15">
        <f>OrdersTable!B2309</f>
        <v>543</v>
      </c>
      <c r="K2309" s="15" t="str">
        <f t="shared" si="799"/>
        <v>Giftware</v>
      </c>
      <c r="L2309" s="15" t="str">
        <f t="shared" si="800"/>
        <v>Doctor Who: Sonic Screwdriver Pen</v>
      </c>
      <c r="M2309" s="15" t="str">
        <f t="shared" si="801"/>
        <v>-</v>
      </c>
      <c r="N2309" s="15">
        <f t="shared" si="802"/>
        <v>0.65</v>
      </c>
      <c r="O2309" s="15" t="str">
        <f t="shared" si="803"/>
        <v>A20</v>
      </c>
      <c r="P2309" s="15" t="str">
        <f t="shared" si="804"/>
        <v>Morbius Inc.</v>
      </c>
      <c r="Q2309" s="15" t="str">
        <f t="shared" si="805"/>
        <v>56 Michael Spice Hwy</v>
      </c>
      <c r="R2309" s="3">
        <f>OrdersTable!C2309</f>
        <v>44728</v>
      </c>
      <c r="S2309" s="15">
        <f>OrdersTable!E2309</f>
        <v>8</v>
      </c>
      <c r="T2309" s="15">
        <f t="shared" si="806"/>
        <v>12.99</v>
      </c>
      <c r="U2309" s="15">
        <f t="shared" si="807"/>
        <v>18.02</v>
      </c>
      <c r="V2309" s="15">
        <f t="shared" si="808"/>
        <v>21.04</v>
      </c>
      <c r="W2309" s="15">
        <f>IF(MarkupType="Store Markup",ROUND(V2309+V2309*StoreMarkup,2),IF(MarkupType="Supplier Markup",V2309+V2309*SupplierMarkup,"Error at finding value"))</f>
        <v>33.14</v>
      </c>
      <c r="X2309" s="32" t="str">
        <f t="shared" ref="X2309:X2372" si="810">IF(AND(W2309&gt;100,S2309&gt;=3),ROUND(0.07125*W2309,2),"0.00")</f>
        <v>0.00</v>
      </c>
      <c r="Y2309" s="15">
        <f t="shared" ref="Y2309:Y2372" si="811">ROUND(V2309*S2309,2)</f>
        <v>168.32</v>
      </c>
      <c r="Z2309" s="15">
        <f t="shared" ref="Z2309:Z2372" si="812">ROUND((W2309-X2309)*S2309,2)</f>
        <v>265.12</v>
      </c>
      <c r="AA2309" s="15">
        <f>IF(FreightType="Lethbridge-Stewart Freight ",ROUND(2.99+IF(N2309&gt;0.75,(N2309-0.75)*2.25,0)*S2309,2),IF(MarkupType="Supplier Markup",V2309+V2309*SupplierMarkup,"Error at finding value"))</f>
        <v>2.99</v>
      </c>
      <c r="AB2309" s="15">
        <f t="shared" ref="AB2309:AB2372" si="813">ROUND(X2309*S2309,2)</f>
        <v>0</v>
      </c>
    </row>
    <row r="2310" spans="1:28" x14ac:dyDescent="0.25">
      <c r="A2310" s="16">
        <f>OrdersTable!A2310</f>
        <v>334</v>
      </c>
      <c r="B2310" s="15" t="str">
        <f t="shared" si="793"/>
        <v>Mrs</v>
      </c>
      <c r="C2310" s="15" t="str">
        <f t="shared" si="792"/>
        <v>Wilson</v>
      </c>
      <c r="D2310" s="15" t="str">
        <f t="shared" si="794"/>
        <v>Hayley Lauren</v>
      </c>
      <c r="E2310" s="15" t="str">
        <f t="shared" si="795"/>
        <v>3 Ashley Crescent</v>
      </c>
      <c r="F2310" s="15" t="str">
        <f t="shared" si="796"/>
        <v>Black Hills</v>
      </c>
      <c r="G2310" s="15" t="str">
        <f t="shared" si="797"/>
        <v>TAS</v>
      </c>
      <c r="H2310" s="15">
        <f t="shared" si="798"/>
        <v>7140</v>
      </c>
      <c r="I2310" s="15">
        <f t="shared" si="809"/>
        <v>2191</v>
      </c>
      <c r="J2310" s="15">
        <f>OrdersTable!B2310</f>
        <v>330</v>
      </c>
      <c r="K2310" s="15" t="str">
        <f t="shared" si="799"/>
        <v>Clothing and Apparel</v>
      </c>
      <c r="L2310" s="15" t="str">
        <f t="shared" si="800"/>
        <v xml:space="preserve">Doctor Who: T-Shirts: 4th Doctor Costume </v>
      </c>
      <c r="M2310" s="15" t="str">
        <f t="shared" si="801"/>
        <v>M</v>
      </c>
      <c r="N2310" s="15">
        <f t="shared" si="802"/>
        <v>0.8</v>
      </c>
      <c r="O2310" s="15" t="str">
        <f t="shared" si="803"/>
        <v>A20</v>
      </c>
      <c r="P2310" s="15" t="str">
        <f t="shared" si="804"/>
        <v>Morbius Inc.</v>
      </c>
      <c r="Q2310" s="15" t="str">
        <f t="shared" si="805"/>
        <v>56 Michael Spice Hwy</v>
      </c>
      <c r="R2310" s="3">
        <f>OrdersTable!C2310</f>
        <v>44728</v>
      </c>
      <c r="S2310" s="15">
        <f>OrdersTable!E2310</f>
        <v>8</v>
      </c>
      <c r="T2310" s="15">
        <f t="shared" si="806"/>
        <v>15.99</v>
      </c>
      <c r="U2310" s="15">
        <f t="shared" si="807"/>
        <v>22.03</v>
      </c>
      <c r="V2310" s="15">
        <f t="shared" si="808"/>
        <v>25.9</v>
      </c>
      <c r="W2310" s="15">
        <f>IF(MarkupType="Store Markup",ROUND(V2310+V2310*StoreMarkup,2),IF(MarkupType="Supplier Markup",V2310+V2310*SupplierMarkup,"Error at finding value"))</f>
        <v>40.79</v>
      </c>
      <c r="X2310" s="32" t="str">
        <f t="shared" si="810"/>
        <v>0.00</v>
      </c>
      <c r="Y2310" s="15">
        <f t="shared" si="811"/>
        <v>207.2</v>
      </c>
      <c r="Z2310" s="15">
        <f t="shared" si="812"/>
        <v>326.32</v>
      </c>
      <c r="AA2310" s="15">
        <f>IF(FreightType="Lethbridge-Stewart Freight ",ROUND(2.99+IF(N2310&gt;0.75,(N2310-0.75)*2.25,0)*S2310,2),IF(MarkupType="Supplier Markup",V2310+V2310*SupplierMarkup,"Error at finding value"))</f>
        <v>3.89</v>
      </c>
      <c r="AB2310" s="15">
        <f t="shared" si="813"/>
        <v>0</v>
      </c>
    </row>
    <row r="2311" spans="1:28" x14ac:dyDescent="0.25">
      <c r="A2311" s="16">
        <f>OrdersTable!A2311</f>
        <v>334</v>
      </c>
      <c r="B2311" s="15" t="str">
        <f t="shared" si="793"/>
        <v>Mrs</v>
      </c>
      <c r="C2311" s="15" t="str">
        <f t="shared" si="792"/>
        <v>Wilson</v>
      </c>
      <c r="D2311" s="15" t="str">
        <f t="shared" si="794"/>
        <v>Hayley Lauren</v>
      </c>
      <c r="E2311" s="15" t="str">
        <f t="shared" si="795"/>
        <v>3 Ashley Crescent</v>
      </c>
      <c r="F2311" s="15" t="str">
        <f t="shared" si="796"/>
        <v>Black Hills</v>
      </c>
      <c r="G2311" s="15" t="str">
        <f t="shared" si="797"/>
        <v>TAS</v>
      </c>
      <c r="H2311" s="15">
        <f t="shared" si="798"/>
        <v>7140</v>
      </c>
      <c r="I2311" s="15">
        <f t="shared" si="809"/>
        <v>2191</v>
      </c>
      <c r="J2311" s="15">
        <f>OrdersTable!B2311</f>
        <v>607</v>
      </c>
      <c r="K2311" s="15" t="str">
        <f t="shared" si="799"/>
        <v>iPhone Skins</v>
      </c>
      <c r="L2311" s="15" t="str">
        <f t="shared" si="800"/>
        <v>Doctor Who: iPhone Skin: Keep Calm I'm The Doctor</v>
      </c>
      <c r="M2311" s="15" t="str">
        <f t="shared" si="801"/>
        <v>-</v>
      </c>
      <c r="N2311" s="15">
        <f t="shared" si="802"/>
        <v>0.5</v>
      </c>
      <c r="O2311" s="15" t="str">
        <f t="shared" si="803"/>
        <v>A40</v>
      </c>
      <c r="P2311" s="15" t="str">
        <f t="shared" si="804"/>
        <v>Romana Imports</v>
      </c>
      <c r="Q2311" s="15" t="str">
        <f t="shared" si="805"/>
        <v>17 Lalla Ward Road</v>
      </c>
      <c r="R2311" s="3">
        <f>OrdersTable!C2311</f>
        <v>44728</v>
      </c>
      <c r="S2311" s="15">
        <f>OrdersTable!E2311</f>
        <v>7</v>
      </c>
      <c r="T2311" s="15">
        <f t="shared" si="806"/>
        <v>9.99</v>
      </c>
      <c r="U2311" s="15">
        <f t="shared" si="807"/>
        <v>13.81</v>
      </c>
      <c r="V2311" s="15">
        <f t="shared" si="808"/>
        <v>16.18</v>
      </c>
      <c r="W2311" s="15">
        <f>IF(MarkupType="Store Markup",ROUND(V2311+V2311*StoreMarkup,2),IF(MarkupType="Supplier Markup",V2311+V2311*SupplierMarkup,"Error at finding value"))</f>
        <v>25.48</v>
      </c>
      <c r="X2311" s="32" t="str">
        <f t="shared" si="810"/>
        <v>0.00</v>
      </c>
      <c r="Y2311" s="15">
        <f t="shared" si="811"/>
        <v>113.26</v>
      </c>
      <c r="Z2311" s="15">
        <f t="shared" si="812"/>
        <v>178.36</v>
      </c>
      <c r="AA2311" s="15">
        <f>IF(FreightType="Lethbridge-Stewart Freight ",ROUND(2.99+IF(N2311&gt;0.75,(N2311-0.75)*2.25,0)*S2311,2),IF(MarkupType="Supplier Markup",V2311+V2311*SupplierMarkup,"Error at finding value"))</f>
        <v>2.99</v>
      </c>
      <c r="AB2311" s="15">
        <f t="shared" si="813"/>
        <v>0</v>
      </c>
    </row>
    <row r="2312" spans="1:28" x14ac:dyDescent="0.25">
      <c r="A2312" s="16">
        <f>OrdersTable!A2312</f>
        <v>334</v>
      </c>
      <c r="B2312" s="15" t="str">
        <f t="shared" si="793"/>
        <v>Mrs</v>
      </c>
      <c r="C2312" s="15" t="str">
        <f t="shared" si="792"/>
        <v>Wilson</v>
      </c>
      <c r="D2312" s="15" t="str">
        <f t="shared" si="794"/>
        <v>Hayley Lauren</v>
      </c>
      <c r="E2312" s="15" t="str">
        <f t="shared" si="795"/>
        <v>3 Ashley Crescent</v>
      </c>
      <c r="F2312" s="15" t="str">
        <f t="shared" si="796"/>
        <v>Black Hills</v>
      </c>
      <c r="G2312" s="15" t="str">
        <f t="shared" si="797"/>
        <v>TAS</v>
      </c>
      <c r="H2312" s="15">
        <f t="shared" si="798"/>
        <v>7140</v>
      </c>
      <c r="I2312" s="15">
        <f t="shared" si="809"/>
        <v>2191</v>
      </c>
      <c r="J2312" s="15">
        <f>OrdersTable!B2312</f>
        <v>673</v>
      </c>
      <c r="K2312" s="15" t="str">
        <f t="shared" si="799"/>
        <v>Mugs</v>
      </c>
      <c r="L2312" s="15" t="str">
        <f t="shared" si="800"/>
        <v>Doctor Who: Mug: TARDIS With Lid</v>
      </c>
      <c r="M2312" s="15" t="str">
        <f t="shared" si="801"/>
        <v>-</v>
      </c>
      <c r="N2312" s="15">
        <f t="shared" si="802"/>
        <v>0.58499999999999996</v>
      </c>
      <c r="O2312" s="15" t="str">
        <f t="shared" si="803"/>
        <v>A10</v>
      </c>
      <c r="P2312" s="15" t="str">
        <f t="shared" si="804"/>
        <v>Gallifrey International</v>
      </c>
      <c r="Q2312" s="15" t="str">
        <f t="shared" si="805"/>
        <v>181 Arcadia Street</v>
      </c>
      <c r="R2312" s="3">
        <f>OrdersTable!C2312</f>
        <v>44728</v>
      </c>
      <c r="S2312" s="15">
        <f>OrdersTable!E2312</f>
        <v>3</v>
      </c>
      <c r="T2312" s="15">
        <f t="shared" si="806"/>
        <v>11.69</v>
      </c>
      <c r="U2312" s="15">
        <f t="shared" si="807"/>
        <v>16.190000000000001</v>
      </c>
      <c r="V2312" s="15">
        <f t="shared" si="808"/>
        <v>18.940000000000001</v>
      </c>
      <c r="W2312" s="15">
        <f>IF(MarkupType="Store Markup",ROUND(V2312+V2312*StoreMarkup,2),IF(MarkupType="Supplier Markup",V2312+V2312*SupplierMarkup,"Error at finding value"))</f>
        <v>29.83</v>
      </c>
      <c r="X2312" s="32" t="str">
        <f t="shared" si="810"/>
        <v>0.00</v>
      </c>
      <c r="Y2312" s="15">
        <f t="shared" si="811"/>
        <v>56.82</v>
      </c>
      <c r="Z2312" s="15">
        <f t="shared" si="812"/>
        <v>89.49</v>
      </c>
      <c r="AA2312" s="15">
        <f>IF(FreightType="Lethbridge-Stewart Freight ",ROUND(2.99+IF(N2312&gt;0.75,(N2312-0.75)*2.25,0)*S2312,2),IF(MarkupType="Supplier Markup",V2312+V2312*SupplierMarkup,"Error at finding value"))</f>
        <v>2.99</v>
      </c>
      <c r="AB2312" s="15">
        <f t="shared" si="813"/>
        <v>0</v>
      </c>
    </row>
    <row r="2313" spans="1:28" x14ac:dyDescent="0.25">
      <c r="A2313" s="16">
        <f>OrdersTable!A2313</f>
        <v>526</v>
      </c>
      <c r="B2313" s="15" t="str">
        <f t="shared" si="793"/>
        <v>Mrs</v>
      </c>
      <c r="C2313" s="15" t="str">
        <f t="shared" si="792"/>
        <v>Bradford</v>
      </c>
      <c r="D2313" s="15" t="str">
        <f t="shared" si="794"/>
        <v>Haleigh Renae Ann</v>
      </c>
      <c r="E2313" s="15" t="str">
        <f t="shared" si="795"/>
        <v>31 Johnston Road</v>
      </c>
      <c r="F2313" s="15" t="str">
        <f t="shared" si="796"/>
        <v>Ashford</v>
      </c>
      <c r="G2313" s="15" t="str">
        <f t="shared" si="797"/>
        <v>SA</v>
      </c>
      <c r="H2313" s="15">
        <f t="shared" si="798"/>
        <v>5035</v>
      </c>
      <c r="I2313" s="15">
        <f t="shared" si="809"/>
        <v>1877</v>
      </c>
      <c r="J2313" s="15">
        <f>OrdersTable!B2313</f>
        <v>862</v>
      </c>
      <c r="K2313" s="15" t="str">
        <f t="shared" si="799"/>
        <v>Statues and Busts</v>
      </c>
      <c r="L2313" s="15" t="str">
        <f t="shared" si="800"/>
        <v>Doctor Who: TITANS: The 10th Doctor</v>
      </c>
      <c r="M2313" s="15" t="str">
        <f t="shared" si="801"/>
        <v>-</v>
      </c>
      <c r="N2313" s="15">
        <f t="shared" si="802"/>
        <v>0.4</v>
      </c>
      <c r="O2313" s="15" t="str">
        <f t="shared" si="803"/>
        <v>A40</v>
      </c>
      <c r="P2313" s="15" t="str">
        <f t="shared" si="804"/>
        <v>Romana Imports</v>
      </c>
      <c r="Q2313" s="15" t="str">
        <f t="shared" si="805"/>
        <v>17 Lalla Ward Road</v>
      </c>
      <c r="R2313" s="3">
        <f>OrdersTable!C2313</f>
        <v>44728</v>
      </c>
      <c r="S2313" s="15">
        <f>OrdersTable!E2313</f>
        <v>5</v>
      </c>
      <c r="T2313" s="15">
        <f t="shared" si="806"/>
        <v>7.99</v>
      </c>
      <c r="U2313" s="15">
        <f t="shared" si="807"/>
        <v>11.01</v>
      </c>
      <c r="V2313" s="15">
        <f t="shared" si="808"/>
        <v>12.94</v>
      </c>
      <c r="W2313" s="15">
        <f>IF(MarkupType="Store Markup",ROUND(V2313+V2313*StoreMarkup,2),IF(MarkupType="Supplier Markup",V2313+V2313*SupplierMarkup,"Error at finding value"))</f>
        <v>20.38</v>
      </c>
      <c r="X2313" s="32" t="str">
        <f t="shared" si="810"/>
        <v>0.00</v>
      </c>
      <c r="Y2313" s="15">
        <f t="shared" si="811"/>
        <v>64.7</v>
      </c>
      <c r="Z2313" s="15">
        <f t="shared" si="812"/>
        <v>101.9</v>
      </c>
      <c r="AA2313" s="15">
        <f>IF(FreightType="Lethbridge-Stewart Freight ",ROUND(2.99+IF(N2313&gt;0.75,(N2313-0.75)*2.25,0)*S2313,2),IF(MarkupType="Supplier Markup",V2313+V2313*SupplierMarkup,"Error at finding value"))</f>
        <v>2.99</v>
      </c>
      <c r="AB2313" s="15">
        <f t="shared" si="813"/>
        <v>0</v>
      </c>
    </row>
    <row r="2314" spans="1:28" x14ac:dyDescent="0.25">
      <c r="A2314" s="16">
        <f>OrdersTable!A2314</f>
        <v>567</v>
      </c>
      <c r="B2314" s="15" t="str">
        <f t="shared" si="793"/>
        <v>Ms</v>
      </c>
      <c r="C2314" s="15" t="str">
        <f t="shared" si="792"/>
        <v>Perkins</v>
      </c>
      <c r="D2314" s="15" t="str">
        <f t="shared" si="794"/>
        <v>Sarah</v>
      </c>
      <c r="E2314" s="15" t="str">
        <f t="shared" si="795"/>
        <v>7 Tengdahl Road</v>
      </c>
      <c r="F2314" s="15" t="str">
        <f t="shared" si="796"/>
        <v>Areegra</v>
      </c>
      <c r="G2314" s="15" t="str">
        <f t="shared" si="797"/>
        <v>VIC</v>
      </c>
      <c r="H2314" s="15">
        <f t="shared" si="798"/>
        <v>3480</v>
      </c>
      <c r="I2314" s="15">
        <f t="shared" si="809"/>
        <v>1559</v>
      </c>
      <c r="J2314" s="15">
        <f>OrdersTable!B2314</f>
        <v>707</v>
      </c>
      <c r="K2314" s="15" t="str">
        <f t="shared" si="799"/>
        <v>Posters, Prints and Standees</v>
      </c>
      <c r="L2314" s="15" t="str">
        <f t="shared" si="800"/>
        <v>Doctor Who: Poster: Ironside Dalek Blueprint</v>
      </c>
      <c r="M2314" s="15" t="str">
        <f t="shared" si="801"/>
        <v>-</v>
      </c>
      <c r="N2314" s="15">
        <f t="shared" si="802"/>
        <v>0.2</v>
      </c>
      <c r="O2314" s="15" t="str">
        <f t="shared" si="803"/>
        <v>A20</v>
      </c>
      <c r="P2314" s="15" t="str">
        <f t="shared" si="804"/>
        <v>Morbius Inc.</v>
      </c>
      <c r="Q2314" s="15" t="str">
        <f t="shared" si="805"/>
        <v>56 Michael Spice Hwy</v>
      </c>
      <c r="R2314" s="3">
        <f>OrdersTable!C2314</f>
        <v>44728</v>
      </c>
      <c r="S2314" s="15">
        <f>OrdersTable!E2314</f>
        <v>9</v>
      </c>
      <c r="T2314" s="15">
        <f t="shared" si="806"/>
        <v>3.99</v>
      </c>
      <c r="U2314" s="15">
        <f t="shared" si="807"/>
        <v>5.48</v>
      </c>
      <c r="V2314" s="15">
        <f t="shared" si="808"/>
        <v>6.46</v>
      </c>
      <c r="W2314" s="15">
        <f>IF(MarkupType="Store Markup",ROUND(V2314+V2314*StoreMarkup,2),IF(MarkupType="Supplier Markup",V2314+V2314*SupplierMarkup,"Error at finding value"))</f>
        <v>10.17</v>
      </c>
      <c r="X2314" s="32" t="str">
        <f t="shared" si="810"/>
        <v>0.00</v>
      </c>
      <c r="Y2314" s="15">
        <f t="shared" si="811"/>
        <v>58.14</v>
      </c>
      <c r="Z2314" s="15">
        <f t="shared" si="812"/>
        <v>91.53</v>
      </c>
      <c r="AA2314" s="15">
        <f>IF(FreightType="Lethbridge-Stewart Freight ",ROUND(2.99+IF(N2314&gt;0.75,(N2314-0.75)*2.25,0)*S2314,2),IF(MarkupType="Supplier Markup",V2314+V2314*SupplierMarkup,"Error at finding value"))</f>
        <v>2.99</v>
      </c>
      <c r="AB2314" s="15">
        <f t="shared" si="813"/>
        <v>0</v>
      </c>
    </row>
    <row r="2315" spans="1:28" x14ac:dyDescent="0.25">
      <c r="A2315" s="16">
        <f>OrdersTable!A2315</f>
        <v>570</v>
      </c>
      <c r="B2315" s="15" t="str">
        <f t="shared" si="793"/>
        <v>Mr</v>
      </c>
      <c r="C2315" s="15" t="str">
        <f t="shared" ref="C2315:C2378" si="814">VLOOKUP($A2315,Cust,3,0)</f>
        <v>Adams</v>
      </c>
      <c r="D2315" s="15" t="str">
        <f t="shared" si="794"/>
        <v>Matthew</v>
      </c>
      <c r="E2315" s="15" t="str">
        <f t="shared" si="795"/>
        <v>36 Fenech Avenue</v>
      </c>
      <c r="F2315" s="15" t="str">
        <f t="shared" si="796"/>
        <v>Bray Park</v>
      </c>
      <c r="G2315" s="15" t="str">
        <f t="shared" si="797"/>
        <v>QLD</v>
      </c>
      <c r="H2315" s="15">
        <f t="shared" si="798"/>
        <v>4500</v>
      </c>
      <c r="I2315" s="15">
        <f t="shared" si="809"/>
        <v>139</v>
      </c>
      <c r="J2315" s="15">
        <f>OrdersTable!B2315</f>
        <v>683</v>
      </c>
      <c r="K2315" s="15" t="str">
        <f t="shared" si="799"/>
        <v>Mugs</v>
      </c>
      <c r="L2315" s="15" t="str">
        <f t="shared" si="800"/>
        <v>Doctor Who: Mug: The Tenth Doctor</v>
      </c>
      <c r="M2315" s="15" t="str">
        <f t="shared" si="801"/>
        <v>-</v>
      </c>
      <c r="N2315" s="15">
        <f t="shared" si="802"/>
        <v>0.45</v>
      </c>
      <c r="O2315" s="15" t="str">
        <f t="shared" si="803"/>
        <v>A20</v>
      </c>
      <c r="P2315" s="15" t="str">
        <f t="shared" si="804"/>
        <v>Morbius Inc.</v>
      </c>
      <c r="Q2315" s="15" t="str">
        <f t="shared" si="805"/>
        <v>56 Michael Spice Hwy</v>
      </c>
      <c r="R2315" s="3">
        <f>OrdersTable!C2315</f>
        <v>44728</v>
      </c>
      <c r="S2315" s="15">
        <f>OrdersTable!E2315</f>
        <v>1</v>
      </c>
      <c r="T2315" s="15">
        <f t="shared" si="806"/>
        <v>8.99</v>
      </c>
      <c r="U2315" s="15">
        <f t="shared" si="807"/>
        <v>12.54</v>
      </c>
      <c r="V2315" s="15">
        <f t="shared" si="808"/>
        <v>14.56</v>
      </c>
      <c r="W2315" s="15">
        <f>IF(MarkupType="Store Markup",ROUND(V2315+V2315*StoreMarkup,2),IF(MarkupType="Supplier Markup",V2315+V2315*SupplierMarkup,"Error at finding value"))</f>
        <v>22.93</v>
      </c>
      <c r="X2315" s="32" t="str">
        <f t="shared" si="810"/>
        <v>0.00</v>
      </c>
      <c r="Y2315" s="15">
        <f t="shared" si="811"/>
        <v>14.56</v>
      </c>
      <c r="Z2315" s="15">
        <f t="shared" si="812"/>
        <v>22.93</v>
      </c>
      <c r="AA2315" s="15">
        <f>IF(FreightType="Lethbridge-Stewart Freight ",ROUND(2.99+IF(N2315&gt;0.75,(N2315-0.75)*2.25,0)*S2315,2),IF(MarkupType="Supplier Markup",V2315+V2315*SupplierMarkup,"Error at finding value"))</f>
        <v>2.99</v>
      </c>
      <c r="AB2315" s="15">
        <f t="shared" si="813"/>
        <v>0</v>
      </c>
    </row>
    <row r="2316" spans="1:28" x14ac:dyDescent="0.25">
      <c r="A2316" s="16">
        <f>OrdersTable!A2316</f>
        <v>600</v>
      </c>
      <c r="B2316" s="15" t="str">
        <f t="shared" si="793"/>
        <v>Dr</v>
      </c>
      <c r="C2316" s="15" t="str">
        <f t="shared" si="814"/>
        <v>McConnell</v>
      </c>
      <c r="D2316" s="15" t="str">
        <f t="shared" si="794"/>
        <v>Hannah Clair</v>
      </c>
      <c r="E2316" s="15" t="str">
        <f t="shared" si="795"/>
        <v>27 Mccarthy Circuit</v>
      </c>
      <c r="F2316" s="15" t="str">
        <f t="shared" si="796"/>
        <v>Ashford</v>
      </c>
      <c r="G2316" s="15" t="str">
        <f t="shared" si="797"/>
        <v>SA</v>
      </c>
      <c r="H2316" s="15">
        <f t="shared" si="798"/>
        <v>5035</v>
      </c>
      <c r="I2316" s="15">
        <f t="shared" si="809"/>
        <v>1877</v>
      </c>
      <c r="J2316" s="15">
        <f>OrdersTable!B2316</f>
        <v>787</v>
      </c>
      <c r="K2316" s="15" t="str">
        <f t="shared" si="799"/>
        <v>Statues and Busts</v>
      </c>
      <c r="L2316" s="15" t="str">
        <f t="shared" si="800"/>
        <v>Doctor Who: Masterpiece Collection Maxi Bust: 1st Doctor</v>
      </c>
      <c r="M2316" s="15" t="str">
        <f t="shared" si="801"/>
        <v>-</v>
      </c>
      <c r="N2316" s="15">
        <f t="shared" si="802"/>
        <v>2.5</v>
      </c>
      <c r="O2316" s="15" t="str">
        <f t="shared" si="803"/>
        <v>A10</v>
      </c>
      <c r="P2316" s="15" t="str">
        <f t="shared" si="804"/>
        <v>Gallifrey International</v>
      </c>
      <c r="Q2316" s="15" t="str">
        <f t="shared" si="805"/>
        <v>181 Arcadia Street</v>
      </c>
      <c r="R2316" s="3">
        <f>OrdersTable!C2316</f>
        <v>44728</v>
      </c>
      <c r="S2316" s="15">
        <f>OrdersTable!E2316</f>
        <v>4</v>
      </c>
      <c r="T2316" s="15">
        <f t="shared" si="806"/>
        <v>49.99</v>
      </c>
      <c r="U2316" s="15">
        <f t="shared" si="807"/>
        <v>68.290000000000006</v>
      </c>
      <c r="V2316" s="15">
        <f t="shared" si="808"/>
        <v>80.98</v>
      </c>
      <c r="W2316" s="15">
        <f>IF(MarkupType="Store Markup",ROUND(V2316+V2316*StoreMarkup,2),IF(MarkupType="Supplier Markup",V2316+V2316*SupplierMarkup,"Error at finding value"))</f>
        <v>127.54</v>
      </c>
      <c r="X2316" s="32">
        <f t="shared" si="810"/>
        <v>9.09</v>
      </c>
      <c r="Y2316" s="15">
        <f t="shared" si="811"/>
        <v>323.92</v>
      </c>
      <c r="Z2316" s="15">
        <f t="shared" si="812"/>
        <v>473.8</v>
      </c>
      <c r="AA2316" s="15">
        <f>IF(FreightType="Lethbridge-Stewart Freight ",ROUND(2.99+IF(N2316&gt;0.75,(N2316-0.75)*2.25,0)*S2316,2),IF(MarkupType="Supplier Markup",V2316+V2316*SupplierMarkup,"Error at finding value"))</f>
        <v>18.739999999999998</v>
      </c>
      <c r="AB2316" s="15">
        <f t="shared" si="813"/>
        <v>36.36</v>
      </c>
    </row>
    <row r="2317" spans="1:28" x14ac:dyDescent="0.25">
      <c r="A2317" s="16">
        <f>OrdersTable!A2317</f>
        <v>634</v>
      </c>
      <c r="B2317" s="15" t="str">
        <f t="shared" si="793"/>
        <v>Miss</v>
      </c>
      <c r="C2317" s="15" t="str">
        <f t="shared" si="814"/>
        <v>Betts</v>
      </c>
      <c r="D2317" s="15" t="str">
        <f t="shared" si="794"/>
        <v>Melissa Leigh</v>
      </c>
      <c r="E2317" s="15" t="str">
        <f t="shared" si="795"/>
        <v>4 Aitcheson Drive</v>
      </c>
      <c r="F2317" s="15" t="str">
        <f t="shared" si="796"/>
        <v>Bray Park</v>
      </c>
      <c r="G2317" s="15" t="str">
        <f t="shared" si="797"/>
        <v>QLD</v>
      </c>
      <c r="H2317" s="15">
        <f t="shared" si="798"/>
        <v>4500</v>
      </c>
      <c r="I2317" s="15">
        <f t="shared" si="809"/>
        <v>139</v>
      </c>
      <c r="J2317" s="15">
        <f>OrdersTable!B2317</f>
        <v>812</v>
      </c>
      <c r="K2317" s="15" t="str">
        <f t="shared" si="799"/>
        <v>Statues and Busts</v>
      </c>
      <c r="L2317" s="15" t="str">
        <f t="shared" si="800"/>
        <v>Doctor Who: Masterpiece Collection Maxi Bust: Dalek: Day Of The Daleks</v>
      </c>
      <c r="M2317" s="15" t="str">
        <f t="shared" si="801"/>
        <v>-</v>
      </c>
      <c r="N2317" s="15">
        <f t="shared" si="802"/>
        <v>2.5</v>
      </c>
      <c r="O2317" s="15" t="str">
        <f t="shared" si="803"/>
        <v>A20</v>
      </c>
      <c r="P2317" s="15" t="str">
        <f t="shared" si="804"/>
        <v>Morbius Inc.</v>
      </c>
      <c r="Q2317" s="15" t="str">
        <f t="shared" si="805"/>
        <v>56 Michael Spice Hwy</v>
      </c>
      <c r="R2317" s="3">
        <f>OrdersTable!C2317</f>
        <v>44728</v>
      </c>
      <c r="S2317" s="15">
        <f>OrdersTable!E2317</f>
        <v>2</v>
      </c>
      <c r="T2317" s="15">
        <f t="shared" si="806"/>
        <v>49.99</v>
      </c>
      <c r="U2317" s="15">
        <f t="shared" si="807"/>
        <v>68.47</v>
      </c>
      <c r="V2317" s="15">
        <f t="shared" si="808"/>
        <v>80.98</v>
      </c>
      <c r="W2317" s="15">
        <f>IF(MarkupType="Store Markup",ROUND(V2317+V2317*StoreMarkup,2),IF(MarkupType="Supplier Markup",V2317+V2317*SupplierMarkup,"Error at finding value"))</f>
        <v>127.54</v>
      </c>
      <c r="X2317" s="32" t="str">
        <f t="shared" si="810"/>
        <v>0.00</v>
      </c>
      <c r="Y2317" s="15">
        <f t="shared" si="811"/>
        <v>161.96</v>
      </c>
      <c r="Z2317" s="15">
        <f t="shared" si="812"/>
        <v>255.08</v>
      </c>
      <c r="AA2317" s="15">
        <f>IF(FreightType="Lethbridge-Stewart Freight ",ROUND(2.99+IF(N2317&gt;0.75,(N2317-0.75)*2.25,0)*S2317,2),IF(MarkupType="Supplier Markup",V2317+V2317*SupplierMarkup,"Error at finding value"))</f>
        <v>10.87</v>
      </c>
      <c r="AB2317" s="15">
        <f t="shared" si="813"/>
        <v>0</v>
      </c>
    </row>
    <row r="2318" spans="1:28" x14ac:dyDescent="0.25">
      <c r="A2318" s="16">
        <f>OrdersTable!A2318</f>
        <v>841</v>
      </c>
      <c r="B2318" s="15" t="str">
        <f t="shared" si="793"/>
        <v>Miss</v>
      </c>
      <c r="C2318" s="15" t="str">
        <f t="shared" si="814"/>
        <v>Donaghy</v>
      </c>
      <c r="D2318" s="15" t="str">
        <f t="shared" si="794"/>
        <v>Elizabeth Mathilde Jane</v>
      </c>
      <c r="E2318" s="15" t="str">
        <f t="shared" si="795"/>
        <v>31 Johnson Boulevard</v>
      </c>
      <c r="F2318" s="15" t="str">
        <f t="shared" si="796"/>
        <v>Belford</v>
      </c>
      <c r="G2318" s="15" t="str">
        <f t="shared" si="797"/>
        <v>NSW</v>
      </c>
      <c r="H2318" s="15">
        <f t="shared" si="798"/>
        <v>2335</v>
      </c>
      <c r="I2318" s="15">
        <f t="shared" si="809"/>
        <v>716</v>
      </c>
      <c r="J2318" s="15">
        <f>OrdersTable!B2318</f>
        <v>358</v>
      </c>
      <c r="K2318" s="15" t="str">
        <f t="shared" si="799"/>
        <v>Clothing and Apparel</v>
      </c>
      <c r="L2318" s="15" t="str">
        <f t="shared" si="800"/>
        <v xml:space="preserve">Doctor Who: T-Shirts: 5th Doctor Costume </v>
      </c>
      <c r="M2318" s="15" t="str">
        <f t="shared" si="801"/>
        <v>M</v>
      </c>
      <c r="N2318" s="15">
        <f t="shared" si="802"/>
        <v>0.8</v>
      </c>
      <c r="O2318" s="15" t="str">
        <f t="shared" si="803"/>
        <v>A30</v>
      </c>
      <c r="P2318" s="15" t="str">
        <f t="shared" si="804"/>
        <v>Chesterton Enterprises</v>
      </c>
      <c r="Q2318" s="15" t="str">
        <f t="shared" si="805"/>
        <v>41 William Russell Road</v>
      </c>
      <c r="R2318" s="3">
        <f>OrdersTable!C2318</f>
        <v>44728</v>
      </c>
      <c r="S2318" s="15">
        <f>OrdersTable!E2318</f>
        <v>6</v>
      </c>
      <c r="T2318" s="15">
        <f t="shared" si="806"/>
        <v>15.99</v>
      </c>
      <c r="U2318" s="15">
        <f t="shared" si="807"/>
        <v>21.96</v>
      </c>
      <c r="V2318" s="15">
        <f t="shared" si="808"/>
        <v>25.9</v>
      </c>
      <c r="W2318" s="15">
        <f>IF(MarkupType="Store Markup",ROUND(V2318+V2318*StoreMarkup,2),IF(MarkupType="Supplier Markup",V2318+V2318*SupplierMarkup,"Error at finding value"))</f>
        <v>40.79</v>
      </c>
      <c r="X2318" s="32" t="str">
        <f t="shared" si="810"/>
        <v>0.00</v>
      </c>
      <c r="Y2318" s="15">
        <f t="shared" si="811"/>
        <v>155.4</v>
      </c>
      <c r="Z2318" s="15">
        <f t="shared" si="812"/>
        <v>244.74</v>
      </c>
      <c r="AA2318" s="15">
        <f>IF(FreightType="Lethbridge-Stewart Freight ",ROUND(2.99+IF(N2318&gt;0.75,(N2318-0.75)*2.25,0)*S2318,2),IF(MarkupType="Supplier Markup",V2318+V2318*SupplierMarkup,"Error at finding value"))</f>
        <v>3.67</v>
      </c>
      <c r="AB2318" s="15">
        <f t="shared" si="813"/>
        <v>0</v>
      </c>
    </row>
    <row r="2319" spans="1:28" x14ac:dyDescent="0.25">
      <c r="A2319" s="16">
        <f>OrdersTable!A2319</f>
        <v>906</v>
      </c>
      <c r="B2319" s="15" t="str">
        <f t="shared" si="793"/>
        <v>Mrs</v>
      </c>
      <c r="C2319" s="15" t="str">
        <f t="shared" si="814"/>
        <v>Turner</v>
      </c>
      <c r="D2319" s="15" t="str">
        <f t="shared" si="794"/>
        <v>Courtney</v>
      </c>
      <c r="E2319" s="15" t="str">
        <f t="shared" si="795"/>
        <v>42 Fearon Avenue</v>
      </c>
      <c r="F2319" s="15" t="str">
        <f t="shared" si="796"/>
        <v>Breakwater</v>
      </c>
      <c r="G2319" s="15" t="str">
        <f t="shared" si="797"/>
        <v>VIC</v>
      </c>
      <c r="H2319" s="15">
        <f t="shared" si="798"/>
        <v>3219</v>
      </c>
      <c r="I2319" s="15">
        <f t="shared" si="809"/>
        <v>1596</v>
      </c>
      <c r="J2319" s="15">
        <f>OrdersTable!B2319</f>
        <v>358</v>
      </c>
      <c r="K2319" s="15" t="str">
        <f t="shared" si="799"/>
        <v>Clothing and Apparel</v>
      </c>
      <c r="L2319" s="15" t="str">
        <f t="shared" si="800"/>
        <v xml:space="preserve">Doctor Who: T-Shirts: 5th Doctor Costume </v>
      </c>
      <c r="M2319" s="15" t="str">
        <f t="shared" si="801"/>
        <v>M</v>
      </c>
      <c r="N2319" s="15">
        <f t="shared" si="802"/>
        <v>0.8</v>
      </c>
      <c r="O2319" s="15" t="str">
        <f t="shared" si="803"/>
        <v>A30</v>
      </c>
      <c r="P2319" s="15" t="str">
        <f t="shared" si="804"/>
        <v>Chesterton Enterprises</v>
      </c>
      <c r="Q2319" s="15" t="str">
        <f t="shared" si="805"/>
        <v>41 William Russell Road</v>
      </c>
      <c r="R2319" s="3">
        <f>OrdersTable!C2319</f>
        <v>44728</v>
      </c>
      <c r="S2319" s="15">
        <f>OrdersTable!E2319</f>
        <v>4</v>
      </c>
      <c r="T2319" s="15">
        <f t="shared" si="806"/>
        <v>15.99</v>
      </c>
      <c r="U2319" s="15">
        <f t="shared" si="807"/>
        <v>21.96</v>
      </c>
      <c r="V2319" s="15">
        <f t="shared" si="808"/>
        <v>25.9</v>
      </c>
      <c r="W2319" s="15">
        <f>IF(MarkupType="Store Markup",ROUND(V2319+V2319*StoreMarkup,2),IF(MarkupType="Supplier Markup",V2319+V2319*SupplierMarkup,"Error at finding value"))</f>
        <v>40.79</v>
      </c>
      <c r="X2319" s="32" t="str">
        <f t="shared" si="810"/>
        <v>0.00</v>
      </c>
      <c r="Y2319" s="15">
        <f t="shared" si="811"/>
        <v>103.6</v>
      </c>
      <c r="Z2319" s="15">
        <f t="shared" si="812"/>
        <v>163.16</v>
      </c>
      <c r="AA2319" s="15">
        <f>IF(FreightType="Lethbridge-Stewart Freight ",ROUND(2.99+IF(N2319&gt;0.75,(N2319-0.75)*2.25,0)*S2319,2),IF(MarkupType="Supplier Markup",V2319+V2319*SupplierMarkup,"Error at finding value"))</f>
        <v>3.44</v>
      </c>
      <c r="AB2319" s="15">
        <f t="shared" si="813"/>
        <v>0</v>
      </c>
    </row>
    <row r="2320" spans="1:28" x14ac:dyDescent="0.25">
      <c r="A2320" s="16">
        <f>OrdersTable!A2320</f>
        <v>66</v>
      </c>
      <c r="B2320" s="15" t="str">
        <f t="shared" si="793"/>
        <v>Mr</v>
      </c>
      <c r="C2320" s="15" t="str">
        <f t="shared" si="814"/>
        <v>Bachmann</v>
      </c>
      <c r="D2320" s="15" t="str">
        <f t="shared" si="794"/>
        <v>Aaron</v>
      </c>
      <c r="E2320" s="15" t="str">
        <f t="shared" si="795"/>
        <v>3 Csabai Avenue</v>
      </c>
      <c r="F2320" s="15" t="str">
        <f t="shared" si="796"/>
        <v>Bridgewater</v>
      </c>
      <c r="G2320" s="15" t="str">
        <f t="shared" si="797"/>
        <v>VIC</v>
      </c>
      <c r="H2320" s="15">
        <f t="shared" si="798"/>
        <v>3516</v>
      </c>
      <c r="I2320" s="15">
        <f t="shared" si="809"/>
        <v>1486</v>
      </c>
      <c r="J2320" s="15">
        <f>OrdersTable!B2320</f>
        <v>698</v>
      </c>
      <c r="K2320" s="15" t="str">
        <f t="shared" si="799"/>
        <v>Posters, Prints and Standees</v>
      </c>
      <c r="L2320" s="15" t="str">
        <f t="shared" si="800"/>
        <v>Doctor Who: Art Print: My Mysterious Doctor</v>
      </c>
      <c r="M2320" s="15" t="str">
        <f t="shared" si="801"/>
        <v>-</v>
      </c>
      <c r="N2320" s="15">
        <f t="shared" si="802"/>
        <v>0.75</v>
      </c>
      <c r="O2320" s="15" t="str">
        <f t="shared" si="803"/>
        <v>A30</v>
      </c>
      <c r="P2320" s="15" t="str">
        <f t="shared" si="804"/>
        <v>Chesterton Enterprises</v>
      </c>
      <c r="Q2320" s="15" t="str">
        <f t="shared" si="805"/>
        <v>41 William Russell Road</v>
      </c>
      <c r="R2320" s="3">
        <f>OrdersTable!C2320</f>
        <v>44729</v>
      </c>
      <c r="S2320" s="15">
        <f>OrdersTable!E2320</f>
        <v>2</v>
      </c>
      <c r="T2320" s="15">
        <f t="shared" si="806"/>
        <v>14.99</v>
      </c>
      <c r="U2320" s="15">
        <f t="shared" si="807"/>
        <v>20.56</v>
      </c>
      <c r="V2320" s="15">
        <f t="shared" si="808"/>
        <v>24.28</v>
      </c>
      <c r="W2320" s="15">
        <f>IF(MarkupType="Store Markup",ROUND(V2320+V2320*StoreMarkup,2),IF(MarkupType="Supplier Markup",V2320+V2320*SupplierMarkup,"Error at finding value"))</f>
        <v>38.24</v>
      </c>
      <c r="X2320" s="32" t="str">
        <f t="shared" si="810"/>
        <v>0.00</v>
      </c>
      <c r="Y2320" s="15">
        <f t="shared" si="811"/>
        <v>48.56</v>
      </c>
      <c r="Z2320" s="15">
        <f t="shared" si="812"/>
        <v>76.48</v>
      </c>
      <c r="AA2320" s="15">
        <f>IF(FreightType="Lethbridge-Stewart Freight ",ROUND(2.99+IF(N2320&gt;0.75,(N2320-0.75)*2.25,0)*S2320,2),IF(MarkupType="Supplier Markup",V2320+V2320*SupplierMarkup,"Error at finding value"))</f>
        <v>2.99</v>
      </c>
      <c r="AB2320" s="15">
        <f t="shared" si="813"/>
        <v>0</v>
      </c>
    </row>
    <row r="2321" spans="1:28" x14ac:dyDescent="0.25">
      <c r="A2321" s="16">
        <f>OrdersTable!A2321</f>
        <v>81</v>
      </c>
      <c r="B2321" s="15" t="str">
        <f t="shared" si="793"/>
        <v>Ms</v>
      </c>
      <c r="C2321" s="15" t="str">
        <f t="shared" si="814"/>
        <v>Madsen</v>
      </c>
      <c r="D2321" s="15" t="str">
        <f t="shared" si="794"/>
        <v>Kim Marie</v>
      </c>
      <c r="E2321" s="15" t="str">
        <f t="shared" si="795"/>
        <v>42 Singh Drive</v>
      </c>
      <c r="F2321" s="15" t="str">
        <f t="shared" si="796"/>
        <v>Caliph</v>
      </c>
      <c r="G2321" s="15" t="str">
        <f t="shared" si="797"/>
        <v>SA</v>
      </c>
      <c r="H2321" s="15">
        <f t="shared" si="798"/>
        <v>5310</v>
      </c>
      <c r="I2321" s="15">
        <f t="shared" si="809"/>
        <v>1720</v>
      </c>
      <c r="J2321" s="15">
        <f>OrdersTable!B2321</f>
        <v>681</v>
      </c>
      <c r="K2321" s="15" t="str">
        <f t="shared" si="799"/>
        <v>Mugs</v>
      </c>
      <c r="L2321" s="15" t="str">
        <f t="shared" si="800"/>
        <v>Doctor Who: Mug: The First Doctor</v>
      </c>
      <c r="M2321" s="15" t="str">
        <f t="shared" si="801"/>
        <v>-</v>
      </c>
      <c r="N2321" s="15">
        <f t="shared" si="802"/>
        <v>0.45</v>
      </c>
      <c r="O2321" s="15" t="str">
        <f t="shared" si="803"/>
        <v>A20</v>
      </c>
      <c r="P2321" s="15" t="str">
        <f t="shared" si="804"/>
        <v>Morbius Inc.</v>
      </c>
      <c r="Q2321" s="15" t="str">
        <f t="shared" si="805"/>
        <v>56 Michael Spice Hwy</v>
      </c>
      <c r="R2321" s="3">
        <f>OrdersTable!C2321</f>
        <v>44729</v>
      </c>
      <c r="S2321" s="15">
        <f>OrdersTable!E2321</f>
        <v>4</v>
      </c>
      <c r="T2321" s="15">
        <f t="shared" si="806"/>
        <v>8.99</v>
      </c>
      <c r="U2321" s="15">
        <f t="shared" si="807"/>
        <v>12.51</v>
      </c>
      <c r="V2321" s="15">
        <f t="shared" si="808"/>
        <v>14.56</v>
      </c>
      <c r="W2321" s="15">
        <f>IF(MarkupType="Store Markup",ROUND(V2321+V2321*StoreMarkup,2),IF(MarkupType="Supplier Markup",V2321+V2321*SupplierMarkup,"Error at finding value"))</f>
        <v>22.93</v>
      </c>
      <c r="X2321" s="32" t="str">
        <f t="shared" si="810"/>
        <v>0.00</v>
      </c>
      <c r="Y2321" s="15">
        <f t="shared" si="811"/>
        <v>58.24</v>
      </c>
      <c r="Z2321" s="15">
        <f t="shared" si="812"/>
        <v>91.72</v>
      </c>
      <c r="AA2321" s="15">
        <f>IF(FreightType="Lethbridge-Stewart Freight ",ROUND(2.99+IF(N2321&gt;0.75,(N2321-0.75)*2.25,0)*S2321,2),IF(MarkupType="Supplier Markup",V2321+V2321*SupplierMarkup,"Error at finding value"))</f>
        <v>2.99</v>
      </c>
      <c r="AB2321" s="15">
        <f t="shared" si="813"/>
        <v>0</v>
      </c>
    </row>
    <row r="2322" spans="1:28" x14ac:dyDescent="0.25">
      <c r="A2322" s="16">
        <f>OrdersTable!A2322</f>
        <v>254</v>
      </c>
      <c r="B2322" s="15" t="str">
        <f t="shared" si="793"/>
        <v>Miss</v>
      </c>
      <c r="C2322" s="15" t="str">
        <f t="shared" si="814"/>
        <v>Hoolihan</v>
      </c>
      <c r="D2322" s="15" t="str">
        <f t="shared" si="794"/>
        <v>Crystal Claire Grace</v>
      </c>
      <c r="E2322" s="15" t="str">
        <f t="shared" si="795"/>
        <v>7 Van Riet Avenue</v>
      </c>
      <c r="F2322" s="15" t="str">
        <f t="shared" si="796"/>
        <v>Aberfoyle</v>
      </c>
      <c r="G2322" s="15" t="str">
        <f t="shared" si="797"/>
        <v>NSW</v>
      </c>
      <c r="H2322" s="15">
        <f t="shared" si="798"/>
        <v>2350</v>
      </c>
      <c r="I2322" s="15">
        <f t="shared" si="809"/>
        <v>363</v>
      </c>
      <c r="J2322" s="15">
        <f>OrdersTable!B2322</f>
        <v>834</v>
      </c>
      <c r="K2322" s="15" t="str">
        <f t="shared" si="799"/>
        <v>Statues and Busts</v>
      </c>
      <c r="L2322" s="15" t="str">
        <f t="shared" si="800"/>
        <v>Doctor Who: Signature Edition Statue: Gallifrey Edition: Matt Smith</v>
      </c>
      <c r="M2322" s="15" t="str">
        <f t="shared" si="801"/>
        <v>-</v>
      </c>
      <c r="N2322" s="15">
        <f t="shared" si="802"/>
        <v>2.5</v>
      </c>
      <c r="O2322" s="15" t="str">
        <f t="shared" si="803"/>
        <v>A30</v>
      </c>
      <c r="P2322" s="15" t="str">
        <f t="shared" si="804"/>
        <v>Chesterton Enterprises</v>
      </c>
      <c r="Q2322" s="15" t="str">
        <f t="shared" si="805"/>
        <v>41 William Russell Road</v>
      </c>
      <c r="R2322" s="3">
        <f>OrdersTable!C2322</f>
        <v>44729</v>
      </c>
      <c r="S2322" s="15">
        <f>OrdersTable!E2322</f>
        <v>7</v>
      </c>
      <c r="T2322" s="15">
        <f t="shared" si="806"/>
        <v>49.99</v>
      </c>
      <c r="U2322" s="15">
        <f t="shared" si="807"/>
        <v>68.52</v>
      </c>
      <c r="V2322" s="15">
        <f t="shared" si="808"/>
        <v>80.98</v>
      </c>
      <c r="W2322" s="15">
        <f>IF(MarkupType="Store Markup",ROUND(V2322+V2322*StoreMarkup,2),IF(MarkupType="Supplier Markup",V2322+V2322*SupplierMarkup,"Error at finding value"))</f>
        <v>127.54</v>
      </c>
      <c r="X2322" s="32">
        <f t="shared" si="810"/>
        <v>9.09</v>
      </c>
      <c r="Y2322" s="15">
        <f t="shared" si="811"/>
        <v>566.86</v>
      </c>
      <c r="Z2322" s="15">
        <f t="shared" si="812"/>
        <v>829.15</v>
      </c>
      <c r="AA2322" s="15">
        <f>IF(FreightType="Lethbridge-Stewart Freight ",ROUND(2.99+IF(N2322&gt;0.75,(N2322-0.75)*2.25,0)*S2322,2),IF(MarkupType="Supplier Markup",V2322+V2322*SupplierMarkup,"Error at finding value"))</f>
        <v>30.55</v>
      </c>
      <c r="AB2322" s="15">
        <f t="shared" si="813"/>
        <v>63.63</v>
      </c>
    </row>
    <row r="2323" spans="1:28" x14ac:dyDescent="0.25">
      <c r="A2323" s="16">
        <f>OrdersTable!A2323</f>
        <v>332</v>
      </c>
      <c r="B2323" s="15" t="str">
        <f t="shared" si="793"/>
        <v>Mr</v>
      </c>
      <c r="C2323" s="15" t="str">
        <f t="shared" si="814"/>
        <v>Selman</v>
      </c>
      <c r="D2323" s="15" t="str">
        <f t="shared" si="794"/>
        <v>Jack Ryan</v>
      </c>
      <c r="E2323" s="15" t="str">
        <f t="shared" si="795"/>
        <v>17 Van Essen Street</v>
      </c>
      <c r="F2323" s="15" t="str">
        <f t="shared" si="796"/>
        <v>Airly</v>
      </c>
      <c r="G2323" s="15" t="str">
        <f t="shared" si="797"/>
        <v>VIC</v>
      </c>
      <c r="H2323" s="15">
        <f t="shared" si="798"/>
        <v>3851</v>
      </c>
      <c r="I2323" s="15">
        <f t="shared" si="809"/>
        <v>1583</v>
      </c>
      <c r="J2323" s="15">
        <f>OrdersTable!B2323</f>
        <v>398</v>
      </c>
      <c r="K2323" s="15" t="str">
        <f t="shared" si="799"/>
        <v>Clothing and Apparel</v>
      </c>
      <c r="L2323" s="15" t="str">
        <f t="shared" si="800"/>
        <v>Doctor Who: Women's Winter Pyjamas</v>
      </c>
      <c r="M2323" s="15" t="str">
        <f t="shared" si="801"/>
        <v>S</v>
      </c>
      <c r="N2323" s="15">
        <f t="shared" si="802"/>
        <v>1.5</v>
      </c>
      <c r="O2323" s="15" t="str">
        <f t="shared" si="803"/>
        <v>A40</v>
      </c>
      <c r="P2323" s="15" t="str">
        <f t="shared" si="804"/>
        <v>Romana Imports</v>
      </c>
      <c r="Q2323" s="15" t="str">
        <f t="shared" si="805"/>
        <v>17 Lalla Ward Road</v>
      </c>
      <c r="R2323" s="3">
        <f>OrdersTable!C2323</f>
        <v>44729</v>
      </c>
      <c r="S2323" s="15">
        <f>OrdersTable!E2323</f>
        <v>2</v>
      </c>
      <c r="T2323" s="15">
        <f t="shared" si="806"/>
        <v>29.99</v>
      </c>
      <c r="U2323" s="15">
        <f t="shared" si="807"/>
        <v>41.07</v>
      </c>
      <c r="V2323" s="15">
        <f t="shared" si="808"/>
        <v>48.58</v>
      </c>
      <c r="W2323" s="15">
        <f>IF(MarkupType="Store Markup",ROUND(V2323+V2323*StoreMarkup,2),IF(MarkupType="Supplier Markup",V2323+V2323*SupplierMarkup,"Error at finding value"))</f>
        <v>76.510000000000005</v>
      </c>
      <c r="X2323" s="32" t="str">
        <f t="shared" si="810"/>
        <v>0.00</v>
      </c>
      <c r="Y2323" s="15">
        <f t="shared" si="811"/>
        <v>97.16</v>
      </c>
      <c r="Z2323" s="15">
        <f t="shared" si="812"/>
        <v>153.02000000000001</v>
      </c>
      <c r="AA2323" s="15">
        <f>IF(FreightType="Lethbridge-Stewart Freight ",ROUND(2.99+IF(N2323&gt;0.75,(N2323-0.75)*2.25,0)*S2323,2),IF(MarkupType="Supplier Markup",V2323+V2323*SupplierMarkup,"Error at finding value"))</f>
        <v>6.37</v>
      </c>
      <c r="AB2323" s="15">
        <f t="shared" si="813"/>
        <v>0</v>
      </c>
    </row>
    <row r="2324" spans="1:28" x14ac:dyDescent="0.25">
      <c r="A2324" s="16">
        <f>OrdersTable!A2324</f>
        <v>333</v>
      </c>
      <c r="B2324" s="15" t="str">
        <f t="shared" si="793"/>
        <v>Mr</v>
      </c>
      <c r="C2324" s="15" t="str">
        <f t="shared" si="814"/>
        <v>Martin</v>
      </c>
      <c r="D2324" s="15" t="str">
        <f t="shared" si="794"/>
        <v>Damien Roger</v>
      </c>
      <c r="E2324" s="15" t="str">
        <f t="shared" si="795"/>
        <v>23 Quennell Way</v>
      </c>
      <c r="F2324" s="15" t="str">
        <f t="shared" si="796"/>
        <v>Aberfoyle</v>
      </c>
      <c r="G2324" s="15" t="str">
        <f t="shared" si="797"/>
        <v>NSW</v>
      </c>
      <c r="H2324" s="15">
        <f t="shared" si="798"/>
        <v>2350</v>
      </c>
      <c r="I2324" s="15">
        <f t="shared" si="809"/>
        <v>363</v>
      </c>
      <c r="J2324" s="15">
        <f>OrdersTable!B2324</f>
        <v>177</v>
      </c>
      <c r="K2324" s="15" t="str">
        <f t="shared" si="799"/>
        <v>Bobbleheads</v>
      </c>
      <c r="L2324" s="15" t="str">
        <f t="shared" si="800"/>
        <v>Doctor Who: Bobblehead: TARDIS (With Sound)</v>
      </c>
      <c r="M2324" s="15" t="str">
        <f t="shared" si="801"/>
        <v>-</v>
      </c>
      <c r="N2324" s="15">
        <f t="shared" si="802"/>
        <v>1</v>
      </c>
      <c r="O2324" s="15" t="str">
        <f t="shared" si="803"/>
        <v>A30</v>
      </c>
      <c r="P2324" s="15" t="str">
        <f t="shared" si="804"/>
        <v>Chesterton Enterprises</v>
      </c>
      <c r="Q2324" s="15" t="str">
        <f t="shared" si="805"/>
        <v>41 William Russell Road</v>
      </c>
      <c r="R2324" s="3">
        <f>OrdersTable!C2324</f>
        <v>44729</v>
      </c>
      <c r="S2324" s="15">
        <f>OrdersTable!E2324</f>
        <v>2</v>
      </c>
      <c r="T2324" s="15">
        <f t="shared" si="806"/>
        <v>19.989999999999998</v>
      </c>
      <c r="U2324" s="15">
        <f t="shared" si="807"/>
        <v>27.6</v>
      </c>
      <c r="V2324" s="15">
        <f t="shared" si="808"/>
        <v>32.380000000000003</v>
      </c>
      <c r="W2324" s="15">
        <f>IF(MarkupType="Store Markup",ROUND(V2324+V2324*StoreMarkup,2),IF(MarkupType="Supplier Markup",V2324+V2324*SupplierMarkup,"Error at finding value"))</f>
        <v>51</v>
      </c>
      <c r="X2324" s="32" t="str">
        <f t="shared" si="810"/>
        <v>0.00</v>
      </c>
      <c r="Y2324" s="15">
        <f t="shared" si="811"/>
        <v>64.760000000000005</v>
      </c>
      <c r="Z2324" s="15">
        <f t="shared" si="812"/>
        <v>102</v>
      </c>
      <c r="AA2324" s="15">
        <f>IF(FreightType="Lethbridge-Stewart Freight ",ROUND(2.99+IF(N2324&gt;0.75,(N2324-0.75)*2.25,0)*S2324,2),IF(MarkupType="Supplier Markup",V2324+V2324*SupplierMarkup,"Error at finding value"))</f>
        <v>4.12</v>
      </c>
      <c r="AB2324" s="15">
        <f t="shared" si="813"/>
        <v>0</v>
      </c>
    </row>
    <row r="2325" spans="1:28" x14ac:dyDescent="0.25">
      <c r="A2325" s="16">
        <f>OrdersTable!A2325</f>
        <v>527</v>
      </c>
      <c r="B2325" s="15" t="str">
        <f t="shared" si="793"/>
        <v>Mr</v>
      </c>
      <c r="C2325" s="15" t="str">
        <f t="shared" si="814"/>
        <v>McTaggart</v>
      </c>
      <c r="D2325" s="15" t="str">
        <f t="shared" si="794"/>
        <v>Daniel</v>
      </c>
      <c r="E2325" s="15" t="str">
        <f t="shared" si="795"/>
        <v>24 Mulholland Avenue</v>
      </c>
      <c r="F2325" s="15" t="str">
        <f t="shared" si="796"/>
        <v>Belconnen</v>
      </c>
      <c r="G2325" s="15" t="str">
        <f t="shared" si="797"/>
        <v>ACT</v>
      </c>
      <c r="H2325" s="15">
        <f t="shared" si="798"/>
        <v>2617</v>
      </c>
      <c r="I2325" s="15">
        <f t="shared" si="809"/>
        <v>1194</v>
      </c>
      <c r="J2325" s="15">
        <f>OrdersTable!B2325</f>
        <v>590</v>
      </c>
      <c r="K2325" s="15" t="str">
        <f t="shared" si="799"/>
        <v>iPhone Skins</v>
      </c>
      <c r="L2325" s="15" t="str">
        <f t="shared" si="800"/>
        <v>Doctor Who: iPhone Skin: Exploding TARDIS</v>
      </c>
      <c r="M2325" s="15" t="str">
        <f t="shared" si="801"/>
        <v>-</v>
      </c>
      <c r="N2325" s="15">
        <f t="shared" si="802"/>
        <v>0.5</v>
      </c>
      <c r="O2325" s="15" t="str">
        <f t="shared" si="803"/>
        <v>A20</v>
      </c>
      <c r="P2325" s="15" t="str">
        <f t="shared" si="804"/>
        <v>Morbius Inc.</v>
      </c>
      <c r="Q2325" s="15" t="str">
        <f t="shared" si="805"/>
        <v>56 Michael Spice Hwy</v>
      </c>
      <c r="R2325" s="3">
        <f>OrdersTable!C2325</f>
        <v>44729</v>
      </c>
      <c r="S2325" s="15">
        <f>OrdersTable!E2325</f>
        <v>6</v>
      </c>
      <c r="T2325" s="15">
        <f t="shared" si="806"/>
        <v>9.99</v>
      </c>
      <c r="U2325" s="15">
        <f t="shared" si="807"/>
        <v>13.86</v>
      </c>
      <c r="V2325" s="15">
        <f t="shared" si="808"/>
        <v>16.18</v>
      </c>
      <c r="W2325" s="15">
        <f>IF(MarkupType="Store Markup",ROUND(V2325+V2325*StoreMarkup,2),IF(MarkupType="Supplier Markup",V2325+V2325*SupplierMarkup,"Error at finding value"))</f>
        <v>25.48</v>
      </c>
      <c r="X2325" s="32" t="str">
        <f t="shared" si="810"/>
        <v>0.00</v>
      </c>
      <c r="Y2325" s="15">
        <f t="shared" si="811"/>
        <v>97.08</v>
      </c>
      <c r="Z2325" s="15">
        <f t="shared" si="812"/>
        <v>152.88</v>
      </c>
      <c r="AA2325" s="15">
        <f>IF(FreightType="Lethbridge-Stewart Freight ",ROUND(2.99+IF(N2325&gt;0.75,(N2325-0.75)*2.25,0)*S2325,2),IF(MarkupType="Supplier Markup",V2325+V2325*SupplierMarkup,"Error at finding value"))</f>
        <v>2.99</v>
      </c>
      <c r="AB2325" s="15">
        <f t="shared" si="813"/>
        <v>0</v>
      </c>
    </row>
    <row r="2326" spans="1:28" x14ac:dyDescent="0.25">
      <c r="A2326" s="16">
        <f>OrdersTable!A2326</f>
        <v>580</v>
      </c>
      <c r="B2326" s="15" t="str">
        <f t="shared" si="793"/>
        <v>Mr</v>
      </c>
      <c r="C2326" s="15" t="str">
        <f t="shared" si="814"/>
        <v>Faatoafe</v>
      </c>
      <c r="D2326" s="15" t="str">
        <f t="shared" si="794"/>
        <v>Jasson Iosefa</v>
      </c>
      <c r="E2326" s="15" t="str">
        <f t="shared" si="795"/>
        <v>29 Schaffer Boulevard</v>
      </c>
      <c r="F2326" s="15" t="str">
        <f t="shared" si="796"/>
        <v>Binduli</v>
      </c>
      <c r="G2326" s="15" t="str">
        <f t="shared" si="797"/>
        <v>WA</v>
      </c>
      <c r="H2326" s="15">
        <f t="shared" si="798"/>
        <v>6430</v>
      </c>
      <c r="I2326" s="15">
        <f t="shared" si="809"/>
        <v>3543</v>
      </c>
      <c r="J2326" s="15">
        <f>OrdersTable!B2326</f>
        <v>580</v>
      </c>
      <c r="K2326" s="15" t="str">
        <f t="shared" si="799"/>
        <v>Giftware</v>
      </c>
      <c r="L2326" s="15" t="str">
        <f t="shared" si="800"/>
        <v>Doctor Who: Wallpaper: Classic TARDIS Columns</v>
      </c>
      <c r="M2326" s="15" t="str">
        <f t="shared" si="801"/>
        <v>-</v>
      </c>
      <c r="N2326" s="15">
        <f t="shared" si="802"/>
        <v>0.65500000000000003</v>
      </c>
      <c r="O2326" s="15" t="str">
        <f t="shared" si="803"/>
        <v>A50</v>
      </c>
      <c r="P2326" s="15" t="str">
        <f t="shared" si="804"/>
        <v>Rassilon Ltd.</v>
      </c>
      <c r="Q2326" s="15" t="str">
        <f t="shared" si="805"/>
        <v>82 Richard Mathews Road</v>
      </c>
      <c r="R2326" s="3">
        <f>OrdersTable!C2326</f>
        <v>44729</v>
      </c>
      <c r="S2326" s="15">
        <f>OrdersTable!E2326</f>
        <v>9</v>
      </c>
      <c r="T2326" s="15">
        <f t="shared" si="806"/>
        <v>13.11</v>
      </c>
      <c r="U2326" s="15">
        <f t="shared" si="807"/>
        <v>18.18</v>
      </c>
      <c r="V2326" s="15">
        <f t="shared" si="808"/>
        <v>21.24</v>
      </c>
      <c r="W2326" s="15">
        <f>IF(MarkupType="Store Markup",ROUND(V2326+V2326*StoreMarkup,2),IF(MarkupType="Supplier Markup",V2326+V2326*SupplierMarkup,"Error at finding value"))</f>
        <v>33.450000000000003</v>
      </c>
      <c r="X2326" s="32" t="str">
        <f t="shared" si="810"/>
        <v>0.00</v>
      </c>
      <c r="Y2326" s="15">
        <f t="shared" si="811"/>
        <v>191.16</v>
      </c>
      <c r="Z2326" s="15">
        <f t="shared" si="812"/>
        <v>301.05</v>
      </c>
      <c r="AA2326" s="15">
        <f>IF(FreightType="Lethbridge-Stewart Freight ",ROUND(2.99+IF(N2326&gt;0.75,(N2326-0.75)*2.25,0)*S2326,2),IF(MarkupType="Supplier Markup",V2326+V2326*SupplierMarkup,"Error at finding value"))</f>
        <v>2.99</v>
      </c>
      <c r="AB2326" s="15">
        <f t="shared" si="813"/>
        <v>0</v>
      </c>
    </row>
    <row r="2327" spans="1:28" x14ac:dyDescent="0.25">
      <c r="A2327" s="16">
        <f>OrdersTable!A2327</f>
        <v>586</v>
      </c>
      <c r="B2327" s="15" t="str">
        <f t="shared" si="793"/>
        <v>Dr</v>
      </c>
      <c r="C2327" s="15" t="str">
        <f t="shared" si="814"/>
        <v>Coetzee</v>
      </c>
      <c r="D2327" s="15" t="str">
        <f t="shared" si="794"/>
        <v>Riekert</v>
      </c>
      <c r="E2327" s="15" t="str">
        <f t="shared" si="795"/>
        <v>5 Western Road</v>
      </c>
      <c r="F2327" s="15" t="str">
        <f t="shared" si="796"/>
        <v>Alfredtown</v>
      </c>
      <c r="G2327" s="15" t="str">
        <f t="shared" si="797"/>
        <v>NSW</v>
      </c>
      <c r="H2327" s="15">
        <f t="shared" si="798"/>
        <v>2650</v>
      </c>
      <c r="I2327" s="15">
        <f t="shared" si="809"/>
        <v>1124</v>
      </c>
      <c r="J2327" s="15">
        <f>OrdersTable!B2327</f>
        <v>692</v>
      </c>
      <c r="K2327" s="15" t="str">
        <f t="shared" si="799"/>
        <v>Posters, Prints and Standees</v>
      </c>
      <c r="L2327" s="15" t="str">
        <f t="shared" si="800"/>
        <v>Doctor Who: 16'x12' Framed Print: Exploding TARDIS</v>
      </c>
      <c r="M2327" s="15" t="str">
        <f t="shared" si="801"/>
        <v>-</v>
      </c>
      <c r="N2327" s="15">
        <f t="shared" si="802"/>
        <v>0.75</v>
      </c>
      <c r="O2327" s="15" t="str">
        <f t="shared" si="803"/>
        <v>A30</v>
      </c>
      <c r="P2327" s="15" t="str">
        <f t="shared" si="804"/>
        <v>Chesterton Enterprises</v>
      </c>
      <c r="Q2327" s="15" t="str">
        <f t="shared" si="805"/>
        <v>41 William Russell Road</v>
      </c>
      <c r="R2327" s="3">
        <f>OrdersTable!C2327</f>
        <v>44729</v>
      </c>
      <c r="S2327" s="15">
        <f>OrdersTable!E2327</f>
        <v>8</v>
      </c>
      <c r="T2327" s="15">
        <f t="shared" si="806"/>
        <v>14.99</v>
      </c>
      <c r="U2327" s="15">
        <f t="shared" si="807"/>
        <v>20.54</v>
      </c>
      <c r="V2327" s="15">
        <f t="shared" si="808"/>
        <v>24.28</v>
      </c>
      <c r="W2327" s="15">
        <f>IF(MarkupType="Store Markup",ROUND(V2327+V2327*StoreMarkup,2),IF(MarkupType="Supplier Markup",V2327+V2327*SupplierMarkup,"Error at finding value"))</f>
        <v>38.24</v>
      </c>
      <c r="X2327" s="32" t="str">
        <f t="shared" si="810"/>
        <v>0.00</v>
      </c>
      <c r="Y2327" s="15">
        <f t="shared" si="811"/>
        <v>194.24</v>
      </c>
      <c r="Z2327" s="15">
        <f t="shared" si="812"/>
        <v>305.92</v>
      </c>
      <c r="AA2327" s="15">
        <f>IF(FreightType="Lethbridge-Stewart Freight ",ROUND(2.99+IF(N2327&gt;0.75,(N2327-0.75)*2.25,0)*S2327,2),IF(MarkupType="Supplier Markup",V2327+V2327*SupplierMarkup,"Error at finding value"))</f>
        <v>2.99</v>
      </c>
      <c r="AB2327" s="15">
        <f t="shared" si="813"/>
        <v>0</v>
      </c>
    </row>
    <row r="2328" spans="1:28" x14ac:dyDescent="0.25">
      <c r="A2328" s="16">
        <f>OrdersTable!A2328</f>
        <v>594</v>
      </c>
      <c r="B2328" s="15" t="str">
        <f t="shared" si="793"/>
        <v>Mrs</v>
      </c>
      <c r="C2328" s="15" t="str">
        <f t="shared" si="814"/>
        <v>Entriken</v>
      </c>
      <c r="D2328" s="15" t="str">
        <f t="shared" si="794"/>
        <v>Gwenda Dawn</v>
      </c>
      <c r="E2328" s="15" t="str">
        <f t="shared" si="795"/>
        <v>8 Miljkovic Drive</v>
      </c>
      <c r="F2328" s="15" t="str">
        <f t="shared" si="796"/>
        <v>Nayook</v>
      </c>
      <c r="G2328" s="15" t="str">
        <f t="shared" si="797"/>
        <v>VIC</v>
      </c>
      <c r="H2328" s="15">
        <f t="shared" si="798"/>
        <v>3832</v>
      </c>
      <c r="I2328" s="15">
        <f t="shared" si="809"/>
        <v>1552</v>
      </c>
      <c r="J2328" s="15">
        <f>OrdersTable!B2328</f>
        <v>643</v>
      </c>
      <c r="K2328" s="15" t="str">
        <f t="shared" si="799"/>
        <v>Mugs</v>
      </c>
      <c r="L2328" s="15" t="str">
        <f t="shared" si="800"/>
        <v>Doctor Who: Giant Mug: Logo</v>
      </c>
      <c r="M2328" s="15" t="str">
        <f t="shared" si="801"/>
        <v>-</v>
      </c>
      <c r="N2328" s="15">
        <f t="shared" si="802"/>
        <v>0.44500000000000001</v>
      </c>
      <c r="O2328" s="15" t="str">
        <f t="shared" si="803"/>
        <v>A10</v>
      </c>
      <c r="P2328" s="15" t="str">
        <f t="shared" si="804"/>
        <v>Gallifrey International</v>
      </c>
      <c r="Q2328" s="15" t="str">
        <f t="shared" si="805"/>
        <v>181 Arcadia Street</v>
      </c>
      <c r="R2328" s="3">
        <f>OrdersTable!C2328</f>
        <v>44729</v>
      </c>
      <c r="S2328" s="15">
        <f>OrdersTable!E2328</f>
        <v>9</v>
      </c>
      <c r="T2328" s="15">
        <f t="shared" si="806"/>
        <v>8.89</v>
      </c>
      <c r="U2328" s="15">
        <f t="shared" si="807"/>
        <v>12.19</v>
      </c>
      <c r="V2328" s="15">
        <f t="shared" si="808"/>
        <v>14.4</v>
      </c>
      <c r="W2328" s="15">
        <f>IF(MarkupType="Store Markup",ROUND(V2328+V2328*StoreMarkup,2),IF(MarkupType="Supplier Markup",V2328+V2328*SupplierMarkup,"Error at finding value"))</f>
        <v>22.68</v>
      </c>
      <c r="X2328" s="32" t="str">
        <f t="shared" si="810"/>
        <v>0.00</v>
      </c>
      <c r="Y2328" s="15">
        <f t="shared" si="811"/>
        <v>129.6</v>
      </c>
      <c r="Z2328" s="15">
        <f t="shared" si="812"/>
        <v>204.12</v>
      </c>
      <c r="AA2328" s="15">
        <f>IF(FreightType="Lethbridge-Stewart Freight ",ROUND(2.99+IF(N2328&gt;0.75,(N2328-0.75)*2.25,0)*S2328,2),IF(MarkupType="Supplier Markup",V2328+V2328*SupplierMarkup,"Error at finding value"))</f>
        <v>2.99</v>
      </c>
      <c r="AB2328" s="15">
        <f t="shared" si="813"/>
        <v>0</v>
      </c>
    </row>
    <row r="2329" spans="1:28" x14ac:dyDescent="0.25">
      <c r="A2329" s="16">
        <f>OrdersTable!A2329</f>
        <v>602</v>
      </c>
      <c r="B2329" s="15" t="str">
        <f t="shared" si="793"/>
        <v>Mr</v>
      </c>
      <c r="C2329" s="15" t="str">
        <f t="shared" si="814"/>
        <v>Spinelli</v>
      </c>
      <c r="D2329" s="15" t="str">
        <f t="shared" si="794"/>
        <v>Paul Walter</v>
      </c>
      <c r="E2329" s="15" t="str">
        <f t="shared" si="795"/>
        <v>35 Azar Drive</v>
      </c>
      <c r="F2329" s="15" t="str">
        <f t="shared" si="796"/>
        <v>Bray Park</v>
      </c>
      <c r="G2329" s="15" t="str">
        <f t="shared" si="797"/>
        <v>QLD</v>
      </c>
      <c r="H2329" s="15">
        <f t="shared" si="798"/>
        <v>4500</v>
      </c>
      <c r="I2329" s="15">
        <f t="shared" si="809"/>
        <v>139</v>
      </c>
      <c r="J2329" s="15">
        <f>OrdersTable!B2329</f>
        <v>762</v>
      </c>
      <c r="K2329" s="15" t="str">
        <f t="shared" si="799"/>
        <v>Statues and Busts</v>
      </c>
      <c r="L2329" s="15" t="str">
        <f t="shared" si="800"/>
        <v>Doctor Who: Legends Forever Bust: Patrick Troughton</v>
      </c>
      <c r="M2329" s="15" t="str">
        <f t="shared" si="801"/>
        <v>-</v>
      </c>
      <c r="N2329" s="15">
        <f t="shared" si="802"/>
        <v>1.375</v>
      </c>
      <c r="O2329" s="15" t="str">
        <f t="shared" si="803"/>
        <v>A40</v>
      </c>
      <c r="P2329" s="15" t="str">
        <f t="shared" si="804"/>
        <v>Romana Imports</v>
      </c>
      <c r="Q2329" s="15" t="str">
        <f t="shared" si="805"/>
        <v>17 Lalla Ward Road</v>
      </c>
      <c r="R2329" s="3">
        <f>OrdersTable!C2329</f>
        <v>44729</v>
      </c>
      <c r="S2329" s="15">
        <f>OrdersTable!E2329</f>
        <v>5</v>
      </c>
      <c r="T2329" s="15">
        <f t="shared" si="806"/>
        <v>27.5</v>
      </c>
      <c r="U2329" s="15">
        <f t="shared" si="807"/>
        <v>37.799999999999997</v>
      </c>
      <c r="V2329" s="15">
        <f t="shared" si="808"/>
        <v>44.55</v>
      </c>
      <c r="W2329" s="15">
        <f>IF(MarkupType="Store Markup",ROUND(V2329+V2329*StoreMarkup,2),IF(MarkupType="Supplier Markup",V2329+V2329*SupplierMarkup,"Error at finding value"))</f>
        <v>70.17</v>
      </c>
      <c r="X2329" s="32" t="str">
        <f t="shared" si="810"/>
        <v>0.00</v>
      </c>
      <c r="Y2329" s="15">
        <f t="shared" si="811"/>
        <v>222.75</v>
      </c>
      <c r="Z2329" s="15">
        <f t="shared" si="812"/>
        <v>350.85</v>
      </c>
      <c r="AA2329" s="15">
        <f>IF(FreightType="Lethbridge-Stewart Freight ",ROUND(2.99+IF(N2329&gt;0.75,(N2329-0.75)*2.25,0)*S2329,2),IF(MarkupType="Supplier Markup",V2329+V2329*SupplierMarkup,"Error at finding value"))</f>
        <v>10.02</v>
      </c>
      <c r="AB2329" s="15">
        <f t="shared" si="813"/>
        <v>0</v>
      </c>
    </row>
    <row r="2330" spans="1:28" x14ac:dyDescent="0.25">
      <c r="A2330" s="16">
        <f>OrdersTable!A2330</f>
        <v>634</v>
      </c>
      <c r="B2330" s="15" t="str">
        <f t="shared" si="793"/>
        <v>Miss</v>
      </c>
      <c r="C2330" s="15" t="str">
        <f t="shared" si="814"/>
        <v>Betts</v>
      </c>
      <c r="D2330" s="15" t="str">
        <f t="shared" si="794"/>
        <v>Melissa Leigh</v>
      </c>
      <c r="E2330" s="15" t="str">
        <f t="shared" si="795"/>
        <v>4 Aitcheson Drive</v>
      </c>
      <c r="F2330" s="15" t="str">
        <f t="shared" si="796"/>
        <v>Bray Park</v>
      </c>
      <c r="G2330" s="15" t="str">
        <f t="shared" si="797"/>
        <v>QLD</v>
      </c>
      <c r="H2330" s="15">
        <f t="shared" si="798"/>
        <v>4500</v>
      </c>
      <c r="I2330" s="15">
        <f t="shared" si="809"/>
        <v>139</v>
      </c>
      <c r="J2330" s="15">
        <f>OrdersTable!B2330</f>
        <v>849</v>
      </c>
      <c r="K2330" s="15" t="str">
        <f t="shared" si="799"/>
        <v>Statues and Busts</v>
      </c>
      <c r="L2330" s="15" t="str">
        <f t="shared" si="800"/>
        <v>Doctor Who: Statue: Cyber Controller</v>
      </c>
      <c r="M2330" s="15" t="str">
        <f t="shared" si="801"/>
        <v>-</v>
      </c>
      <c r="N2330" s="15">
        <f t="shared" si="802"/>
        <v>5</v>
      </c>
      <c r="O2330" s="15" t="str">
        <f t="shared" si="803"/>
        <v>A10</v>
      </c>
      <c r="P2330" s="15" t="str">
        <f t="shared" si="804"/>
        <v>Gallifrey International</v>
      </c>
      <c r="Q2330" s="15" t="str">
        <f t="shared" si="805"/>
        <v>181 Arcadia Street</v>
      </c>
      <c r="R2330" s="3">
        <f>OrdersTable!C2330</f>
        <v>44729</v>
      </c>
      <c r="S2330" s="15">
        <f>OrdersTable!E2330</f>
        <v>6</v>
      </c>
      <c r="T2330" s="15">
        <f t="shared" si="806"/>
        <v>99.99</v>
      </c>
      <c r="U2330" s="15">
        <f t="shared" si="807"/>
        <v>136.41</v>
      </c>
      <c r="V2330" s="15">
        <f t="shared" si="808"/>
        <v>161.97999999999999</v>
      </c>
      <c r="W2330" s="15">
        <f>IF(MarkupType="Store Markup",ROUND(V2330+V2330*StoreMarkup,2),IF(MarkupType="Supplier Markup",V2330+V2330*SupplierMarkup,"Error at finding value"))</f>
        <v>255.12</v>
      </c>
      <c r="X2330" s="32">
        <f t="shared" si="810"/>
        <v>18.18</v>
      </c>
      <c r="Y2330" s="15">
        <f t="shared" si="811"/>
        <v>971.88</v>
      </c>
      <c r="Z2330" s="15">
        <f t="shared" si="812"/>
        <v>1421.64</v>
      </c>
      <c r="AA2330" s="15">
        <f>IF(FreightType="Lethbridge-Stewart Freight ",ROUND(2.99+IF(N2330&gt;0.75,(N2330-0.75)*2.25,0)*S2330,2),IF(MarkupType="Supplier Markup",V2330+V2330*SupplierMarkup,"Error at finding value"))</f>
        <v>60.37</v>
      </c>
      <c r="AB2330" s="15">
        <f t="shared" si="813"/>
        <v>109.08</v>
      </c>
    </row>
    <row r="2331" spans="1:28" x14ac:dyDescent="0.25">
      <c r="A2331" s="16">
        <f>OrdersTable!A2331</f>
        <v>657</v>
      </c>
      <c r="B2331" s="15" t="str">
        <f t="shared" si="793"/>
        <v>Mr</v>
      </c>
      <c r="C2331" s="15" t="str">
        <f t="shared" si="814"/>
        <v>Poljak</v>
      </c>
      <c r="D2331" s="15" t="str">
        <f t="shared" si="794"/>
        <v>Anthony</v>
      </c>
      <c r="E2331" s="15" t="str">
        <f t="shared" si="795"/>
        <v>45 Robertson Boulevard</v>
      </c>
      <c r="F2331" s="15" t="str">
        <f t="shared" si="796"/>
        <v>Iluka</v>
      </c>
      <c r="G2331" s="15" t="str">
        <f t="shared" si="797"/>
        <v>NSW</v>
      </c>
      <c r="H2331" s="15">
        <f t="shared" si="798"/>
        <v>2466</v>
      </c>
      <c r="I2331" s="15">
        <f t="shared" si="809"/>
        <v>347</v>
      </c>
      <c r="J2331" s="15">
        <f>OrdersTable!B2331</f>
        <v>862</v>
      </c>
      <c r="K2331" s="15" t="str">
        <f t="shared" si="799"/>
        <v>Statues and Busts</v>
      </c>
      <c r="L2331" s="15" t="str">
        <f t="shared" si="800"/>
        <v>Doctor Who: TITANS: The 10th Doctor</v>
      </c>
      <c r="M2331" s="15" t="str">
        <f t="shared" si="801"/>
        <v>-</v>
      </c>
      <c r="N2331" s="15">
        <f t="shared" si="802"/>
        <v>0.4</v>
      </c>
      <c r="O2331" s="15" t="str">
        <f t="shared" si="803"/>
        <v>A40</v>
      </c>
      <c r="P2331" s="15" t="str">
        <f t="shared" si="804"/>
        <v>Romana Imports</v>
      </c>
      <c r="Q2331" s="15" t="str">
        <f t="shared" si="805"/>
        <v>17 Lalla Ward Road</v>
      </c>
      <c r="R2331" s="3">
        <f>OrdersTable!C2331</f>
        <v>44729</v>
      </c>
      <c r="S2331" s="15">
        <f>OrdersTable!E2331</f>
        <v>7</v>
      </c>
      <c r="T2331" s="15">
        <f t="shared" si="806"/>
        <v>7.99</v>
      </c>
      <c r="U2331" s="15">
        <f t="shared" si="807"/>
        <v>11.01</v>
      </c>
      <c r="V2331" s="15">
        <f t="shared" si="808"/>
        <v>12.94</v>
      </c>
      <c r="W2331" s="15">
        <f>IF(MarkupType="Store Markup",ROUND(V2331+V2331*StoreMarkup,2),IF(MarkupType="Supplier Markup",V2331+V2331*SupplierMarkup,"Error at finding value"))</f>
        <v>20.38</v>
      </c>
      <c r="X2331" s="32" t="str">
        <f t="shared" si="810"/>
        <v>0.00</v>
      </c>
      <c r="Y2331" s="15">
        <f t="shared" si="811"/>
        <v>90.58</v>
      </c>
      <c r="Z2331" s="15">
        <f t="shared" si="812"/>
        <v>142.66</v>
      </c>
      <c r="AA2331" s="15">
        <f>IF(FreightType="Lethbridge-Stewart Freight ",ROUND(2.99+IF(N2331&gt;0.75,(N2331-0.75)*2.25,0)*S2331,2),IF(MarkupType="Supplier Markup",V2331+V2331*SupplierMarkup,"Error at finding value"))</f>
        <v>2.99</v>
      </c>
      <c r="AB2331" s="15">
        <f t="shared" si="813"/>
        <v>0</v>
      </c>
    </row>
    <row r="2332" spans="1:28" x14ac:dyDescent="0.25">
      <c r="A2332" s="16">
        <f>OrdersTable!A2332</f>
        <v>843</v>
      </c>
      <c r="B2332" s="15" t="str">
        <f t="shared" si="793"/>
        <v>Mr</v>
      </c>
      <c r="C2332" s="15" t="str">
        <f t="shared" si="814"/>
        <v>Goodwin</v>
      </c>
      <c r="D2332" s="15" t="str">
        <f t="shared" si="794"/>
        <v>Damon Joel</v>
      </c>
      <c r="E2332" s="15" t="str">
        <f t="shared" si="795"/>
        <v>40 Powell Boulevard</v>
      </c>
      <c r="F2332" s="15" t="str">
        <f t="shared" si="796"/>
        <v>Abington</v>
      </c>
      <c r="G2332" s="15" t="str">
        <f t="shared" si="797"/>
        <v>QLD</v>
      </c>
      <c r="H2332" s="15">
        <f t="shared" si="798"/>
        <v>4660</v>
      </c>
      <c r="I2332" s="15">
        <f t="shared" si="809"/>
        <v>336</v>
      </c>
      <c r="J2332" s="15">
        <f>OrdersTable!B2332</f>
        <v>530</v>
      </c>
      <c r="K2332" s="15" t="str">
        <f t="shared" si="799"/>
        <v>Giftware</v>
      </c>
      <c r="L2332" s="15" t="str">
        <f t="shared" si="800"/>
        <v>Doctor Who: Keyring TARDIS</v>
      </c>
      <c r="M2332" s="15" t="str">
        <f t="shared" si="801"/>
        <v>-</v>
      </c>
      <c r="N2332" s="15">
        <f t="shared" si="802"/>
        <v>0.25</v>
      </c>
      <c r="O2332" s="15" t="str">
        <f t="shared" si="803"/>
        <v>A20</v>
      </c>
      <c r="P2332" s="15" t="str">
        <f t="shared" si="804"/>
        <v>Morbius Inc.</v>
      </c>
      <c r="Q2332" s="15" t="str">
        <f t="shared" si="805"/>
        <v>56 Michael Spice Hwy</v>
      </c>
      <c r="R2332" s="3">
        <f>OrdersTable!C2332</f>
        <v>44729</v>
      </c>
      <c r="S2332" s="15">
        <f>OrdersTable!E2332</f>
        <v>5</v>
      </c>
      <c r="T2332" s="15">
        <f t="shared" si="806"/>
        <v>4.99</v>
      </c>
      <c r="U2332" s="15">
        <f t="shared" si="807"/>
        <v>7.1</v>
      </c>
      <c r="V2332" s="15">
        <f t="shared" si="808"/>
        <v>8.08</v>
      </c>
      <c r="W2332" s="15">
        <f>IF(MarkupType="Store Markup",ROUND(V2332+V2332*StoreMarkup,2),IF(MarkupType="Supplier Markup",V2332+V2332*SupplierMarkup,"Error at finding value"))</f>
        <v>12.73</v>
      </c>
      <c r="X2332" s="32" t="str">
        <f t="shared" si="810"/>
        <v>0.00</v>
      </c>
      <c r="Y2332" s="15">
        <f t="shared" si="811"/>
        <v>40.4</v>
      </c>
      <c r="Z2332" s="15">
        <f t="shared" si="812"/>
        <v>63.65</v>
      </c>
      <c r="AA2332" s="15">
        <f>IF(FreightType="Lethbridge-Stewart Freight ",ROUND(2.99+IF(N2332&gt;0.75,(N2332-0.75)*2.25,0)*S2332,2),IF(MarkupType="Supplier Markup",V2332+V2332*SupplierMarkup,"Error at finding value"))</f>
        <v>2.99</v>
      </c>
      <c r="AB2332" s="15">
        <f t="shared" si="813"/>
        <v>0</v>
      </c>
    </row>
    <row r="2333" spans="1:28" x14ac:dyDescent="0.25">
      <c r="A2333" s="16">
        <f>OrdersTable!A2333</f>
        <v>249</v>
      </c>
      <c r="B2333" s="15" t="str">
        <f t="shared" si="793"/>
        <v>Mr</v>
      </c>
      <c r="C2333" s="15" t="str">
        <f t="shared" si="814"/>
        <v>Sinclair</v>
      </c>
      <c r="D2333" s="15" t="str">
        <f t="shared" si="794"/>
        <v>Travis James Foord</v>
      </c>
      <c r="E2333" s="15" t="str">
        <f t="shared" si="795"/>
        <v>25 Leunen Avenue</v>
      </c>
      <c r="F2333" s="15" t="str">
        <f t="shared" si="796"/>
        <v>Batlow</v>
      </c>
      <c r="G2333" s="15" t="str">
        <f t="shared" si="797"/>
        <v>NSW</v>
      </c>
      <c r="H2333" s="15">
        <f t="shared" si="798"/>
        <v>2730</v>
      </c>
      <c r="I2333" s="15">
        <f t="shared" si="809"/>
        <v>1138</v>
      </c>
      <c r="J2333" s="15">
        <f>OrdersTable!B2333</f>
        <v>196</v>
      </c>
      <c r="K2333" s="15" t="str">
        <f t="shared" si="799"/>
        <v>Clothing and Apparel</v>
      </c>
      <c r="L2333" s="15" t="str">
        <f t="shared" si="800"/>
        <v>Doctor Who: 12 Foot Tom Baker Scarf</v>
      </c>
      <c r="M2333" s="15" t="str">
        <f t="shared" si="801"/>
        <v>-</v>
      </c>
      <c r="N2333" s="15">
        <f t="shared" si="802"/>
        <v>2.5</v>
      </c>
      <c r="O2333" s="15" t="str">
        <f t="shared" si="803"/>
        <v>A40</v>
      </c>
      <c r="P2333" s="15" t="str">
        <f t="shared" si="804"/>
        <v>Romana Imports</v>
      </c>
      <c r="Q2333" s="15" t="str">
        <f t="shared" si="805"/>
        <v>17 Lalla Ward Road</v>
      </c>
      <c r="R2333" s="3">
        <f>OrdersTable!C2333</f>
        <v>44730</v>
      </c>
      <c r="S2333" s="15">
        <f>OrdersTable!E2333</f>
        <v>7</v>
      </c>
      <c r="T2333" s="15">
        <f t="shared" si="806"/>
        <v>49.99</v>
      </c>
      <c r="U2333" s="15">
        <f t="shared" si="807"/>
        <v>68.28</v>
      </c>
      <c r="V2333" s="15">
        <f t="shared" si="808"/>
        <v>80.98</v>
      </c>
      <c r="W2333" s="15">
        <f>IF(MarkupType="Store Markup",ROUND(V2333+V2333*StoreMarkup,2),IF(MarkupType="Supplier Markup",V2333+V2333*SupplierMarkup,"Error at finding value"))</f>
        <v>127.54</v>
      </c>
      <c r="X2333" s="32">
        <f t="shared" si="810"/>
        <v>9.09</v>
      </c>
      <c r="Y2333" s="15">
        <f t="shared" si="811"/>
        <v>566.86</v>
      </c>
      <c r="Z2333" s="15">
        <f t="shared" si="812"/>
        <v>829.15</v>
      </c>
      <c r="AA2333" s="15">
        <f>IF(FreightType="Lethbridge-Stewart Freight ",ROUND(2.99+IF(N2333&gt;0.75,(N2333-0.75)*2.25,0)*S2333,2),IF(MarkupType="Supplier Markup",V2333+V2333*SupplierMarkup,"Error at finding value"))</f>
        <v>30.55</v>
      </c>
      <c r="AB2333" s="15">
        <f t="shared" si="813"/>
        <v>63.63</v>
      </c>
    </row>
    <row r="2334" spans="1:28" x14ac:dyDescent="0.25">
      <c r="A2334" s="16">
        <f>OrdersTable!A2334</f>
        <v>334</v>
      </c>
      <c r="B2334" s="15" t="str">
        <f t="shared" si="793"/>
        <v>Mrs</v>
      </c>
      <c r="C2334" s="15" t="str">
        <f t="shared" si="814"/>
        <v>Wilson</v>
      </c>
      <c r="D2334" s="15" t="str">
        <f t="shared" si="794"/>
        <v>Hayley Lauren</v>
      </c>
      <c r="E2334" s="15" t="str">
        <f t="shared" si="795"/>
        <v>3 Ashley Crescent</v>
      </c>
      <c r="F2334" s="15" t="str">
        <f t="shared" si="796"/>
        <v>Black Hills</v>
      </c>
      <c r="G2334" s="15" t="str">
        <f t="shared" si="797"/>
        <v>TAS</v>
      </c>
      <c r="H2334" s="15">
        <f t="shared" si="798"/>
        <v>7140</v>
      </c>
      <c r="I2334" s="15">
        <f t="shared" si="809"/>
        <v>2191</v>
      </c>
      <c r="J2334" s="15">
        <f>OrdersTable!B2334</f>
        <v>701</v>
      </c>
      <c r="K2334" s="15" t="str">
        <f t="shared" si="799"/>
        <v>Posters, Prints and Standees</v>
      </c>
      <c r="L2334" s="15" t="str">
        <f t="shared" si="800"/>
        <v>Doctor Who: Half Sized Standee: The TARDIS</v>
      </c>
      <c r="M2334" s="15" t="str">
        <f t="shared" si="801"/>
        <v>-</v>
      </c>
      <c r="N2334" s="15">
        <f t="shared" si="802"/>
        <v>0.5</v>
      </c>
      <c r="O2334" s="15" t="str">
        <f t="shared" si="803"/>
        <v>A40</v>
      </c>
      <c r="P2334" s="15" t="str">
        <f t="shared" si="804"/>
        <v>Romana Imports</v>
      </c>
      <c r="Q2334" s="15" t="str">
        <f t="shared" si="805"/>
        <v>17 Lalla Ward Road</v>
      </c>
      <c r="R2334" s="3">
        <f>OrdersTable!C2334</f>
        <v>44730</v>
      </c>
      <c r="S2334" s="15">
        <f>OrdersTable!E2334</f>
        <v>1</v>
      </c>
      <c r="T2334" s="15">
        <f t="shared" si="806"/>
        <v>9.99</v>
      </c>
      <c r="U2334" s="15">
        <f t="shared" si="807"/>
        <v>13.83</v>
      </c>
      <c r="V2334" s="15">
        <f t="shared" si="808"/>
        <v>16.18</v>
      </c>
      <c r="W2334" s="15">
        <f>IF(MarkupType="Store Markup",ROUND(V2334+V2334*StoreMarkup,2),IF(MarkupType="Supplier Markup",V2334+V2334*SupplierMarkup,"Error at finding value"))</f>
        <v>25.48</v>
      </c>
      <c r="X2334" s="32" t="str">
        <f t="shared" si="810"/>
        <v>0.00</v>
      </c>
      <c r="Y2334" s="15">
        <f t="shared" si="811"/>
        <v>16.18</v>
      </c>
      <c r="Z2334" s="15">
        <f t="shared" si="812"/>
        <v>25.48</v>
      </c>
      <c r="AA2334" s="15">
        <f>IF(FreightType="Lethbridge-Stewart Freight ",ROUND(2.99+IF(N2334&gt;0.75,(N2334-0.75)*2.25,0)*S2334,2),IF(MarkupType="Supplier Markup",V2334+V2334*SupplierMarkup,"Error at finding value"))</f>
        <v>2.99</v>
      </c>
      <c r="AB2334" s="15">
        <f t="shared" si="813"/>
        <v>0</v>
      </c>
    </row>
    <row r="2335" spans="1:28" x14ac:dyDescent="0.25">
      <c r="A2335" s="16">
        <f>OrdersTable!A2335</f>
        <v>364</v>
      </c>
      <c r="B2335" s="15" t="str">
        <f t="shared" si="793"/>
        <v>Dr</v>
      </c>
      <c r="C2335" s="15" t="str">
        <f t="shared" si="814"/>
        <v>Reibelt</v>
      </c>
      <c r="D2335" s="15" t="str">
        <f t="shared" si="794"/>
        <v>Corey James</v>
      </c>
      <c r="E2335" s="15" t="str">
        <f t="shared" si="795"/>
        <v>23 Burns Drive</v>
      </c>
      <c r="F2335" s="15" t="str">
        <f t="shared" si="796"/>
        <v>Caliph</v>
      </c>
      <c r="G2335" s="15" t="str">
        <f t="shared" si="797"/>
        <v>SA</v>
      </c>
      <c r="H2335" s="15">
        <f t="shared" si="798"/>
        <v>5310</v>
      </c>
      <c r="I2335" s="15">
        <f t="shared" si="809"/>
        <v>1720</v>
      </c>
      <c r="J2335" s="15">
        <f>OrdersTable!B2335</f>
        <v>479</v>
      </c>
      <c r="K2335" s="15" t="str">
        <f t="shared" si="799"/>
        <v>Giftware</v>
      </c>
      <c r="L2335" s="15" t="str">
        <f t="shared" si="800"/>
        <v>Doctor Who: Keyring Dalek</v>
      </c>
      <c r="M2335" s="15" t="str">
        <f t="shared" si="801"/>
        <v>-</v>
      </c>
      <c r="N2335" s="15">
        <f t="shared" si="802"/>
        <v>0.25</v>
      </c>
      <c r="O2335" s="15" t="str">
        <f t="shared" si="803"/>
        <v>A10</v>
      </c>
      <c r="P2335" s="15" t="str">
        <f t="shared" si="804"/>
        <v>Gallifrey International</v>
      </c>
      <c r="Q2335" s="15" t="str">
        <f t="shared" si="805"/>
        <v>181 Arcadia Street</v>
      </c>
      <c r="R2335" s="3">
        <f>OrdersTable!C2335</f>
        <v>44730</v>
      </c>
      <c r="S2335" s="15">
        <f>OrdersTable!E2335</f>
        <v>1</v>
      </c>
      <c r="T2335" s="15">
        <f t="shared" si="806"/>
        <v>4.99</v>
      </c>
      <c r="U2335" s="15">
        <f t="shared" si="807"/>
        <v>6.86</v>
      </c>
      <c r="V2335" s="15">
        <f t="shared" si="808"/>
        <v>8.08</v>
      </c>
      <c r="W2335" s="15">
        <f>IF(MarkupType="Store Markup",ROUND(V2335+V2335*StoreMarkup,2),IF(MarkupType="Supplier Markup",V2335+V2335*SupplierMarkup,"Error at finding value"))</f>
        <v>12.73</v>
      </c>
      <c r="X2335" s="32" t="str">
        <f t="shared" si="810"/>
        <v>0.00</v>
      </c>
      <c r="Y2335" s="15">
        <f t="shared" si="811"/>
        <v>8.08</v>
      </c>
      <c r="Z2335" s="15">
        <f t="shared" si="812"/>
        <v>12.73</v>
      </c>
      <c r="AA2335" s="15">
        <f>IF(FreightType="Lethbridge-Stewart Freight ",ROUND(2.99+IF(N2335&gt;0.75,(N2335-0.75)*2.25,0)*S2335,2),IF(MarkupType="Supplier Markup",V2335+V2335*SupplierMarkup,"Error at finding value"))</f>
        <v>2.99</v>
      </c>
      <c r="AB2335" s="15">
        <f t="shared" si="813"/>
        <v>0</v>
      </c>
    </row>
    <row r="2336" spans="1:28" x14ac:dyDescent="0.25">
      <c r="A2336" s="16">
        <f>OrdersTable!A2336</f>
        <v>412</v>
      </c>
      <c r="B2336" s="15" t="str">
        <f t="shared" si="793"/>
        <v>Miss</v>
      </c>
      <c r="C2336" s="15" t="str">
        <f t="shared" si="814"/>
        <v>Moraitis</v>
      </c>
      <c r="D2336" s="15" t="str">
        <f t="shared" si="794"/>
        <v>Vikki Sue</v>
      </c>
      <c r="E2336" s="15" t="str">
        <f t="shared" si="795"/>
        <v>11 Stuckings Boulevard</v>
      </c>
      <c r="F2336" s="15" t="str">
        <f t="shared" si="796"/>
        <v>Airly</v>
      </c>
      <c r="G2336" s="15" t="str">
        <f t="shared" si="797"/>
        <v>VIC</v>
      </c>
      <c r="H2336" s="15">
        <f t="shared" si="798"/>
        <v>3851</v>
      </c>
      <c r="I2336" s="15">
        <f t="shared" si="809"/>
        <v>1583</v>
      </c>
      <c r="J2336" s="15">
        <f>OrdersTable!B2336</f>
        <v>702</v>
      </c>
      <c r="K2336" s="15" t="str">
        <f t="shared" si="799"/>
        <v>Posters, Prints and Standees</v>
      </c>
      <c r="L2336" s="15" t="str">
        <f t="shared" si="800"/>
        <v>Doctor Who: Poster: Daleks</v>
      </c>
      <c r="M2336" s="15" t="str">
        <f t="shared" si="801"/>
        <v>-</v>
      </c>
      <c r="N2336" s="15">
        <f t="shared" si="802"/>
        <v>0.2</v>
      </c>
      <c r="O2336" s="15" t="str">
        <f t="shared" si="803"/>
        <v>A50</v>
      </c>
      <c r="P2336" s="15" t="str">
        <f t="shared" si="804"/>
        <v>Rassilon Ltd.</v>
      </c>
      <c r="Q2336" s="15" t="str">
        <f t="shared" si="805"/>
        <v>82 Richard Mathews Road</v>
      </c>
      <c r="R2336" s="3">
        <f>OrdersTable!C2336</f>
        <v>44730</v>
      </c>
      <c r="S2336" s="15">
        <f>OrdersTable!E2336</f>
        <v>5</v>
      </c>
      <c r="T2336" s="15">
        <f t="shared" si="806"/>
        <v>3.99</v>
      </c>
      <c r="U2336" s="15">
        <f t="shared" si="807"/>
        <v>5.46</v>
      </c>
      <c r="V2336" s="15">
        <f t="shared" si="808"/>
        <v>6.46</v>
      </c>
      <c r="W2336" s="15">
        <f>IF(MarkupType="Store Markup",ROUND(V2336+V2336*StoreMarkup,2),IF(MarkupType="Supplier Markup",V2336+V2336*SupplierMarkup,"Error at finding value"))</f>
        <v>10.17</v>
      </c>
      <c r="X2336" s="32" t="str">
        <f t="shared" si="810"/>
        <v>0.00</v>
      </c>
      <c r="Y2336" s="15">
        <f t="shared" si="811"/>
        <v>32.299999999999997</v>
      </c>
      <c r="Z2336" s="15">
        <f t="shared" si="812"/>
        <v>50.85</v>
      </c>
      <c r="AA2336" s="15">
        <f>IF(FreightType="Lethbridge-Stewart Freight ",ROUND(2.99+IF(N2336&gt;0.75,(N2336-0.75)*2.25,0)*S2336,2),IF(MarkupType="Supplier Markup",V2336+V2336*SupplierMarkup,"Error at finding value"))</f>
        <v>2.99</v>
      </c>
      <c r="AB2336" s="15">
        <f t="shared" si="813"/>
        <v>0</v>
      </c>
    </row>
    <row r="2337" spans="1:28" x14ac:dyDescent="0.25">
      <c r="A2337" s="16">
        <f>OrdersTable!A2337</f>
        <v>468</v>
      </c>
      <c r="B2337" s="15" t="str">
        <f t="shared" si="793"/>
        <v>Mrs</v>
      </c>
      <c r="C2337" s="15" t="str">
        <f t="shared" si="814"/>
        <v>Van Essen</v>
      </c>
      <c r="D2337" s="15" t="str">
        <f t="shared" si="794"/>
        <v>Bianca Jane</v>
      </c>
      <c r="E2337" s="15" t="str">
        <f t="shared" si="795"/>
        <v>47 Ward Circuit</v>
      </c>
      <c r="F2337" s="15" t="str">
        <f t="shared" si="796"/>
        <v>Batlow</v>
      </c>
      <c r="G2337" s="15" t="str">
        <f t="shared" si="797"/>
        <v>NSW</v>
      </c>
      <c r="H2337" s="15">
        <f t="shared" si="798"/>
        <v>2730</v>
      </c>
      <c r="I2337" s="15">
        <f t="shared" si="809"/>
        <v>1138</v>
      </c>
      <c r="J2337" s="15">
        <f>OrdersTable!B2337</f>
        <v>817</v>
      </c>
      <c r="K2337" s="15" t="str">
        <f t="shared" si="799"/>
        <v>Statues and Busts</v>
      </c>
      <c r="L2337" s="15" t="str">
        <f t="shared" si="800"/>
        <v>Doctor Who: Masterpiece Collection Maxi Bust: Torchwood Captain Jack Harkness</v>
      </c>
      <c r="M2337" s="15" t="str">
        <f t="shared" si="801"/>
        <v>-</v>
      </c>
      <c r="N2337" s="15">
        <f t="shared" si="802"/>
        <v>2.5</v>
      </c>
      <c r="O2337" s="15" t="str">
        <f t="shared" si="803"/>
        <v>A10</v>
      </c>
      <c r="P2337" s="15" t="str">
        <f t="shared" si="804"/>
        <v>Gallifrey International</v>
      </c>
      <c r="Q2337" s="15" t="str">
        <f t="shared" si="805"/>
        <v>181 Arcadia Street</v>
      </c>
      <c r="R2337" s="3">
        <f>OrdersTable!C2337</f>
        <v>44730</v>
      </c>
      <c r="S2337" s="15">
        <f>OrdersTable!E2337</f>
        <v>6</v>
      </c>
      <c r="T2337" s="15">
        <f t="shared" si="806"/>
        <v>49.99</v>
      </c>
      <c r="U2337" s="15">
        <f t="shared" si="807"/>
        <v>68.44</v>
      </c>
      <c r="V2337" s="15">
        <f t="shared" si="808"/>
        <v>80.98</v>
      </c>
      <c r="W2337" s="15">
        <f>IF(MarkupType="Store Markup",ROUND(V2337+V2337*StoreMarkup,2),IF(MarkupType="Supplier Markup",V2337+V2337*SupplierMarkup,"Error at finding value"))</f>
        <v>127.54</v>
      </c>
      <c r="X2337" s="32">
        <f t="shared" si="810"/>
        <v>9.09</v>
      </c>
      <c r="Y2337" s="15">
        <f t="shared" si="811"/>
        <v>485.88</v>
      </c>
      <c r="Z2337" s="15">
        <f t="shared" si="812"/>
        <v>710.7</v>
      </c>
      <c r="AA2337" s="15">
        <f>IF(FreightType="Lethbridge-Stewart Freight ",ROUND(2.99+IF(N2337&gt;0.75,(N2337-0.75)*2.25,0)*S2337,2),IF(MarkupType="Supplier Markup",V2337+V2337*SupplierMarkup,"Error at finding value"))</f>
        <v>26.62</v>
      </c>
      <c r="AB2337" s="15">
        <f t="shared" si="813"/>
        <v>54.54</v>
      </c>
    </row>
    <row r="2338" spans="1:28" x14ac:dyDescent="0.25">
      <c r="A2338" s="16">
        <f>OrdersTable!A2338</f>
        <v>474</v>
      </c>
      <c r="B2338" s="15" t="str">
        <f t="shared" si="793"/>
        <v>Mr</v>
      </c>
      <c r="C2338" s="15" t="str">
        <f t="shared" si="814"/>
        <v>Jooste</v>
      </c>
      <c r="D2338" s="15" t="str">
        <f t="shared" si="794"/>
        <v>Nicholas</v>
      </c>
      <c r="E2338" s="15" t="str">
        <f t="shared" si="795"/>
        <v>32 Dover Road</v>
      </c>
      <c r="F2338" s="15" t="str">
        <f t="shared" si="796"/>
        <v>Belford</v>
      </c>
      <c r="G2338" s="15" t="str">
        <f t="shared" si="797"/>
        <v>NSW</v>
      </c>
      <c r="H2338" s="15">
        <f t="shared" si="798"/>
        <v>2335</v>
      </c>
      <c r="I2338" s="15">
        <f t="shared" si="809"/>
        <v>716</v>
      </c>
      <c r="J2338" s="15">
        <f>OrdersTable!B2338</f>
        <v>607</v>
      </c>
      <c r="K2338" s="15" t="str">
        <f t="shared" si="799"/>
        <v>iPhone Skins</v>
      </c>
      <c r="L2338" s="15" t="str">
        <f t="shared" si="800"/>
        <v>Doctor Who: iPhone Skin: Keep Calm I'm The Doctor</v>
      </c>
      <c r="M2338" s="15" t="str">
        <f t="shared" si="801"/>
        <v>-</v>
      </c>
      <c r="N2338" s="15">
        <f t="shared" si="802"/>
        <v>0.5</v>
      </c>
      <c r="O2338" s="15" t="str">
        <f t="shared" si="803"/>
        <v>A40</v>
      </c>
      <c r="P2338" s="15" t="str">
        <f t="shared" si="804"/>
        <v>Romana Imports</v>
      </c>
      <c r="Q2338" s="15" t="str">
        <f t="shared" si="805"/>
        <v>17 Lalla Ward Road</v>
      </c>
      <c r="R2338" s="3">
        <f>OrdersTable!C2338</f>
        <v>44730</v>
      </c>
      <c r="S2338" s="15">
        <f>OrdersTable!E2338</f>
        <v>8</v>
      </c>
      <c r="T2338" s="15">
        <f t="shared" si="806"/>
        <v>9.99</v>
      </c>
      <c r="U2338" s="15">
        <f t="shared" si="807"/>
        <v>13.81</v>
      </c>
      <c r="V2338" s="15">
        <f t="shared" si="808"/>
        <v>16.18</v>
      </c>
      <c r="W2338" s="15">
        <f>IF(MarkupType="Store Markup",ROUND(V2338+V2338*StoreMarkup,2),IF(MarkupType="Supplier Markup",V2338+V2338*SupplierMarkup,"Error at finding value"))</f>
        <v>25.48</v>
      </c>
      <c r="X2338" s="32" t="str">
        <f t="shared" si="810"/>
        <v>0.00</v>
      </c>
      <c r="Y2338" s="15">
        <f t="shared" si="811"/>
        <v>129.44</v>
      </c>
      <c r="Z2338" s="15">
        <f t="shared" si="812"/>
        <v>203.84</v>
      </c>
      <c r="AA2338" s="15">
        <f>IF(FreightType="Lethbridge-Stewart Freight ",ROUND(2.99+IF(N2338&gt;0.75,(N2338-0.75)*2.25,0)*S2338,2),IF(MarkupType="Supplier Markup",V2338+V2338*SupplierMarkup,"Error at finding value"))</f>
        <v>2.99</v>
      </c>
      <c r="AB2338" s="15">
        <f t="shared" si="813"/>
        <v>0</v>
      </c>
    </row>
    <row r="2339" spans="1:28" x14ac:dyDescent="0.25">
      <c r="A2339" s="16">
        <f>OrdersTable!A2339</f>
        <v>491</v>
      </c>
      <c r="B2339" s="15" t="str">
        <f t="shared" si="793"/>
        <v>Miss</v>
      </c>
      <c r="C2339" s="15" t="str">
        <f t="shared" si="814"/>
        <v>Winks</v>
      </c>
      <c r="D2339" s="15" t="str">
        <f t="shared" si="794"/>
        <v>Lori-Ann</v>
      </c>
      <c r="E2339" s="15" t="str">
        <f t="shared" si="795"/>
        <v>40 Lyne Street</v>
      </c>
      <c r="F2339" s="15" t="str">
        <f t="shared" si="796"/>
        <v>Bray Park</v>
      </c>
      <c r="G2339" s="15" t="str">
        <f t="shared" si="797"/>
        <v>QLD</v>
      </c>
      <c r="H2339" s="15">
        <f t="shared" si="798"/>
        <v>4500</v>
      </c>
      <c r="I2339" s="15">
        <f t="shared" si="809"/>
        <v>139</v>
      </c>
      <c r="J2339" s="15">
        <f>OrdersTable!B2339</f>
        <v>719</v>
      </c>
      <c r="K2339" s="15" t="str">
        <f t="shared" si="799"/>
        <v>Posters, Prints and Standees</v>
      </c>
      <c r="L2339" s="15" t="str">
        <f t="shared" si="800"/>
        <v>Doctor Who: Standee: Supreme Dalek</v>
      </c>
      <c r="M2339" s="15" t="str">
        <f t="shared" si="801"/>
        <v>-</v>
      </c>
      <c r="N2339" s="15">
        <f t="shared" si="802"/>
        <v>1.125</v>
      </c>
      <c r="O2339" s="15" t="str">
        <f t="shared" si="803"/>
        <v>A50</v>
      </c>
      <c r="P2339" s="15" t="str">
        <f t="shared" si="804"/>
        <v>Rassilon Ltd.</v>
      </c>
      <c r="Q2339" s="15" t="str">
        <f t="shared" si="805"/>
        <v>82 Richard Mathews Road</v>
      </c>
      <c r="R2339" s="3">
        <f>OrdersTable!C2339</f>
        <v>44730</v>
      </c>
      <c r="S2339" s="15">
        <f>OrdersTable!E2339</f>
        <v>9</v>
      </c>
      <c r="T2339" s="15">
        <f t="shared" si="806"/>
        <v>22.49</v>
      </c>
      <c r="U2339" s="15">
        <f t="shared" si="807"/>
        <v>30.76</v>
      </c>
      <c r="V2339" s="15">
        <f t="shared" si="808"/>
        <v>36.43</v>
      </c>
      <c r="W2339" s="15">
        <f>IF(MarkupType="Store Markup",ROUND(V2339+V2339*StoreMarkup,2),IF(MarkupType="Supplier Markup",V2339+V2339*SupplierMarkup,"Error at finding value"))</f>
        <v>57.38</v>
      </c>
      <c r="X2339" s="32" t="str">
        <f t="shared" si="810"/>
        <v>0.00</v>
      </c>
      <c r="Y2339" s="15">
        <f t="shared" si="811"/>
        <v>327.87</v>
      </c>
      <c r="Z2339" s="15">
        <f t="shared" si="812"/>
        <v>516.41999999999996</v>
      </c>
      <c r="AA2339" s="15">
        <f>IF(FreightType="Lethbridge-Stewart Freight ",ROUND(2.99+IF(N2339&gt;0.75,(N2339-0.75)*2.25,0)*S2339,2),IF(MarkupType="Supplier Markup",V2339+V2339*SupplierMarkup,"Error at finding value"))</f>
        <v>10.58</v>
      </c>
      <c r="AB2339" s="15">
        <f t="shared" si="813"/>
        <v>0</v>
      </c>
    </row>
    <row r="2340" spans="1:28" x14ac:dyDescent="0.25">
      <c r="A2340" s="16">
        <f>OrdersTable!A2340</f>
        <v>500</v>
      </c>
      <c r="B2340" s="15" t="str">
        <f t="shared" si="793"/>
        <v>Ms</v>
      </c>
      <c r="C2340" s="15" t="str">
        <f t="shared" si="814"/>
        <v>Helmers</v>
      </c>
      <c r="D2340" s="15" t="str">
        <f t="shared" si="794"/>
        <v>Kristy-Lee</v>
      </c>
      <c r="E2340" s="15" t="str">
        <f t="shared" si="795"/>
        <v>43 Welthagen Court</v>
      </c>
      <c r="F2340" s="15" t="str">
        <f t="shared" si="796"/>
        <v>Areegra</v>
      </c>
      <c r="G2340" s="15" t="str">
        <f t="shared" si="797"/>
        <v>VIC</v>
      </c>
      <c r="H2340" s="15">
        <f t="shared" si="798"/>
        <v>3480</v>
      </c>
      <c r="I2340" s="15">
        <f t="shared" si="809"/>
        <v>1559</v>
      </c>
      <c r="J2340" s="15">
        <f>OrdersTable!B2340</f>
        <v>331</v>
      </c>
      <c r="K2340" s="15" t="str">
        <f t="shared" si="799"/>
        <v>Clothing and Apparel</v>
      </c>
      <c r="L2340" s="15" t="str">
        <f t="shared" si="800"/>
        <v xml:space="preserve">Doctor Who: T-Shirts: 4th Doctor Costume </v>
      </c>
      <c r="M2340" s="15" t="str">
        <f t="shared" si="801"/>
        <v>L</v>
      </c>
      <c r="N2340" s="15">
        <f t="shared" si="802"/>
        <v>0.8</v>
      </c>
      <c r="O2340" s="15" t="str">
        <f t="shared" si="803"/>
        <v>A20</v>
      </c>
      <c r="P2340" s="15" t="str">
        <f t="shared" si="804"/>
        <v>Morbius Inc.</v>
      </c>
      <c r="Q2340" s="15" t="str">
        <f t="shared" si="805"/>
        <v>56 Michael Spice Hwy</v>
      </c>
      <c r="R2340" s="3">
        <f>OrdersTable!C2340</f>
        <v>44730</v>
      </c>
      <c r="S2340" s="15">
        <f>OrdersTable!E2340</f>
        <v>7</v>
      </c>
      <c r="T2340" s="15">
        <f t="shared" si="806"/>
        <v>15.99</v>
      </c>
      <c r="U2340" s="15">
        <f t="shared" si="807"/>
        <v>22.08</v>
      </c>
      <c r="V2340" s="15">
        <f t="shared" si="808"/>
        <v>25.9</v>
      </c>
      <c r="W2340" s="15">
        <f>IF(MarkupType="Store Markup",ROUND(V2340+V2340*StoreMarkup,2),IF(MarkupType="Supplier Markup",V2340+V2340*SupplierMarkup,"Error at finding value"))</f>
        <v>40.79</v>
      </c>
      <c r="X2340" s="32" t="str">
        <f t="shared" si="810"/>
        <v>0.00</v>
      </c>
      <c r="Y2340" s="15">
        <f t="shared" si="811"/>
        <v>181.3</v>
      </c>
      <c r="Z2340" s="15">
        <f t="shared" si="812"/>
        <v>285.52999999999997</v>
      </c>
      <c r="AA2340" s="15">
        <f>IF(FreightType="Lethbridge-Stewart Freight ",ROUND(2.99+IF(N2340&gt;0.75,(N2340-0.75)*2.25,0)*S2340,2),IF(MarkupType="Supplier Markup",V2340+V2340*SupplierMarkup,"Error at finding value"))</f>
        <v>3.78</v>
      </c>
      <c r="AB2340" s="15">
        <f t="shared" si="813"/>
        <v>0</v>
      </c>
    </row>
    <row r="2341" spans="1:28" x14ac:dyDescent="0.25">
      <c r="A2341" s="16">
        <f>OrdersTable!A2341</f>
        <v>531</v>
      </c>
      <c r="B2341" s="15" t="str">
        <f t="shared" si="793"/>
        <v>Ms</v>
      </c>
      <c r="C2341" s="15" t="str">
        <f t="shared" si="814"/>
        <v>Stanton</v>
      </c>
      <c r="D2341" s="15" t="str">
        <f t="shared" si="794"/>
        <v>Sharaze</v>
      </c>
      <c r="E2341" s="15" t="str">
        <f t="shared" si="795"/>
        <v>1 Siddons Crescent</v>
      </c>
      <c r="F2341" s="15" t="str">
        <f t="shared" si="796"/>
        <v>Alfredtown</v>
      </c>
      <c r="G2341" s="15" t="str">
        <f t="shared" si="797"/>
        <v>NSW</v>
      </c>
      <c r="H2341" s="15">
        <f t="shared" si="798"/>
        <v>2650</v>
      </c>
      <c r="I2341" s="15">
        <f t="shared" si="809"/>
        <v>1124</v>
      </c>
      <c r="J2341" s="15">
        <f>OrdersTable!B2341</f>
        <v>867</v>
      </c>
      <c r="K2341" s="15" t="str">
        <f t="shared" si="799"/>
        <v>Statues and Busts</v>
      </c>
      <c r="L2341" s="15" t="str">
        <f t="shared" si="800"/>
        <v>Doctor Who: TITANS: The 11th Doctor</v>
      </c>
      <c r="M2341" s="15" t="str">
        <f t="shared" si="801"/>
        <v>-</v>
      </c>
      <c r="N2341" s="15">
        <f t="shared" si="802"/>
        <v>0.4</v>
      </c>
      <c r="O2341" s="15" t="str">
        <f t="shared" si="803"/>
        <v>A20</v>
      </c>
      <c r="P2341" s="15" t="str">
        <f t="shared" si="804"/>
        <v>Morbius Inc.</v>
      </c>
      <c r="Q2341" s="15" t="str">
        <f t="shared" si="805"/>
        <v>56 Michael Spice Hwy</v>
      </c>
      <c r="R2341" s="3">
        <f>OrdersTable!C2341</f>
        <v>44730</v>
      </c>
      <c r="S2341" s="15">
        <f>OrdersTable!E2341</f>
        <v>3</v>
      </c>
      <c r="T2341" s="15">
        <f t="shared" si="806"/>
        <v>7.99</v>
      </c>
      <c r="U2341" s="15">
        <f t="shared" si="807"/>
        <v>11.1</v>
      </c>
      <c r="V2341" s="15">
        <f t="shared" si="808"/>
        <v>12.94</v>
      </c>
      <c r="W2341" s="15">
        <f>IF(MarkupType="Store Markup",ROUND(V2341+V2341*StoreMarkup,2),IF(MarkupType="Supplier Markup",V2341+V2341*SupplierMarkup,"Error at finding value"))</f>
        <v>20.38</v>
      </c>
      <c r="X2341" s="32" t="str">
        <f t="shared" si="810"/>
        <v>0.00</v>
      </c>
      <c r="Y2341" s="15">
        <f t="shared" si="811"/>
        <v>38.82</v>
      </c>
      <c r="Z2341" s="15">
        <f t="shared" si="812"/>
        <v>61.14</v>
      </c>
      <c r="AA2341" s="15">
        <f>IF(FreightType="Lethbridge-Stewart Freight ",ROUND(2.99+IF(N2341&gt;0.75,(N2341-0.75)*2.25,0)*S2341,2),IF(MarkupType="Supplier Markup",V2341+V2341*SupplierMarkup,"Error at finding value"))</f>
        <v>2.99</v>
      </c>
      <c r="AB2341" s="15">
        <f t="shared" si="813"/>
        <v>0</v>
      </c>
    </row>
    <row r="2342" spans="1:28" x14ac:dyDescent="0.25">
      <c r="A2342" s="16">
        <f>OrdersTable!A2342</f>
        <v>540</v>
      </c>
      <c r="B2342" s="15" t="str">
        <f t="shared" si="793"/>
        <v>Dr</v>
      </c>
      <c r="C2342" s="15" t="str">
        <f t="shared" si="814"/>
        <v>Hackett</v>
      </c>
      <c r="D2342" s="15" t="str">
        <f t="shared" si="794"/>
        <v>Patrick</v>
      </c>
      <c r="E2342" s="15" t="str">
        <f t="shared" si="795"/>
        <v>25 Sweet Drive</v>
      </c>
      <c r="F2342" s="15" t="str">
        <f t="shared" si="796"/>
        <v>Bridgewater</v>
      </c>
      <c r="G2342" s="15" t="str">
        <f t="shared" si="797"/>
        <v>VIC</v>
      </c>
      <c r="H2342" s="15">
        <f t="shared" si="798"/>
        <v>3516</v>
      </c>
      <c r="I2342" s="15">
        <f t="shared" si="809"/>
        <v>1486</v>
      </c>
      <c r="J2342" s="15">
        <f>OrdersTable!B2342</f>
        <v>219</v>
      </c>
      <c r="K2342" s="15" t="str">
        <f t="shared" si="799"/>
        <v>Clothing and Apparel</v>
      </c>
      <c r="L2342" s="15" t="str">
        <f t="shared" si="800"/>
        <v>Doctor Who: Men's Winter Pyjamas</v>
      </c>
      <c r="M2342" s="15" t="str">
        <f t="shared" si="801"/>
        <v>M</v>
      </c>
      <c r="N2342" s="15">
        <f t="shared" si="802"/>
        <v>1.5</v>
      </c>
      <c r="O2342" s="15" t="str">
        <f t="shared" si="803"/>
        <v>A40</v>
      </c>
      <c r="P2342" s="15" t="str">
        <f t="shared" si="804"/>
        <v>Romana Imports</v>
      </c>
      <c r="Q2342" s="15" t="str">
        <f t="shared" si="805"/>
        <v>17 Lalla Ward Road</v>
      </c>
      <c r="R2342" s="3">
        <f>OrdersTable!C2342</f>
        <v>44730</v>
      </c>
      <c r="S2342" s="15">
        <f>OrdersTable!E2342</f>
        <v>6</v>
      </c>
      <c r="T2342" s="15">
        <f t="shared" si="806"/>
        <v>29.99</v>
      </c>
      <c r="U2342" s="15">
        <f t="shared" si="807"/>
        <v>41.24</v>
      </c>
      <c r="V2342" s="15">
        <f t="shared" si="808"/>
        <v>48.58</v>
      </c>
      <c r="W2342" s="15">
        <f>IF(MarkupType="Store Markup",ROUND(V2342+V2342*StoreMarkup,2),IF(MarkupType="Supplier Markup",V2342+V2342*SupplierMarkup,"Error at finding value"))</f>
        <v>76.510000000000005</v>
      </c>
      <c r="X2342" s="32" t="str">
        <f t="shared" si="810"/>
        <v>0.00</v>
      </c>
      <c r="Y2342" s="15">
        <f t="shared" si="811"/>
        <v>291.48</v>
      </c>
      <c r="Z2342" s="15">
        <f t="shared" si="812"/>
        <v>459.06</v>
      </c>
      <c r="AA2342" s="15">
        <f>IF(FreightType="Lethbridge-Stewart Freight ",ROUND(2.99+IF(N2342&gt;0.75,(N2342-0.75)*2.25,0)*S2342,2),IF(MarkupType="Supplier Markup",V2342+V2342*SupplierMarkup,"Error at finding value"))</f>
        <v>13.12</v>
      </c>
      <c r="AB2342" s="15">
        <f t="shared" si="813"/>
        <v>0</v>
      </c>
    </row>
    <row r="2343" spans="1:28" x14ac:dyDescent="0.25">
      <c r="A2343" s="16">
        <f>OrdersTable!A2343</f>
        <v>544</v>
      </c>
      <c r="B2343" s="15" t="str">
        <f t="shared" si="793"/>
        <v>Mr</v>
      </c>
      <c r="C2343" s="15" t="str">
        <f t="shared" si="814"/>
        <v>Sullivan</v>
      </c>
      <c r="D2343" s="15" t="str">
        <f t="shared" si="794"/>
        <v>Lawrence Bernard</v>
      </c>
      <c r="E2343" s="15" t="str">
        <f t="shared" si="795"/>
        <v>11 Haydon Boulevard</v>
      </c>
      <c r="F2343" s="15" t="str">
        <f t="shared" si="796"/>
        <v>Breakwater</v>
      </c>
      <c r="G2343" s="15" t="str">
        <f t="shared" si="797"/>
        <v>VIC</v>
      </c>
      <c r="H2343" s="15">
        <f t="shared" si="798"/>
        <v>3219</v>
      </c>
      <c r="I2343" s="15">
        <f t="shared" si="809"/>
        <v>1596</v>
      </c>
      <c r="J2343" s="15">
        <f>OrdersTable!B2343</f>
        <v>747</v>
      </c>
      <c r="K2343" s="15" t="str">
        <f t="shared" si="799"/>
        <v>Props and Replicas</v>
      </c>
      <c r="L2343" s="15" t="str">
        <f t="shared" si="800"/>
        <v>Doctor Who: The Master's Fob Watch</v>
      </c>
      <c r="M2343" s="15" t="str">
        <f t="shared" si="801"/>
        <v>-</v>
      </c>
      <c r="N2343" s="15">
        <f t="shared" si="802"/>
        <v>2.25</v>
      </c>
      <c r="O2343" s="15" t="str">
        <f t="shared" si="803"/>
        <v>A10</v>
      </c>
      <c r="P2343" s="15" t="str">
        <f t="shared" si="804"/>
        <v>Gallifrey International</v>
      </c>
      <c r="Q2343" s="15" t="str">
        <f t="shared" si="805"/>
        <v>181 Arcadia Street</v>
      </c>
      <c r="R2343" s="3">
        <f>OrdersTable!C2343</f>
        <v>44730</v>
      </c>
      <c r="S2343" s="15">
        <f>OrdersTable!E2343</f>
        <v>7</v>
      </c>
      <c r="T2343" s="15">
        <f t="shared" si="806"/>
        <v>44.99</v>
      </c>
      <c r="U2343" s="15">
        <f t="shared" si="807"/>
        <v>61.7</v>
      </c>
      <c r="V2343" s="15">
        <f t="shared" si="808"/>
        <v>72.88</v>
      </c>
      <c r="W2343" s="15">
        <f>IF(MarkupType="Store Markup",ROUND(V2343+V2343*StoreMarkup,2),IF(MarkupType="Supplier Markup",V2343+V2343*SupplierMarkup,"Error at finding value"))</f>
        <v>114.79</v>
      </c>
      <c r="X2343" s="32">
        <f t="shared" si="810"/>
        <v>8.18</v>
      </c>
      <c r="Y2343" s="15">
        <f t="shared" si="811"/>
        <v>510.16</v>
      </c>
      <c r="Z2343" s="15">
        <f t="shared" si="812"/>
        <v>746.27</v>
      </c>
      <c r="AA2343" s="15">
        <f>IF(FreightType="Lethbridge-Stewart Freight ",ROUND(2.99+IF(N2343&gt;0.75,(N2343-0.75)*2.25,0)*S2343,2),IF(MarkupType="Supplier Markup",V2343+V2343*SupplierMarkup,"Error at finding value"))</f>
        <v>26.62</v>
      </c>
      <c r="AB2343" s="15">
        <f t="shared" si="813"/>
        <v>57.26</v>
      </c>
    </row>
    <row r="2344" spans="1:28" x14ac:dyDescent="0.25">
      <c r="A2344" s="16">
        <f>OrdersTable!A2344</f>
        <v>561</v>
      </c>
      <c r="B2344" s="15" t="str">
        <f t="shared" si="793"/>
        <v>Ms</v>
      </c>
      <c r="C2344" s="15" t="str">
        <f t="shared" si="814"/>
        <v>Mulcahy</v>
      </c>
      <c r="D2344" s="15" t="str">
        <f t="shared" si="794"/>
        <v>Jodie Leigh</v>
      </c>
      <c r="E2344" s="15" t="str">
        <f t="shared" si="795"/>
        <v>32 Scott Crescent</v>
      </c>
      <c r="F2344" s="15" t="str">
        <f t="shared" si="796"/>
        <v>Bray Park</v>
      </c>
      <c r="G2344" s="15" t="str">
        <f t="shared" si="797"/>
        <v>QLD</v>
      </c>
      <c r="H2344" s="15">
        <f t="shared" si="798"/>
        <v>4500</v>
      </c>
      <c r="I2344" s="15">
        <f t="shared" si="809"/>
        <v>139</v>
      </c>
      <c r="J2344" s="15">
        <f>OrdersTable!B2344</f>
        <v>145</v>
      </c>
      <c r="K2344" s="15" t="str">
        <f t="shared" si="799"/>
        <v>Bobbleheads</v>
      </c>
      <c r="L2344" s="15" t="str">
        <f t="shared" si="800"/>
        <v>Doctor Who: Bobblehead: Eleventh Doctor</v>
      </c>
      <c r="M2344" s="15" t="str">
        <f t="shared" si="801"/>
        <v>-</v>
      </c>
      <c r="N2344" s="15">
        <f t="shared" si="802"/>
        <v>1</v>
      </c>
      <c r="O2344" s="15" t="str">
        <f t="shared" si="803"/>
        <v>A30</v>
      </c>
      <c r="P2344" s="15" t="str">
        <f t="shared" si="804"/>
        <v>Chesterton Enterprises</v>
      </c>
      <c r="Q2344" s="15" t="str">
        <f t="shared" si="805"/>
        <v>41 William Russell Road</v>
      </c>
      <c r="R2344" s="3">
        <f>OrdersTable!C2344</f>
        <v>44730</v>
      </c>
      <c r="S2344" s="15">
        <f>OrdersTable!E2344</f>
        <v>9</v>
      </c>
      <c r="T2344" s="15">
        <f t="shared" si="806"/>
        <v>19.989999999999998</v>
      </c>
      <c r="U2344" s="15">
        <f t="shared" si="807"/>
        <v>27.54</v>
      </c>
      <c r="V2344" s="15">
        <f t="shared" si="808"/>
        <v>32.380000000000003</v>
      </c>
      <c r="W2344" s="15">
        <f>IF(MarkupType="Store Markup",ROUND(V2344+V2344*StoreMarkup,2),IF(MarkupType="Supplier Markup",V2344+V2344*SupplierMarkup,"Error at finding value"))</f>
        <v>51</v>
      </c>
      <c r="X2344" s="32" t="str">
        <f t="shared" si="810"/>
        <v>0.00</v>
      </c>
      <c r="Y2344" s="15">
        <f t="shared" si="811"/>
        <v>291.42</v>
      </c>
      <c r="Z2344" s="15">
        <f t="shared" si="812"/>
        <v>459</v>
      </c>
      <c r="AA2344" s="15">
        <f>IF(FreightType="Lethbridge-Stewart Freight ",ROUND(2.99+IF(N2344&gt;0.75,(N2344-0.75)*2.25,0)*S2344,2),IF(MarkupType="Supplier Markup",V2344+V2344*SupplierMarkup,"Error at finding value"))</f>
        <v>8.0500000000000007</v>
      </c>
      <c r="AB2344" s="15">
        <f t="shared" si="813"/>
        <v>0</v>
      </c>
    </row>
    <row r="2345" spans="1:28" x14ac:dyDescent="0.25">
      <c r="A2345" s="16">
        <f>OrdersTable!A2345</f>
        <v>568</v>
      </c>
      <c r="B2345" s="15" t="str">
        <f t="shared" si="793"/>
        <v>Mr</v>
      </c>
      <c r="C2345" s="15" t="str">
        <f t="shared" si="814"/>
        <v>Byrne</v>
      </c>
      <c r="D2345" s="15" t="str">
        <f t="shared" si="794"/>
        <v>Gregory James</v>
      </c>
      <c r="E2345" s="15" t="str">
        <f t="shared" si="795"/>
        <v>18 Doroshenko Crescent</v>
      </c>
      <c r="F2345" s="15" t="str">
        <f t="shared" si="796"/>
        <v>Abington</v>
      </c>
      <c r="G2345" s="15" t="str">
        <f t="shared" si="797"/>
        <v>QLD</v>
      </c>
      <c r="H2345" s="15">
        <f t="shared" si="798"/>
        <v>4660</v>
      </c>
      <c r="I2345" s="15">
        <f t="shared" si="809"/>
        <v>336</v>
      </c>
      <c r="J2345" s="15">
        <f>OrdersTable!B2345</f>
        <v>707</v>
      </c>
      <c r="K2345" s="15" t="str">
        <f t="shared" si="799"/>
        <v>Posters, Prints and Standees</v>
      </c>
      <c r="L2345" s="15" t="str">
        <f t="shared" si="800"/>
        <v>Doctor Who: Poster: Ironside Dalek Blueprint</v>
      </c>
      <c r="M2345" s="15" t="str">
        <f t="shared" si="801"/>
        <v>-</v>
      </c>
      <c r="N2345" s="15">
        <f t="shared" si="802"/>
        <v>0.2</v>
      </c>
      <c r="O2345" s="15" t="str">
        <f t="shared" si="803"/>
        <v>A20</v>
      </c>
      <c r="P2345" s="15" t="str">
        <f t="shared" si="804"/>
        <v>Morbius Inc.</v>
      </c>
      <c r="Q2345" s="15" t="str">
        <f t="shared" si="805"/>
        <v>56 Michael Spice Hwy</v>
      </c>
      <c r="R2345" s="3">
        <f>OrdersTable!C2345</f>
        <v>44730</v>
      </c>
      <c r="S2345" s="15">
        <f>OrdersTable!E2345</f>
        <v>3</v>
      </c>
      <c r="T2345" s="15">
        <f t="shared" si="806"/>
        <v>3.99</v>
      </c>
      <c r="U2345" s="15">
        <f t="shared" si="807"/>
        <v>5.48</v>
      </c>
      <c r="V2345" s="15">
        <f t="shared" si="808"/>
        <v>6.46</v>
      </c>
      <c r="W2345" s="15">
        <f>IF(MarkupType="Store Markup",ROUND(V2345+V2345*StoreMarkup,2),IF(MarkupType="Supplier Markup",V2345+V2345*SupplierMarkup,"Error at finding value"))</f>
        <v>10.17</v>
      </c>
      <c r="X2345" s="32" t="str">
        <f t="shared" si="810"/>
        <v>0.00</v>
      </c>
      <c r="Y2345" s="15">
        <f t="shared" si="811"/>
        <v>19.38</v>
      </c>
      <c r="Z2345" s="15">
        <f t="shared" si="812"/>
        <v>30.51</v>
      </c>
      <c r="AA2345" s="15">
        <f>IF(FreightType="Lethbridge-Stewart Freight ",ROUND(2.99+IF(N2345&gt;0.75,(N2345-0.75)*2.25,0)*S2345,2),IF(MarkupType="Supplier Markup",V2345+V2345*SupplierMarkup,"Error at finding value"))</f>
        <v>2.99</v>
      </c>
      <c r="AB2345" s="15">
        <f t="shared" si="813"/>
        <v>0</v>
      </c>
    </row>
    <row r="2346" spans="1:28" x14ac:dyDescent="0.25">
      <c r="A2346" s="16">
        <f>OrdersTable!A2346</f>
        <v>634</v>
      </c>
      <c r="B2346" s="15" t="str">
        <f t="shared" si="793"/>
        <v>Miss</v>
      </c>
      <c r="C2346" s="15" t="str">
        <f t="shared" si="814"/>
        <v>Betts</v>
      </c>
      <c r="D2346" s="15" t="str">
        <f t="shared" si="794"/>
        <v>Melissa Leigh</v>
      </c>
      <c r="E2346" s="15" t="str">
        <f t="shared" si="795"/>
        <v>4 Aitcheson Drive</v>
      </c>
      <c r="F2346" s="15" t="str">
        <f t="shared" si="796"/>
        <v>Bray Park</v>
      </c>
      <c r="G2346" s="15" t="str">
        <f t="shared" si="797"/>
        <v>QLD</v>
      </c>
      <c r="H2346" s="15">
        <f t="shared" si="798"/>
        <v>4500</v>
      </c>
      <c r="I2346" s="15">
        <f t="shared" si="809"/>
        <v>139</v>
      </c>
      <c r="J2346" s="15">
        <f>OrdersTable!B2346</f>
        <v>740</v>
      </c>
      <c r="K2346" s="15" t="str">
        <f t="shared" si="799"/>
        <v>Props and Replicas</v>
      </c>
      <c r="L2346" s="15" t="str">
        <f t="shared" si="800"/>
        <v>Doctor Who: River Song Squareness Blaster</v>
      </c>
      <c r="M2346" s="15" t="str">
        <f t="shared" si="801"/>
        <v>-</v>
      </c>
      <c r="N2346" s="15">
        <f t="shared" si="802"/>
        <v>14.8</v>
      </c>
      <c r="O2346" s="15" t="str">
        <f t="shared" si="803"/>
        <v>A40</v>
      </c>
      <c r="P2346" s="15" t="str">
        <f t="shared" si="804"/>
        <v>Romana Imports</v>
      </c>
      <c r="Q2346" s="15" t="str">
        <f t="shared" si="805"/>
        <v>17 Lalla Ward Road</v>
      </c>
      <c r="R2346" s="3">
        <f>OrdersTable!C2346</f>
        <v>44730</v>
      </c>
      <c r="S2346" s="15">
        <f>OrdersTable!E2346</f>
        <v>7</v>
      </c>
      <c r="T2346" s="15">
        <f t="shared" si="806"/>
        <v>295.99</v>
      </c>
      <c r="U2346" s="15">
        <f t="shared" si="807"/>
        <v>403.84</v>
      </c>
      <c r="V2346" s="15">
        <f t="shared" si="808"/>
        <v>479.5</v>
      </c>
      <c r="W2346" s="15">
        <f>IF(MarkupType="Store Markup",ROUND(V2346+V2346*StoreMarkup,2),IF(MarkupType="Supplier Markup",V2346+V2346*SupplierMarkup,"Error at finding value"))</f>
        <v>755.21</v>
      </c>
      <c r="X2346" s="32">
        <f t="shared" si="810"/>
        <v>53.81</v>
      </c>
      <c r="Y2346" s="15">
        <f t="shared" si="811"/>
        <v>3356.5</v>
      </c>
      <c r="Z2346" s="15">
        <f t="shared" si="812"/>
        <v>4909.8</v>
      </c>
      <c r="AA2346" s="15">
        <f>IF(FreightType="Lethbridge-Stewart Freight ",ROUND(2.99+IF(N2346&gt;0.75,(N2346-0.75)*2.25,0)*S2346,2),IF(MarkupType="Supplier Markup",V2346+V2346*SupplierMarkup,"Error at finding value"))</f>
        <v>224.28</v>
      </c>
      <c r="AB2346" s="15">
        <f t="shared" si="813"/>
        <v>376.67</v>
      </c>
    </row>
    <row r="2347" spans="1:28" x14ac:dyDescent="0.25">
      <c r="A2347" s="16">
        <f>OrdersTable!A2347</f>
        <v>972</v>
      </c>
      <c r="B2347" s="15" t="str">
        <f t="shared" si="793"/>
        <v>Miss</v>
      </c>
      <c r="C2347" s="15" t="str">
        <f t="shared" si="814"/>
        <v>Walsh</v>
      </c>
      <c r="D2347" s="15" t="str">
        <f t="shared" si="794"/>
        <v>Alana Jane</v>
      </c>
      <c r="E2347" s="15" t="str">
        <f t="shared" si="795"/>
        <v>40 Betts Crescent</v>
      </c>
      <c r="F2347" s="15" t="str">
        <f t="shared" si="796"/>
        <v>Alleena</v>
      </c>
      <c r="G2347" s="15" t="str">
        <f t="shared" si="797"/>
        <v>NSW</v>
      </c>
      <c r="H2347" s="15">
        <f t="shared" si="798"/>
        <v>2671</v>
      </c>
      <c r="I2347" s="15">
        <f t="shared" si="809"/>
        <v>988</v>
      </c>
      <c r="J2347" s="15">
        <f>OrdersTable!B2347</f>
        <v>747</v>
      </c>
      <c r="K2347" s="15" t="str">
        <f t="shared" si="799"/>
        <v>Props and Replicas</v>
      </c>
      <c r="L2347" s="15" t="str">
        <f t="shared" si="800"/>
        <v>Doctor Who: The Master's Fob Watch</v>
      </c>
      <c r="M2347" s="15" t="str">
        <f t="shared" si="801"/>
        <v>-</v>
      </c>
      <c r="N2347" s="15">
        <f t="shared" si="802"/>
        <v>2.25</v>
      </c>
      <c r="O2347" s="15" t="str">
        <f t="shared" si="803"/>
        <v>A10</v>
      </c>
      <c r="P2347" s="15" t="str">
        <f t="shared" si="804"/>
        <v>Gallifrey International</v>
      </c>
      <c r="Q2347" s="15" t="str">
        <f t="shared" si="805"/>
        <v>181 Arcadia Street</v>
      </c>
      <c r="R2347" s="3">
        <f>OrdersTable!C2347</f>
        <v>44730</v>
      </c>
      <c r="S2347" s="15">
        <f>OrdersTable!E2347</f>
        <v>5</v>
      </c>
      <c r="T2347" s="15">
        <f t="shared" si="806"/>
        <v>44.99</v>
      </c>
      <c r="U2347" s="15">
        <f t="shared" si="807"/>
        <v>61.7</v>
      </c>
      <c r="V2347" s="15">
        <f t="shared" si="808"/>
        <v>72.88</v>
      </c>
      <c r="W2347" s="15">
        <f>IF(MarkupType="Store Markup",ROUND(V2347+V2347*StoreMarkup,2),IF(MarkupType="Supplier Markup",V2347+V2347*SupplierMarkup,"Error at finding value"))</f>
        <v>114.79</v>
      </c>
      <c r="X2347" s="32">
        <f t="shared" si="810"/>
        <v>8.18</v>
      </c>
      <c r="Y2347" s="15">
        <f t="shared" si="811"/>
        <v>364.4</v>
      </c>
      <c r="Z2347" s="15">
        <f t="shared" si="812"/>
        <v>533.04999999999995</v>
      </c>
      <c r="AA2347" s="15">
        <f>IF(FreightType="Lethbridge-Stewart Freight ",ROUND(2.99+IF(N2347&gt;0.75,(N2347-0.75)*2.25,0)*S2347,2),IF(MarkupType="Supplier Markup",V2347+V2347*SupplierMarkup,"Error at finding value"))</f>
        <v>19.87</v>
      </c>
      <c r="AB2347" s="15">
        <f t="shared" si="813"/>
        <v>40.9</v>
      </c>
    </row>
    <row r="2348" spans="1:28" x14ac:dyDescent="0.25">
      <c r="A2348" s="16">
        <f>OrdersTable!A2348</f>
        <v>46</v>
      </c>
      <c r="B2348" s="15" t="str">
        <f t="shared" si="793"/>
        <v>Mrs</v>
      </c>
      <c r="C2348" s="15" t="str">
        <f t="shared" si="814"/>
        <v>Dovey</v>
      </c>
      <c r="D2348" s="15" t="str">
        <f t="shared" si="794"/>
        <v>Aisha Jade</v>
      </c>
      <c r="E2348" s="15" t="str">
        <f t="shared" si="795"/>
        <v>43 Wilkes Circuit</v>
      </c>
      <c r="F2348" s="15" t="str">
        <f t="shared" si="796"/>
        <v>Alfredtown</v>
      </c>
      <c r="G2348" s="15" t="str">
        <f t="shared" si="797"/>
        <v>NSW</v>
      </c>
      <c r="H2348" s="15">
        <f t="shared" si="798"/>
        <v>2650</v>
      </c>
      <c r="I2348" s="15">
        <f t="shared" si="809"/>
        <v>1124</v>
      </c>
      <c r="J2348" s="15">
        <f>OrdersTable!B2348</f>
        <v>676</v>
      </c>
      <c r="K2348" s="15" t="str">
        <f t="shared" si="799"/>
        <v>Mugs</v>
      </c>
      <c r="L2348" s="15" t="str">
        <f t="shared" si="800"/>
        <v>Doctor Who: Mug: The Eleventh Doctor</v>
      </c>
      <c r="M2348" s="15" t="str">
        <f t="shared" si="801"/>
        <v>-</v>
      </c>
      <c r="N2348" s="15">
        <f t="shared" si="802"/>
        <v>0.45</v>
      </c>
      <c r="O2348" s="15" t="str">
        <f t="shared" si="803"/>
        <v>A20</v>
      </c>
      <c r="P2348" s="15" t="str">
        <f t="shared" si="804"/>
        <v>Morbius Inc.</v>
      </c>
      <c r="Q2348" s="15" t="str">
        <f t="shared" si="805"/>
        <v>56 Michael Spice Hwy</v>
      </c>
      <c r="R2348" s="3">
        <f>OrdersTable!C2348</f>
        <v>44731</v>
      </c>
      <c r="S2348" s="15">
        <f>OrdersTable!E2348</f>
        <v>6</v>
      </c>
      <c r="T2348" s="15">
        <f t="shared" si="806"/>
        <v>8.99</v>
      </c>
      <c r="U2348" s="15">
        <f t="shared" si="807"/>
        <v>12.55</v>
      </c>
      <c r="V2348" s="15">
        <f t="shared" si="808"/>
        <v>14.56</v>
      </c>
      <c r="W2348" s="15">
        <f>IF(MarkupType="Store Markup",ROUND(V2348+V2348*StoreMarkup,2),IF(MarkupType="Supplier Markup",V2348+V2348*SupplierMarkup,"Error at finding value"))</f>
        <v>22.93</v>
      </c>
      <c r="X2348" s="32" t="str">
        <f t="shared" si="810"/>
        <v>0.00</v>
      </c>
      <c r="Y2348" s="15">
        <f t="shared" si="811"/>
        <v>87.36</v>
      </c>
      <c r="Z2348" s="15">
        <f t="shared" si="812"/>
        <v>137.58000000000001</v>
      </c>
      <c r="AA2348" s="15">
        <f>IF(FreightType="Lethbridge-Stewart Freight ",ROUND(2.99+IF(N2348&gt;0.75,(N2348-0.75)*2.25,0)*S2348,2),IF(MarkupType="Supplier Markup",V2348+V2348*SupplierMarkup,"Error at finding value"))</f>
        <v>2.99</v>
      </c>
      <c r="AB2348" s="15">
        <f t="shared" si="813"/>
        <v>0</v>
      </c>
    </row>
    <row r="2349" spans="1:28" x14ac:dyDescent="0.25">
      <c r="A2349" s="16">
        <f>OrdersTable!A2349</f>
        <v>142</v>
      </c>
      <c r="B2349" s="15" t="str">
        <f t="shared" si="793"/>
        <v>Miss</v>
      </c>
      <c r="C2349" s="15" t="str">
        <f t="shared" si="814"/>
        <v>Western</v>
      </c>
      <c r="D2349" s="15" t="str">
        <f t="shared" si="794"/>
        <v>Lee Reuben</v>
      </c>
      <c r="E2349" s="15" t="str">
        <f t="shared" si="795"/>
        <v>14 Fields Road</v>
      </c>
      <c r="F2349" s="15" t="str">
        <f t="shared" si="796"/>
        <v>Airly</v>
      </c>
      <c r="G2349" s="15" t="str">
        <f t="shared" si="797"/>
        <v>VIC</v>
      </c>
      <c r="H2349" s="15">
        <f t="shared" si="798"/>
        <v>3851</v>
      </c>
      <c r="I2349" s="15">
        <f t="shared" si="809"/>
        <v>1583</v>
      </c>
      <c r="J2349" s="15">
        <f>OrdersTable!B2349</f>
        <v>732</v>
      </c>
      <c r="K2349" s="15" t="str">
        <f t="shared" si="799"/>
        <v>Props and Replicas</v>
      </c>
      <c r="L2349" s="15" t="str">
        <f t="shared" si="800"/>
        <v>Doctor Who: Eleventh Doctor's Sonic Screwdriver</v>
      </c>
      <c r="M2349" s="15" t="str">
        <f t="shared" si="801"/>
        <v>-</v>
      </c>
      <c r="N2349" s="15">
        <f t="shared" si="802"/>
        <v>3</v>
      </c>
      <c r="O2349" s="15" t="str">
        <f t="shared" si="803"/>
        <v>A40</v>
      </c>
      <c r="P2349" s="15" t="str">
        <f t="shared" si="804"/>
        <v>Romana Imports</v>
      </c>
      <c r="Q2349" s="15" t="str">
        <f t="shared" si="805"/>
        <v>17 Lalla Ward Road</v>
      </c>
      <c r="R2349" s="3">
        <f>OrdersTable!C2349</f>
        <v>44731</v>
      </c>
      <c r="S2349" s="15">
        <f>OrdersTable!E2349</f>
        <v>7</v>
      </c>
      <c r="T2349" s="15">
        <f t="shared" si="806"/>
        <v>59.99</v>
      </c>
      <c r="U2349" s="15">
        <f t="shared" si="807"/>
        <v>81.83</v>
      </c>
      <c r="V2349" s="15">
        <f t="shared" si="808"/>
        <v>97.18</v>
      </c>
      <c r="W2349" s="15">
        <f>IF(MarkupType="Store Markup",ROUND(V2349+V2349*StoreMarkup,2),IF(MarkupType="Supplier Markup",V2349+V2349*SupplierMarkup,"Error at finding value"))</f>
        <v>153.06</v>
      </c>
      <c r="X2349" s="32">
        <f t="shared" si="810"/>
        <v>10.91</v>
      </c>
      <c r="Y2349" s="15">
        <f t="shared" si="811"/>
        <v>680.26</v>
      </c>
      <c r="Z2349" s="15">
        <f t="shared" si="812"/>
        <v>995.05</v>
      </c>
      <c r="AA2349" s="15">
        <f>IF(FreightType="Lethbridge-Stewart Freight ",ROUND(2.99+IF(N2349&gt;0.75,(N2349-0.75)*2.25,0)*S2349,2),IF(MarkupType="Supplier Markup",V2349+V2349*SupplierMarkup,"Error at finding value"))</f>
        <v>38.43</v>
      </c>
      <c r="AB2349" s="15">
        <f t="shared" si="813"/>
        <v>76.37</v>
      </c>
    </row>
    <row r="2350" spans="1:28" x14ac:dyDescent="0.25">
      <c r="A2350" s="16">
        <f>OrdersTable!A2350</f>
        <v>158</v>
      </c>
      <c r="B2350" s="15" t="str">
        <f t="shared" si="793"/>
        <v>Mr</v>
      </c>
      <c r="C2350" s="15" t="str">
        <f t="shared" si="814"/>
        <v>Fowler</v>
      </c>
      <c r="D2350" s="15" t="str">
        <f t="shared" si="794"/>
        <v>James</v>
      </c>
      <c r="E2350" s="15" t="str">
        <f t="shared" si="795"/>
        <v>30 Virk Court</v>
      </c>
      <c r="F2350" s="15" t="str">
        <f t="shared" si="796"/>
        <v>Black Hills</v>
      </c>
      <c r="G2350" s="15" t="str">
        <f t="shared" si="797"/>
        <v>TAS</v>
      </c>
      <c r="H2350" s="15">
        <f t="shared" si="798"/>
        <v>7140</v>
      </c>
      <c r="I2350" s="15">
        <f t="shared" si="809"/>
        <v>2191</v>
      </c>
      <c r="J2350" s="15">
        <f>OrdersTable!B2350</f>
        <v>436</v>
      </c>
      <c r="K2350" s="15" t="str">
        <f t="shared" si="799"/>
        <v>Giftware</v>
      </c>
      <c r="L2350" s="15" t="str">
        <f t="shared" si="800"/>
        <v>Doctor Who: Adult Watch: TARDIS</v>
      </c>
      <c r="M2350" s="15" t="str">
        <f t="shared" si="801"/>
        <v>-</v>
      </c>
      <c r="N2350" s="15">
        <f t="shared" si="802"/>
        <v>1.5</v>
      </c>
      <c r="O2350" s="15" t="str">
        <f t="shared" si="803"/>
        <v>A20</v>
      </c>
      <c r="P2350" s="15" t="str">
        <f t="shared" si="804"/>
        <v>Morbius Inc.</v>
      </c>
      <c r="Q2350" s="15" t="str">
        <f t="shared" si="805"/>
        <v>56 Michael Spice Hwy</v>
      </c>
      <c r="R2350" s="3">
        <f>OrdersTable!C2350</f>
        <v>44731</v>
      </c>
      <c r="S2350" s="15">
        <f>OrdersTable!E2350</f>
        <v>3</v>
      </c>
      <c r="T2350" s="15">
        <f t="shared" si="806"/>
        <v>29.99</v>
      </c>
      <c r="U2350" s="15">
        <f t="shared" si="807"/>
        <v>40.96</v>
      </c>
      <c r="V2350" s="15">
        <f t="shared" si="808"/>
        <v>48.58</v>
      </c>
      <c r="W2350" s="15">
        <f>IF(MarkupType="Store Markup",ROUND(V2350+V2350*StoreMarkup,2),IF(MarkupType="Supplier Markup",V2350+V2350*SupplierMarkup,"Error at finding value"))</f>
        <v>76.510000000000005</v>
      </c>
      <c r="X2350" s="32" t="str">
        <f t="shared" si="810"/>
        <v>0.00</v>
      </c>
      <c r="Y2350" s="15">
        <f t="shared" si="811"/>
        <v>145.74</v>
      </c>
      <c r="Z2350" s="15">
        <f t="shared" si="812"/>
        <v>229.53</v>
      </c>
      <c r="AA2350" s="15">
        <f>IF(FreightType="Lethbridge-Stewart Freight ",ROUND(2.99+IF(N2350&gt;0.75,(N2350-0.75)*2.25,0)*S2350,2),IF(MarkupType="Supplier Markup",V2350+V2350*SupplierMarkup,"Error at finding value"))</f>
        <v>8.0500000000000007</v>
      </c>
      <c r="AB2350" s="15">
        <f t="shared" si="813"/>
        <v>0</v>
      </c>
    </row>
    <row r="2351" spans="1:28" x14ac:dyDescent="0.25">
      <c r="A2351" s="16">
        <f>OrdersTable!A2351</f>
        <v>190</v>
      </c>
      <c r="B2351" s="15" t="str">
        <f t="shared" si="793"/>
        <v>Mr</v>
      </c>
      <c r="C2351" s="15" t="str">
        <f t="shared" si="814"/>
        <v>Azar</v>
      </c>
      <c r="D2351" s="15" t="str">
        <f t="shared" si="794"/>
        <v>Hector Antonio</v>
      </c>
      <c r="E2351" s="15" t="str">
        <f t="shared" si="795"/>
        <v>38 Hope Avenue</v>
      </c>
      <c r="F2351" s="15" t="str">
        <f t="shared" si="796"/>
        <v>Glenfern</v>
      </c>
      <c r="G2351" s="15" t="str">
        <f t="shared" si="797"/>
        <v>QLD</v>
      </c>
      <c r="H2351" s="15">
        <f t="shared" si="798"/>
        <v>4515</v>
      </c>
      <c r="I2351" s="15">
        <f t="shared" si="809"/>
        <v>128</v>
      </c>
      <c r="J2351" s="15">
        <f>OrdersTable!B2351</f>
        <v>787</v>
      </c>
      <c r="K2351" s="15" t="str">
        <f t="shared" si="799"/>
        <v>Statues and Busts</v>
      </c>
      <c r="L2351" s="15" t="str">
        <f t="shared" si="800"/>
        <v>Doctor Who: Masterpiece Collection Maxi Bust: 1st Doctor</v>
      </c>
      <c r="M2351" s="15" t="str">
        <f t="shared" si="801"/>
        <v>-</v>
      </c>
      <c r="N2351" s="15">
        <f t="shared" si="802"/>
        <v>2.5</v>
      </c>
      <c r="O2351" s="15" t="str">
        <f t="shared" si="803"/>
        <v>A10</v>
      </c>
      <c r="P2351" s="15" t="str">
        <f t="shared" si="804"/>
        <v>Gallifrey International</v>
      </c>
      <c r="Q2351" s="15" t="str">
        <f t="shared" si="805"/>
        <v>181 Arcadia Street</v>
      </c>
      <c r="R2351" s="3">
        <f>OrdersTable!C2351</f>
        <v>44731</v>
      </c>
      <c r="S2351" s="15">
        <f>OrdersTable!E2351</f>
        <v>8</v>
      </c>
      <c r="T2351" s="15">
        <f t="shared" si="806"/>
        <v>49.99</v>
      </c>
      <c r="U2351" s="15">
        <f t="shared" si="807"/>
        <v>68.290000000000006</v>
      </c>
      <c r="V2351" s="15">
        <f t="shared" si="808"/>
        <v>80.98</v>
      </c>
      <c r="W2351" s="15">
        <f>IF(MarkupType="Store Markup",ROUND(V2351+V2351*StoreMarkup,2),IF(MarkupType="Supplier Markup",V2351+V2351*SupplierMarkup,"Error at finding value"))</f>
        <v>127.54</v>
      </c>
      <c r="X2351" s="32">
        <f t="shared" si="810"/>
        <v>9.09</v>
      </c>
      <c r="Y2351" s="15">
        <f t="shared" si="811"/>
        <v>647.84</v>
      </c>
      <c r="Z2351" s="15">
        <f t="shared" si="812"/>
        <v>947.6</v>
      </c>
      <c r="AA2351" s="15">
        <f>IF(FreightType="Lethbridge-Stewart Freight ",ROUND(2.99+IF(N2351&gt;0.75,(N2351-0.75)*2.25,0)*S2351,2),IF(MarkupType="Supplier Markup",V2351+V2351*SupplierMarkup,"Error at finding value"))</f>
        <v>34.49</v>
      </c>
      <c r="AB2351" s="15">
        <f t="shared" si="813"/>
        <v>72.72</v>
      </c>
    </row>
    <row r="2352" spans="1:28" x14ac:dyDescent="0.25">
      <c r="A2352" s="16">
        <f>OrdersTable!A2352</f>
        <v>573</v>
      </c>
      <c r="B2352" s="15" t="str">
        <f t="shared" si="793"/>
        <v>Mrs</v>
      </c>
      <c r="C2352" s="15" t="str">
        <f t="shared" si="814"/>
        <v>Hollonds</v>
      </c>
      <c r="D2352" s="15" t="str">
        <f t="shared" si="794"/>
        <v>Suzan</v>
      </c>
      <c r="E2352" s="15" t="str">
        <f t="shared" si="795"/>
        <v>49 Patel Way</v>
      </c>
      <c r="F2352" s="15" t="str">
        <f t="shared" si="796"/>
        <v>Belconnen</v>
      </c>
      <c r="G2352" s="15" t="str">
        <f t="shared" si="797"/>
        <v>ACT</v>
      </c>
      <c r="H2352" s="15">
        <f t="shared" si="798"/>
        <v>2617</v>
      </c>
      <c r="I2352" s="15">
        <f t="shared" si="809"/>
        <v>1194</v>
      </c>
      <c r="J2352" s="15">
        <f>OrdersTable!B2352</f>
        <v>778</v>
      </c>
      <c r="K2352" s="15" t="str">
        <f t="shared" si="799"/>
        <v>Statues and Busts</v>
      </c>
      <c r="L2352" s="15" t="str">
        <f t="shared" si="800"/>
        <v>Doctor Who: Legends Forever Bust: William Hartnell</v>
      </c>
      <c r="M2352" s="15" t="str">
        <f t="shared" si="801"/>
        <v>-</v>
      </c>
      <c r="N2352" s="15">
        <f t="shared" si="802"/>
        <v>1.375</v>
      </c>
      <c r="O2352" s="15" t="str">
        <f t="shared" si="803"/>
        <v>A40</v>
      </c>
      <c r="P2352" s="15" t="str">
        <f t="shared" si="804"/>
        <v>Romana Imports</v>
      </c>
      <c r="Q2352" s="15" t="str">
        <f t="shared" si="805"/>
        <v>17 Lalla Ward Road</v>
      </c>
      <c r="R2352" s="3">
        <f>OrdersTable!C2352</f>
        <v>44731</v>
      </c>
      <c r="S2352" s="15">
        <f>OrdersTable!E2352</f>
        <v>4</v>
      </c>
      <c r="T2352" s="15">
        <f t="shared" si="806"/>
        <v>27.5</v>
      </c>
      <c r="U2352" s="15">
        <f t="shared" si="807"/>
        <v>37.520000000000003</v>
      </c>
      <c r="V2352" s="15">
        <f t="shared" si="808"/>
        <v>44.55</v>
      </c>
      <c r="W2352" s="15">
        <f>IF(MarkupType="Store Markup",ROUND(V2352+V2352*StoreMarkup,2),IF(MarkupType="Supplier Markup",V2352+V2352*SupplierMarkup,"Error at finding value"))</f>
        <v>70.17</v>
      </c>
      <c r="X2352" s="32" t="str">
        <f t="shared" si="810"/>
        <v>0.00</v>
      </c>
      <c r="Y2352" s="15">
        <f t="shared" si="811"/>
        <v>178.2</v>
      </c>
      <c r="Z2352" s="15">
        <f t="shared" si="812"/>
        <v>280.68</v>
      </c>
      <c r="AA2352" s="15">
        <f>IF(FreightType="Lethbridge-Stewart Freight ",ROUND(2.99+IF(N2352&gt;0.75,(N2352-0.75)*2.25,0)*S2352,2),IF(MarkupType="Supplier Markup",V2352+V2352*SupplierMarkup,"Error at finding value"))</f>
        <v>8.6199999999999992</v>
      </c>
      <c r="AB2352" s="15">
        <f t="shared" si="813"/>
        <v>0</v>
      </c>
    </row>
    <row r="2353" spans="1:28" x14ac:dyDescent="0.25">
      <c r="A2353" s="16">
        <f>OrdersTable!A2353</f>
        <v>580</v>
      </c>
      <c r="B2353" s="15" t="str">
        <f t="shared" si="793"/>
        <v>Mr</v>
      </c>
      <c r="C2353" s="15" t="str">
        <f t="shared" si="814"/>
        <v>Faatoafe</v>
      </c>
      <c r="D2353" s="15" t="str">
        <f t="shared" si="794"/>
        <v>Jasson Iosefa</v>
      </c>
      <c r="E2353" s="15" t="str">
        <f t="shared" si="795"/>
        <v>29 Schaffer Boulevard</v>
      </c>
      <c r="F2353" s="15" t="str">
        <f t="shared" si="796"/>
        <v>Binduli</v>
      </c>
      <c r="G2353" s="15" t="str">
        <f t="shared" si="797"/>
        <v>WA</v>
      </c>
      <c r="H2353" s="15">
        <f t="shared" si="798"/>
        <v>6430</v>
      </c>
      <c r="I2353" s="15">
        <f t="shared" si="809"/>
        <v>3543</v>
      </c>
      <c r="J2353" s="15">
        <f>OrdersTable!B2353</f>
        <v>464</v>
      </c>
      <c r="K2353" s="15" t="str">
        <f t="shared" si="799"/>
        <v>Giftware</v>
      </c>
      <c r="L2353" s="15" t="str">
        <f t="shared" si="800"/>
        <v>Doctor Who: Collectable License Plate: My Other Car Is A TARDIS</v>
      </c>
      <c r="M2353" s="15" t="str">
        <f t="shared" si="801"/>
        <v>-</v>
      </c>
      <c r="N2353" s="15">
        <f t="shared" si="802"/>
        <v>0.6</v>
      </c>
      <c r="O2353" s="15" t="str">
        <f t="shared" si="803"/>
        <v>A50</v>
      </c>
      <c r="P2353" s="15" t="str">
        <f t="shared" si="804"/>
        <v>Rassilon Ltd.</v>
      </c>
      <c r="Q2353" s="15" t="str">
        <f t="shared" si="805"/>
        <v>82 Richard Mathews Road</v>
      </c>
      <c r="R2353" s="3">
        <f>OrdersTable!C2353</f>
        <v>44731</v>
      </c>
      <c r="S2353" s="15">
        <f>OrdersTable!E2353</f>
        <v>4</v>
      </c>
      <c r="T2353" s="15">
        <f t="shared" si="806"/>
        <v>11.99</v>
      </c>
      <c r="U2353" s="15">
        <f t="shared" si="807"/>
        <v>16.579999999999998</v>
      </c>
      <c r="V2353" s="15">
        <f t="shared" si="808"/>
        <v>19.420000000000002</v>
      </c>
      <c r="W2353" s="15">
        <f>IF(MarkupType="Store Markup",ROUND(V2353+V2353*StoreMarkup,2),IF(MarkupType="Supplier Markup",V2353+V2353*SupplierMarkup,"Error at finding value"))</f>
        <v>30.59</v>
      </c>
      <c r="X2353" s="32" t="str">
        <f t="shared" si="810"/>
        <v>0.00</v>
      </c>
      <c r="Y2353" s="15">
        <f t="shared" si="811"/>
        <v>77.680000000000007</v>
      </c>
      <c r="Z2353" s="15">
        <f t="shared" si="812"/>
        <v>122.36</v>
      </c>
      <c r="AA2353" s="15">
        <f>IF(FreightType="Lethbridge-Stewart Freight ",ROUND(2.99+IF(N2353&gt;0.75,(N2353-0.75)*2.25,0)*S2353,2),IF(MarkupType="Supplier Markup",V2353+V2353*SupplierMarkup,"Error at finding value"))</f>
        <v>2.99</v>
      </c>
      <c r="AB2353" s="15">
        <f t="shared" si="813"/>
        <v>0</v>
      </c>
    </row>
    <row r="2354" spans="1:28" x14ac:dyDescent="0.25">
      <c r="A2354" s="16">
        <f>OrdersTable!A2354</f>
        <v>651</v>
      </c>
      <c r="B2354" s="15" t="str">
        <f t="shared" si="793"/>
        <v>Mr</v>
      </c>
      <c r="C2354" s="15" t="str">
        <f t="shared" si="814"/>
        <v>Wilkes</v>
      </c>
      <c r="D2354" s="15" t="str">
        <f t="shared" si="794"/>
        <v>Harley</v>
      </c>
      <c r="E2354" s="15" t="str">
        <f t="shared" si="795"/>
        <v>12 Locke Circuit</v>
      </c>
      <c r="F2354" s="15" t="str">
        <f t="shared" si="796"/>
        <v>Bray Park</v>
      </c>
      <c r="G2354" s="15" t="str">
        <f t="shared" si="797"/>
        <v>QLD</v>
      </c>
      <c r="H2354" s="15">
        <f t="shared" si="798"/>
        <v>4500</v>
      </c>
      <c r="I2354" s="15">
        <f t="shared" si="809"/>
        <v>139</v>
      </c>
      <c r="J2354" s="15">
        <f>OrdersTable!B2354</f>
        <v>810</v>
      </c>
      <c r="K2354" s="15" t="str">
        <f t="shared" si="799"/>
        <v>Statues and Busts</v>
      </c>
      <c r="L2354" s="15" t="str">
        <f t="shared" si="800"/>
        <v>Doctor Who: Masterpiece Collection Maxi Bust: Amy Pond</v>
      </c>
      <c r="M2354" s="15" t="str">
        <f t="shared" si="801"/>
        <v>-</v>
      </c>
      <c r="N2354" s="15">
        <f t="shared" si="802"/>
        <v>2.5</v>
      </c>
      <c r="O2354" s="15" t="str">
        <f t="shared" si="803"/>
        <v>A50</v>
      </c>
      <c r="P2354" s="15" t="str">
        <f t="shared" si="804"/>
        <v>Rassilon Ltd.</v>
      </c>
      <c r="Q2354" s="15" t="str">
        <f t="shared" si="805"/>
        <v>82 Richard Mathews Road</v>
      </c>
      <c r="R2354" s="3">
        <f>OrdersTable!C2354</f>
        <v>44731</v>
      </c>
      <c r="S2354" s="15">
        <f>OrdersTable!E2354</f>
        <v>8</v>
      </c>
      <c r="T2354" s="15">
        <f t="shared" si="806"/>
        <v>49.99</v>
      </c>
      <c r="U2354" s="15">
        <f t="shared" si="807"/>
        <v>68.260000000000005</v>
      </c>
      <c r="V2354" s="15">
        <f t="shared" si="808"/>
        <v>80.98</v>
      </c>
      <c r="W2354" s="15">
        <f>IF(MarkupType="Store Markup",ROUND(V2354+V2354*StoreMarkup,2),IF(MarkupType="Supplier Markup",V2354+V2354*SupplierMarkup,"Error at finding value"))</f>
        <v>127.54</v>
      </c>
      <c r="X2354" s="32">
        <f t="shared" si="810"/>
        <v>9.09</v>
      </c>
      <c r="Y2354" s="15">
        <f t="shared" si="811"/>
        <v>647.84</v>
      </c>
      <c r="Z2354" s="15">
        <f t="shared" si="812"/>
        <v>947.6</v>
      </c>
      <c r="AA2354" s="15">
        <f>IF(FreightType="Lethbridge-Stewart Freight ",ROUND(2.99+IF(N2354&gt;0.75,(N2354-0.75)*2.25,0)*S2354,2),IF(MarkupType="Supplier Markup",V2354+V2354*SupplierMarkup,"Error at finding value"))</f>
        <v>34.49</v>
      </c>
      <c r="AB2354" s="15">
        <f t="shared" si="813"/>
        <v>72.72</v>
      </c>
    </row>
    <row r="2355" spans="1:28" x14ac:dyDescent="0.25">
      <c r="A2355" s="16">
        <f>OrdersTable!A2355</f>
        <v>758</v>
      </c>
      <c r="B2355" s="15" t="str">
        <f t="shared" si="793"/>
        <v>Mr</v>
      </c>
      <c r="C2355" s="15" t="str">
        <f t="shared" si="814"/>
        <v>Whitehorn</v>
      </c>
      <c r="D2355" s="15" t="str">
        <f t="shared" si="794"/>
        <v>James</v>
      </c>
      <c r="E2355" s="15" t="str">
        <f t="shared" si="795"/>
        <v>32 Raubenheimer Circuit</v>
      </c>
      <c r="F2355" s="15" t="str">
        <f t="shared" si="796"/>
        <v>Belconnen</v>
      </c>
      <c r="G2355" s="15" t="str">
        <f t="shared" si="797"/>
        <v>ACT</v>
      </c>
      <c r="H2355" s="15">
        <f t="shared" si="798"/>
        <v>2617</v>
      </c>
      <c r="I2355" s="15">
        <f t="shared" si="809"/>
        <v>1194</v>
      </c>
      <c r="J2355" s="15">
        <f>OrdersTable!B2355</f>
        <v>667</v>
      </c>
      <c r="K2355" s="15" t="str">
        <f t="shared" si="799"/>
        <v>Mugs</v>
      </c>
      <c r="L2355" s="15" t="str">
        <f t="shared" si="800"/>
        <v>Doctor Who: Mug: Keep Calm And Don't Blink</v>
      </c>
      <c r="M2355" s="15" t="str">
        <f t="shared" si="801"/>
        <v>-</v>
      </c>
      <c r="N2355" s="15">
        <f t="shared" si="802"/>
        <v>0.35</v>
      </c>
      <c r="O2355" s="15" t="str">
        <f t="shared" si="803"/>
        <v>A10</v>
      </c>
      <c r="P2355" s="15" t="str">
        <f t="shared" si="804"/>
        <v>Gallifrey International</v>
      </c>
      <c r="Q2355" s="15" t="str">
        <f t="shared" si="805"/>
        <v>181 Arcadia Street</v>
      </c>
      <c r="R2355" s="3">
        <f>OrdersTable!C2355</f>
        <v>44731</v>
      </c>
      <c r="S2355" s="15">
        <f>OrdersTable!E2355</f>
        <v>1</v>
      </c>
      <c r="T2355" s="15">
        <f t="shared" si="806"/>
        <v>6.99</v>
      </c>
      <c r="U2355" s="15">
        <f t="shared" si="807"/>
        <v>9.84</v>
      </c>
      <c r="V2355" s="15">
        <f t="shared" si="808"/>
        <v>11.32</v>
      </c>
      <c r="W2355" s="15">
        <f>IF(MarkupType="Store Markup",ROUND(V2355+V2355*StoreMarkup,2),IF(MarkupType="Supplier Markup",V2355+V2355*SupplierMarkup,"Error at finding value"))</f>
        <v>17.829999999999998</v>
      </c>
      <c r="X2355" s="32" t="str">
        <f t="shared" si="810"/>
        <v>0.00</v>
      </c>
      <c r="Y2355" s="15">
        <f t="shared" si="811"/>
        <v>11.32</v>
      </c>
      <c r="Z2355" s="15">
        <f t="shared" si="812"/>
        <v>17.829999999999998</v>
      </c>
      <c r="AA2355" s="15">
        <f>IF(FreightType="Lethbridge-Stewart Freight ",ROUND(2.99+IF(N2355&gt;0.75,(N2355-0.75)*2.25,0)*S2355,2),IF(MarkupType="Supplier Markup",V2355+V2355*SupplierMarkup,"Error at finding value"))</f>
        <v>2.99</v>
      </c>
      <c r="AB2355" s="15">
        <f t="shared" si="813"/>
        <v>0</v>
      </c>
    </row>
    <row r="2356" spans="1:28" x14ac:dyDescent="0.25">
      <c r="A2356" s="16">
        <f>OrdersTable!A2356</f>
        <v>841</v>
      </c>
      <c r="B2356" s="15" t="str">
        <f t="shared" si="793"/>
        <v>Miss</v>
      </c>
      <c r="C2356" s="15" t="str">
        <f t="shared" si="814"/>
        <v>Donaghy</v>
      </c>
      <c r="D2356" s="15" t="str">
        <f t="shared" si="794"/>
        <v>Elizabeth Mathilde Jane</v>
      </c>
      <c r="E2356" s="15" t="str">
        <f t="shared" si="795"/>
        <v>31 Johnson Boulevard</v>
      </c>
      <c r="F2356" s="15" t="str">
        <f t="shared" si="796"/>
        <v>Belford</v>
      </c>
      <c r="G2356" s="15" t="str">
        <f t="shared" si="797"/>
        <v>NSW</v>
      </c>
      <c r="H2356" s="15">
        <f t="shared" si="798"/>
        <v>2335</v>
      </c>
      <c r="I2356" s="15">
        <f t="shared" si="809"/>
        <v>716</v>
      </c>
      <c r="J2356" s="15">
        <f>OrdersTable!B2356</f>
        <v>607</v>
      </c>
      <c r="K2356" s="15" t="str">
        <f t="shared" si="799"/>
        <v>iPhone Skins</v>
      </c>
      <c r="L2356" s="15" t="str">
        <f t="shared" si="800"/>
        <v>Doctor Who: iPhone Skin: Keep Calm I'm The Doctor</v>
      </c>
      <c r="M2356" s="15" t="str">
        <f t="shared" si="801"/>
        <v>-</v>
      </c>
      <c r="N2356" s="15">
        <f t="shared" si="802"/>
        <v>0.5</v>
      </c>
      <c r="O2356" s="15" t="str">
        <f t="shared" si="803"/>
        <v>A40</v>
      </c>
      <c r="P2356" s="15" t="str">
        <f t="shared" si="804"/>
        <v>Romana Imports</v>
      </c>
      <c r="Q2356" s="15" t="str">
        <f t="shared" si="805"/>
        <v>17 Lalla Ward Road</v>
      </c>
      <c r="R2356" s="3">
        <f>OrdersTable!C2356</f>
        <v>44731</v>
      </c>
      <c r="S2356" s="15">
        <f>OrdersTable!E2356</f>
        <v>3</v>
      </c>
      <c r="T2356" s="15">
        <f t="shared" si="806"/>
        <v>9.99</v>
      </c>
      <c r="U2356" s="15">
        <f t="shared" si="807"/>
        <v>13.81</v>
      </c>
      <c r="V2356" s="15">
        <f t="shared" si="808"/>
        <v>16.18</v>
      </c>
      <c r="W2356" s="15">
        <f>IF(MarkupType="Store Markup",ROUND(V2356+V2356*StoreMarkup,2),IF(MarkupType="Supplier Markup",V2356+V2356*SupplierMarkup,"Error at finding value"))</f>
        <v>25.48</v>
      </c>
      <c r="X2356" s="32" t="str">
        <f t="shared" si="810"/>
        <v>0.00</v>
      </c>
      <c r="Y2356" s="15">
        <f t="shared" si="811"/>
        <v>48.54</v>
      </c>
      <c r="Z2356" s="15">
        <f t="shared" si="812"/>
        <v>76.44</v>
      </c>
      <c r="AA2356" s="15">
        <f>IF(FreightType="Lethbridge-Stewart Freight ",ROUND(2.99+IF(N2356&gt;0.75,(N2356-0.75)*2.25,0)*S2356,2),IF(MarkupType="Supplier Markup",V2356+V2356*SupplierMarkup,"Error at finding value"))</f>
        <v>2.99</v>
      </c>
      <c r="AB2356" s="15">
        <f t="shared" si="813"/>
        <v>0</v>
      </c>
    </row>
    <row r="2357" spans="1:28" x14ac:dyDescent="0.25">
      <c r="A2357" s="16">
        <f>OrdersTable!A2357</f>
        <v>906</v>
      </c>
      <c r="B2357" s="15" t="str">
        <f t="shared" si="793"/>
        <v>Mrs</v>
      </c>
      <c r="C2357" s="15" t="str">
        <f t="shared" si="814"/>
        <v>Turner</v>
      </c>
      <c r="D2357" s="15" t="str">
        <f t="shared" si="794"/>
        <v>Courtney</v>
      </c>
      <c r="E2357" s="15" t="str">
        <f t="shared" si="795"/>
        <v>42 Fearon Avenue</v>
      </c>
      <c r="F2357" s="15" t="str">
        <f t="shared" si="796"/>
        <v>Breakwater</v>
      </c>
      <c r="G2357" s="15" t="str">
        <f t="shared" si="797"/>
        <v>VIC</v>
      </c>
      <c r="H2357" s="15">
        <f t="shared" si="798"/>
        <v>3219</v>
      </c>
      <c r="I2357" s="15">
        <f t="shared" si="809"/>
        <v>1596</v>
      </c>
      <c r="J2357" s="15">
        <f>OrdersTable!B2357</f>
        <v>745</v>
      </c>
      <c r="K2357" s="15" t="str">
        <f t="shared" si="799"/>
        <v>Props and Replicas</v>
      </c>
      <c r="L2357" s="15" t="str">
        <f t="shared" si="800"/>
        <v>Doctor Who: TARDIS Type 40 Plaque</v>
      </c>
      <c r="M2357" s="15" t="str">
        <f t="shared" si="801"/>
        <v>-</v>
      </c>
      <c r="N2357" s="15">
        <f t="shared" si="802"/>
        <v>1.75</v>
      </c>
      <c r="O2357" s="15" t="str">
        <f t="shared" si="803"/>
        <v>A30</v>
      </c>
      <c r="P2357" s="15" t="str">
        <f t="shared" si="804"/>
        <v>Chesterton Enterprises</v>
      </c>
      <c r="Q2357" s="15" t="str">
        <f t="shared" si="805"/>
        <v>41 William Russell Road</v>
      </c>
      <c r="R2357" s="3">
        <f>OrdersTable!C2357</f>
        <v>44731</v>
      </c>
      <c r="S2357" s="15">
        <f>OrdersTable!E2357</f>
        <v>10</v>
      </c>
      <c r="T2357" s="15">
        <f t="shared" si="806"/>
        <v>34.99</v>
      </c>
      <c r="U2357" s="15">
        <f t="shared" si="807"/>
        <v>47.86</v>
      </c>
      <c r="V2357" s="15">
        <f t="shared" si="808"/>
        <v>56.68</v>
      </c>
      <c r="W2357" s="15">
        <f>IF(MarkupType="Store Markup",ROUND(V2357+V2357*StoreMarkup,2),IF(MarkupType="Supplier Markup",V2357+V2357*SupplierMarkup,"Error at finding value"))</f>
        <v>89.27</v>
      </c>
      <c r="X2357" s="32" t="str">
        <f t="shared" si="810"/>
        <v>0.00</v>
      </c>
      <c r="Y2357" s="15">
        <f t="shared" si="811"/>
        <v>566.79999999999995</v>
      </c>
      <c r="Z2357" s="15">
        <f t="shared" si="812"/>
        <v>892.7</v>
      </c>
      <c r="AA2357" s="15">
        <f>IF(FreightType="Lethbridge-Stewart Freight ",ROUND(2.99+IF(N2357&gt;0.75,(N2357-0.75)*2.25,0)*S2357,2),IF(MarkupType="Supplier Markup",V2357+V2357*SupplierMarkup,"Error at finding value"))</f>
        <v>25.49</v>
      </c>
      <c r="AB2357" s="15">
        <f t="shared" si="813"/>
        <v>0</v>
      </c>
    </row>
    <row r="2358" spans="1:28" x14ac:dyDescent="0.25">
      <c r="A2358" s="16">
        <f>OrdersTable!A2358</f>
        <v>972</v>
      </c>
      <c r="B2358" s="15" t="str">
        <f t="shared" si="793"/>
        <v>Miss</v>
      </c>
      <c r="C2358" s="15" t="str">
        <f t="shared" si="814"/>
        <v>Walsh</v>
      </c>
      <c r="D2358" s="15" t="str">
        <f t="shared" si="794"/>
        <v>Alana Jane</v>
      </c>
      <c r="E2358" s="15" t="str">
        <f t="shared" si="795"/>
        <v>40 Betts Crescent</v>
      </c>
      <c r="F2358" s="15" t="str">
        <f t="shared" si="796"/>
        <v>Alleena</v>
      </c>
      <c r="G2358" s="15" t="str">
        <f t="shared" si="797"/>
        <v>NSW</v>
      </c>
      <c r="H2358" s="15">
        <f t="shared" si="798"/>
        <v>2671</v>
      </c>
      <c r="I2358" s="15">
        <f t="shared" si="809"/>
        <v>988</v>
      </c>
      <c r="J2358" s="15">
        <f>OrdersTable!B2358</f>
        <v>810</v>
      </c>
      <c r="K2358" s="15" t="str">
        <f t="shared" si="799"/>
        <v>Statues and Busts</v>
      </c>
      <c r="L2358" s="15" t="str">
        <f t="shared" si="800"/>
        <v>Doctor Who: Masterpiece Collection Maxi Bust: Amy Pond</v>
      </c>
      <c r="M2358" s="15" t="str">
        <f t="shared" si="801"/>
        <v>-</v>
      </c>
      <c r="N2358" s="15">
        <f t="shared" si="802"/>
        <v>2.5</v>
      </c>
      <c r="O2358" s="15" t="str">
        <f t="shared" si="803"/>
        <v>A50</v>
      </c>
      <c r="P2358" s="15" t="str">
        <f t="shared" si="804"/>
        <v>Rassilon Ltd.</v>
      </c>
      <c r="Q2358" s="15" t="str">
        <f t="shared" si="805"/>
        <v>82 Richard Mathews Road</v>
      </c>
      <c r="R2358" s="3">
        <f>OrdersTable!C2358</f>
        <v>44731</v>
      </c>
      <c r="S2358" s="15">
        <f>OrdersTable!E2358</f>
        <v>5</v>
      </c>
      <c r="T2358" s="15">
        <f t="shared" si="806"/>
        <v>49.99</v>
      </c>
      <c r="U2358" s="15">
        <f t="shared" si="807"/>
        <v>68.260000000000005</v>
      </c>
      <c r="V2358" s="15">
        <f t="shared" si="808"/>
        <v>80.98</v>
      </c>
      <c r="W2358" s="15">
        <f>IF(MarkupType="Store Markup",ROUND(V2358+V2358*StoreMarkup,2),IF(MarkupType="Supplier Markup",V2358+V2358*SupplierMarkup,"Error at finding value"))</f>
        <v>127.54</v>
      </c>
      <c r="X2358" s="32">
        <f t="shared" si="810"/>
        <v>9.09</v>
      </c>
      <c r="Y2358" s="15">
        <f t="shared" si="811"/>
        <v>404.9</v>
      </c>
      <c r="Z2358" s="15">
        <f t="shared" si="812"/>
        <v>592.25</v>
      </c>
      <c r="AA2358" s="15">
        <f>IF(FreightType="Lethbridge-Stewart Freight ",ROUND(2.99+IF(N2358&gt;0.75,(N2358-0.75)*2.25,0)*S2358,2),IF(MarkupType="Supplier Markup",V2358+V2358*SupplierMarkup,"Error at finding value"))</f>
        <v>22.68</v>
      </c>
      <c r="AB2358" s="15">
        <f t="shared" si="813"/>
        <v>45.45</v>
      </c>
    </row>
    <row r="2359" spans="1:28" x14ac:dyDescent="0.25">
      <c r="A2359" s="16">
        <f>OrdersTable!A2359</f>
        <v>249</v>
      </c>
      <c r="B2359" s="15" t="str">
        <f t="shared" si="793"/>
        <v>Mr</v>
      </c>
      <c r="C2359" s="15" t="str">
        <f t="shared" si="814"/>
        <v>Sinclair</v>
      </c>
      <c r="D2359" s="15" t="str">
        <f t="shared" si="794"/>
        <v>Travis James Foord</v>
      </c>
      <c r="E2359" s="15" t="str">
        <f t="shared" si="795"/>
        <v>25 Leunen Avenue</v>
      </c>
      <c r="F2359" s="15" t="str">
        <f t="shared" si="796"/>
        <v>Batlow</v>
      </c>
      <c r="G2359" s="15" t="str">
        <f t="shared" si="797"/>
        <v>NSW</v>
      </c>
      <c r="H2359" s="15">
        <f t="shared" si="798"/>
        <v>2730</v>
      </c>
      <c r="I2359" s="15">
        <f t="shared" si="809"/>
        <v>1138</v>
      </c>
      <c r="J2359" s="15">
        <f>OrdersTable!B2359</f>
        <v>757</v>
      </c>
      <c r="K2359" s="15" t="str">
        <f t="shared" si="799"/>
        <v>Statues and Busts</v>
      </c>
      <c r="L2359" s="15" t="str">
        <f t="shared" si="800"/>
        <v>Doctor Who: Helmet: Ice Warrior</v>
      </c>
      <c r="M2359" s="15" t="str">
        <f t="shared" si="801"/>
        <v>-</v>
      </c>
      <c r="N2359" s="15">
        <f t="shared" si="802"/>
        <v>1.75</v>
      </c>
      <c r="O2359" s="15" t="str">
        <f t="shared" si="803"/>
        <v>A20</v>
      </c>
      <c r="P2359" s="15" t="str">
        <f t="shared" si="804"/>
        <v>Morbius Inc.</v>
      </c>
      <c r="Q2359" s="15" t="str">
        <f t="shared" si="805"/>
        <v>56 Michael Spice Hwy</v>
      </c>
      <c r="R2359" s="3">
        <f>OrdersTable!C2359</f>
        <v>44732</v>
      </c>
      <c r="S2359" s="15">
        <f>OrdersTable!E2359</f>
        <v>5</v>
      </c>
      <c r="T2359" s="15">
        <f t="shared" si="806"/>
        <v>34.99</v>
      </c>
      <c r="U2359" s="15">
        <f t="shared" si="807"/>
        <v>47.88</v>
      </c>
      <c r="V2359" s="15">
        <f t="shared" si="808"/>
        <v>56.68</v>
      </c>
      <c r="W2359" s="15">
        <f>IF(MarkupType="Store Markup",ROUND(V2359+V2359*StoreMarkup,2),IF(MarkupType="Supplier Markup",V2359+V2359*SupplierMarkup,"Error at finding value"))</f>
        <v>89.27</v>
      </c>
      <c r="X2359" s="32" t="str">
        <f t="shared" si="810"/>
        <v>0.00</v>
      </c>
      <c r="Y2359" s="15">
        <f t="shared" si="811"/>
        <v>283.39999999999998</v>
      </c>
      <c r="Z2359" s="15">
        <f t="shared" si="812"/>
        <v>446.35</v>
      </c>
      <c r="AA2359" s="15">
        <f>IF(FreightType="Lethbridge-Stewart Freight ",ROUND(2.99+IF(N2359&gt;0.75,(N2359-0.75)*2.25,0)*S2359,2),IF(MarkupType="Supplier Markup",V2359+V2359*SupplierMarkup,"Error at finding value"))</f>
        <v>14.24</v>
      </c>
      <c r="AB2359" s="15">
        <f t="shared" si="813"/>
        <v>0</v>
      </c>
    </row>
    <row r="2360" spans="1:28" x14ac:dyDescent="0.25">
      <c r="A2360" s="16">
        <f>OrdersTable!A2360</f>
        <v>302</v>
      </c>
      <c r="B2360" s="15" t="str">
        <f t="shared" si="793"/>
        <v>Ms</v>
      </c>
      <c r="C2360" s="15" t="str">
        <f t="shared" si="814"/>
        <v>Lamshed</v>
      </c>
      <c r="D2360" s="15" t="str">
        <f t="shared" si="794"/>
        <v>Laura Clare</v>
      </c>
      <c r="E2360" s="15" t="str">
        <f t="shared" si="795"/>
        <v>22 Edser Drive</v>
      </c>
      <c r="F2360" s="15" t="str">
        <f t="shared" si="796"/>
        <v>Caliph</v>
      </c>
      <c r="G2360" s="15" t="str">
        <f t="shared" si="797"/>
        <v>SA</v>
      </c>
      <c r="H2360" s="15">
        <f t="shared" si="798"/>
        <v>5310</v>
      </c>
      <c r="I2360" s="15">
        <f t="shared" si="809"/>
        <v>1720</v>
      </c>
      <c r="J2360" s="15">
        <f>OrdersTable!B2360</f>
        <v>696</v>
      </c>
      <c r="K2360" s="15" t="str">
        <f t="shared" si="799"/>
        <v>Posters, Prints and Standees</v>
      </c>
      <c r="L2360" s="15" t="str">
        <f t="shared" si="800"/>
        <v xml:space="preserve">Doctor Who: 50th Anniversary: Poster: To Victory </v>
      </c>
      <c r="M2360" s="15" t="str">
        <f t="shared" si="801"/>
        <v>-</v>
      </c>
      <c r="N2360" s="15">
        <f t="shared" si="802"/>
        <v>0.2</v>
      </c>
      <c r="O2360" s="15" t="str">
        <f t="shared" si="803"/>
        <v>A40</v>
      </c>
      <c r="P2360" s="15" t="str">
        <f t="shared" si="804"/>
        <v>Romana Imports</v>
      </c>
      <c r="Q2360" s="15" t="str">
        <f t="shared" si="805"/>
        <v>17 Lalla Ward Road</v>
      </c>
      <c r="R2360" s="3">
        <f>OrdersTable!C2360</f>
        <v>44732</v>
      </c>
      <c r="S2360" s="15">
        <f>OrdersTable!E2360</f>
        <v>1</v>
      </c>
      <c r="T2360" s="15">
        <f t="shared" si="806"/>
        <v>3.99</v>
      </c>
      <c r="U2360" s="15">
        <f t="shared" si="807"/>
        <v>5.6</v>
      </c>
      <c r="V2360" s="15">
        <f t="shared" si="808"/>
        <v>6.46</v>
      </c>
      <c r="W2360" s="15">
        <f>IF(MarkupType="Store Markup",ROUND(V2360+V2360*StoreMarkup,2),IF(MarkupType="Supplier Markup",V2360+V2360*SupplierMarkup,"Error at finding value"))</f>
        <v>10.17</v>
      </c>
      <c r="X2360" s="32" t="str">
        <f t="shared" si="810"/>
        <v>0.00</v>
      </c>
      <c r="Y2360" s="15">
        <f t="shared" si="811"/>
        <v>6.46</v>
      </c>
      <c r="Z2360" s="15">
        <f t="shared" si="812"/>
        <v>10.17</v>
      </c>
      <c r="AA2360" s="15">
        <f>IF(FreightType="Lethbridge-Stewart Freight ",ROUND(2.99+IF(N2360&gt;0.75,(N2360-0.75)*2.25,0)*S2360,2),IF(MarkupType="Supplier Markup",V2360+V2360*SupplierMarkup,"Error at finding value"))</f>
        <v>2.99</v>
      </c>
      <c r="AB2360" s="15">
        <f t="shared" si="813"/>
        <v>0</v>
      </c>
    </row>
    <row r="2361" spans="1:28" x14ac:dyDescent="0.25">
      <c r="A2361" s="16">
        <f>OrdersTable!A2361</f>
        <v>334</v>
      </c>
      <c r="B2361" s="15" t="str">
        <f t="shared" si="793"/>
        <v>Mrs</v>
      </c>
      <c r="C2361" s="15" t="str">
        <f t="shared" si="814"/>
        <v>Wilson</v>
      </c>
      <c r="D2361" s="15" t="str">
        <f t="shared" si="794"/>
        <v>Hayley Lauren</v>
      </c>
      <c r="E2361" s="15" t="str">
        <f t="shared" si="795"/>
        <v>3 Ashley Crescent</v>
      </c>
      <c r="F2361" s="15" t="str">
        <f t="shared" si="796"/>
        <v>Black Hills</v>
      </c>
      <c r="G2361" s="15" t="str">
        <f t="shared" si="797"/>
        <v>TAS</v>
      </c>
      <c r="H2361" s="15">
        <f t="shared" si="798"/>
        <v>7140</v>
      </c>
      <c r="I2361" s="15">
        <f t="shared" si="809"/>
        <v>2191</v>
      </c>
      <c r="J2361" s="15">
        <f>OrdersTable!B2361</f>
        <v>757</v>
      </c>
      <c r="K2361" s="15" t="str">
        <f t="shared" si="799"/>
        <v>Statues and Busts</v>
      </c>
      <c r="L2361" s="15" t="str">
        <f t="shared" si="800"/>
        <v>Doctor Who: Helmet: Ice Warrior</v>
      </c>
      <c r="M2361" s="15" t="str">
        <f t="shared" si="801"/>
        <v>-</v>
      </c>
      <c r="N2361" s="15">
        <f t="shared" si="802"/>
        <v>1.75</v>
      </c>
      <c r="O2361" s="15" t="str">
        <f t="shared" si="803"/>
        <v>A20</v>
      </c>
      <c r="P2361" s="15" t="str">
        <f t="shared" si="804"/>
        <v>Morbius Inc.</v>
      </c>
      <c r="Q2361" s="15" t="str">
        <f t="shared" si="805"/>
        <v>56 Michael Spice Hwy</v>
      </c>
      <c r="R2361" s="3">
        <f>OrdersTable!C2361</f>
        <v>44732</v>
      </c>
      <c r="S2361" s="15">
        <f>OrdersTable!E2361</f>
        <v>6</v>
      </c>
      <c r="T2361" s="15">
        <f t="shared" si="806"/>
        <v>34.99</v>
      </c>
      <c r="U2361" s="15">
        <f t="shared" si="807"/>
        <v>47.88</v>
      </c>
      <c r="V2361" s="15">
        <f t="shared" si="808"/>
        <v>56.68</v>
      </c>
      <c r="W2361" s="15">
        <f>IF(MarkupType="Store Markup",ROUND(V2361+V2361*StoreMarkup,2),IF(MarkupType="Supplier Markup",V2361+V2361*SupplierMarkup,"Error at finding value"))</f>
        <v>89.27</v>
      </c>
      <c r="X2361" s="32" t="str">
        <f t="shared" si="810"/>
        <v>0.00</v>
      </c>
      <c r="Y2361" s="15">
        <f t="shared" si="811"/>
        <v>340.08</v>
      </c>
      <c r="Z2361" s="15">
        <f t="shared" si="812"/>
        <v>535.62</v>
      </c>
      <c r="AA2361" s="15">
        <f>IF(FreightType="Lethbridge-Stewart Freight ",ROUND(2.99+IF(N2361&gt;0.75,(N2361-0.75)*2.25,0)*S2361,2),IF(MarkupType="Supplier Markup",V2361+V2361*SupplierMarkup,"Error at finding value"))</f>
        <v>16.489999999999998</v>
      </c>
      <c r="AB2361" s="15">
        <f t="shared" si="813"/>
        <v>0</v>
      </c>
    </row>
    <row r="2362" spans="1:28" x14ac:dyDescent="0.25">
      <c r="A2362" s="16">
        <f>OrdersTable!A2362</f>
        <v>364</v>
      </c>
      <c r="B2362" s="15" t="str">
        <f t="shared" si="793"/>
        <v>Dr</v>
      </c>
      <c r="C2362" s="15" t="str">
        <f t="shared" si="814"/>
        <v>Reibelt</v>
      </c>
      <c r="D2362" s="15" t="str">
        <f t="shared" si="794"/>
        <v>Corey James</v>
      </c>
      <c r="E2362" s="15" t="str">
        <f t="shared" si="795"/>
        <v>23 Burns Drive</v>
      </c>
      <c r="F2362" s="15" t="str">
        <f t="shared" si="796"/>
        <v>Caliph</v>
      </c>
      <c r="G2362" s="15" t="str">
        <f t="shared" si="797"/>
        <v>SA</v>
      </c>
      <c r="H2362" s="15">
        <f t="shared" si="798"/>
        <v>5310</v>
      </c>
      <c r="I2362" s="15">
        <f t="shared" si="809"/>
        <v>1720</v>
      </c>
      <c r="J2362" s="15">
        <f>OrdersTable!B2362</f>
        <v>673</v>
      </c>
      <c r="K2362" s="15" t="str">
        <f t="shared" si="799"/>
        <v>Mugs</v>
      </c>
      <c r="L2362" s="15" t="str">
        <f t="shared" si="800"/>
        <v>Doctor Who: Mug: TARDIS With Lid</v>
      </c>
      <c r="M2362" s="15" t="str">
        <f t="shared" si="801"/>
        <v>-</v>
      </c>
      <c r="N2362" s="15">
        <f t="shared" si="802"/>
        <v>0.58499999999999996</v>
      </c>
      <c r="O2362" s="15" t="str">
        <f t="shared" si="803"/>
        <v>A10</v>
      </c>
      <c r="P2362" s="15" t="str">
        <f t="shared" si="804"/>
        <v>Gallifrey International</v>
      </c>
      <c r="Q2362" s="15" t="str">
        <f t="shared" si="805"/>
        <v>181 Arcadia Street</v>
      </c>
      <c r="R2362" s="3">
        <f>OrdersTable!C2362</f>
        <v>44732</v>
      </c>
      <c r="S2362" s="15">
        <f>OrdersTable!E2362</f>
        <v>6</v>
      </c>
      <c r="T2362" s="15">
        <f t="shared" si="806"/>
        <v>11.69</v>
      </c>
      <c r="U2362" s="15">
        <f t="shared" si="807"/>
        <v>16.190000000000001</v>
      </c>
      <c r="V2362" s="15">
        <f t="shared" si="808"/>
        <v>18.940000000000001</v>
      </c>
      <c r="W2362" s="15">
        <f>IF(MarkupType="Store Markup",ROUND(V2362+V2362*StoreMarkup,2),IF(MarkupType="Supplier Markup",V2362+V2362*SupplierMarkup,"Error at finding value"))</f>
        <v>29.83</v>
      </c>
      <c r="X2362" s="32" t="str">
        <f t="shared" si="810"/>
        <v>0.00</v>
      </c>
      <c r="Y2362" s="15">
        <f t="shared" si="811"/>
        <v>113.64</v>
      </c>
      <c r="Z2362" s="15">
        <f t="shared" si="812"/>
        <v>178.98</v>
      </c>
      <c r="AA2362" s="15">
        <f>IF(FreightType="Lethbridge-Stewart Freight ",ROUND(2.99+IF(N2362&gt;0.75,(N2362-0.75)*2.25,0)*S2362,2),IF(MarkupType="Supplier Markup",V2362+V2362*SupplierMarkup,"Error at finding value"))</f>
        <v>2.99</v>
      </c>
      <c r="AB2362" s="15">
        <f t="shared" si="813"/>
        <v>0</v>
      </c>
    </row>
    <row r="2363" spans="1:28" x14ac:dyDescent="0.25">
      <c r="A2363" s="16">
        <f>OrdersTable!A2363</f>
        <v>390</v>
      </c>
      <c r="B2363" s="15" t="str">
        <f t="shared" si="793"/>
        <v>Ms</v>
      </c>
      <c r="C2363" s="15" t="str">
        <f t="shared" si="814"/>
        <v>Queen</v>
      </c>
      <c r="D2363" s="15" t="str">
        <f t="shared" si="794"/>
        <v>Joanne</v>
      </c>
      <c r="E2363" s="15" t="str">
        <f t="shared" si="795"/>
        <v>30 Hall Drive</v>
      </c>
      <c r="F2363" s="15" t="str">
        <f t="shared" si="796"/>
        <v>Belconnen</v>
      </c>
      <c r="G2363" s="15" t="str">
        <f t="shared" si="797"/>
        <v>ACT</v>
      </c>
      <c r="H2363" s="15">
        <f t="shared" si="798"/>
        <v>2617</v>
      </c>
      <c r="I2363" s="15">
        <f t="shared" si="809"/>
        <v>1194</v>
      </c>
      <c r="J2363" s="15">
        <f>OrdersTable!B2363</f>
        <v>201</v>
      </c>
      <c r="K2363" s="15" t="str">
        <f t="shared" si="799"/>
        <v>Clothing and Apparel</v>
      </c>
      <c r="L2363" s="15" t="str">
        <f t="shared" si="800"/>
        <v>Doctor Who: Dalek Beanie</v>
      </c>
      <c r="M2363" s="15" t="str">
        <f t="shared" si="801"/>
        <v>-</v>
      </c>
      <c r="N2363" s="15">
        <f t="shared" si="802"/>
        <v>1.1399999999999999</v>
      </c>
      <c r="O2363" s="15" t="str">
        <f t="shared" si="803"/>
        <v>A50</v>
      </c>
      <c r="P2363" s="15" t="str">
        <f t="shared" si="804"/>
        <v>Rassilon Ltd.</v>
      </c>
      <c r="Q2363" s="15" t="str">
        <f t="shared" si="805"/>
        <v>82 Richard Mathews Road</v>
      </c>
      <c r="R2363" s="3">
        <f>OrdersTable!C2363</f>
        <v>44732</v>
      </c>
      <c r="S2363" s="15">
        <f>OrdersTable!E2363</f>
        <v>10</v>
      </c>
      <c r="T2363" s="15">
        <f t="shared" si="806"/>
        <v>22.75</v>
      </c>
      <c r="U2363" s="15">
        <f t="shared" si="807"/>
        <v>31.26</v>
      </c>
      <c r="V2363" s="15">
        <f t="shared" si="808"/>
        <v>36.86</v>
      </c>
      <c r="W2363" s="15">
        <f>IF(MarkupType="Store Markup",ROUND(V2363+V2363*StoreMarkup,2),IF(MarkupType="Supplier Markup",V2363+V2363*SupplierMarkup,"Error at finding value"))</f>
        <v>58.05</v>
      </c>
      <c r="X2363" s="32" t="str">
        <f t="shared" si="810"/>
        <v>0.00</v>
      </c>
      <c r="Y2363" s="15">
        <f t="shared" si="811"/>
        <v>368.6</v>
      </c>
      <c r="Z2363" s="15">
        <f t="shared" si="812"/>
        <v>580.5</v>
      </c>
      <c r="AA2363" s="15">
        <f>IF(FreightType="Lethbridge-Stewart Freight ",ROUND(2.99+IF(N2363&gt;0.75,(N2363-0.75)*2.25,0)*S2363,2),IF(MarkupType="Supplier Markup",V2363+V2363*SupplierMarkup,"Error at finding value"))</f>
        <v>11.77</v>
      </c>
      <c r="AB2363" s="15">
        <f t="shared" si="813"/>
        <v>0</v>
      </c>
    </row>
    <row r="2364" spans="1:28" x14ac:dyDescent="0.25">
      <c r="A2364" s="16">
        <f>OrdersTable!A2364</f>
        <v>390</v>
      </c>
      <c r="B2364" s="15" t="str">
        <f t="shared" si="793"/>
        <v>Ms</v>
      </c>
      <c r="C2364" s="15" t="str">
        <f t="shared" si="814"/>
        <v>Queen</v>
      </c>
      <c r="D2364" s="15" t="str">
        <f t="shared" si="794"/>
        <v>Joanne</v>
      </c>
      <c r="E2364" s="15" t="str">
        <f t="shared" si="795"/>
        <v>30 Hall Drive</v>
      </c>
      <c r="F2364" s="15" t="str">
        <f t="shared" si="796"/>
        <v>Belconnen</v>
      </c>
      <c r="G2364" s="15" t="str">
        <f t="shared" si="797"/>
        <v>ACT</v>
      </c>
      <c r="H2364" s="15">
        <f t="shared" si="798"/>
        <v>2617</v>
      </c>
      <c r="I2364" s="15">
        <f t="shared" si="809"/>
        <v>1194</v>
      </c>
      <c r="J2364" s="15">
        <f>OrdersTable!B2364</f>
        <v>668</v>
      </c>
      <c r="K2364" s="15" t="str">
        <f t="shared" si="799"/>
        <v>Mugs</v>
      </c>
      <c r="L2364" s="15" t="str">
        <f t="shared" si="800"/>
        <v>Doctor Who: Mug: Silver TARDIS</v>
      </c>
      <c r="M2364" s="15" t="str">
        <f t="shared" si="801"/>
        <v>-</v>
      </c>
      <c r="N2364" s="15">
        <f t="shared" si="802"/>
        <v>1.1499999999999999</v>
      </c>
      <c r="O2364" s="15" t="str">
        <f t="shared" si="803"/>
        <v>A50</v>
      </c>
      <c r="P2364" s="15" t="str">
        <f t="shared" si="804"/>
        <v>Rassilon Ltd.</v>
      </c>
      <c r="Q2364" s="15" t="str">
        <f t="shared" si="805"/>
        <v>82 Richard Mathews Road</v>
      </c>
      <c r="R2364" s="3">
        <f>OrdersTable!C2364</f>
        <v>44732</v>
      </c>
      <c r="S2364" s="15">
        <f>OrdersTable!E2364</f>
        <v>1</v>
      </c>
      <c r="T2364" s="15">
        <f t="shared" si="806"/>
        <v>22.99</v>
      </c>
      <c r="U2364" s="15">
        <f t="shared" si="807"/>
        <v>31.53</v>
      </c>
      <c r="V2364" s="15">
        <f t="shared" si="808"/>
        <v>37.24</v>
      </c>
      <c r="W2364" s="15">
        <f>IF(MarkupType="Store Markup",ROUND(V2364+V2364*StoreMarkup,2),IF(MarkupType="Supplier Markup",V2364+V2364*SupplierMarkup,"Error at finding value"))</f>
        <v>58.65</v>
      </c>
      <c r="X2364" s="32" t="str">
        <f t="shared" si="810"/>
        <v>0.00</v>
      </c>
      <c r="Y2364" s="15">
        <f t="shared" si="811"/>
        <v>37.24</v>
      </c>
      <c r="Z2364" s="15">
        <f t="shared" si="812"/>
        <v>58.65</v>
      </c>
      <c r="AA2364" s="15">
        <f>IF(FreightType="Lethbridge-Stewart Freight ",ROUND(2.99+IF(N2364&gt;0.75,(N2364-0.75)*2.25,0)*S2364,2),IF(MarkupType="Supplier Markup",V2364+V2364*SupplierMarkup,"Error at finding value"))</f>
        <v>3.89</v>
      </c>
      <c r="AB2364" s="15">
        <f t="shared" si="813"/>
        <v>0</v>
      </c>
    </row>
    <row r="2365" spans="1:28" x14ac:dyDescent="0.25">
      <c r="A2365" s="16">
        <f>OrdersTable!A2365</f>
        <v>448</v>
      </c>
      <c r="B2365" s="15" t="str">
        <f t="shared" si="793"/>
        <v>Mr</v>
      </c>
      <c r="C2365" s="15" t="str">
        <f t="shared" si="814"/>
        <v>Earl</v>
      </c>
      <c r="D2365" s="15" t="str">
        <f t="shared" si="794"/>
        <v>Benn Robert</v>
      </c>
      <c r="E2365" s="15" t="str">
        <f t="shared" si="795"/>
        <v>31 Kae Drive</v>
      </c>
      <c r="F2365" s="15" t="str">
        <f t="shared" si="796"/>
        <v>Belford</v>
      </c>
      <c r="G2365" s="15" t="str">
        <f t="shared" si="797"/>
        <v>NSW</v>
      </c>
      <c r="H2365" s="15">
        <f t="shared" si="798"/>
        <v>2335</v>
      </c>
      <c r="I2365" s="15">
        <f t="shared" si="809"/>
        <v>716</v>
      </c>
      <c r="J2365" s="15">
        <f>OrdersTable!B2365</f>
        <v>685</v>
      </c>
      <c r="K2365" s="15" t="str">
        <f t="shared" si="799"/>
        <v>Mugs</v>
      </c>
      <c r="L2365" s="15" t="str">
        <f t="shared" si="800"/>
        <v>Doctor Who: Teapot: Sliver TARDIS</v>
      </c>
      <c r="M2365" s="15" t="str">
        <f t="shared" si="801"/>
        <v>-</v>
      </c>
      <c r="N2365" s="15">
        <f t="shared" si="802"/>
        <v>1.35</v>
      </c>
      <c r="O2365" s="15" t="str">
        <f t="shared" si="803"/>
        <v>A30</v>
      </c>
      <c r="P2365" s="15" t="str">
        <f t="shared" si="804"/>
        <v>Chesterton Enterprises</v>
      </c>
      <c r="Q2365" s="15" t="str">
        <f t="shared" si="805"/>
        <v>41 William Russell Road</v>
      </c>
      <c r="R2365" s="3">
        <f>OrdersTable!C2365</f>
        <v>44732</v>
      </c>
      <c r="S2365" s="15">
        <f>OrdersTable!E2365</f>
        <v>4</v>
      </c>
      <c r="T2365" s="15">
        <f t="shared" si="806"/>
        <v>26.99</v>
      </c>
      <c r="U2365" s="15">
        <f t="shared" si="807"/>
        <v>36.869999999999997</v>
      </c>
      <c r="V2365" s="15">
        <f t="shared" si="808"/>
        <v>43.72</v>
      </c>
      <c r="W2365" s="15">
        <f>IF(MarkupType="Store Markup",ROUND(V2365+V2365*StoreMarkup,2),IF(MarkupType="Supplier Markup",V2365+V2365*SupplierMarkup,"Error at finding value"))</f>
        <v>68.86</v>
      </c>
      <c r="X2365" s="32" t="str">
        <f t="shared" si="810"/>
        <v>0.00</v>
      </c>
      <c r="Y2365" s="15">
        <f t="shared" si="811"/>
        <v>174.88</v>
      </c>
      <c r="Z2365" s="15">
        <f t="shared" si="812"/>
        <v>275.44</v>
      </c>
      <c r="AA2365" s="15">
        <f>IF(FreightType="Lethbridge-Stewart Freight ",ROUND(2.99+IF(N2365&gt;0.75,(N2365-0.75)*2.25,0)*S2365,2),IF(MarkupType="Supplier Markup",V2365+V2365*SupplierMarkup,"Error at finding value"))</f>
        <v>8.39</v>
      </c>
      <c r="AB2365" s="15">
        <f t="shared" si="813"/>
        <v>0</v>
      </c>
    </row>
    <row r="2366" spans="1:28" x14ac:dyDescent="0.25">
      <c r="A2366" s="16">
        <f>OrdersTable!A2366</f>
        <v>467</v>
      </c>
      <c r="B2366" s="15" t="str">
        <f t="shared" si="793"/>
        <v>Mrs</v>
      </c>
      <c r="C2366" s="15" t="str">
        <f t="shared" si="814"/>
        <v>Daniell</v>
      </c>
      <c r="D2366" s="15" t="str">
        <f t="shared" si="794"/>
        <v>Bronte Eliza</v>
      </c>
      <c r="E2366" s="15" t="str">
        <f t="shared" si="795"/>
        <v>41 Wilson Boulevard</v>
      </c>
      <c r="F2366" s="15" t="str">
        <f t="shared" si="796"/>
        <v>Aberfoyle</v>
      </c>
      <c r="G2366" s="15" t="str">
        <f t="shared" si="797"/>
        <v>NSW</v>
      </c>
      <c r="H2366" s="15">
        <f t="shared" si="798"/>
        <v>2350</v>
      </c>
      <c r="I2366" s="15">
        <f t="shared" si="809"/>
        <v>363</v>
      </c>
      <c r="J2366" s="15">
        <f>OrdersTable!B2366</f>
        <v>710</v>
      </c>
      <c r="K2366" s="15" t="str">
        <f t="shared" si="799"/>
        <v>Posters, Prints and Standees</v>
      </c>
      <c r="L2366" s="15" t="str">
        <f t="shared" si="800"/>
        <v>Doctor Who: Poster: Regenerate</v>
      </c>
      <c r="M2366" s="15" t="str">
        <f t="shared" si="801"/>
        <v>-</v>
      </c>
      <c r="N2366" s="15">
        <f t="shared" si="802"/>
        <v>0.2</v>
      </c>
      <c r="O2366" s="15" t="str">
        <f t="shared" si="803"/>
        <v>A40</v>
      </c>
      <c r="P2366" s="15" t="str">
        <f t="shared" si="804"/>
        <v>Romana Imports</v>
      </c>
      <c r="Q2366" s="15" t="str">
        <f t="shared" si="805"/>
        <v>17 Lalla Ward Road</v>
      </c>
      <c r="R2366" s="3">
        <f>OrdersTable!C2366</f>
        <v>44732</v>
      </c>
      <c r="S2366" s="15">
        <f>OrdersTable!E2366</f>
        <v>5</v>
      </c>
      <c r="T2366" s="15">
        <f t="shared" si="806"/>
        <v>3.99</v>
      </c>
      <c r="U2366" s="15">
        <f t="shared" si="807"/>
        <v>5.5</v>
      </c>
      <c r="V2366" s="15">
        <f t="shared" si="808"/>
        <v>6.46</v>
      </c>
      <c r="W2366" s="15">
        <f>IF(MarkupType="Store Markup",ROUND(V2366+V2366*StoreMarkup,2),IF(MarkupType="Supplier Markup",V2366+V2366*SupplierMarkup,"Error at finding value"))</f>
        <v>10.17</v>
      </c>
      <c r="X2366" s="32" t="str">
        <f t="shared" si="810"/>
        <v>0.00</v>
      </c>
      <c r="Y2366" s="15">
        <f t="shared" si="811"/>
        <v>32.299999999999997</v>
      </c>
      <c r="Z2366" s="15">
        <f t="shared" si="812"/>
        <v>50.85</v>
      </c>
      <c r="AA2366" s="15">
        <f>IF(FreightType="Lethbridge-Stewart Freight ",ROUND(2.99+IF(N2366&gt;0.75,(N2366-0.75)*2.25,0)*S2366,2),IF(MarkupType="Supplier Markup",V2366+V2366*SupplierMarkup,"Error at finding value"))</f>
        <v>2.99</v>
      </c>
      <c r="AB2366" s="15">
        <f t="shared" si="813"/>
        <v>0</v>
      </c>
    </row>
    <row r="2367" spans="1:28" x14ac:dyDescent="0.25">
      <c r="A2367" s="16">
        <f>OrdersTable!A2367</f>
        <v>474</v>
      </c>
      <c r="B2367" s="15" t="str">
        <f t="shared" si="793"/>
        <v>Mr</v>
      </c>
      <c r="C2367" s="15" t="str">
        <f t="shared" si="814"/>
        <v>Jooste</v>
      </c>
      <c r="D2367" s="15" t="str">
        <f t="shared" si="794"/>
        <v>Nicholas</v>
      </c>
      <c r="E2367" s="15" t="str">
        <f t="shared" si="795"/>
        <v>32 Dover Road</v>
      </c>
      <c r="F2367" s="15" t="str">
        <f t="shared" si="796"/>
        <v>Belford</v>
      </c>
      <c r="G2367" s="15" t="str">
        <f t="shared" si="797"/>
        <v>NSW</v>
      </c>
      <c r="H2367" s="15">
        <f t="shared" si="798"/>
        <v>2335</v>
      </c>
      <c r="I2367" s="15">
        <f t="shared" si="809"/>
        <v>716</v>
      </c>
      <c r="J2367" s="15">
        <f>OrdersTable!B2367</f>
        <v>673</v>
      </c>
      <c r="K2367" s="15" t="str">
        <f t="shared" si="799"/>
        <v>Mugs</v>
      </c>
      <c r="L2367" s="15" t="str">
        <f t="shared" si="800"/>
        <v>Doctor Who: Mug: TARDIS With Lid</v>
      </c>
      <c r="M2367" s="15" t="str">
        <f t="shared" si="801"/>
        <v>-</v>
      </c>
      <c r="N2367" s="15">
        <f t="shared" si="802"/>
        <v>0.58499999999999996</v>
      </c>
      <c r="O2367" s="15" t="str">
        <f t="shared" si="803"/>
        <v>A10</v>
      </c>
      <c r="P2367" s="15" t="str">
        <f t="shared" si="804"/>
        <v>Gallifrey International</v>
      </c>
      <c r="Q2367" s="15" t="str">
        <f t="shared" si="805"/>
        <v>181 Arcadia Street</v>
      </c>
      <c r="R2367" s="3">
        <f>OrdersTable!C2367</f>
        <v>44732</v>
      </c>
      <c r="S2367" s="15">
        <f>OrdersTable!E2367</f>
        <v>9</v>
      </c>
      <c r="T2367" s="15">
        <f t="shared" si="806"/>
        <v>11.69</v>
      </c>
      <c r="U2367" s="15">
        <f t="shared" si="807"/>
        <v>16.190000000000001</v>
      </c>
      <c r="V2367" s="15">
        <f t="shared" si="808"/>
        <v>18.940000000000001</v>
      </c>
      <c r="W2367" s="15">
        <f>IF(MarkupType="Store Markup",ROUND(V2367+V2367*StoreMarkup,2),IF(MarkupType="Supplier Markup",V2367+V2367*SupplierMarkup,"Error at finding value"))</f>
        <v>29.83</v>
      </c>
      <c r="X2367" s="32" t="str">
        <f t="shared" si="810"/>
        <v>0.00</v>
      </c>
      <c r="Y2367" s="15">
        <f t="shared" si="811"/>
        <v>170.46</v>
      </c>
      <c r="Z2367" s="15">
        <f t="shared" si="812"/>
        <v>268.47000000000003</v>
      </c>
      <c r="AA2367" s="15">
        <f>IF(FreightType="Lethbridge-Stewart Freight ",ROUND(2.99+IF(N2367&gt;0.75,(N2367-0.75)*2.25,0)*S2367,2),IF(MarkupType="Supplier Markup",V2367+V2367*SupplierMarkup,"Error at finding value"))</f>
        <v>2.99</v>
      </c>
      <c r="AB2367" s="15">
        <f t="shared" si="813"/>
        <v>0</v>
      </c>
    </row>
    <row r="2368" spans="1:28" x14ac:dyDescent="0.25">
      <c r="A2368" s="16">
        <f>OrdersTable!A2368</f>
        <v>515</v>
      </c>
      <c r="B2368" s="15" t="str">
        <f t="shared" si="793"/>
        <v>Mr</v>
      </c>
      <c r="C2368" s="15" t="str">
        <f t="shared" si="814"/>
        <v>Noffke</v>
      </c>
      <c r="D2368" s="15" t="str">
        <f t="shared" si="794"/>
        <v>William Thomas</v>
      </c>
      <c r="E2368" s="15" t="str">
        <f t="shared" si="795"/>
        <v>20 Tyler Drive</v>
      </c>
      <c r="F2368" s="15" t="str">
        <f t="shared" si="796"/>
        <v>Areegra</v>
      </c>
      <c r="G2368" s="15" t="str">
        <f t="shared" si="797"/>
        <v>VIC</v>
      </c>
      <c r="H2368" s="15">
        <f t="shared" si="798"/>
        <v>3480</v>
      </c>
      <c r="I2368" s="15">
        <f t="shared" si="809"/>
        <v>1559</v>
      </c>
      <c r="J2368" s="15">
        <f>OrdersTable!B2368</f>
        <v>702</v>
      </c>
      <c r="K2368" s="15" t="str">
        <f t="shared" si="799"/>
        <v>Posters, Prints and Standees</v>
      </c>
      <c r="L2368" s="15" t="str">
        <f t="shared" si="800"/>
        <v>Doctor Who: Poster: Daleks</v>
      </c>
      <c r="M2368" s="15" t="str">
        <f t="shared" si="801"/>
        <v>-</v>
      </c>
      <c r="N2368" s="15">
        <f t="shared" si="802"/>
        <v>0.2</v>
      </c>
      <c r="O2368" s="15" t="str">
        <f t="shared" si="803"/>
        <v>A50</v>
      </c>
      <c r="P2368" s="15" t="str">
        <f t="shared" si="804"/>
        <v>Rassilon Ltd.</v>
      </c>
      <c r="Q2368" s="15" t="str">
        <f t="shared" si="805"/>
        <v>82 Richard Mathews Road</v>
      </c>
      <c r="R2368" s="3">
        <f>OrdersTable!C2368</f>
        <v>44732</v>
      </c>
      <c r="S2368" s="15">
        <f>OrdersTable!E2368</f>
        <v>6</v>
      </c>
      <c r="T2368" s="15">
        <f t="shared" si="806"/>
        <v>3.99</v>
      </c>
      <c r="U2368" s="15">
        <f t="shared" si="807"/>
        <v>5.46</v>
      </c>
      <c r="V2368" s="15">
        <f t="shared" si="808"/>
        <v>6.46</v>
      </c>
      <c r="W2368" s="15">
        <f>IF(MarkupType="Store Markup",ROUND(V2368+V2368*StoreMarkup,2),IF(MarkupType="Supplier Markup",V2368+V2368*SupplierMarkup,"Error at finding value"))</f>
        <v>10.17</v>
      </c>
      <c r="X2368" s="32" t="str">
        <f t="shared" si="810"/>
        <v>0.00</v>
      </c>
      <c r="Y2368" s="15">
        <f t="shared" si="811"/>
        <v>38.76</v>
      </c>
      <c r="Z2368" s="15">
        <f t="shared" si="812"/>
        <v>61.02</v>
      </c>
      <c r="AA2368" s="15">
        <f>IF(FreightType="Lethbridge-Stewart Freight ",ROUND(2.99+IF(N2368&gt;0.75,(N2368-0.75)*2.25,0)*S2368,2),IF(MarkupType="Supplier Markup",V2368+V2368*SupplierMarkup,"Error at finding value"))</f>
        <v>2.99</v>
      </c>
      <c r="AB2368" s="15">
        <f t="shared" si="813"/>
        <v>0</v>
      </c>
    </row>
    <row r="2369" spans="1:28" x14ac:dyDescent="0.25">
      <c r="A2369" s="16">
        <f>OrdersTable!A2369</f>
        <v>531</v>
      </c>
      <c r="B2369" s="15" t="str">
        <f t="shared" si="793"/>
        <v>Ms</v>
      </c>
      <c r="C2369" s="15" t="str">
        <f t="shared" si="814"/>
        <v>Stanton</v>
      </c>
      <c r="D2369" s="15" t="str">
        <f t="shared" si="794"/>
        <v>Sharaze</v>
      </c>
      <c r="E2369" s="15" t="str">
        <f t="shared" si="795"/>
        <v>1 Siddons Crescent</v>
      </c>
      <c r="F2369" s="15" t="str">
        <f t="shared" si="796"/>
        <v>Alfredtown</v>
      </c>
      <c r="G2369" s="15" t="str">
        <f t="shared" si="797"/>
        <v>NSW</v>
      </c>
      <c r="H2369" s="15">
        <f t="shared" si="798"/>
        <v>2650</v>
      </c>
      <c r="I2369" s="15">
        <f t="shared" si="809"/>
        <v>1124</v>
      </c>
      <c r="J2369" s="15">
        <f>OrdersTable!B2369</f>
        <v>563</v>
      </c>
      <c r="K2369" s="15" t="str">
        <f t="shared" si="799"/>
        <v>Giftware</v>
      </c>
      <c r="L2369" s="15" t="str">
        <f t="shared" si="800"/>
        <v>Doctor Who: TARDIS Jewellery Box</v>
      </c>
      <c r="M2369" s="15" t="str">
        <f t="shared" si="801"/>
        <v>-</v>
      </c>
      <c r="N2369" s="15">
        <f t="shared" si="802"/>
        <v>1.1499999999999999</v>
      </c>
      <c r="O2369" s="15" t="str">
        <f t="shared" si="803"/>
        <v>A50</v>
      </c>
      <c r="P2369" s="15" t="str">
        <f t="shared" si="804"/>
        <v>Rassilon Ltd.</v>
      </c>
      <c r="Q2369" s="15" t="str">
        <f t="shared" si="805"/>
        <v>82 Richard Mathews Road</v>
      </c>
      <c r="R2369" s="3">
        <f>OrdersTable!C2369</f>
        <v>44732</v>
      </c>
      <c r="S2369" s="15">
        <f>OrdersTable!E2369</f>
        <v>3</v>
      </c>
      <c r="T2369" s="15">
        <f t="shared" si="806"/>
        <v>22.99</v>
      </c>
      <c r="U2369" s="15">
        <f t="shared" si="807"/>
        <v>31.63</v>
      </c>
      <c r="V2369" s="15">
        <f t="shared" si="808"/>
        <v>37.24</v>
      </c>
      <c r="W2369" s="15">
        <f>IF(MarkupType="Store Markup",ROUND(V2369+V2369*StoreMarkup,2),IF(MarkupType="Supplier Markup",V2369+V2369*SupplierMarkup,"Error at finding value"))</f>
        <v>58.65</v>
      </c>
      <c r="X2369" s="32" t="str">
        <f t="shared" si="810"/>
        <v>0.00</v>
      </c>
      <c r="Y2369" s="15">
        <f t="shared" si="811"/>
        <v>111.72</v>
      </c>
      <c r="Z2369" s="15">
        <f t="shared" si="812"/>
        <v>175.95</v>
      </c>
      <c r="AA2369" s="15">
        <f>IF(FreightType="Lethbridge-Stewart Freight ",ROUND(2.99+IF(N2369&gt;0.75,(N2369-0.75)*2.25,0)*S2369,2),IF(MarkupType="Supplier Markup",V2369+V2369*SupplierMarkup,"Error at finding value"))</f>
        <v>5.69</v>
      </c>
      <c r="AB2369" s="15">
        <f t="shared" si="813"/>
        <v>0</v>
      </c>
    </row>
    <row r="2370" spans="1:28" x14ac:dyDescent="0.25">
      <c r="A2370" s="16">
        <f>OrdersTable!A2370</f>
        <v>586</v>
      </c>
      <c r="B2370" s="15" t="str">
        <f t="shared" si="793"/>
        <v>Dr</v>
      </c>
      <c r="C2370" s="15" t="str">
        <f t="shared" si="814"/>
        <v>Coetzee</v>
      </c>
      <c r="D2370" s="15" t="str">
        <f t="shared" si="794"/>
        <v>Riekert</v>
      </c>
      <c r="E2370" s="15" t="str">
        <f t="shared" si="795"/>
        <v>5 Western Road</v>
      </c>
      <c r="F2370" s="15" t="str">
        <f t="shared" si="796"/>
        <v>Alfredtown</v>
      </c>
      <c r="G2370" s="15" t="str">
        <f t="shared" si="797"/>
        <v>NSW</v>
      </c>
      <c r="H2370" s="15">
        <f t="shared" si="798"/>
        <v>2650</v>
      </c>
      <c r="I2370" s="15">
        <f t="shared" si="809"/>
        <v>1124</v>
      </c>
      <c r="J2370" s="15">
        <f>OrdersTable!B2370</f>
        <v>515</v>
      </c>
      <c r="K2370" s="15" t="str">
        <f t="shared" si="799"/>
        <v>Giftware</v>
      </c>
      <c r="L2370" s="15" t="str">
        <f t="shared" si="800"/>
        <v>Doctor Who: Keyring K9</v>
      </c>
      <c r="M2370" s="15" t="str">
        <f t="shared" si="801"/>
        <v>-</v>
      </c>
      <c r="N2370" s="15">
        <f t="shared" si="802"/>
        <v>0.25</v>
      </c>
      <c r="O2370" s="15" t="str">
        <f t="shared" si="803"/>
        <v>A50</v>
      </c>
      <c r="P2370" s="15" t="str">
        <f t="shared" si="804"/>
        <v>Rassilon Ltd.</v>
      </c>
      <c r="Q2370" s="15" t="str">
        <f t="shared" si="805"/>
        <v>82 Richard Mathews Road</v>
      </c>
      <c r="R2370" s="3">
        <f>OrdersTable!C2370</f>
        <v>44732</v>
      </c>
      <c r="S2370" s="15">
        <f>OrdersTable!E2370</f>
        <v>4</v>
      </c>
      <c r="T2370" s="15">
        <f t="shared" si="806"/>
        <v>4.99</v>
      </c>
      <c r="U2370" s="15">
        <f t="shared" si="807"/>
        <v>6.91</v>
      </c>
      <c r="V2370" s="15">
        <f t="shared" si="808"/>
        <v>8.08</v>
      </c>
      <c r="W2370" s="15">
        <f>IF(MarkupType="Store Markup",ROUND(V2370+V2370*StoreMarkup,2),IF(MarkupType="Supplier Markup",V2370+V2370*SupplierMarkup,"Error at finding value"))</f>
        <v>12.73</v>
      </c>
      <c r="X2370" s="32" t="str">
        <f t="shared" si="810"/>
        <v>0.00</v>
      </c>
      <c r="Y2370" s="15">
        <f t="shared" si="811"/>
        <v>32.32</v>
      </c>
      <c r="Z2370" s="15">
        <f t="shared" si="812"/>
        <v>50.92</v>
      </c>
      <c r="AA2370" s="15">
        <f>IF(FreightType="Lethbridge-Stewart Freight ",ROUND(2.99+IF(N2370&gt;0.75,(N2370-0.75)*2.25,0)*S2370,2),IF(MarkupType="Supplier Markup",V2370+V2370*SupplierMarkup,"Error at finding value"))</f>
        <v>2.99</v>
      </c>
      <c r="AB2370" s="15">
        <f t="shared" si="813"/>
        <v>0</v>
      </c>
    </row>
    <row r="2371" spans="1:28" x14ac:dyDescent="0.25">
      <c r="A2371" s="16">
        <f>OrdersTable!A2371</f>
        <v>611</v>
      </c>
      <c r="B2371" s="15" t="str">
        <f t="shared" si="793"/>
        <v>Mr</v>
      </c>
      <c r="C2371" s="15" t="str">
        <f t="shared" si="814"/>
        <v>Wittman</v>
      </c>
      <c r="D2371" s="15" t="str">
        <f t="shared" si="794"/>
        <v>Nicholas Jackson</v>
      </c>
      <c r="E2371" s="15" t="str">
        <f t="shared" si="795"/>
        <v>48 Sheppard-Kadel Way</v>
      </c>
      <c r="F2371" s="15" t="str">
        <f t="shared" si="796"/>
        <v>Nayook</v>
      </c>
      <c r="G2371" s="15" t="str">
        <f t="shared" si="797"/>
        <v>VIC</v>
      </c>
      <c r="H2371" s="15">
        <f t="shared" si="798"/>
        <v>3832</v>
      </c>
      <c r="I2371" s="15">
        <f t="shared" si="809"/>
        <v>1552</v>
      </c>
      <c r="J2371" s="15">
        <f>OrdersTable!B2371</f>
        <v>752</v>
      </c>
      <c r="K2371" s="15" t="str">
        <f t="shared" si="799"/>
        <v>Statues and Busts</v>
      </c>
      <c r="L2371" s="15" t="str">
        <f t="shared" si="800"/>
        <v>Doctor Who: Helmet: Cyberman Leader</v>
      </c>
      <c r="M2371" s="15" t="str">
        <f t="shared" si="801"/>
        <v>-</v>
      </c>
      <c r="N2371" s="15">
        <f t="shared" si="802"/>
        <v>2</v>
      </c>
      <c r="O2371" s="15" t="str">
        <f t="shared" si="803"/>
        <v>A30</v>
      </c>
      <c r="P2371" s="15" t="str">
        <f t="shared" si="804"/>
        <v>Chesterton Enterprises</v>
      </c>
      <c r="Q2371" s="15" t="str">
        <f t="shared" si="805"/>
        <v>41 William Russell Road</v>
      </c>
      <c r="R2371" s="3">
        <f>OrdersTable!C2371</f>
        <v>44732</v>
      </c>
      <c r="S2371" s="15">
        <f>OrdersTable!E2371</f>
        <v>4</v>
      </c>
      <c r="T2371" s="15">
        <f t="shared" si="806"/>
        <v>39.99</v>
      </c>
      <c r="U2371" s="15">
        <f t="shared" si="807"/>
        <v>54.85</v>
      </c>
      <c r="V2371" s="15">
        <f t="shared" si="808"/>
        <v>64.78</v>
      </c>
      <c r="W2371" s="15">
        <f>IF(MarkupType="Store Markup",ROUND(V2371+V2371*StoreMarkup,2),IF(MarkupType="Supplier Markup",V2371+V2371*SupplierMarkup,"Error at finding value"))</f>
        <v>102.03</v>
      </c>
      <c r="X2371" s="32">
        <f t="shared" si="810"/>
        <v>7.27</v>
      </c>
      <c r="Y2371" s="15">
        <f t="shared" si="811"/>
        <v>259.12</v>
      </c>
      <c r="Z2371" s="15">
        <f t="shared" si="812"/>
        <v>379.04</v>
      </c>
      <c r="AA2371" s="15">
        <f>IF(FreightType="Lethbridge-Stewart Freight ",ROUND(2.99+IF(N2371&gt;0.75,(N2371-0.75)*2.25,0)*S2371,2),IF(MarkupType="Supplier Markup",V2371+V2371*SupplierMarkup,"Error at finding value"))</f>
        <v>14.24</v>
      </c>
      <c r="AB2371" s="15">
        <f t="shared" si="813"/>
        <v>29.08</v>
      </c>
    </row>
    <row r="2372" spans="1:28" x14ac:dyDescent="0.25">
      <c r="A2372" s="16">
        <f>OrdersTable!A2372</f>
        <v>750</v>
      </c>
      <c r="B2372" s="15" t="str">
        <f t="shared" ref="B2372:B2435" si="815">VLOOKUP($A2372,Cust,2,0)</f>
        <v>Ms</v>
      </c>
      <c r="C2372" s="15" t="str">
        <f t="shared" si="814"/>
        <v>Talbot</v>
      </c>
      <c r="D2372" s="15" t="str">
        <f t="shared" ref="D2372:D2435" si="816">VLOOKUP($A2372,Cust,4,0)</f>
        <v>Carlie Wenderly</v>
      </c>
      <c r="E2372" s="15" t="str">
        <f t="shared" ref="E2372:E2435" si="817">VLOOKUP($A2372,Cust,6,0)</f>
        <v>31 Somerville Way</v>
      </c>
      <c r="F2372" s="15" t="str">
        <f t="shared" ref="F2372:F2435" si="818">VLOOKUP($A2372,Cust,7,0)</f>
        <v>Boston</v>
      </c>
      <c r="G2372" s="15" t="str">
        <f t="shared" ref="G2372:G2435" si="819">VLOOKUP($A2372,Cust,8,0)</f>
        <v>SA</v>
      </c>
      <c r="H2372" s="15">
        <f t="shared" ref="H2372:H2435" si="820">VLOOKUP($A2372,Cust,9,0)</f>
        <v>5607</v>
      </c>
      <c r="I2372" s="15">
        <f t="shared" si="809"/>
        <v>2076</v>
      </c>
      <c r="J2372" s="15">
        <f>OrdersTable!B2372</f>
        <v>580</v>
      </c>
      <c r="K2372" s="15" t="str">
        <f t="shared" ref="K2372:K2435" si="821">VLOOKUP($J2372,Itms,2,0)</f>
        <v>Giftware</v>
      </c>
      <c r="L2372" s="15" t="str">
        <f t="shared" ref="L2372:L2435" si="822">VLOOKUP($J2372,Itms,3,0)</f>
        <v>Doctor Who: Wallpaper: Classic TARDIS Columns</v>
      </c>
      <c r="M2372" s="15" t="str">
        <f t="shared" ref="M2372:M2435" si="823">VLOOKUP($J2372,Itms,4,0)</f>
        <v>-</v>
      </c>
      <c r="N2372" s="15">
        <f t="shared" ref="N2372:N2435" si="824">VLOOKUP($J2372,Itms,5,0)</f>
        <v>0.65500000000000003</v>
      </c>
      <c r="O2372" s="15" t="str">
        <f t="shared" ref="O2372:O2435" si="825">VLOOKUP($J2372,Itms,6,0)</f>
        <v>A50</v>
      </c>
      <c r="P2372" s="15" t="str">
        <f t="shared" ref="P2372:P2435" si="826">VLOOKUP($O2372,Supp,2,0)</f>
        <v>Rassilon Ltd.</v>
      </c>
      <c r="Q2372" s="15" t="str">
        <f t="shared" ref="Q2372:Q2435" si="827">VLOOKUP($O2372,Supp,3,0)</f>
        <v>82 Richard Mathews Road</v>
      </c>
      <c r="R2372" s="3">
        <f>OrdersTable!C2372</f>
        <v>44732</v>
      </c>
      <c r="S2372" s="15">
        <f>OrdersTable!E2372</f>
        <v>3</v>
      </c>
      <c r="T2372" s="15">
        <f t="shared" ref="T2372:T2435" si="828">VLOOKUP($J2372,Itms,9,0)</f>
        <v>13.11</v>
      </c>
      <c r="U2372" s="15">
        <f t="shared" ref="U2372:U2435" si="829">VLOOKUP($J2372,Itms,10,0)</f>
        <v>18.18</v>
      </c>
      <c r="V2372" s="15">
        <f t="shared" ref="V2372:V2435" si="830">IF(ExchRateType="IR",ROUND(T2372*ExchRateIR,2),IF(ExchRateType="CA",ROUND(U2372*ExchRateCA,2),"Error at finding value"))</f>
        <v>21.24</v>
      </c>
      <c r="W2372" s="15">
        <f>IF(MarkupType="Store Markup",ROUND(V2372+V2372*StoreMarkup,2),IF(MarkupType="Supplier Markup",V2372+V2372*SupplierMarkup,"Error at finding value"))</f>
        <v>33.450000000000003</v>
      </c>
      <c r="X2372" s="32" t="str">
        <f t="shared" si="810"/>
        <v>0.00</v>
      </c>
      <c r="Y2372" s="15">
        <f t="shared" si="811"/>
        <v>63.72</v>
      </c>
      <c r="Z2372" s="15">
        <f t="shared" si="812"/>
        <v>100.35</v>
      </c>
      <c r="AA2372" s="15">
        <f>IF(FreightType="Lethbridge-Stewart Freight ",ROUND(2.99+IF(N2372&gt;0.75,(N2372-0.75)*2.25,0)*S2372,2),IF(MarkupType="Supplier Markup",V2372+V2372*SupplierMarkup,"Error at finding value"))</f>
        <v>2.99</v>
      </c>
      <c r="AB2372" s="15">
        <f t="shared" si="813"/>
        <v>0</v>
      </c>
    </row>
    <row r="2373" spans="1:28" x14ac:dyDescent="0.25">
      <c r="A2373" s="16">
        <f>OrdersTable!A2373</f>
        <v>784</v>
      </c>
      <c r="B2373" s="15" t="str">
        <f t="shared" si="815"/>
        <v>Ms</v>
      </c>
      <c r="C2373" s="15" t="str">
        <f t="shared" si="814"/>
        <v>Hansen</v>
      </c>
      <c r="D2373" s="15" t="str">
        <f t="shared" si="816"/>
        <v>Courtney Michelle</v>
      </c>
      <c r="E2373" s="15" t="str">
        <f t="shared" si="817"/>
        <v>22 Elliot Crescent</v>
      </c>
      <c r="F2373" s="15" t="str">
        <f t="shared" si="818"/>
        <v>Alfredtown</v>
      </c>
      <c r="G2373" s="15" t="str">
        <f t="shared" si="819"/>
        <v>NSW</v>
      </c>
      <c r="H2373" s="15">
        <f t="shared" si="820"/>
        <v>2650</v>
      </c>
      <c r="I2373" s="15">
        <f t="shared" ref="I2373:I2436" si="831">VLOOKUP($A2373,Cust,10,0)</f>
        <v>1124</v>
      </c>
      <c r="J2373" s="15">
        <f>OrdersTable!B2373</f>
        <v>840</v>
      </c>
      <c r="K2373" s="15" t="str">
        <f t="shared" si="821"/>
        <v>Statues and Busts</v>
      </c>
      <c r="L2373" s="15" t="str">
        <f t="shared" si="822"/>
        <v>Doctor Who: Signature Edition Statue: Gallifrey Edition: Patrick Troughton</v>
      </c>
      <c r="M2373" s="15" t="str">
        <f t="shared" si="823"/>
        <v>-</v>
      </c>
      <c r="N2373" s="15">
        <f t="shared" si="824"/>
        <v>2.5</v>
      </c>
      <c r="O2373" s="15" t="str">
        <f t="shared" si="825"/>
        <v>A40</v>
      </c>
      <c r="P2373" s="15" t="str">
        <f t="shared" si="826"/>
        <v>Romana Imports</v>
      </c>
      <c r="Q2373" s="15" t="str">
        <f t="shared" si="827"/>
        <v>17 Lalla Ward Road</v>
      </c>
      <c r="R2373" s="3">
        <f>OrdersTable!C2373</f>
        <v>44732</v>
      </c>
      <c r="S2373" s="15">
        <f>OrdersTable!E2373</f>
        <v>10</v>
      </c>
      <c r="T2373" s="15">
        <f t="shared" si="828"/>
        <v>49.99</v>
      </c>
      <c r="U2373" s="15">
        <f t="shared" si="829"/>
        <v>68.510000000000005</v>
      </c>
      <c r="V2373" s="15">
        <f t="shared" si="830"/>
        <v>80.98</v>
      </c>
      <c r="W2373" s="15">
        <f>IF(MarkupType="Store Markup",ROUND(V2373+V2373*StoreMarkup,2),IF(MarkupType="Supplier Markup",V2373+V2373*SupplierMarkup,"Error at finding value"))</f>
        <v>127.54</v>
      </c>
      <c r="X2373" s="32">
        <f t="shared" ref="X2373:X2436" si="832">IF(AND(W2373&gt;100,S2373&gt;=3),ROUND(0.07125*W2373,2),"0.00")</f>
        <v>9.09</v>
      </c>
      <c r="Y2373" s="15">
        <f t="shared" ref="Y2373:Y2436" si="833">ROUND(V2373*S2373,2)</f>
        <v>809.8</v>
      </c>
      <c r="Z2373" s="15">
        <f t="shared" ref="Z2373:Z2436" si="834">ROUND((W2373-X2373)*S2373,2)</f>
        <v>1184.5</v>
      </c>
      <c r="AA2373" s="15">
        <f>IF(FreightType="Lethbridge-Stewart Freight ",ROUND(2.99+IF(N2373&gt;0.75,(N2373-0.75)*2.25,0)*S2373,2),IF(MarkupType="Supplier Markup",V2373+V2373*SupplierMarkup,"Error at finding value"))</f>
        <v>42.37</v>
      </c>
      <c r="AB2373" s="15">
        <f t="shared" ref="AB2373:AB2436" si="835">ROUND(X2373*S2373,2)</f>
        <v>90.9</v>
      </c>
    </row>
    <row r="2374" spans="1:28" x14ac:dyDescent="0.25">
      <c r="A2374" s="16">
        <f>OrdersTable!A2374</f>
        <v>827</v>
      </c>
      <c r="B2374" s="15" t="str">
        <f t="shared" si="815"/>
        <v>Ms</v>
      </c>
      <c r="C2374" s="15" t="str">
        <f t="shared" si="814"/>
        <v>Ottaway</v>
      </c>
      <c r="D2374" s="15" t="str">
        <f t="shared" si="816"/>
        <v>Katherine</v>
      </c>
      <c r="E2374" s="15" t="str">
        <f t="shared" si="817"/>
        <v>7 Morrison Street</v>
      </c>
      <c r="F2374" s="15" t="str">
        <f t="shared" si="818"/>
        <v>Glenfern</v>
      </c>
      <c r="G2374" s="15" t="str">
        <f t="shared" si="819"/>
        <v>QLD</v>
      </c>
      <c r="H2374" s="15">
        <f t="shared" si="820"/>
        <v>4515</v>
      </c>
      <c r="I2374" s="15">
        <f t="shared" si="831"/>
        <v>128</v>
      </c>
      <c r="J2374" s="15">
        <f>OrdersTable!B2374</f>
        <v>801</v>
      </c>
      <c r="K2374" s="15" t="str">
        <f t="shared" si="821"/>
        <v>Statues and Busts</v>
      </c>
      <c r="L2374" s="15" t="str">
        <f t="shared" si="822"/>
        <v>Doctor Who: Masterpiece Collection Maxi Bust: 4th Doctor</v>
      </c>
      <c r="M2374" s="15" t="str">
        <f t="shared" si="823"/>
        <v>-</v>
      </c>
      <c r="N2374" s="15">
        <f t="shared" si="824"/>
        <v>2.5</v>
      </c>
      <c r="O2374" s="15" t="str">
        <f t="shared" si="825"/>
        <v>A30</v>
      </c>
      <c r="P2374" s="15" t="str">
        <f t="shared" si="826"/>
        <v>Chesterton Enterprises</v>
      </c>
      <c r="Q2374" s="15" t="str">
        <f t="shared" si="827"/>
        <v>41 William Russell Road</v>
      </c>
      <c r="R2374" s="3">
        <f>OrdersTable!C2374</f>
        <v>44732</v>
      </c>
      <c r="S2374" s="15">
        <f>OrdersTable!E2374</f>
        <v>7</v>
      </c>
      <c r="T2374" s="15">
        <f t="shared" si="828"/>
        <v>49.99</v>
      </c>
      <c r="U2374" s="15">
        <f t="shared" si="829"/>
        <v>68.180000000000007</v>
      </c>
      <c r="V2374" s="15">
        <f t="shared" si="830"/>
        <v>80.98</v>
      </c>
      <c r="W2374" s="15">
        <f>IF(MarkupType="Store Markup",ROUND(V2374+V2374*StoreMarkup,2),IF(MarkupType="Supplier Markup",V2374+V2374*SupplierMarkup,"Error at finding value"))</f>
        <v>127.54</v>
      </c>
      <c r="X2374" s="32">
        <f t="shared" si="832"/>
        <v>9.09</v>
      </c>
      <c r="Y2374" s="15">
        <f t="shared" si="833"/>
        <v>566.86</v>
      </c>
      <c r="Z2374" s="15">
        <f t="shared" si="834"/>
        <v>829.15</v>
      </c>
      <c r="AA2374" s="15">
        <f>IF(FreightType="Lethbridge-Stewart Freight ",ROUND(2.99+IF(N2374&gt;0.75,(N2374-0.75)*2.25,0)*S2374,2),IF(MarkupType="Supplier Markup",V2374+V2374*SupplierMarkup,"Error at finding value"))</f>
        <v>30.55</v>
      </c>
      <c r="AB2374" s="15">
        <f t="shared" si="835"/>
        <v>63.63</v>
      </c>
    </row>
    <row r="2375" spans="1:28" x14ac:dyDescent="0.25">
      <c r="A2375" s="16">
        <f>OrdersTable!A2375</f>
        <v>827</v>
      </c>
      <c r="B2375" s="15" t="str">
        <f t="shared" si="815"/>
        <v>Ms</v>
      </c>
      <c r="C2375" s="15" t="str">
        <f t="shared" si="814"/>
        <v>Ottaway</v>
      </c>
      <c r="D2375" s="15" t="str">
        <f t="shared" si="816"/>
        <v>Katherine</v>
      </c>
      <c r="E2375" s="15" t="str">
        <f t="shared" si="817"/>
        <v>7 Morrison Street</v>
      </c>
      <c r="F2375" s="15" t="str">
        <f t="shared" si="818"/>
        <v>Glenfern</v>
      </c>
      <c r="G2375" s="15" t="str">
        <f t="shared" si="819"/>
        <v>QLD</v>
      </c>
      <c r="H2375" s="15">
        <f t="shared" si="820"/>
        <v>4515</v>
      </c>
      <c r="I2375" s="15">
        <f t="shared" si="831"/>
        <v>128</v>
      </c>
      <c r="J2375" s="15">
        <f>OrdersTable!B2375</f>
        <v>849</v>
      </c>
      <c r="K2375" s="15" t="str">
        <f t="shared" si="821"/>
        <v>Statues and Busts</v>
      </c>
      <c r="L2375" s="15" t="str">
        <f t="shared" si="822"/>
        <v>Doctor Who: Statue: Cyber Controller</v>
      </c>
      <c r="M2375" s="15" t="str">
        <f t="shared" si="823"/>
        <v>-</v>
      </c>
      <c r="N2375" s="15">
        <f t="shared" si="824"/>
        <v>5</v>
      </c>
      <c r="O2375" s="15" t="str">
        <f t="shared" si="825"/>
        <v>A10</v>
      </c>
      <c r="P2375" s="15" t="str">
        <f t="shared" si="826"/>
        <v>Gallifrey International</v>
      </c>
      <c r="Q2375" s="15" t="str">
        <f t="shared" si="827"/>
        <v>181 Arcadia Street</v>
      </c>
      <c r="R2375" s="3">
        <f>OrdersTable!C2375</f>
        <v>44732</v>
      </c>
      <c r="S2375" s="15">
        <f>OrdersTable!E2375</f>
        <v>1</v>
      </c>
      <c r="T2375" s="15">
        <f t="shared" si="828"/>
        <v>99.99</v>
      </c>
      <c r="U2375" s="15">
        <f t="shared" si="829"/>
        <v>136.41</v>
      </c>
      <c r="V2375" s="15">
        <f t="shared" si="830"/>
        <v>161.97999999999999</v>
      </c>
      <c r="W2375" s="15">
        <f>IF(MarkupType="Store Markup",ROUND(V2375+V2375*StoreMarkup,2),IF(MarkupType="Supplier Markup",V2375+V2375*SupplierMarkup,"Error at finding value"))</f>
        <v>255.12</v>
      </c>
      <c r="X2375" s="32" t="str">
        <f t="shared" si="832"/>
        <v>0.00</v>
      </c>
      <c r="Y2375" s="15">
        <f t="shared" si="833"/>
        <v>161.97999999999999</v>
      </c>
      <c r="Z2375" s="15">
        <f t="shared" si="834"/>
        <v>255.12</v>
      </c>
      <c r="AA2375" s="15">
        <f>IF(FreightType="Lethbridge-Stewart Freight ",ROUND(2.99+IF(N2375&gt;0.75,(N2375-0.75)*2.25,0)*S2375,2),IF(MarkupType="Supplier Markup",V2375+V2375*SupplierMarkup,"Error at finding value"))</f>
        <v>12.55</v>
      </c>
      <c r="AB2375" s="15">
        <f t="shared" si="835"/>
        <v>0</v>
      </c>
    </row>
    <row r="2376" spans="1:28" x14ac:dyDescent="0.25">
      <c r="A2376" s="16">
        <f>OrdersTable!A2376</f>
        <v>141</v>
      </c>
      <c r="B2376" s="15" t="str">
        <f t="shared" si="815"/>
        <v>Mr</v>
      </c>
      <c r="C2376" s="15" t="str">
        <f t="shared" si="814"/>
        <v>Bergmann</v>
      </c>
      <c r="D2376" s="15" t="str">
        <f t="shared" si="816"/>
        <v>Beau Jay</v>
      </c>
      <c r="E2376" s="15" t="str">
        <f t="shared" si="817"/>
        <v>47 McCullough Circuit</v>
      </c>
      <c r="F2376" s="15" t="str">
        <f t="shared" si="818"/>
        <v>Breakwater</v>
      </c>
      <c r="G2376" s="15" t="str">
        <f t="shared" si="819"/>
        <v>VIC</v>
      </c>
      <c r="H2376" s="15">
        <f t="shared" si="820"/>
        <v>3219</v>
      </c>
      <c r="I2376" s="15">
        <f t="shared" si="831"/>
        <v>1596</v>
      </c>
      <c r="J2376" s="15">
        <f>OrdersTable!B2376</f>
        <v>145</v>
      </c>
      <c r="K2376" s="15" t="str">
        <f t="shared" si="821"/>
        <v>Bobbleheads</v>
      </c>
      <c r="L2376" s="15" t="str">
        <f t="shared" si="822"/>
        <v>Doctor Who: Bobblehead: Eleventh Doctor</v>
      </c>
      <c r="M2376" s="15" t="str">
        <f t="shared" si="823"/>
        <v>-</v>
      </c>
      <c r="N2376" s="15">
        <f t="shared" si="824"/>
        <v>1</v>
      </c>
      <c r="O2376" s="15" t="str">
        <f t="shared" si="825"/>
        <v>A30</v>
      </c>
      <c r="P2376" s="15" t="str">
        <f t="shared" si="826"/>
        <v>Chesterton Enterprises</v>
      </c>
      <c r="Q2376" s="15" t="str">
        <f t="shared" si="827"/>
        <v>41 William Russell Road</v>
      </c>
      <c r="R2376" s="3">
        <f>OrdersTable!C2376</f>
        <v>44733</v>
      </c>
      <c r="S2376" s="15">
        <f>OrdersTable!E2376</f>
        <v>6</v>
      </c>
      <c r="T2376" s="15">
        <f t="shared" si="828"/>
        <v>19.989999999999998</v>
      </c>
      <c r="U2376" s="15">
        <f t="shared" si="829"/>
        <v>27.54</v>
      </c>
      <c r="V2376" s="15">
        <f t="shared" si="830"/>
        <v>32.380000000000003</v>
      </c>
      <c r="W2376" s="15">
        <f>IF(MarkupType="Store Markup",ROUND(V2376+V2376*StoreMarkup,2),IF(MarkupType="Supplier Markup",V2376+V2376*SupplierMarkup,"Error at finding value"))</f>
        <v>51</v>
      </c>
      <c r="X2376" s="32" t="str">
        <f t="shared" si="832"/>
        <v>0.00</v>
      </c>
      <c r="Y2376" s="15">
        <f t="shared" si="833"/>
        <v>194.28</v>
      </c>
      <c r="Z2376" s="15">
        <f t="shared" si="834"/>
        <v>306</v>
      </c>
      <c r="AA2376" s="15">
        <f>IF(FreightType="Lethbridge-Stewart Freight ",ROUND(2.99+IF(N2376&gt;0.75,(N2376-0.75)*2.25,0)*S2376,2),IF(MarkupType="Supplier Markup",V2376+V2376*SupplierMarkup,"Error at finding value"))</f>
        <v>6.37</v>
      </c>
      <c r="AB2376" s="15">
        <f t="shared" si="835"/>
        <v>0</v>
      </c>
    </row>
    <row r="2377" spans="1:28" x14ac:dyDescent="0.25">
      <c r="A2377" s="16">
        <f>OrdersTable!A2377</f>
        <v>141</v>
      </c>
      <c r="B2377" s="15" t="str">
        <f t="shared" si="815"/>
        <v>Mr</v>
      </c>
      <c r="C2377" s="15" t="str">
        <f t="shared" si="814"/>
        <v>Bergmann</v>
      </c>
      <c r="D2377" s="15" t="str">
        <f t="shared" si="816"/>
        <v>Beau Jay</v>
      </c>
      <c r="E2377" s="15" t="str">
        <f t="shared" si="817"/>
        <v>47 McCullough Circuit</v>
      </c>
      <c r="F2377" s="15" t="str">
        <f t="shared" si="818"/>
        <v>Breakwater</v>
      </c>
      <c r="G2377" s="15" t="str">
        <f t="shared" si="819"/>
        <v>VIC</v>
      </c>
      <c r="H2377" s="15">
        <f t="shared" si="820"/>
        <v>3219</v>
      </c>
      <c r="I2377" s="15">
        <f t="shared" si="831"/>
        <v>1596</v>
      </c>
      <c r="J2377" s="15">
        <f>OrdersTable!B2377</f>
        <v>316</v>
      </c>
      <c r="K2377" s="15" t="str">
        <f t="shared" si="821"/>
        <v>Clothing and Apparel</v>
      </c>
      <c r="L2377" s="15" t="str">
        <f t="shared" si="822"/>
        <v xml:space="preserve">Doctor Who: T-Shirts: 4th Doctor Costume </v>
      </c>
      <c r="M2377" s="15" t="str">
        <f t="shared" si="823"/>
        <v>S</v>
      </c>
      <c r="N2377" s="15">
        <f t="shared" si="824"/>
        <v>0.8</v>
      </c>
      <c r="O2377" s="15" t="str">
        <f t="shared" si="825"/>
        <v>A30</v>
      </c>
      <c r="P2377" s="15" t="str">
        <f t="shared" si="826"/>
        <v>Chesterton Enterprises</v>
      </c>
      <c r="Q2377" s="15" t="str">
        <f t="shared" si="827"/>
        <v>41 William Russell Road</v>
      </c>
      <c r="R2377" s="3">
        <f>OrdersTable!C2377</f>
        <v>44733</v>
      </c>
      <c r="S2377" s="15">
        <f>OrdersTable!E2377</f>
        <v>5</v>
      </c>
      <c r="T2377" s="15">
        <f t="shared" si="828"/>
        <v>15.99</v>
      </c>
      <c r="U2377" s="15">
        <f t="shared" si="829"/>
        <v>21.94</v>
      </c>
      <c r="V2377" s="15">
        <f t="shared" si="830"/>
        <v>25.9</v>
      </c>
      <c r="W2377" s="15">
        <f>IF(MarkupType="Store Markup",ROUND(V2377+V2377*StoreMarkup,2),IF(MarkupType="Supplier Markup",V2377+V2377*SupplierMarkup,"Error at finding value"))</f>
        <v>40.79</v>
      </c>
      <c r="X2377" s="32" t="str">
        <f t="shared" si="832"/>
        <v>0.00</v>
      </c>
      <c r="Y2377" s="15">
        <f t="shared" si="833"/>
        <v>129.5</v>
      </c>
      <c r="Z2377" s="15">
        <f t="shared" si="834"/>
        <v>203.95</v>
      </c>
      <c r="AA2377" s="15">
        <f>IF(FreightType="Lethbridge-Stewart Freight ",ROUND(2.99+IF(N2377&gt;0.75,(N2377-0.75)*2.25,0)*S2377,2),IF(MarkupType="Supplier Markup",V2377+V2377*SupplierMarkup,"Error at finding value"))</f>
        <v>3.55</v>
      </c>
      <c r="AB2377" s="15">
        <f t="shared" si="835"/>
        <v>0</v>
      </c>
    </row>
    <row r="2378" spans="1:28" x14ac:dyDescent="0.25">
      <c r="A2378" s="16">
        <f>OrdersTable!A2378</f>
        <v>323</v>
      </c>
      <c r="B2378" s="15" t="str">
        <f t="shared" si="815"/>
        <v>Dr</v>
      </c>
      <c r="C2378" s="15" t="str">
        <f t="shared" si="814"/>
        <v>King</v>
      </c>
      <c r="D2378" s="15" t="str">
        <f t="shared" si="816"/>
        <v>Leith</v>
      </c>
      <c r="E2378" s="15" t="str">
        <f t="shared" si="817"/>
        <v>25 Carbone Court</v>
      </c>
      <c r="F2378" s="15" t="str">
        <f t="shared" si="818"/>
        <v>Nayook</v>
      </c>
      <c r="G2378" s="15" t="str">
        <f t="shared" si="819"/>
        <v>VIC</v>
      </c>
      <c r="H2378" s="15">
        <f t="shared" si="820"/>
        <v>3832</v>
      </c>
      <c r="I2378" s="15">
        <f t="shared" si="831"/>
        <v>1552</v>
      </c>
      <c r="J2378" s="15">
        <f>OrdersTable!B2378</f>
        <v>374</v>
      </c>
      <c r="K2378" s="15" t="str">
        <f t="shared" si="821"/>
        <v>Clothing and Apparel</v>
      </c>
      <c r="L2378" s="15" t="str">
        <f t="shared" si="822"/>
        <v xml:space="preserve">Doctor Who: T-Shirts: 5th Doctor Costume </v>
      </c>
      <c r="M2378" s="15" t="str">
        <f t="shared" si="823"/>
        <v>XL</v>
      </c>
      <c r="N2378" s="15">
        <f t="shared" si="824"/>
        <v>0.8</v>
      </c>
      <c r="O2378" s="15" t="str">
        <f t="shared" si="825"/>
        <v>A50</v>
      </c>
      <c r="P2378" s="15" t="str">
        <f t="shared" si="826"/>
        <v>Rassilon Ltd.</v>
      </c>
      <c r="Q2378" s="15" t="str">
        <f t="shared" si="827"/>
        <v>82 Richard Mathews Road</v>
      </c>
      <c r="R2378" s="3">
        <f>OrdersTable!C2378</f>
        <v>44733</v>
      </c>
      <c r="S2378" s="15">
        <f>OrdersTable!E2378</f>
        <v>5</v>
      </c>
      <c r="T2378" s="15">
        <f t="shared" si="828"/>
        <v>15.99</v>
      </c>
      <c r="U2378" s="15">
        <f t="shared" si="829"/>
        <v>21.97</v>
      </c>
      <c r="V2378" s="15">
        <f t="shared" si="830"/>
        <v>25.9</v>
      </c>
      <c r="W2378" s="15">
        <f>IF(MarkupType="Store Markup",ROUND(V2378+V2378*StoreMarkup,2),IF(MarkupType="Supplier Markup",V2378+V2378*SupplierMarkup,"Error at finding value"))</f>
        <v>40.79</v>
      </c>
      <c r="X2378" s="32" t="str">
        <f t="shared" si="832"/>
        <v>0.00</v>
      </c>
      <c r="Y2378" s="15">
        <f t="shared" si="833"/>
        <v>129.5</v>
      </c>
      <c r="Z2378" s="15">
        <f t="shared" si="834"/>
        <v>203.95</v>
      </c>
      <c r="AA2378" s="15">
        <f>IF(FreightType="Lethbridge-Stewart Freight ",ROUND(2.99+IF(N2378&gt;0.75,(N2378-0.75)*2.25,0)*S2378,2),IF(MarkupType="Supplier Markup",V2378+V2378*SupplierMarkup,"Error at finding value"))</f>
        <v>3.55</v>
      </c>
      <c r="AB2378" s="15">
        <f t="shared" si="835"/>
        <v>0</v>
      </c>
    </row>
    <row r="2379" spans="1:28" x14ac:dyDescent="0.25">
      <c r="A2379" s="16">
        <f>OrdersTable!A2379</f>
        <v>360</v>
      </c>
      <c r="B2379" s="15" t="str">
        <f t="shared" si="815"/>
        <v>Ms</v>
      </c>
      <c r="C2379" s="15" t="str">
        <f t="shared" ref="C2379:C2442" si="836">VLOOKUP($A2379,Cust,3,0)</f>
        <v>Bobonica</v>
      </c>
      <c r="D2379" s="15" t="str">
        <f t="shared" si="816"/>
        <v>Claudia</v>
      </c>
      <c r="E2379" s="15" t="str">
        <f t="shared" si="817"/>
        <v>47 Klein Way</v>
      </c>
      <c r="F2379" s="15" t="str">
        <f t="shared" si="818"/>
        <v>Avon Plains</v>
      </c>
      <c r="G2379" s="15" t="str">
        <f t="shared" si="819"/>
        <v>VIC</v>
      </c>
      <c r="H2379" s="15">
        <f t="shared" si="820"/>
        <v>3477</v>
      </c>
      <c r="I2379" s="15">
        <f t="shared" si="831"/>
        <v>1565</v>
      </c>
      <c r="J2379" s="15">
        <f>OrdersTable!B2379</f>
        <v>643</v>
      </c>
      <c r="K2379" s="15" t="str">
        <f t="shared" si="821"/>
        <v>Mugs</v>
      </c>
      <c r="L2379" s="15" t="str">
        <f t="shared" si="822"/>
        <v>Doctor Who: Giant Mug: Logo</v>
      </c>
      <c r="M2379" s="15" t="str">
        <f t="shared" si="823"/>
        <v>-</v>
      </c>
      <c r="N2379" s="15">
        <f t="shared" si="824"/>
        <v>0.44500000000000001</v>
      </c>
      <c r="O2379" s="15" t="str">
        <f t="shared" si="825"/>
        <v>A10</v>
      </c>
      <c r="P2379" s="15" t="str">
        <f t="shared" si="826"/>
        <v>Gallifrey International</v>
      </c>
      <c r="Q2379" s="15" t="str">
        <f t="shared" si="827"/>
        <v>181 Arcadia Street</v>
      </c>
      <c r="R2379" s="3">
        <f>OrdersTable!C2379</f>
        <v>44733</v>
      </c>
      <c r="S2379" s="15">
        <f>OrdersTable!E2379</f>
        <v>4</v>
      </c>
      <c r="T2379" s="15">
        <f t="shared" si="828"/>
        <v>8.89</v>
      </c>
      <c r="U2379" s="15">
        <f t="shared" si="829"/>
        <v>12.19</v>
      </c>
      <c r="V2379" s="15">
        <f t="shared" si="830"/>
        <v>14.4</v>
      </c>
      <c r="W2379" s="15">
        <f>IF(MarkupType="Store Markup",ROUND(V2379+V2379*StoreMarkup,2),IF(MarkupType="Supplier Markup",V2379+V2379*SupplierMarkup,"Error at finding value"))</f>
        <v>22.68</v>
      </c>
      <c r="X2379" s="32" t="str">
        <f t="shared" si="832"/>
        <v>0.00</v>
      </c>
      <c r="Y2379" s="15">
        <f t="shared" si="833"/>
        <v>57.6</v>
      </c>
      <c r="Z2379" s="15">
        <f t="shared" si="834"/>
        <v>90.72</v>
      </c>
      <c r="AA2379" s="15">
        <f>IF(FreightType="Lethbridge-Stewart Freight ",ROUND(2.99+IF(N2379&gt;0.75,(N2379-0.75)*2.25,0)*S2379,2),IF(MarkupType="Supplier Markup",V2379+V2379*SupplierMarkup,"Error at finding value"))</f>
        <v>2.99</v>
      </c>
      <c r="AB2379" s="15">
        <f t="shared" si="835"/>
        <v>0</v>
      </c>
    </row>
    <row r="2380" spans="1:28" x14ac:dyDescent="0.25">
      <c r="A2380" s="16">
        <f>OrdersTable!A2380</f>
        <v>370</v>
      </c>
      <c r="B2380" s="15" t="str">
        <f t="shared" si="815"/>
        <v>Mr</v>
      </c>
      <c r="C2380" s="15" t="str">
        <f t="shared" si="836"/>
        <v>Kennedy</v>
      </c>
      <c r="D2380" s="15" t="str">
        <f t="shared" si="816"/>
        <v>Joseph Dominic</v>
      </c>
      <c r="E2380" s="15" t="str">
        <f t="shared" si="817"/>
        <v>43 Barton Road</v>
      </c>
      <c r="F2380" s="15" t="str">
        <f t="shared" si="818"/>
        <v>Boston</v>
      </c>
      <c r="G2380" s="15" t="str">
        <f t="shared" si="819"/>
        <v>SA</v>
      </c>
      <c r="H2380" s="15">
        <f t="shared" si="820"/>
        <v>5607</v>
      </c>
      <c r="I2380" s="15">
        <f t="shared" si="831"/>
        <v>2076</v>
      </c>
      <c r="J2380" s="15">
        <f>OrdersTable!B2380</f>
        <v>620</v>
      </c>
      <c r="K2380" s="15" t="str">
        <f t="shared" si="821"/>
        <v>iPhone Skins</v>
      </c>
      <c r="L2380" s="15" t="str">
        <f t="shared" si="822"/>
        <v>Doctor Who: iPhone Skin: TARDIS Water Colour</v>
      </c>
      <c r="M2380" s="15" t="str">
        <f t="shared" si="823"/>
        <v>-</v>
      </c>
      <c r="N2380" s="15">
        <f t="shared" si="824"/>
        <v>0.5</v>
      </c>
      <c r="O2380" s="15" t="str">
        <f t="shared" si="825"/>
        <v>A30</v>
      </c>
      <c r="P2380" s="15" t="str">
        <f t="shared" si="826"/>
        <v>Chesterton Enterprises</v>
      </c>
      <c r="Q2380" s="15" t="str">
        <f t="shared" si="827"/>
        <v>41 William Russell Road</v>
      </c>
      <c r="R2380" s="3">
        <f>OrdersTable!C2380</f>
        <v>44733</v>
      </c>
      <c r="S2380" s="15">
        <f>OrdersTable!E2380</f>
        <v>3</v>
      </c>
      <c r="T2380" s="15">
        <f t="shared" si="828"/>
        <v>9.99</v>
      </c>
      <c r="U2380" s="15">
        <f t="shared" si="829"/>
        <v>13.81</v>
      </c>
      <c r="V2380" s="15">
        <f t="shared" si="830"/>
        <v>16.18</v>
      </c>
      <c r="W2380" s="15">
        <f>IF(MarkupType="Store Markup",ROUND(V2380+V2380*StoreMarkup,2),IF(MarkupType="Supplier Markup",V2380+V2380*SupplierMarkup,"Error at finding value"))</f>
        <v>25.48</v>
      </c>
      <c r="X2380" s="32" t="str">
        <f t="shared" si="832"/>
        <v>0.00</v>
      </c>
      <c r="Y2380" s="15">
        <f t="shared" si="833"/>
        <v>48.54</v>
      </c>
      <c r="Z2380" s="15">
        <f t="shared" si="834"/>
        <v>76.44</v>
      </c>
      <c r="AA2380" s="15">
        <f>IF(FreightType="Lethbridge-Stewart Freight ",ROUND(2.99+IF(N2380&gt;0.75,(N2380-0.75)*2.25,0)*S2380,2),IF(MarkupType="Supplier Markup",V2380+V2380*SupplierMarkup,"Error at finding value"))</f>
        <v>2.99</v>
      </c>
      <c r="AB2380" s="15">
        <f t="shared" si="835"/>
        <v>0</v>
      </c>
    </row>
    <row r="2381" spans="1:28" x14ac:dyDescent="0.25">
      <c r="A2381" s="16">
        <f>OrdersTable!A2381</f>
        <v>491</v>
      </c>
      <c r="B2381" s="15" t="str">
        <f t="shared" si="815"/>
        <v>Miss</v>
      </c>
      <c r="C2381" s="15" t="str">
        <f t="shared" si="836"/>
        <v>Winks</v>
      </c>
      <c r="D2381" s="15" t="str">
        <f t="shared" si="816"/>
        <v>Lori-Ann</v>
      </c>
      <c r="E2381" s="15" t="str">
        <f t="shared" si="817"/>
        <v>40 Lyne Street</v>
      </c>
      <c r="F2381" s="15" t="str">
        <f t="shared" si="818"/>
        <v>Bray Park</v>
      </c>
      <c r="G2381" s="15" t="str">
        <f t="shared" si="819"/>
        <v>QLD</v>
      </c>
      <c r="H2381" s="15">
        <f t="shared" si="820"/>
        <v>4500</v>
      </c>
      <c r="I2381" s="15">
        <f t="shared" si="831"/>
        <v>139</v>
      </c>
      <c r="J2381" s="15">
        <f>OrdersTable!B2381</f>
        <v>128</v>
      </c>
      <c r="K2381" s="15" t="str">
        <f t="shared" si="821"/>
        <v>Bobbleheads</v>
      </c>
      <c r="L2381" s="15" t="str">
        <f t="shared" si="822"/>
        <v>Doctor Who: Bobblehead: Davros</v>
      </c>
      <c r="M2381" s="15" t="str">
        <f t="shared" si="823"/>
        <v>-</v>
      </c>
      <c r="N2381" s="15">
        <f t="shared" si="824"/>
        <v>0.85</v>
      </c>
      <c r="O2381" s="15" t="str">
        <f t="shared" si="825"/>
        <v>A50</v>
      </c>
      <c r="P2381" s="15" t="str">
        <f t="shared" si="826"/>
        <v>Rassilon Ltd.</v>
      </c>
      <c r="Q2381" s="15" t="str">
        <f t="shared" si="827"/>
        <v>82 Richard Mathews Road</v>
      </c>
      <c r="R2381" s="3">
        <f>OrdersTable!C2381</f>
        <v>44733</v>
      </c>
      <c r="S2381" s="15">
        <f>OrdersTable!E2381</f>
        <v>4</v>
      </c>
      <c r="T2381" s="15">
        <f t="shared" si="828"/>
        <v>16.989999999999998</v>
      </c>
      <c r="U2381" s="15">
        <f t="shared" si="829"/>
        <v>23.27</v>
      </c>
      <c r="V2381" s="15">
        <f t="shared" si="830"/>
        <v>27.52</v>
      </c>
      <c r="W2381" s="15">
        <f>IF(MarkupType="Store Markup",ROUND(V2381+V2381*StoreMarkup,2),IF(MarkupType="Supplier Markup",V2381+V2381*SupplierMarkup,"Error at finding value"))</f>
        <v>43.34</v>
      </c>
      <c r="X2381" s="32" t="str">
        <f t="shared" si="832"/>
        <v>0.00</v>
      </c>
      <c r="Y2381" s="15">
        <f t="shared" si="833"/>
        <v>110.08</v>
      </c>
      <c r="Z2381" s="15">
        <f t="shared" si="834"/>
        <v>173.36</v>
      </c>
      <c r="AA2381" s="15">
        <f>IF(FreightType="Lethbridge-Stewart Freight ",ROUND(2.99+IF(N2381&gt;0.75,(N2381-0.75)*2.25,0)*S2381,2),IF(MarkupType="Supplier Markup",V2381+V2381*SupplierMarkup,"Error at finding value"))</f>
        <v>3.89</v>
      </c>
      <c r="AB2381" s="15">
        <f t="shared" si="835"/>
        <v>0</v>
      </c>
    </row>
    <row r="2382" spans="1:28" x14ac:dyDescent="0.25">
      <c r="A2382" s="16">
        <f>OrdersTable!A2382</f>
        <v>501</v>
      </c>
      <c r="B2382" s="15" t="str">
        <f t="shared" si="815"/>
        <v>Miss</v>
      </c>
      <c r="C2382" s="15" t="str">
        <f t="shared" si="836"/>
        <v>Tharenou</v>
      </c>
      <c r="D2382" s="15" t="str">
        <f t="shared" si="816"/>
        <v>Kimberley Jacinta</v>
      </c>
      <c r="E2382" s="15" t="str">
        <f t="shared" si="817"/>
        <v>49 Moncada Circuit</v>
      </c>
      <c r="F2382" s="15" t="str">
        <f t="shared" si="818"/>
        <v>Belford</v>
      </c>
      <c r="G2382" s="15" t="str">
        <f t="shared" si="819"/>
        <v>NSW</v>
      </c>
      <c r="H2382" s="15">
        <f t="shared" si="820"/>
        <v>2335</v>
      </c>
      <c r="I2382" s="15">
        <f t="shared" si="831"/>
        <v>716</v>
      </c>
      <c r="J2382" s="15">
        <f>OrdersTable!B2382</f>
        <v>826</v>
      </c>
      <c r="K2382" s="15" t="str">
        <f t="shared" si="821"/>
        <v>Statues and Busts</v>
      </c>
      <c r="L2382" s="15" t="str">
        <f t="shared" si="822"/>
        <v>Doctor Who: Mini Bust: Cyberman</v>
      </c>
      <c r="M2382" s="15" t="str">
        <f t="shared" si="823"/>
        <v>-</v>
      </c>
      <c r="N2382" s="15">
        <f t="shared" si="824"/>
        <v>1.8</v>
      </c>
      <c r="O2382" s="15" t="str">
        <f t="shared" si="825"/>
        <v>A40</v>
      </c>
      <c r="P2382" s="15" t="str">
        <f t="shared" si="826"/>
        <v>Romana Imports</v>
      </c>
      <c r="Q2382" s="15" t="str">
        <f t="shared" si="827"/>
        <v>17 Lalla Ward Road</v>
      </c>
      <c r="R2382" s="3">
        <f>OrdersTable!C2382</f>
        <v>44733</v>
      </c>
      <c r="S2382" s="15">
        <f>OrdersTable!E2382</f>
        <v>1</v>
      </c>
      <c r="T2382" s="15">
        <f t="shared" si="828"/>
        <v>35.99</v>
      </c>
      <c r="U2382" s="15">
        <f t="shared" si="829"/>
        <v>49.13</v>
      </c>
      <c r="V2382" s="15">
        <f t="shared" si="830"/>
        <v>58.3</v>
      </c>
      <c r="W2382" s="15">
        <f>IF(MarkupType="Store Markup",ROUND(V2382+V2382*StoreMarkup,2),IF(MarkupType="Supplier Markup",V2382+V2382*SupplierMarkup,"Error at finding value"))</f>
        <v>91.82</v>
      </c>
      <c r="X2382" s="32" t="str">
        <f t="shared" si="832"/>
        <v>0.00</v>
      </c>
      <c r="Y2382" s="15">
        <f t="shared" si="833"/>
        <v>58.3</v>
      </c>
      <c r="Z2382" s="15">
        <f t="shared" si="834"/>
        <v>91.82</v>
      </c>
      <c r="AA2382" s="15">
        <f>IF(FreightType="Lethbridge-Stewart Freight ",ROUND(2.99+IF(N2382&gt;0.75,(N2382-0.75)*2.25,0)*S2382,2),IF(MarkupType="Supplier Markup",V2382+V2382*SupplierMarkup,"Error at finding value"))</f>
        <v>5.35</v>
      </c>
      <c r="AB2382" s="15">
        <f t="shared" si="835"/>
        <v>0</v>
      </c>
    </row>
    <row r="2383" spans="1:28" x14ac:dyDescent="0.25">
      <c r="A2383" s="16">
        <f>OrdersTable!A2383</f>
        <v>531</v>
      </c>
      <c r="B2383" s="15" t="str">
        <f t="shared" si="815"/>
        <v>Ms</v>
      </c>
      <c r="C2383" s="15" t="str">
        <f t="shared" si="836"/>
        <v>Stanton</v>
      </c>
      <c r="D2383" s="15" t="str">
        <f t="shared" si="816"/>
        <v>Sharaze</v>
      </c>
      <c r="E2383" s="15" t="str">
        <f t="shared" si="817"/>
        <v>1 Siddons Crescent</v>
      </c>
      <c r="F2383" s="15" t="str">
        <f t="shared" si="818"/>
        <v>Alfredtown</v>
      </c>
      <c r="G2383" s="15" t="str">
        <f t="shared" si="819"/>
        <v>NSW</v>
      </c>
      <c r="H2383" s="15">
        <f t="shared" si="820"/>
        <v>2650</v>
      </c>
      <c r="I2383" s="15">
        <f t="shared" si="831"/>
        <v>1124</v>
      </c>
      <c r="J2383" s="15">
        <f>OrdersTable!B2383</f>
        <v>259</v>
      </c>
      <c r="K2383" s="15" t="str">
        <f t="shared" si="821"/>
        <v>Clothing and Apparel</v>
      </c>
      <c r="L2383" s="15" t="str">
        <f t="shared" si="822"/>
        <v>Doctor Who: Men's Winter Pyjamas</v>
      </c>
      <c r="M2383" s="15" t="str">
        <f t="shared" si="823"/>
        <v>XL</v>
      </c>
      <c r="N2383" s="15">
        <f t="shared" si="824"/>
        <v>1.5</v>
      </c>
      <c r="O2383" s="15" t="str">
        <f t="shared" si="825"/>
        <v>A50</v>
      </c>
      <c r="P2383" s="15" t="str">
        <f t="shared" si="826"/>
        <v>Rassilon Ltd.</v>
      </c>
      <c r="Q2383" s="15" t="str">
        <f t="shared" si="827"/>
        <v>82 Richard Mathews Road</v>
      </c>
      <c r="R2383" s="3">
        <f>OrdersTable!C2383</f>
        <v>44733</v>
      </c>
      <c r="S2383" s="15">
        <f>OrdersTable!E2383</f>
        <v>7</v>
      </c>
      <c r="T2383" s="15">
        <f t="shared" si="828"/>
        <v>29.99</v>
      </c>
      <c r="U2383" s="15">
        <f t="shared" si="829"/>
        <v>41.15</v>
      </c>
      <c r="V2383" s="15">
        <f t="shared" si="830"/>
        <v>48.58</v>
      </c>
      <c r="W2383" s="15">
        <f>IF(MarkupType="Store Markup",ROUND(V2383+V2383*StoreMarkup,2),IF(MarkupType="Supplier Markup",V2383+V2383*SupplierMarkup,"Error at finding value"))</f>
        <v>76.510000000000005</v>
      </c>
      <c r="X2383" s="32" t="str">
        <f t="shared" si="832"/>
        <v>0.00</v>
      </c>
      <c r="Y2383" s="15">
        <f t="shared" si="833"/>
        <v>340.06</v>
      </c>
      <c r="Z2383" s="15">
        <f t="shared" si="834"/>
        <v>535.57000000000005</v>
      </c>
      <c r="AA2383" s="15">
        <f>IF(FreightType="Lethbridge-Stewart Freight ",ROUND(2.99+IF(N2383&gt;0.75,(N2383-0.75)*2.25,0)*S2383,2),IF(MarkupType="Supplier Markup",V2383+V2383*SupplierMarkup,"Error at finding value"))</f>
        <v>14.8</v>
      </c>
      <c r="AB2383" s="15">
        <f t="shared" si="835"/>
        <v>0</v>
      </c>
    </row>
    <row r="2384" spans="1:28" x14ac:dyDescent="0.25">
      <c r="A2384" s="16">
        <f>OrdersTable!A2384</f>
        <v>531</v>
      </c>
      <c r="B2384" s="15" t="str">
        <f t="shared" si="815"/>
        <v>Ms</v>
      </c>
      <c r="C2384" s="15" t="str">
        <f t="shared" si="836"/>
        <v>Stanton</v>
      </c>
      <c r="D2384" s="15" t="str">
        <f t="shared" si="816"/>
        <v>Sharaze</v>
      </c>
      <c r="E2384" s="15" t="str">
        <f t="shared" si="817"/>
        <v>1 Siddons Crescent</v>
      </c>
      <c r="F2384" s="15" t="str">
        <f t="shared" si="818"/>
        <v>Alfredtown</v>
      </c>
      <c r="G2384" s="15" t="str">
        <f t="shared" si="819"/>
        <v>NSW</v>
      </c>
      <c r="H2384" s="15">
        <f t="shared" si="820"/>
        <v>2650</v>
      </c>
      <c r="I2384" s="15">
        <f t="shared" si="831"/>
        <v>1124</v>
      </c>
      <c r="J2384" s="15">
        <f>OrdersTable!B2384</f>
        <v>282</v>
      </c>
      <c r="K2384" s="15" t="str">
        <f t="shared" si="821"/>
        <v>Clothing and Apparel</v>
      </c>
      <c r="L2384" s="15" t="str">
        <f t="shared" si="822"/>
        <v>Doctor Who: Tardis Laplander Hat</v>
      </c>
      <c r="M2384" s="15" t="str">
        <f t="shared" si="823"/>
        <v>-</v>
      </c>
      <c r="N2384" s="15">
        <f t="shared" si="824"/>
        <v>0.97499999999999998</v>
      </c>
      <c r="O2384" s="15" t="str">
        <f t="shared" si="825"/>
        <v>A10</v>
      </c>
      <c r="P2384" s="15" t="str">
        <f t="shared" si="826"/>
        <v>Gallifrey International</v>
      </c>
      <c r="Q2384" s="15" t="str">
        <f t="shared" si="827"/>
        <v>181 Arcadia Street</v>
      </c>
      <c r="R2384" s="3">
        <f>OrdersTable!C2384</f>
        <v>44733</v>
      </c>
      <c r="S2384" s="15">
        <f>OrdersTable!E2384</f>
        <v>9</v>
      </c>
      <c r="T2384" s="15">
        <f t="shared" si="828"/>
        <v>19.5</v>
      </c>
      <c r="U2384" s="15">
        <f t="shared" si="829"/>
        <v>26.93</v>
      </c>
      <c r="V2384" s="15">
        <f t="shared" si="830"/>
        <v>31.59</v>
      </c>
      <c r="W2384" s="15">
        <f>IF(MarkupType="Store Markup",ROUND(V2384+V2384*StoreMarkup,2),IF(MarkupType="Supplier Markup",V2384+V2384*SupplierMarkup,"Error at finding value"))</f>
        <v>49.75</v>
      </c>
      <c r="X2384" s="32" t="str">
        <f t="shared" si="832"/>
        <v>0.00</v>
      </c>
      <c r="Y2384" s="15">
        <f t="shared" si="833"/>
        <v>284.31</v>
      </c>
      <c r="Z2384" s="15">
        <f t="shared" si="834"/>
        <v>447.75</v>
      </c>
      <c r="AA2384" s="15">
        <f>IF(FreightType="Lethbridge-Stewart Freight ",ROUND(2.99+IF(N2384&gt;0.75,(N2384-0.75)*2.25,0)*S2384,2),IF(MarkupType="Supplier Markup",V2384+V2384*SupplierMarkup,"Error at finding value"))</f>
        <v>7.55</v>
      </c>
      <c r="AB2384" s="15">
        <f t="shared" si="835"/>
        <v>0</v>
      </c>
    </row>
    <row r="2385" spans="1:28" x14ac:dyDescent="0.25">
      <c r="A2385" s="16">
        <f>OrdersTable!A2385</f>
        <v>561</v>
      </c>
      <c r="B2385" s="15" t="str">
        <f t="shared" si="815"/>
        <v>Ms</v>
      </c>
      <c r="C2385" s="15" t="str">
        <f t="shared" si="836"/>
        <v>Mulcahy</v>
      </c>
      <c r="D2385" s="15" t="str">
        <f t="shared" si="816"/>
        <v>Jodie Leigh</v>
      </c>
      <c r="E2385" s="15" t="str">
        <f t="shared" si="817"/>
        <v>32 Scott Crescent</v>
      </c>
      <c r="F2385" s="15" t="str">
        <f t="shared" si="818"/>
        <v>Bray Park</v>
      </c>
      <c r="G2385" s="15" t="str">
        <f t="shared" si="819"/>
        <v>QLD</v>
      </c>
      <c r="H2385" s="15">
        <f t="shared" si="820"/>
        <v>4500</v>
      </c>
      <c r="I2385" s="15">
        <f t="shared" si="831"/>
        <v>139</v>
      </c>
      <c r="J2385" s="15">
        <f>OrdersTable!B2385</f>
        <v>594</v>
      </c>
      <c r="K2385" s="15" t="str">
        <f t="shared" si="821"/>
        <v>iPhone Skins</v>
      </c>
      <c r="L2385" s="15" t="str">
        <f t="shared" si="822"/>
        <v>Doctor Who: iPhone Skin: Keep Calm And Don't Blink</v>
      </c>
      <c r="M2385" s="15" t="str">
        <f t="shared" si="823"/>
        <v>-</v>
      </c>
      <c r="N2385" s="15">
        <f t="shared" si="824"/>
        <v>0.5</v>
      </c>
      <c r="O2385" s="15" t="str">
        <f t="shared" si="825"/>
        <v>A20</v>
      </c>
      <c r="P2385" s="15" t="str">
        <f t="shared" si="826"/>
        <v>Morbius Inc.</v>
      </c>
      <c r="Q2385" s="15" t="str">
        <f t="shared" si="827"/>
        <v>56 Michael Spice Hwy</v>
      </c>
      <c r="R2385" s="3">
        <f>OrdersTable!C2385</f>
        <v>44733</v>
      </c>
      <c r="S2385" s="15">
        <f>OrdersTable!E2385</f>
        <v>6</v>
      </c>
      <c r="T2385" s="15">
        <f t="shared" si="828"/>
        <v>9.99</v>
      </c>
      <c r="U2385" s="15">
        <f t="shared" si="829"/>
        <v>13.88</v>
      </c>
      <c r="V2385" s="15">
        <f t="shared" si="830"/>
        <v>16.18</v>
      </c>
      <c r="W2385" s="15">
        <f>IF(MarkupType="Store Markup",ROUND(V2385+V2385*StoreMarkup,2),IF(MarkupType="Supplier Markup",V2385+V2385*SupplierMarkup,"Error at finding value"))</f>
        <v>25.48</v>
      </c>
      <c r="X2385" s="32" t="str">
        <f t="shared" si="832"/>
        <v>0.00</v>
      </c>
      <c r="Y2385" s="15">
        <f t="shared" si="833"/>
        <v>97.08</v>
      </c>
      <c r="Z2385" s="15">
        <f t="shared" si="834"/>
        <v>152.88</v>
      </c>
      <c r="AA2385" s="15">
        <f>IF(FreightType="Lethbridge-Stewart Freight ",ROUND(2.99+IF(N2385&gt;0.75,(N2385-0.75)*2.25,0)*S2385,2),IF(MarkupType="Supplier Markup",V2385+V2385*SupplierMarkup,"Error at finding value"))</f>
        <v>2.99</v>
      </c>
      <c r="AB2385" s="15">
        <f t="shared" si="835"/>
        <v>0</v>
      </c>
    </row>
    <row r="2386" spans="1:28" x14ac:dyDescent="0.25">
      <c r="A2386" s="16">
        <f>OrdersTable!A2386</f>
        <v>573</v>
      </c>
      <c r="B2386" s="15" t="str">
        <f t="shared" si="815"/>
        <v>Mrs</v>
      </c>
      <c r="C2386" s="15" t="str">
        <f t="shared" si="836"/>
        <v>Hollonds</v>
      </c>
      <c r="D2386" s="15" t="str">
        <f t="shared" si="816"/>
        <v>Suzan</v>
      </c>
      <c r="E2386" s="15" t="str">
        <f t="shared" si="817"/>
        <v>49 Patel Way</v>
      </c>
      <c r="F2386" s="15" t="str">
        <f t="shared" si="818"/>
        <v>Belconnen</v>
      </c>
      <c r="G2386" s="15" t="str">
        <f t="shared" si="819"/>
        <v>ACT</v>
      </c>
      <c r="H2386" s="15">
        <f t="shared" si="820"/>
        <v>2617</v>
      </c>
      <c r="I2386" s="15">
        <f t="shared" si="831"/>
        <v>1194</v>
      </c>
      <c r="J2386" s="15">
        <f>OrdersTable!B2386</f>
        <v>594</v>
      </c>
      <c r="K2386" s="15" t="str">
        <f t="shared" si="821"/>
        <v>iPhone Skins</v>
      </c>
      <c r="L2386" s="15" t="str">
        <f t="shared" si="822"/>
        <v>Doctor Who: iPhone Skin: Keep Calm And Don't Blink</v>
      </c>
      <c r="M2386" s="15" t="str">
        <f t="shared" si="823"/>
        <v>-</v>
      </c>
      <c r="N2386" s="15">
        <f t="shared" si="824"/>
        <v>0.5</v>
      </c>
      <c r="O2386" s="15" t="str">
        <f t="shared" si="825"/>
        <v>A20</v>
      </c>
      <c r="P2386" s="15" t="str">
        <f t="shared" si="826"/>
        <v>Morbius Inc.</v>
      </c>
      <c r="Q2386" s="15" t="str">
        <f t="shared" si="827"/>
        <v>56 Michael Spice Hwy</v>
      </c>
      <c r="R2386" s="3">
        <f>OrdersTable!C2386</f>
        <v>44733</v>
      </c>
      <c r="S2386" s="15">
        <f>OrdersTable!E2386</f>
        <v>7</v>
      </c>
      <c r="T2386" s="15">
        <f t="shared" si="828"/>
        <v>9.99</v>
      </c>
      <c r="U2386" s="15">
        <f t="shared" si="829"/>
        <v>13.88</v>
      </c>
      <c r="V2386" s="15">
        <f t="shared" si="830"/>
        <v>16.18</v>
      </c>
      <c r="W2386" s="15">
        <f>IF(MarkupType="Store Markup",ROUND(V2386+V2386*StoreMarkup,2),IF(MarkupType="Supplier Markup",V2386+V2386*SupplierMarkup,"Error at finding value"))</f>
        <v>25.48</v>
      </c>
      <c r="X2386" s="32" t="str">
        <f t="shared" si="832"/>
        <v>0.00</v>
      </c>
      <c r="Y2386" s="15">
        <f t="shared" si="833"/>
        <v>113.26</v>
      </c>
      <c r="Z2386" s="15">
        <f t="shared" si="834"/>
        <v>178.36</v>
      </c>
      <c r="AA2386" s="15">
        <f>IF(FreightType="Lethbridge-Stewart Freight ",ROUND(2.99+IF(N2386&gt;0.75,(N2386-0.75)*2.25,0)*S2386,2),IF(MarkupType="Supplier Markup",V2386+V2386*SupplierMarkup,"Error at finding value"))</f>
        <v>2.99</v>
      </c>
      <c r="AB2386" s="15">
        <f t="shared" si="835"/>
        <v>0</v>
      </c>
    </row>
    <row r="2387" spans="1:28" x14ac:dyDescent="0.25">
      <c r="A2387" s="16">
        <f>OrdersTable!A2387</f>
        <v>602</v>
      </c>
      <c r="B2387" s="15" t="str">
        <f t="shared" si="815"/>
        <v>Mr</v>
      </c>
      <c r="C2387" s="15" t="str">
        <f t="shared" si="836"/>
        <v>Spinelli</v>
      </c>
      <c r="D2387" s="15" t="str">
        <f t="shared" si="816"/>
        <v>Paul Walter</v>
      </c>
      <c r="E2387" s="15" t="str">
        <f t="shared" si="817"/>
        <v>35 Azar Drive</v>
      </c>
      <c r="F2387" s="15" t="str">
        <f t="shared" si="818"/>
        <v>Bray Park</v>
      </c>
      <c r="G2387" s="15" t="str">
        <f t="shared" si="819"/>
        <v>QLD</v>
      </c>
      <c r="H2387" s="15">
        <f t="shared" si="820"/>
        <v>4500</v>
      </c>
      <c r="I2387" s="15">
        <f t="shared" si="831"/>
        <v>139</v>
      </c>
      <c r="J2387" s="15">
        <f>OrdersTable!B2387</f>
        <v>703</v>
      </c>
      <c r="K2387" s="15" t="str">
        <f t="shared" si="821"/>
        <v>Posters, Prints and Standees</v>
      </c>
      <c r="L2387" s="15" t="str">
        <f t="shared" si="822"/>
        <v>Doctor Who: Poster: Doctor With Sonic Screwdriver</v>
      </c>
      <c r="M2387" s="15" t="str">
        <f t="shared" si="823"/>
        <v>-</v>
      </c>
      <c r="N2387" s="15">
        <f t="shared" si="824"/>
        <v>0.2</v>
      </c>
      <c r="O2387" s="15" t="str">
        <f t="shared" si="825"/>
        <v>A50</v>
      </c>
      <c r="P2387" s="15" t="str">
        <f t="shared" si="826"/>
        <v>Rassilon Ltd.</v>
      </c>
      <c r="Q2387" s="15" t="str">
        <f t="shared" si="827"/>
        <v>82 Richard Mathews Road</v>
      </c>
      <c r="R2387" s="3">
        <f>OrdersTable!C2387</f>
        <v>44733</v>
      </c>
      <c r="S2387" s="15">
        <f>OrdersTable!E2387</f>
        <v>3</v>
      </c>
      <c r="T2387" s="15">
        <f t="shared" si="828"/>
        <v>3.99</v>
      </c>
      <c r="U2387" s="15">
        <f t="shared" si="829"/>
        <v>5.51</v>
      </c>
      <c r="V2387" s="15">
        <f t="shared" si="830"/>
        <v>6.46</v>
      </c>
      <c r="W2387" s="15">
        <f>IF(MarkupType="Store Markup",ROUND(V2387+V2387*StoreMarkup,2),IF(MarkupType="Supplier Markup",V2387+V2387*SupplierMarkup,"Error at finding value"))</f>
        <v>10.17</v>
      </c>
      <c r="X2387" s="32" t="str">
        <f t="shared" si="832"/>
        <v>0.00</v>
      </c>
      <c r="Y2387" s="15">
        <f t="shared" si="833"/>
        <v>19.38</v>
      </c>
      <c r="Z2387" s="15">
        <f t="shared" si="834"/>
        <v>30.51</v>
      </c>
      <c r="AA2387" s="15">
        <f>IF(FreightType="Lethbridge-Stewart Freight ",ROUND(2.99+IF(N2387&gt;0.75,(N2387-0.75)*2.25,0)*S2387,2),IF(MarkupType="Supplier Markup",V2387+V2387*SupplierMarkup,"Error at finding value"))</f>
        <v>2.99</v>
      </c>
      <c r="AB2387" s="15">
        <f t="shared" si="835"/>
        <v>0</v>
      </c>
    </row>
    <row r="2388" spans="1:28" x14ac:dyDescent="0.25">
      <c r="A2388" s="16">
        <f>OrdersTable!A2388</f>
        <v>730</v>
      </c>
      <c r="B2388" s="15" t="str">
        <f t="shared" si="815"/>
        <v>Mr</v>
      </c>
      <c r="C2388" s="15" t="str">
        <f t="shared" si="836"/>
        <v>Romer</v>
      </c>
      <c r="D2388" s="15" t="str">
        <f t="shared" si="816"/>
        <v>Leo Alexander</v>
      </c>
      <c r="E2388" s="15" t="str">
        <f t="shared" si="817"/>
        <v>47 Bennett Circuit</v>
      </c>
      <c r="F2388" s="15" t="str">
        <f t="shared" si="818"/>
        <v>Caliph</v>
      </c>
      <c r="G2388" s="15" t="str">
        <f t="shared" si="819"/>
        <v>SA</v>
      </c>
      <c r="H2388" s="15">
        <f t="shared" si="820"/>
        <v>5310</v>
      </c>
      <c r="I2388" s="15">
        <f t="shared" si="831"/>
        <v>1720</v>
      </c>
      <c r="J2388" s="15">
        <f>OrdersTable!B2388</f>
        <v>867</v>
      </c>
      <c r="K2388" s="15" t="str">
        <f t="shared" si="821"/>
        <v>Statues and Busts</v>
      </c>
      <c r="L2388" s="15" t="str">
        <f t="shared" si="822"/>
        <v>Doctor Who: TITANS: The 11th Doctor</v>
      </c>
      <c r="M2388" s="15" t="str">
        <f t="shared" si="823"/>
        <v>-</v>
      </c>
      <c r="N2388" s="15">
        <f t="shared" si="824"/>
        <v>0.4</v>
      </c>
      <c r="O2388" s="15" t="str">
        <f t="shared" si="825"/>
        <v>A20</v>
      </c>
      <c r="P2388" s="15" t="str">
        <f t="shared" si="826"/>
        <v>Morbius Inc.</v>
      </c>
      <c r="Q2388" s="15" t="str">
        <f t="shared" si="827"/>
        <v>56 Michael Spice Hwy</v>
      </c>
      <c r="R2388" s="3">
        <f>OrdersTable!C2388</f>
        <v>44733</v>
      </c>
      <c r="S2388" s="15">
        <f>OrdersTable!E2388</f>
        <v>9</v>
      </c>
      <c r="T2388" s="15">
        <f t="shared" si="828"/>
        <v>7.99</v>
      </c>
      <c r="U2388" s="15">
        <f t="shared" si="829"/>
        <v>11.1</v>
      </c>
      <c r="V2388" s="15">
        <f t="shared" si="830"/>
        <v>12.94</v>
      </c>
      <c r="W2388" s="15">
        <f>IF(MarkupType="Store Markup",ROUND(V2388+V2388*StoreMarkup,2),IF(MarkupType="Supplier Markup",V2388+V2388*SupplierMarkup,"Error at finding value"))</f>
        <v>20.38</v>
      </c>
      <c r="X2388" s="32" t="str">
        <f t="shared" si="832"/>
        <v>0.00</v>
      </c>
      <c r="Y2388" s="15">
        <f t="shared" si="833"/>
        <v>116.46</v>
      </c>
      <c r="Z2388" s="15">
        <f t="shared" si="834"/>
        <v>183.42</v>
      </c>
      <c r="AA2388" s="15">
        <f>IF(FreightType="Lethbridge-Stewart Freight ",ROUND(2.99+IF(N2388&gt;0.75,(N2388-0.75)*2.25,0)*S2388,2),IF(MarkupType="Supplier Markup",V2388+V2388*SupplierMarkup,"Error at finding value"))</f>
        <v>2.99</v>
      </c>
      <c r="AB2388" s="15">
        <f t="shared" si="835"/>
        <v>0</v>
      </c>
    </row>
    <row r="2389" spans="1:28" x14ac:dyDescent="0.25">
      <c r="A2389" s="16">
        <f>OrdersTable!A2389</f>
        <v>747</v>
      </c>
      <c r="B2389" s="15" t="str">
        <f t="shared" si="815"/>
        <v>Miss</v>
      </c>
      <c r="C2389" s="15" t="str">
        <f t="shared" si="836"/>
        <v>Coom</v>
      </c>
      <c r="D2389" s="15" t="str">
        <f t="shared" si="816"/>
        <v>Mackenzie Megan</v>
      </c>
      <c r="E2389" s="15" t="str">
        <f t="shared" si="817"/>
        <v>2 Tsalikis Road</v>
      </c>
      <c r="F2389" s="15" t="str">
        <f t="shared" si="818"/>
        <v>Aberfoyle</v>
      </c>
      <c r="G2389" s="15" t="str">
        <f t="shared" si="819"/>
        <v>NSW</v>
      </c>
      <c r="H2389" s="15">
        <f t="shared" si="820"/>
        <v>2350</v>
      </c>
      <c r="I2389" s="15">
        <f t="shared" si="831"/>
        <v>363</v>
      </c>
      <c r="J2389" s="15">
        <f>OrdersTable!B2389</f>
        <v>787</v>
      </c>
      <c r="K2389" s="15" t="str">
        <f t="shared" si="821"/>
        <v>Statues and Busts</v>
      </c>
      <c r="L2389" s="15" t="str">
        <f t="shared" si="822"/>
        <v>Doctor Who: Masterpiece Collection Maxi Bust: 1st Doctor</v>
      </c>
      <c r="M2389" s="15" t="str">
        <f t="shared" si="823"/>
        <v>-</v>
      </c>
      <c r="N2389" s="15">
        <f t="shared" si="824"/>
        <v>2.5</v>
      </c>
      <c r="O2389" s="15" t="str">
        <f t="shared" si="825"/>
        <v>A10</v>
      </c>
      <c r="P2389" s="15" t="str">
        <f t="shared" si="826"/>
        <v>Gallifrey International</v>
      </c>
      <c r="Q2389" s="15" t="str">
        <f t="shared" si="827"/>
        <v>181 Arcadia Street</v>
      </c>
      <c r="R2389" s="3">
        <f>OrdersTable!C2389</f>
        <v>44733</v>
      </c>
      <c r="S2389" s="15">
        <f>OrdersTable!E2389</f>
        <v>7</v>
      </c>
      <c r="T2389" s="15">
        <f t="shared" si="828"/>
        <v>49.99</v>
      </c>
      <c r="U2389" s="15">
        <f t="shared" si="829"/>
        <v>68.290000000000006</v>
      </c>
      <c r="V2389" s="15">
        <f t="shared" si="830"/>
        <v>80.98</v>
      </c>
      <c r="W2389" s="15">
        <f>IF(MarkupType="Store Markup",ROUND(V2389+V2389*StoreMarkup,2),IF(MarkupType="Supplier Markup",V2389+V2389*SupplierMarkup,"Error at finding value"))</f>
        <v>127.54</v>
      </c>
      <c r="X2389" s="32">
        <f t="shared" si="832"/>
        <v>9.09</v>
      </c>
      <c r="Y2389" s="15">
        <f t="shared" si="833"/>
        <v>566.86</v>
      </c>
      <c r="Z2389" s="15">
        <f t="shared" si="834"/>
        <v>829.15</v>
      </c>
      <c r="AA2389" s="15">
        <f>IF(FreightType="Lethbridge-Stewart Freight ",ROUND(2.99+IF(N2389&gt;0.75,(N2389-0.75)*2.25,0)*S2389,2),IF(MarkupType="Supplier Markup",V2389+V2389*SupplierMarkup,"Error at finding value"))</f>
        <v>30.55</v>
      </c>
      <c r="AB2389" s="15">
        <f t="shared" si="835"/>
        <v>63.63</v>
      </c>
    </row>
    <row r="2390" spans="1:28" x14ac:dyDescent="0.25">
      <c r="A2390" s="16">
        <f>OrdersTable!A2390</f>
        <v>750</v>
      </c>
      <c r="B2390" s="15" t="str">
        <f t="shared" si="815"/>
        <v>Ms</v>
      </c>
      <c r="C2390" s="15" t="str">
        <f t="shared" si="836"/>
        <v>Talbot</v>
      </c>
      <c r="D2390" s="15" t="str">
        <f t="shared" si="816"/>
        <v>Carlie Wenderly</v>
      </c>
      <c r="E2390" s="15" t="str">
        <f t="shared" si="817"/>
        <v>31 Somerville Way</v>
      </c>
      <c r="F2390" s="15" t="str">
        <f t="shared" si="818"/>
        <v>Boston</v>
      </c>
      <c r="G2390" s="15" t="str">
        <f t="shared" si="819"/>
        <v>SA</v>
      </c>
      <c r="H2390" s="15">
        <f t="shared" si="820"/>
        <v>5607</v>
      </c>
      <c r="I2390" s="15">
        <f t="shared" si="831"/>
        <v>2076</v>
      </c>
      <c r="J2390" s="15">
        <f>OrdersTable!B2390</f>
        <v>177</v>
      </c>
      <c r="K2390" s="15" t="str">
        <f t="shared" si="821"/>
        <v>Bobbleheads</v>
      </c>
      <c r="L2390" s="15" t="str">
        <f t="shared" si="822"/>
        <v>Doctor Who: Bobblehead: TARDIS (With Sound)</v>
      </c>
      <c r="M2390" s="15" t="str">
        <f t="shared" si="823"/>
        <v>-</v>
      </c>
      <c r="N2390" s="15">
        <f t="shared" si="824"/>
        <v>1</v>
      </c>
      <c r="O2390" s="15" t="str">
        <f t="shared" si="825"/>
        <v>A30</v>
      </c>
      <c r="P2390" s="15" t="str">
        <f t="shared" si="826"/>
        <v>Chesterton Enterprises</v>
      </c>
      <c r="Q2390" s="15" t="str">
        <f t="shared" si="827"/>
        <v>41 William Russell Road</v>
      </c>
      <c r="R2390" s="3">
        <f>OrdersTable!C2390</f>
        <v>44733</v>
      </c>
      <c r="S2390" s="15">
        <f>OrdersTable!E2390</f>
        <v>2</v>
      </c>
      <c r="T2390" s="15">
        <f t="shared" si="828"/>
        <v>19.989999999999998</v>
      </c>
      <c r="U2390" s="15">
        <f t="shared" si="829"/>
        <v>27.6</v>
      </c>
      <c r="V2390" s="15">
        <f t="shared" si="830"/>
        <v>32.380000000000003</v>
      </c>
      <c r="W2390" s="15">
        <f>IF(MarkupType="Store Markup",ROUND(V2390+V2390*StoreMarkup,2),IF(MarkupType="Supplier Markup",V2390+V2390*SupplierMarkup,"Error at finding value"))</f>
        <v>51</v>
      </c>
      <c r="X2390" s="32" t="str">
        <f t="shared" si="832"/>
        <v>0.00</v>
      </c>
      <c r="Y2390" s="15">
        <f t="shared" si="833"/>
        <v>64.760000000000005</v>
      </c>
      <c r="Z2390" s="15">
        <f t="shared" si="834"/>
        <v>102</v>
      </c>
      <c r="AA2390" s="15">
        <f>IF(FreightType="Lethbridge-Stewart Freight ",ROUND(2.99+IF(N2390&gt;0.75,(N2390-0.75)*2.25,0)*S2390,2),IF(MarkupType="Supplier Markup",V2390+V2390*SupplierMarkup,"Error at finding value"))</f>
        <v>4.12</v>
      </c>
      <c r="AB2390" s="15">
        <f t="shared" si="835"/>
        <v>0</v>
      </c>
    </row>
    <row r="2391" spans="1:28" x14ac:dyDescent="0.25">
      <c r="A2391" s="16">
        <f>OrdersTable!A2391</f>
        <v>771</v>
      </c>
      <c r="B2391" s="15" t="str">
        <f t="shared" si="815"/>
        <v>Dr</v>
      </c>
      <c r="C2391" s="15" t="str">
        <f t="shared" si="836"/>
        <v>Virk</v>
      </c>
      <c r="D2391" s="15" t="str">
        <f t="shared" si="816"/>
        <v>Balraj Singh</v>
      </c>
      <c r="E2391" s="15" t="str">
        <f t="shared" si="817"/>
        <v>39 Napanje Drive</v>
      </c>
      <c r="F2391" s="15" t="str">
        <f t="shared" si="818"/>
        <v>Abington</v>
      </c>
      <c r="G2391" s="15" t="str">
        <f t="shared" si="819"/>
        <v>QLD</v>
      </c>
      <c r="H2391" s="15">
        <f t="shared" si="820"/>
        <v>4660</v>
      </c>
      <c r="I2391" s="15">
        <f t="shared" si="831"/>
        <v>336</v>
      </c>
      <c r="J2391" s="15">
        <f>OrdersTable!B2391</f>
        <v>673</v>
      </c>
      <c r="K2391" s="15" t="str">
        <f t="shared" si="821"/>
        <v>Mugs</v>
      </c>
      <c r="L2391" s="15" t="str">
        <f t="shared" si="822"/>
        <v>Doctor Who: Mug: TARDIS With Lid</v>
      </c>
      <c r="M2391" s="15" t="str">
        <f t="shared" si="823"/>
        <v>-</v>
      </c>
      <c r="N2391" s="15">
        <f t="shared" si="824"/>
        <v>0.58499999999999996</v>
      </c>
      <c r="O2391" s="15" t="str">
        <f t="shared" si="825"/>
        <v>A10</v>
      </c>
      <c r="P2391" s="15" t="str">
        <f t="shared" si="826"/>
        <v>Gallifrey International</v>
      </c>
      <c r="Q2391" s="15" t="str">
        <f t="shared" si="827"/>
        <v>181 Arcadia Street</v>
      </c>
      <c r="R2391" s="3">
        <f>OrdersTable!C2391</f>
        <v>44733</v>
      </c>
      <c r="S2391" s="15">
        <f>OrdersTable!E2391</f>
        <v>1</v>
      </c>
      <c r="T2391" s="15">
        <f t="shared" si="828"/>
        <v>11.69</v>
      </c>
      <c r="U2391" s="15">
        <f t="shared" si="829"/>
        <v>16.190000000000001</v>
      </c>
      <c r="V2391" s="15">
        <f t="shared" si="830"/>
        <v>18.940000000000001</v>
      </c>
      <c r="W2391" s="15">
        <f>IF(MarkupType="Store Markup",ROUND(V2391+V2391*StoreMarkup,2),IF(MarkupType="Supplier Markup",V2391+V2391*SupplierMarkup,"Error at finding value"))</f>
        <v>29.83</v>
      </c>
      <c r="X2391" s="32" t="str">
        <f t="shared" si="832"/>
        <v>0.00</v>
      </c>
      <c r="Y2391" s="15">
        <f t="shared" si="833"/>
        <v>18.940000000000001</v>
      </c>
      <c r="Z2391" s="15">
        <f t="shared" si="834"/>
        <v>29.83</v>
      </c>
      <c r="AA2391" s="15">
        <f>IF(FreightType="Lethbridge-Stewart Freight ",ROUND(2.99+IF(N2391&gt;0.75,(N2391-0.75)*2.25,0)*S2391,2),IF(MarkupType="Supplier Markup",V2391+V2391*SupplierMarkup,"Error at finding value"))</f>
        <v>2.99</v>
      </c>
      <c r="AB2391" s="15">
        <f t="shared" si="835"/>
        <v>0</v>
      </c>
    </row>
    <row r="2392" spans="1:28" x14ac:dyDescent="0.25">
      <c r="A2392" s="16">
        <f>OrdersTable!A2392</f>
        <v>827</v>
      </c>
      <c r="B2392" s="15" t="str">
        <f t="shared" si="815"/>
        <v>Ms</v>
      </c>
      <c r="C2392" s="15" t="str">
        <f t="shared" si="836"/>
        <v>Ottaway</v>
      </c>
      <c r="D2392" s="15" t="str">
        <f t="shared" si="816"/>
        <v>Katherine</v>
      </c>
      <c r="E2392" s="15" t="str">
        <f t="shared" si="817"/>
        <v>7 Morrison Street</v>
      </c>
      <c r="F2392" s="15" t="str">
        <f t="shared" si="818"/>
        <v>Glenfern</v>
      </c>
      <c r="G2392" s="15" t="str">
        <f t="shared" si="819"/>
        <v>QLD</v>
      </c>
      <c r="H2392" s="15">
        <f t="shared" si="820"/>
        <v>4515</v>
      </c>
      <c r="I2392" s="15">
        <f t="shared" si="831"/>
        <v>128</v>
      </c>
      <c r="J2392" s="15">
        <f>OrdersTable!B2392</f>
        <v>709</v>
      </c>
      <c r="K2392" s="15" t="str">
        <f t="shared" si="821"/>
        <v>Posters, Prints and Standees</v>
      </c>
      <c r="L2392" s="15" t="str">
        <f t="shared" si="822"/>
        <v>Doctor Who: Poster: Metallic TARDIS</v>
      </c>
      <c r="M2392" s="15" t="str">
        <f t="shared" si="823"/>
        <v>-</v>
      </c>
      <c r="N2392" s="15">
        <f t="shared" si="824"/>
        <v>0.2</v>
      </c>
      <c r="O2392" s="15" t="str">
        <f t="shared" si="825"/>
        <v>A10</v>
      </c>
      <c r="P2392" s="15" t="str">
        <f t="shared" si="826"/>
        <v>Gallifrey International</v>
      </c>
      <c r="Q2392" s="15" t="str">
        <f t="shared" si="827"/>
        <v>181 Arcadia Street</v>
      </c>
      <c r="R2392" s="3">
        <f>OrdersTable!C2392</f>
        <v>44733</v>
      </c>
      <c r="S2392" s="15">
        <f>OrdersTable!E2392</f>
        <v>9</v>
      </c>
      <c r="T2392" s="15">
        <f t="shared" si="828"/>
        <v>3.99</v>
      </c>
      <c r="U2392" s="15">
        <f t="shared" si="829"/>
        <v>5.71</v>
      </c>
      <c r="V2392" s="15">
        <f t="shared" si="830"/>
        <v>6.46</v>
      </c>
      <c r="W2392" s="15">
        <f>IF(MarkupType="Store Markup",ROUND(V2392+V2392*StoreMarkup,2),IF(MarkupType="Supplier Markup",V2392+V2392*SupplierMarkup,"Error at finding value"))</f>
        <v>10.17</v>
      </c>
      <c r="X2392" s="32" t="str">
        <f t="shared" si="832"/>
        <v>0.00</v>
      </c>
      <c r="Y2392" s="15">
        <f t="shared" si="833"/>
        <v>58.14</v>
      </c>
      <c r="Z2392" s="15">
        <f t="shared" si="834"/>
        <v>91.53</v>
      </c>
      <c r="AA2392" s="15">
        <f>IF(FreightType="Lethbridge-Stewart Freight ",ROUND(2.99+IF(N2392&gt;0.75,(N2392-0.75)*2.25,0)*S2392,2),IF(MarkupType="Supplier Markup",V2392+V2392*SupplierMarkup,"Error at finding value"))</f>
        <v>2.99</v>
      </c>
      <c r="AB2392" s="15">
        <f t="shared" si="835"/>
        <v>0</v>
      </c>
    </row>
    <row r="2393" spans="1:28" x14ac:dyDescent="0.25">
      <c r="A2393" s="16">
        <f>OrdersTable!A2393</f>
        <v>884</v>
      </c>
      <c r="B2393" s="15" t="str">
        <f t="shared" si="815"/>
        <v>Mr</v>
      </c>
      <c r="C2393" s="15" t="str">
        <f t="shared" si="836"/>
        <v>Smy</v>
      </c>
      <c r="D2393" s="15" t="str">
        <f t="shared" si="816"/>
        <v>Corey Alexander</v>
      </c>
      <c r="E2393" s="15" t="str">
        <f t="shared" si="817"/>
        <v>47 Lindsay Circuit</v>
      </c>
      <c r="F2393" s="15" t="str">
        <f t="shared" si="818"/>
        <v>Boston</v>
      </c>
      <c r="G2393" s="15" t="str">
        <f t="shared" si="819"/>
        <v>SA</v>
      </c>
      <c r="H2393" s="15">
        <f t="shared" si="820"/>
        <v>5607</v>
      </c>
      <c r="I2393" s="15">
        <f t="shared" si="831"/>
        <v>2076</v>
      </c>
      <c r="J2393" s="15">
        <f>OrdersTable!B2393</f>
        <v>704</v>
      </c>
      <c r="K2393" s="15" t="str">
        <f t="shared" si="821"/>
        <v>Posters, Prints and Standees</v>
      </c>
      <c r="L2393" s="15" t="str">
        <f t="shared" si="822"/>
        <v>Doctor Who: Poster: Doctor's Enemies</v>
      </c>
      <c r="M2393" s="15" t="str">
        <f t="shared" si="823"/>
        <v>-</v>
      </c>
      <c r="N2393" s="15">
        <f t="shared" si="824"/>
        <v>0.2</v>
      </c>
      <c r="O2393" s="15" t="str">
        <f t="shared" si="825"/>
        <v>A30</v>
      </c>
      <c r="P2393" s="15" t="str">
        <f t="shared" si="826"/>
        <v>Chesterton Enterprises</v>
      </c>
      <c r="Q2393" s="15" t="str">
        <f t="shared" si="827"/>
        <v>41 William Russell Road</v>
      </c>
      <c r="R2393" s="3">
        <f>OrdersTable!C2393</f>
        <v>44733</v>
      </c>
      <c r="S2393" s="15">
        <f>OrdersTable!E2393</f>
        <v>10</v>
      </c>
      <c r="T2393" s="15">
        <f t="shared" si="828"/>
        <v>3.99</v>
      </c>
      <c r="U2393" s="15">
        <f t="shared" si="829"/>
        <v>5.52</v>
      </c>
      <c r="V2393" s="15">
        <f t="shared" si="830"/>
        <v>6.46</v>
      </c>
      <c r="W2393" s="15">
        <f>IF(MarkupType="Store Markup",ROUND(V2393+V2393*StoreMarkup,2),IF(MarkupType="Supplier Markup",V2393+V2393*SupplierMarkup,"Error at finding value"))</f>
        <v>10.17</v>
      </c>
      <c r="X2393" s="32" t="str">
        <f t="shared" si="832"/>
        <v>0.00</v>
      </c>
      <c r="Y2393" s="15">
        <f t="shared" si="833"/>
        <v>64.599999999999994</v>
      </c>
      <c r="Z2393" s="15">
        <f t="shared" si="834"/>
        <v>101.7</v>
      </c>
      <c r="AA2393" s="15">
        <f>IF(FreightType="Lethbridge-Stewart Freight ",ROUND(2.99+IF(N2393&gt;0.75,(N2393-0.75)*2.25,0)*S2393,2),IF(MarkupType="Supplier Markup",V2393+V2393*SupplierMarkup,"Error at finding value"))</f>
        <v>2.99</v>
      </c>
      <c r="AB2393" s="15">
        <f t="shared" si="835"/>
        <v>0</v>
      </c>
    </row>
    <row r="2394" spans="1:28" x14ac:dyDescent="0.25">
      <c r="A2394" s="16">
        <f>OrdersTable!A2394</f>
        <v>972</v>
      </c>
      <c r="B2394" s="15" t="str">
        <f t="shared" si="815"/>
        <v>Miss</v>
      </c>
      <c r="C2394" s="15" t="str">
        <f t="shared" si="836"/>
        <v>Walsh</v>
      </c>
      <c r="D2394" s="15" t="str">
        <f t="shared" si="816"/>
        <v>Alana Jane</v>
      </c>
      <c r="E2394" s="15" t="str">
        <f t="shared" si="817"/>
        <v>40 Betts Crescent</v>
      </c>
      <c r="F2394" s="15" t="str">
        <f t="shared" si="818"/>
        <v>Alleena</v>
      </c>
      <c r="G2394" s="15" t="str">
        <f t="shared" si="819"/>
        <v>NSW</v>
      </c>
      <c r="H2394" s="15">
        <f t="shared" si="820"/>
        <v>2671</v>
      </c>
      <c r="I2394" s="15">
        <f t="shared" si="831"/>
        <v>988</v>
      </c>
      <c r="J2394" s="15">
        <f>OrdersTable!B2394</f>
        <v>667</v>
      </c>
      <c r="K2394" s="15" t="str">
        <f t="shared" si="821"/>
        <v>Mugs</v>
      </c>
      <c r="L2394" s="15" t="str">
        <f t="shared" si="822"/>
        <v>Doctor Who: Mug: Keep Calm And Don't Blink</v>
      </c>
      <c r="M2394" s="15" t="str">
        <f t="shared" si="823"/>
        <v>-</v>
      </c>
      <c r="N2394" s="15">
        <f t="shared" si="824"/>
        <v>0.35</v>
      </c>
      <c r="O2394" s="15" t="str">
        <f t="shared" si="825"/>
        <v>A10</v>
      </c>
      <c r="P2394" s="15" t="str">
        <f t="shared" si="826"/>
        <v>Gallifrey International</v>
      </c>
      <c r="Q2394" s="15" t="str">
        <f t="shared" si="827"/>
        <v>181 Arcadia Street</v>
      </c>
      <c r="R2394" s="3">
        <f>OrdersTable!C2394</f>
        <v>44733</v>
      </c>
      <c r="S2394" s="15">
        <f>OrdersTable!E2394</f>
        <v>4</v>
      </c>
      <c r="T2394" s="15">
        <f t="shared" si="828"/>
        <v>6.99</v>
      </c>
      <c r="U2394" s="15">
        <f t="shared" si="829"/>
        <v>9.84</v>
      </c>
      <c r="V2394" s="15">
        <f t="shared" si="830"/>
        <v>11.32</v>
      </c>
      <c r="W2394" s="15">
        <f>IF(MarkupType="Store Markup",ROUND(V2394+V2394*StoreMarkup,2),IF(MarkupType="Supplier Markup",V2394+V2394*SupplierMarkup,"Error at finding value"))</f>
        <v>17.829999999999998</v>
      </c>
      <c r="X2394" s="32" t="str">
        <f t="shared" si="832"/>
        <v>0.00</v>
      </c>
      <c r="Y2394" s="15">
        <f t="shared" si="833"/>
        <v>45.28</v>
      </c>
      <c r="Z2394" s="15">
        <f t="shared" si="834"/>
        <v>71.319999999999993</v>
      </c>
      <c r="AA2394" s="15">
        <f>IF(FreightType="Lethbridge-Stewart Freight ",ROUND(2.99+IF(N2394&gt;0.75,(N2394-0.75)*2.25,0)*S2394,2),IF(MarkupType="Supplier Markup",V2394+V2394*SupplierMarkup,"Error at finding value"))</f>
        <v>2.99</v>
      </c>
      <c r="AB2394" s="15">
        <f t="shared" si="835"/>
        <v>0</v>
      </c>
    </row>
    <row r="2395" spans="1:28" x14ac:dyDescent="0.25">
      <c r="A2395" s="16">
        <f>OrdersTable!A2395</f>
        <v>42</v>
      </c>
      <c r="B2395" s="15" t="str">
        <f t="shared" si="815"/>
        <v>Mr</v>
      </c>
      <c r="C2395" s="15" t="str">
        <f t="shared" si="836"/>
        <v>Ballantyne</v>
      </c>
      <c r="D2395" s="15" t="str">
        <f t="shared" si="816"/>
        <v>Barry John</v>
      </c>
      <c r="E2395" s="15" t="str">
        <f t="shared" si="817"/>
        <v>14 Bachmann Drive</v>
      </c>
      <c r="F2395" s="15" t="str">
        <f t="shared" si="818"/>
        <v>Alleena</v>
      </c>
      <c r="G2395" s="15" t="str">
        <f t="shared" si="819"/>
        <v>NSW</v>
      </c>
      <c r="H2395" s="15">
        <f t="shared" si="820"/>
        <v>2671</v>
      </c>
      <c r="I2395" s="15">
        <f t="shared" si="831"/>
        <v>988</v>
      </c>
      <c r="J2395" s="15">
        <f>OrdersTable!B2395</f>
        <v>582</v>
      </c>
      <c r="K2395" s="15" t="str">
        <f t="shared" si="821"/>
        <v>Giftware</v>
      </c>
      <c r="L2395" s="15" t="str">
        <f t="shared" si="822"/>
        <v>Doctor Who: Wallpaper: Classic TARDIS Roundels</v>
      </c>
      <c r="M2395" s="15" t="str">
        <f t="shared" si="823"/>
        <v>-</v>
      </c>
      <c r="N2395" s="15">
        <f t="shared" si="824"/>
        <v>1.75</v>
      </c>
      <c r="O2395" s="15" t="str">
        <f t="shared" si="825"/>
        <v>A40</v>
      </c>
      <c r="P2395" s="15" t="str">
        <f t="shared" si="826"/>
        <v>Romana Imports</v>
      </c>
      <c r="Q2395" s="15" t="str">
        <f t="shared" si="827"/>
        <v>17 Lalla Ward Road</v>
      </c>
      <c r="R2395" s="3">
        <f>OrdersTable!C2395</f>
        <v>44734</v>
      </c>
      <c r="S2395" s="15">
        <f>OrdersTable!E2395</f>
        <v>7</v>
      </c>
      <c r="T2395" s="15">
        <f t="shared" si="828"/>
        <v>34.99</v>
      </c>
      <c r="U2395" s="15">
        <f t="shared" si="829"/>
        <v>47.77</v>
      </c>
      <c r="V2395" s="15">
        <f t="shared" si="830"/>
        <v>56.68</v>
      </c>
      <c r="W2395" s="15">
        <f>IF(MarkupType="Store Markup",ROUND(V2395+V2395*StoreMarkup,2),IF(MarkupType="Supplier Markup",V2395+V2395*SupplierMarkup,"Error at finding value"))</f>
        <v>89.27</v>
      </c>
      <c r="X2395" s="32" t="str">
        <f t="shared" si="832"/>
        <v>0.00</v>
      </c>
      <c r="Y2395" s="15">
        <f t="shared" si="833"/>
        <v>396.76</v>
      </c>
      <c r="Z2395" s="15">
        <f t="shared" si="834"/>
        <v>624.89</v>
      </c>
      <c r="AA2395" s="15">
        <f>IF(FreightType="Lethbridge-Stewart Freight ",ROUND(2.99+IF(N2395&gt;0.75,(N2395-0.75)*2.25,0)*S2395,2),IF(MarkupType="Supplier Markup",V2395+V2395*SupplierMarkup,"Error at finding value"))</f>
        <v>18.739999999999998</v>
      </c>
      <c r="AB2395" s="15">
        <f t="shared" si="835"/>
        <v>0</v>
      </c>
    </row>
    <row r="2396" spans="1:28" x14ac:dyDescent="0.25">
      <c r="A2396" s="16">
        <f>OrdersTable!A2396</f>
        <v>66</v>
      </c>
      <c r="B2396" s="15" t="str">
        <f t="shared" si="815"/>
        <v>Mr</v>
      </c>
      <c r="C2396" s="15" t="str">
        <f t="shared" si="836"/>
        <v>Bachmann</v>
      </c>
      <c r="D2396" s="15" t="str">
        <f t="shared" si="816"/>
        <v>Aaron</v>
      </c>
      <c r="E2396" s="15" t="str">
        <f t="shared" si="817"/>
        <v>3 Csabai Avenue</v>
      </c>
      <c r="F2396" s="15" t="str">
        <f t="shared" si="818"/>
        <v>Bridgewater</v>
      </c>
      <c r="G2396" s="15" t="str">
        <f t="shared" si="819"/>
        <v>VIC</v>
      </c>
      <c r="H2396" s="15">
        <f t="shared" si="820"/>
        <v>3516</v>
      </c>
      <c r="I2396" s="15">
        <f t="shared" si="831"/>
        <v>1486</v>
      </c>
      <c r="J2396" s="15">
        <f>OrdersTable!B2396</f>
        <v>652</v>
      </c>
      <c r="K2396" s="15" t="str">
        <f t="shared" si="821"/>
        <v>Mugs</v>
      </c>
      <c r="L2396" s="15" t="str">
        <f t="shared" si="822"/>
        <v>Doctor Who: Mug: Dalek 2D</v>
      </c>
      <c r="M2396" s="15" t="str">
        <f t="shared" si="823"/>
        <v>-</v>
      </c>
      <c r="N2396" s="15">
        <f t="shared" si="824"/>
        <v>0.35</v>
      </c>
      <c r="O2396" s="15" t="str">
        <f t="shared" si="825"/>
        <v>A10</v>
      </c>
      <c r="P2396" s="15" t="str">
        <f t="shared" si="826"/>
        <v>Gallifrey International</v>
      </c>
      <c r="Q2396" s="15" t="str">
        <f t="shared" si="827"/>
        <v>181 Arcadia Street</v>
      </c>
      <c r="R2396" s="3">
        <f>OrdersTable!C2396</f>
        <v>44734</v>
      </c>
      <c r="S2396" s="15">
        <f>OrdersTable!E2396</f>
        <v>8</v>
      </c>
      <c r="T2396" s="15">
        <f t="shared" si="828"/>
        <v>6.99</v>
      </c>
      <c r="U2396" s="15">
        <f t="shared" si="829"/>
        <v>9.8800000000000008</v>
      </c>
      <c r="V2396" s="15">
        <f t="shared" si="830"/>
        <v>11.32</v>
      </c>
      <c r="W2396" s="15">
        <f>IF(MarkupType="Store Markup",ROUND(V2396+V2396*StoreMarkup,2),IF(MarkupType="Supplier Markup",V2396+V2396*SupplierMarkup,"Error at finding value"))</f>
        <v>17.829999999999998</v>
      </c>
      <c r="X2396" s="32" t="str">
        <f t="shared" si="832"/>
        <v>0.00</v>
      </c>
      <c r="Y2396" s="15">
        <f t="shared" si="833"/>
        <v>90.56</v>
      </c>
      <c r="Z2396" s="15">
        <f t="shared" si="834"/>
        <v>142.63999999999999</v>
      </c>
      <c r="AA2396" s="15">
        <f>IF(FreightType="Lethbridge-Stewart Freight ",ROUND(2.99+IF(N2396&gt;0.75,(N2396-0.75)*2.25,0)*S2396,2),IF(MarkupType="Supplier Markup",V2396+V2396*SupplierMarkup,"Error at finding value"))</f>
        <v>2.99</v>
      </c>
      <c r="AB2396" s="15">
        <f t="shared" si="835"/>
        <v>0</v>
      </c>
    </row>
    <row r="2397" spans="1:28" x14ac:dyDescent="0.25">
      <c r="A2397" s="16">
        <f>OrdersTable!A2397</f>
        <v>112</v>
      </c>
      <c r="B2397" s="15" t="str">
        <f t="shared" si="815"/>
        <v>Mr</v>
      </c>
      <c r="C2397" s="15" t="str">
        <f t="shared" si="836"/>
        <v>Dahal</v>
      </c>
      <c r="D2397" s="15" t="str">
        <f t="shared" si="816"/>
        <v>Subash</v>
      </c>
      <c r="E2397" s="15" t="str">
        <f t="shared" si="817"/>
        <v>121-127 Railway Pde, Granville, NSW 2142</v>
      </c>
      <c r="F2397" s="15" t="str">
        <f t="shared" si="818"/>
        <v>Granville</v>
      </c>
      <c r="G2397" s="15" t="str">
        <f t="shared" si="819"/>
        <v>NSW</v>
      </c>
      <c r="H2397" s="15">
        <f t="shared" si="820"/>
        <v>2142</v>
      </c>
      <c r="I2397" s="15">
        <f t="shared" si="831"/>
        <v>907</v>
      </c>
      <c r="J2397" s="15">
        <f>OrdersTable!B2397</f>
        <v>810</v>
      </c>
      <c r="K2397" s="15" t="str">
        <f t="shared" si="821"/>
        <v>Statues and Busts</v>
      </c>
      <c r="L2397" s="15" t="str">
        <f t="shared" si="822"/>
        <v>Doctor Who: Masterpiece Collection Maxi Bust: Amy Pond</v>
      </c>
      <c r="M2397" s="15" t="str">
        <f t="shared" si="823"/>
        <v>-</v>
      </c>
      <c r="N2397" s="15">
        <f t="shared" si="824"/>
        <v>2.5</v>
      </c>
      <c r="O2397" s="15" t="str">
        <f t="shared" si="825"/>
        <v>A50</v>
      </c>
      <c r="P2397" s="15" t="str">
        <f t="shared" si="826"/>
        <v>Rassilon Ltd.</v>
      </c>
      <c r="Q2397" s="15" t="str">
        <f t="shared" si="827"/>
        <v>82 Richard Mathews Road</v>
      </c>
      <c r="R2397" s="3">
        <f>OrdersTable!C2397</f>
        <v>44734</v>
      </c>
      <c r="S2397" s="15">
        <f>OrdersTable!E2397</f>
        <v>9</v>
      </c>
      <c r="T2397" s="15">
        <f t="shared" si="828"/>
        <v>49.99</v>
      </c>
      <c r="U2397" s="15">
        <f t="shared" si="829"/>
        <v>68.260000000000005</v>
      </c>
      <c r="V2397" s="15">
        <f t="shared" si="830"/>
        <v>80.98</v>
      </c>
      <c r="W2397" s="15">
        <f>IF(MarkupType="Store Markup",ROUND(V2397+V2397*StoreMarkup,2),IF(MarkupType="Supplier Markup",V2397+V2397*SupplierMarkup,"Error at finding value"))</f>
        <v>127.54</v>
      </c>
      <c r="X2397" s="32">
        <f t="shared" si="832"/>
        <v>9.09</v>
      </c>
      <c r="Y2397" s="15">
        <f t="shared" si="833"/>
        <v>728.82</v>
      </c>
      <c r="Z2397" s="15">
        <f t="shared" si="834"/>
        <v>1066.05</v>
      </c>
      <c r="AA2397" s="15">
        <f>IF(FreightType="Lethbridge-Stewart Freight ",ROUND(2.99+IF(N2397&gt;0.75,(N2397-0.75)*2.25,0)*S2397,2),IF(MarkupType="Supplier Markup",V2397+V2397*SupplierMarkup,"Error at finding value"))</f>
        <v>38.43</v>
      </c>
      <c r="AB2397" s="15">
        <f t="shared" si="835"/>
        <v>81.81</v>
      </c>
    </row>
    <row r="2398" spans="1:28" x14ac:dyDescent="0.25">
      <c r="A2398" s="16">
        <f>OrdersTable!A2398</f>
        <v>180</v>
      </c>
      <c r="B2398" s="15" t="str">
        <f t="shared" si="815"/>
        <v>Mrs</v>
      </c>
      <c r="C2398" s="15" t="str">
        <f t="shared" si="836"/>
        <v>Feeney</v>
      </c>
      <c r="D2398" s="15" t="str">
        <f t="shared" si="816"/>
        <v>Jennifer Ruth</v>
      </c>
      <c r="E2398" s="15" t="str">
        <f t="shared" si="817"/>
        <v>18 Cook Avenue</v>
      </c>
      <c r="F2398" s="15" t="str">
        <f t="shared" si="818"/>
        <v>Nayook</v>
      </c>
      <c r="G2398" s="15" t="str">
        <f t="shared" si="819"/>
        <v>VIC</v>
      </c>
      <c r="H2398" s="15">
        <f t="shared" si="820"/>
        <v>3832</v>
      </c>
      <c r="I2398" s="15">
        <f t="shared" si="831"/>
        <v>1552</v>
      </c>
      <c r="J2398" s="15">
        <f>OrdersTable!B2398</f>
        <v>758</v>
      </c>
      <c r="K2398" s="15" t="str">
        <f t="shared" si="821"/>
        <v>Statues and Busts</v>
      </c>
      <c r="L2398" s="15" t="str">
        <f t="shared" si="822"/>
        <v>Doctor Who: Helmet: Sontaran Officer Linx</v>
      </c>
      <c r="M2398" s="15" t="str">
        <f t="shared" si="823"/>
        <v>-</v>
      </c>
      <c r="N2398" s="15">
        <f t="shared" si="824"/>
        <v>1.75</v>
      </c>
      <c r="O2398" s="15" t="str">
        <f t="shared" si="825"/>
        <v>A50</v>
      </c>
      <c r="P2398" s="15" t="str">
        <f t="shared" si="826"/>
        <v>Rassilon Ltd.</v>
      </c>
      <c r="Q2398" s="15" t="str">
        <f t="shared" si="827"/>
        <v>82 Richard Mathews Road</v>
      </c>
      <c r="R2398" s="3">
        <f>OrdersTable!C2398</f>
        <v>44734</v>
      </c>
      <c r="S2398" s="15">
        <f>OrdersTable!E2398</f>
        <v>9</v>
      </c>
      <c r="T2398" s="15">
        <f t="shared" si="828"/>
        <v>34.99</v>
      </c>
      <c r="U2398" s="15">
        <f t="shared" si="829"/>
        <v>47.79</v>
      </c>
      <c r="V2398" s="15">
        <f t="shared" si="830"/>
        <v>56.68</v>
      </c>
      <c r="W2398" s="15">
        <f>IF(MarkupType="Store Markup",ROUND(V2398+V2398*StoreMarkup,2),IF(MarkupType="Supplier Markup",V2398+V2398*SupplierMarkup,"Error at finding value"))</f>
        <v>89.27</v>
      </c>
      <c r="X2398" s="32" t="str">
        <f t="shared" si="832"/>
        <v>0.00</v>
      </c>
      <c r="Y2398" s="15">
        <f t="shared" si="833"/>
        <v>510.12</v>
      </c>
      <c r="Z2398" s="15">
        <f t="shared" si="834"/>
        <v>803.43</v>
      </c>
      <c r="AA2398" s="15">
        <f>IF(FreightType="Lethbridge-Stewart Freight ",ROUND(2.99+IF(N2398&gt;0.75,(N2398-0.75)*2.25,0)*S2398,2),IF(MarkupType="Supplier Markup",V2398+V2398*SupplierMarkup,"Error at finding value"))</f>
        <v>23.24</v>
      </c>
      <c r="AB2398" s="15">
        <f t="shared" si="835"/>
        <v>0</v>
      </c>
    </row>
    <row r="2399" spans="1:28" x14ac:dyDescent="0.25">
      <c r="A2399" s="16">
        <f>OrdersTable!A2399</f>
        <v>254</v>
      </c>
      <c r="B2399" s="15" t="str">
        <f t="shared" si="815"/>
        <v>Miss</v>
      </c>
      <c r="C2399" s="15" t="str">
        <f t="shared" si="836"/>
        <v>Hoolihan</v>
      </c>
      <c r="D2399" s="15" t="str">
        <f t="shared" si="816"/>
        <v>Crystal Claire Grace</v>
      </c>
      <c r="E2399" s="15" t="str">
        <f t="shared" si="817"/>
        <v>7 Van Riet Avenue</v>
      </c>
      <c r="F2399" s="15" t="str">
        <f t="shared" si="818"/>
        <v>Aberfoyle</v>
      </c>
      <c r="G2399" s="15" t="str">
        <f t="shared" si="819"/>
        <v>NSW</v>
      </c>
      <c r="H2399" s="15">
        <f t="shared" si="820"/>
        <v>2350</v>
      </c>
      <c r="I2399" s="15">
        <f t="shared" si="831"/>
        <v>363</v>
      </c>
      <c r="J2399" s="15">
        <f>OrdersTable!B2399</f>
        <v>689</v>
      </c>
      <c r="K2399" s="15" t="str">
        <f t="shared" si="821"/>
        <v>Posters, Prints and Standees</v>
      </c>
      <c r="L2399" s="15" t="str">
        <f t="shared" si="822"/>
        <v>Doctor Who: 16'x12' Framed Print: Cold War</v>
      </c>
      <c r="M2399" s="15" t="str">
        <f t="shared" si="823"/>
        <v>-</v>
      </c>
      <c r="N2399" s="15">
        <f t="shared" si="824"/>
        <v>0.75</v>
      </c>
      <c r="O2399" s="15" t="str">
        <f t="shared" si="825"/>
        <v>A50</v>
      </c>
      <c r="P2399" s="15" t="str">
        <f t="shared" si="826"/>
        <v>Rassilon Ltd.</v>
      </c>
      <c r="Q2399" s="15" t="str">
        <f t="shared" si="827"/>
        <v>82 Richard Mathews Road</v>
      </c>
      <c r="R2399" s="3">
        <f>OrdersTable!C2399</f>
        <v>44734</v>
      </c>
      <c r="S2399" s="15">
        <f>OrdersTable!E2399</f>
        <v>6</v>
      </c>
      <c r="T2399" s="15">
        <f t="shared" si="828"/>
        <v>14.99</v>
      </c>
      <c r="U2399" s="15">
        <f t="shared" si="829"/>
        <v>20.77</v>
      </c>
      <c r="V2399" s="15">
        <f t="shared" si="830"/>
        <v>24.28</v>
      </c>
      <c r="W2399" s="15">
        <f>IF(MarkupType="Store Markup",ROUND(V2399+V2399*StoreMarkup,2),IF(MarkupType="Supplier Markup",V2399+V2399*SupplierMarkup,"Error at finding value"))</f>
        <v>38.24</v>
      </c>
      <c r="X2399" s="32" t="str">
        <f t="shared" si="832"/>
        <v>0.00</v>
      </c>
      <c r="Y2399" s="15">
        <f t="shared" si="833"/>
        <v>145.68</v>
      </c>
      <c r="Z2399" s="15">
        <f t="shared" si="834"/>
        <v>229.44</v>
      </c>
      <c r="AA2399" s="15">
        <f>IF(FreightType="Lethbridge-Stewart Freight ",ROUND(2.99+IF(N2399&gt;0.75,(N2399-0.75)*2.25,0)*S2399,2),IF(MarkupType="Supplier Markup",V2399+V2399*SupplierMarkup,"Error at finding value"))</f>
        <v>2.99</v>
      </c>
      <c r="AB2399" s="15">
        <f t="shared" si="835"/>
        <v>0</v>
      </c>
    </row>
    <row r="2400" spans="1:28" x14ac:dyDescent="0.25">
      <c r="A2400" s="16">
        <f>OrdersTable!A2400</f>
        <v>412</v>
      </c>
      <c r="B2400" s="15" t="str">
        <f t="shared" si="815"/>
        <v>Miss</v>
      </c>
      <c r="C2400" s="15" t="str">
        <f t="shared" si="836"/>
        <v>Moraitis</v>
      </c>
      <c r="D2400" s="15" t="str">
        <f t="shared" si="816"/>
        <v>Vikki Sue</v>
      </c>
      <c r="E2400" s="15" t="str">
        <f t="shared" si="817"/>
        <v>11 Stuckings Boulevard</v>
      </c>
      <c r="F2400" s="15" t="str">
        <f t="shared" si="818"/>
        <v>Airly</v>
      </c>
      <c r="G2400" s="15" t="str">
        <f t="shared" si="819"/>
        <v>VIC</v>
      </c>
      <c r="H2400" s="15">
        <f t="shared" si="820"/>
        <v>3851</v>
      </c>
      <c r="I2400" s="15">
        <f t="shared" si="831"/>
        <v>1583</v>
      </c>
      <c r="J2400" s="15">
        <f>OrdersTable!B2400</f>
        <v>453</v>
      </c>
      <c r="K2400" s="15" t="str">
        <f t="shared" si="821"/>
        <v>Giftware</v>
      </c>
      <c r="L2400" s="15" t="str">
        <f t="shared" si="822"/>
        <v>Doctor Who: Ceramic Cookie Jar: TARDIS</v>
      </c>
      <c r="M2400" s="15" t="str">
        <f t="shared" si="823"/>
        <v>-</v>
      </c>
      <c r="N2400" s="15">
        <f t="shared" si="824"/>
        <v>1.35</v>
      </c>
      <c r="O2400" s="15" t="str">
        <f t="shared" si="825"/>
        <v>A40</v>
      </c>
      <c r="P2400" s="15" t="str">
        <f t="shared" si="826"/>
        <v>Romana Imports</v>
      </c>
      <c r="Q2400" s="15" t="str">
        <f t="shared" si="827"/>
        <v>17 Lalla Ward Road</v>
      </c>
      <c r="R2400" s="3">
        <f>OrdersTable!C2400</f>
        <v>44734</v>
      </c>
      <c r="S2400" s="15">
        <f>OrdersTable!E2400</f>
        <v>5</v>
      </c>
      <c r="T2400" s="15">
        <f t="shared" si="828"/>
        <v>26.99</v>
      </c>
      <c r="U2400" s="15">
        <f t="shared" si="829"/>
        <v>37.119999999999997</v>
      </c>
      <c r="V2400" s="15">
        <f t="shared" si="830"/>
        <v>43.72</v>
      </c>
      <c r="W2400" s="15">
        <f>IF(MarkupType="Store Markup",ROUND(V2400+V2400*StoreMarkup,2),IF(MarkupType="Supplier Markup",V2400+V2400*SupplierMarkup,"Error at finding value"))</f>
        <v>68.86</v>
      </c>
      <c r="X2400" s="32" t="str">
        <f t="shared" si="832"/>
        <v>0.00</v>
      </c>
      <c r="Y2400" s="15">
        <f t="shared" si="833"/>
        <v>218.6</v>
      </c>
      <c r="Z2400" s="15">
        <f t="shared" si="834"/>
        <v>344.3</v>
      </c>
      <c r="AA2400" s="15">
        <f>IF(FreightType="Lethbridge-Stewart Freight ",ROUND(2.99+IF(N2400&gt;0.75,(N2400-0.75)*2.25,0)*S2400,2),IF(MarkupType="Supplier Markup",V2400+V2400*SupplierMarkup,"Error at finding value"))</f>
        <v>9.74</v>
      </c>
      <c r="AB2400" s="15">
        <f t="shared" si="835"/>
        <v>0</v>
      </c>
    </row>
    <row r="2401" spans="1:28" x14ac:dyDescent="0.25">
      <c r="A2401" s="16">
        <f>OrdersTable!A2401</f>
        <v>448</v>
      </c>
      <c r="B2401" s="15" t="str">
        <f t="shared" si="815"/>
        <v>Mr</v>
      </c>
      <c r="C2401" s="15" t="str">
        <f t="shared" si="836"/>
        <v>Earl</v>
      </c>
      <c r="D2401" s="15" t="str">
        <f t="shared" si="816"/>
        <v>Benn Robert</v>
      </c>
      <c r="E2401" s="15" t="str">
        <f t="shared" si="817"/>
        <v>31 Kae Drive</v>
      </c>
      <c r="F2401" s="15" t="str">
        <f t="shared" si="818"/>
        <v>Belford</v>
      </c>
      <c r="G2401" s="15" t="str">
        <f t="shared" si="819"/>
        <v>NSW</v>
      </c>
      <c r="H2401" s="15">
        <f t="shared" si="820"/>
        <v>2335</v>
      </c>
      <c r="I2401" s="15">
        <f t="shared" si="831"/>
        <v>716</v>
      </c>
      <c r="J2401" s="15">
        <f>OrdersTable!B2401</f>
        <v>316</v>
      </c>
      <c r="K2401" s="15" t="str">
        <f t="shared" si="821"/>
        <v>Clothing and Apparel</v>
      </c>
      <c r="L2401" s="15" t="str">
        <f t="shared" si="822"/>
        <v xml:space="preserve">Doctor Who: T-Shirts: 4th Doctor Costume </v>
      </c>
      <c r="M2401" s="15" t="str">
        <f t="shared" si="823"/>
        <v>S</v>
      </c>
      <c r="N2401" s="15">
        <f t="shared" si="824"/>
        <v>0.8</v>
      </c>
      <c r="O2401" s="15" t="str">
        <f t="shared" si="825"/>
        <v>A30</v>
      </c>
      <c r="P2401" s="15" t="str">
        <f t="shared" si="826"/>
        <v>Chesterton Enterprises</v>
      </c>
      <c r="Q2401" s="15" t="str">
        <f t="shared" si="827"/>
        <v>41 William Russell Road</v>
      </c>
      <c r="R2401" s="3">
        <f>OrdersTable!C2401</f>
        <v>44734</v>
      </c>
      <c r="S2401" s="15">
        <f>OrdersTable!E2401</f>
        <v>3</v>
      </c>
      <c r="T2401" s="15">
        <f t="shared" si="828"/>
        <v>15.99</v>
      </c>
      <c r="U2401" s="15">
        <f t="shared" si="829"/>
        <v>21.94</v>
      </c>
      <c r="V2401" s="15">
        <f t="shared" si="830"/>
        <v>25.9</v>
      </c>
      <c r="W2401" s="15">
        <f>IF(MarkupType="Store Markup",ROUND(V2401+V2401*StoreMarkup,2),IF(MarkupType="Supplier Markup",V2401+V2401*SupplierMarkup,"Error at finding value"))</f>
        <v>40.79</v>
      </c>
      <c r="X2401" s="32" t="str">
        <f t="shared" si="832"/>
        <v>0.00</v>
      </c>
      <c r="Y2401" s="15">
        <f t="shared" si="833"/>
        <v>77.7</v>
      </c>
      <c r="Z2401" s="15">
        <f t="shared" si="834"/>
        <v>122.37</v>
      </c>
      <c r="AA2401" s="15">
        <f>IF(FreightType="Lethbridge-Stewart Freight ",ROUND(2.99+IF(N2401&gt;0.75,(N2401-0.75)*2.25,0)*S2401,2),IF(MarkupType="Supplier Markup",V2401+V2401*SupplierMarkup,"Error at finding value"))</f>
        <v>3.33</v>
      </c>
      <c r="AB2401" s="15">
        <f t="shared" si="835"/>
        <v>0</v>
      </c>
    </row>
    <row r="2402" spans="1:28" x14ac:dyDescent="0.25">
      <c r="A2402" s="16">
        <f>OrdersTable!A2402</f>
        <v>467</v>
      </c>
      <c r="B2402" s="15" t="str">
        <f t="shared" si="815"/>
        <v>Mrs</v>
      </c>
      <c r="C2402" s="15" t="str">
        <f t="shared" si="836"/>
        <v>Daniell</v>
      </c>
      <c r="D2402" s="15" t="str">
        <f t="shared" si="816"/>
        <v>Bronte Eliza</v>
      </c>
      <c r="E2402" s="15" t="str">
        <f t="shared" si="817"/>
        <v>41 Wilson Boulevard</v>
      </c>
      <c r="F2402" s="15" t="str">
        <f t="shared" si="818"/>
        <v>Aberfoyle</v>
      </c>
      <c r="G2402" s="15" t="str">
        <f t="shared" si="819"/>
        <v>NSW</v>
      </c>
      <c r="H2402" s="15">
        <f t="shared" si="820"/>
        <v>2350</v>
      </c>
      <c r="I2402" s="15">
        <f t="shared" si="831"/>
        <v>363</v>
      </c>
      <c r="J2402" s="15">
        <f>OrdersTable!B2402</f>
        <v>219</v>
      </c>
      <c r="K2402" s="15" t="str">
        <f t="shared" si="821"/>
        <v>Clothing and Apparel</v>
      </c>
      <c r="L2402" s="15" t="str">
        <f t="shared" si="822"/>
        <v>Doctor Who: Men's Winter Pyjamas</v>
      </c>
      <c r="M2402" s="15" t="str">
        <f t="shared" si="823"/>
        <v>M</v>
      </c>
      <c r="N2402" s="15">
        <f t="shared" si="824"/>
        <v>1.5</v>
      </c>
      <c r="O2402" s="15" t="str">
        <f t="shared" si="825"/>
        <v>A40</v>
      </c>
      <c r="P2402" s="15" t="str">
        <f t="shared" si="826"/>
        <v>Romana Imports</v>
      </c>
      <c r="Q2402" s="15" t="str">
        <f t="shared" si="827"/>
        <v>17 Lalla Ward Road</v>
      </c>
      <c r="R2402" s="3">
        <f>OrdersTable!C2402</f>
        <v>44734</v>
      </c>
      <c r="S2402" s="15">
        <f>OrdersTable!E2402</f>
        <v>2</v>
      </c>
      <c r="T2402" s="15">
        <f t="shared" si="828"/>
        <v>29.99</v>
      </c>
      <c r="U2402" s="15">
        <f t="shared" si="829"/>
        <v>41.24</v>
      </c>
      <c r="V2402" s="15">
        <f t="shared" si="830"/>
        <v>48.58</v>
      </c>
      <c r="W2402" s="15">
        <f>IF(MarkupType="Store Markup",ROUND(V2402+V2402*StoreMarkup,2),IF(MarkupType="Supplier Markup",V2402+V2402*SupplierMarkup,"Error at finding value"))</f>
        <v>76.510000000000005</v>
      </c>
      <c r="X2402" s="32" t="str">
        <f t="shared" si="832"/>
        <v>0.00</v>
      </c>
      <c r="Y2402" s="15">
        <f t="shared" si="833"/>
        <v>97.16</v>
      </c>
      <c r="Z2402" s="15">
        <f t="shared" si="834"/>
        <v>153.02000000000001</v>
      </c>
      <c r="AA2402" s="15">
        <f>IF(FreightType="Lethbridge-Stewart Freight ",ROUND(2.99+IF(N2402&gt;0.75,(N2402-0.75)*2.25,0)*S2402,2),IF(MarkupType="Supplier Markup",V2402+V2402*SupplierMarkup,"Error at finding value"))</f>
        <v>6.37</v>
      </c>
      <c r="AB2402" s="15">
        <f t="shared" si="835"/>
        <v>0</v>
      </c>
    </row>
    <row r="2403" spans="1:28" x14ac:dyDescent="0.25">
      <c r="A2403" s="16">
        <f>OrdersTable!A2403</f>
        <v>474</v>
      </c>
      <c r="B2403" s="15" t="str">
        <f t="shared" si="815"/>
        <v>Mr</v>
      </c>
      <c r="C2403" s="15" t="str">
        <f t="shared" si="836"/>
        <v>Jooste</v>
      </c>
      <c r="D2403" s="15" t="str">
        <f t="shared" si="816"/>
        <v>Nicholas</v>
      </c>
      <c r="E2403" s="15" t="str">
        <f t="shared" si="817"/>
        <v>32 Dover Road</v>
      </c>
      <c r="F2403" s="15" t="str">
        <f t="shared" si="818"/>
        <v>Belford</v>
      </c>
      <c r="G2403" s="15" t="str">
        <f t="shared" si="819"/>
        <v>NSW</v>
      </c>
      <c r="H2403" s="15">
        <f t="shared" si="820"/>
        <v>2335</v>
      </c>
      <c r="I2403" s="15">
        <f t="shared" si="831"/>
        <v>716</v>
      </c>
      <c r="J2403" s="15">
        <f>OrdersTable!B2403</f>
        <v>585</v>
      </c>
      <c r="K2403" s="15" t="str">
        <f t="shared" si="821"/>
        <v>iPhone Skins</v>
      </c>
      <c r="L2403" s="15" t="str">
        <f t="shared" si="822"/>
        <v>Doctor Who: iPhone Skin: Dalek To Victory</v>
      </c>
      <c r="M2403" s="15" t="str">
        <f t="shared" si="823"/>
        <v>-</v>
      </c>
      <c r="N2403" s="15">
        <f t="shared" si="824"/>
        <v>0.5</v>
      </c>
      <c r="O2403" s="15" t="str">
        <f t="shared" si="825"/>
        <v>A10</v>
      </c>
      <c r="P2403" s="15" t="str">
        <f t="shared" si="826"/>
        <v>Gallifrey International</v>
      </c>
      <c r="Q2403" s="15" t="str">
        <f t="shared" si="827"/>
        <v>181 Arcadia Street</v>
      </c>
      <c r="R2403" s="3">
        <f>OrdersTable!C2403</f>
        <v>44734</v>
      </c>
      <c r="S2403" s="15">
        <f>OrdersTable!E2403</f>
        <v>9</v>
      </c>
      <c r="T2403" s="15">
        <f t="shared" si="828"/>
        <v>9.99</v>
      </c>
      <c r="U2403" s="15">
        <f t="shared" si="829"/>
        <v>13.7</v>
      </c>
      <c r="V2403" s="15">
        <f t="shared" si="830"/>
        <v>16.18</v>
      </c>
      <c r="W2403" s="15">
        <f>IF(MarkupType="Store Markup",ROUND(V2403+V2403*StoreMarkup,2),IF(MarkupType="Supplier Markup",V2403+V2403*SupplierMarkup,"Error at finding value"))</f>
        <v>25.48</v>
      </c>
      <c r="X2403" s="32" t="str">
        <f t="shared" si="832"/>
        <v>0.00</v>
      </c>
      <c r="Y2403" s="15">
        <f t="shared" si="833"/>
        <v>145.62</v>
      </c>
      <c r="Z2403" s="15">
        <f t="shared" si="834"/>
        <v>229.32</v>
      </c>
      <c r="AA2403" s="15">
        <f>IF(FreightType="Lethbridge-Stewart Freight ",ROUND(2.99+IF(N2403&gt;0.75,(N2403-0.75)*2.25,0)*S2403,2),IF(MarkupType="Supplier Markup",V2403+V2403*SupplierMarkup,"Error at finding value"))</f>
        <v>2.99</v>
      </c>
      <c r="AB2403" s="15">
        <f t="shared" si="835"/>
        <v>0</v>
      </c>
    </row>
    <row r="2404" spans="1:28" x14ac:dyDescent="0.25">
      <c r="A2404" s="16">
        <f>OrdersTable!A2404</f>
        <v>561</v>
      </c>
      <c r="B2404" s="15" t="str">
        <f t="shared" si="815"/>
        <v>Ms</v>
      </c>
      <c r="C2404" s="15" t="str">
        <f t="shared" si="836"/>
        <v>Mulcahy</v>
      </c>
      <c r="D2404" s="15" t="str">
        <f t="shared" si="816"/>
        <v>Jodie Leigh</v>
      </c>
      <c r="E2404" s="15" t="str">
        <f t="shared" si="817"/>
        <v>32 Scott Crescent</v>
      </c>
      <c r="F2404" s="15" t="str">
        <f t="shared" si="818"/>
        <v>Bray Park</v>
      </c>
      <c r="G2404" s="15" t="str">
        <f t="shared" si="819"/>
        <v>QLD</v>
      </c>
      <c r="H2404" s="15">
        <f t="shared" si="820"/>
        <v>4500</v>
      </c>
      <c r="I2404" s="15">
        <f t="shared" si="831"/>
        <v>139</v>
      </c>
      <c r="J2404" s="15">
        <f>OrdersTable!B2404</f>
        <v>826</v>
      </c>
      <c r="K2404" s="15" t="str">
        <f t="shared" si="821"/>
        <v>Statues and Busts</v>
      </c>
      <c r="L2404" s="15" t="str">
        <f t="shared" si="822"/>
        <v>Doctor Who: Mini Bust: Cyberman</v>
      </c>
      <c r="M2404" s="15" t="str">
        <f t="shared" si="823"/>
        <v>-</v>
      </c>
      <c r="N2404" s="15">
        <f t="shared" si="824"/>
        <v>1.8</v>
      </c>
      <c r="O2404" s="15" t="str">
        <f t="shared" si="825"/>
        <v>A40</v>
      </c>
      <c r="P2404" s="15" t="str">
        <f t="shared" si="826"/>
        <v>Romana Imports</v>
      </c>
      <c r="Q2404" s="15" t="str">
        <f t="shared" si="827"/>
        <v>17 Lalla Ward Road</v>
      </c>
      <c r="R2404" s="3">
        <f>OrdersTable!C2404</f>
        <v>44734</v>
      </c>
      <c r="S2404" s="15">
        <f>OrdersTable!E2404</f>
        <v>4</v>
      </c>
      <c r="T2404" s="15">
        <f t="shared" si="828"/>
        <v>35.99</v>
      </c>
      <c r="U2404" s="15">
        <f t="shared" si="829"/>
        <v>49.13</v>
      </c>
      <c r="V2404" s="15">
        <f t="shared" si="830"/>
        <v>58.3</v>
      </c>
      <c r="W2404" s="15">
        <f>IF(MarkupType="Store Markup",ROUND(V2404+V2404*StoreMarkup,2),IF(MarkupType="Supplier Markup",V2404+V2404*SupplierMarkup,"Error at finding value"))</f>
        <v>91.82</v>
      </c>
      <c r="X2404" s="32" t="str">
        <f t="shared" si="832"/>
        <v>0.00</v>
      </c>
      <c r="Y2404" s="15">
        <f t="shared" si="833"/>
        <v>233.2</v>
      </c>
      <c r="Z2404" s="15">
        <f t="shared" si="834"/>
        <v>367.28</v>
      </c>
      <c r="AA2404" s="15">
        <f>IF(FreightType="Lethbridge-Stewart Freight ",ROUND(2.99+IF(N2404&gt;0.75,(N2404-0.75)*2.25,0)*S2404,2),IF(MarkupType="Supplier Markup",V2404+V2404*SupplierMarkup,"Error at finding value"))</f>
        <v>12.44</v>
      </c>
      <c r="AB2404" s="15">
        <f t="shared" si="835"/>
        <v>0</v>
      </c>
    </row>
    <row r="2405" spans="1:28" x14ac:dyDescent="0.25">
      <c r="A2405" s="16">
        <f>OrdersTable!A2405</f>
        <v>586</v>
      </c>
      <c r="B2405" s="15" t="str">
        <f t="shared" si="815"/>
        <v>Dr</v>
      </c>
      <c r="C2405" s="15" t="str">
        <f t="shared" si="836"/>
        <v>Coetzee</v>
      </c>
      <c r="D2405" s="15" t="str">
        <f t="shared" si="816"/>
        <v>Riekert</v>
      </c>
      <c r="E2405" s="15" t="str">
        <f t="shared" si="817"/>
        <v>5 Western Road</v>
      </c>
      <c r="F2405" s="15" t="str">
        <f t="shared" si="818"/>
        <v>Alfredtown</v>
      </c>
      <c r="G2405" s="15" t="str">
        <f t="shared" si="819"/>
        <v>NSW</v>
      </c>
      <c r="H2405" s="15">
        <f t="shared" si="820"/>
        <v>2650</v>
      </c>
      <c r="I2405" s="15">
        <f t="shared" si="831"/>
        <v>1124</v>
      </c>
      <c r="J2405" s="15">
        <f>OrdersTable!B2405</f>
        <v>853</v>
      </c>
      <c r="K2405" s="15" t="str">
        <f t="shared" si="821"/>
        <v>Statues and Busts</v>
      </c>
      <c r="L2405" s="15" t="str">
        <f t="shared" si="822"/>
        <v>Doctor Who: Statue: The Master And Auton</v>
      </c>
      <c r="M2405" s="15" t="str">
        <f t="shared" si="823"/>
        <v>-</v>
      </c>
      <c r="N2405" s="15">
        <f t="shared" si="824"/>
        <v>3.5</v>
      </c>
      <c r="O2405" s="15" t="str">
        <f t="shared" si="825"/>
        <v>A50</v>
      </c>
      <c r="P2405" s="15" t="str">
        <f t="shared" si="826"/>
        <v>Rassilon Ltd.</v>
      </c>
      <c r="Q2405" s="15" t="str">
        <f t="shared" si="827"/>
        <v>82 Richard Mathews Road</v>
      </c>
      <c r="R2405" s="3">
        <f>OrdersTable!C2405</f>
        <v>44734</v>
      </c>
      <c r="S2405" s="15">
        <f>OrdersTable!E2405</f>
        <v>8</v>
      </c>
      <c r="T2405" s="15">
        <f t="shared" si="828"/>
        <v>69.989999999999995</v>
      </c>
      <c r="U2405" s="15">
        <f t="shared" si="829"/>
        <v>95.51</v>
      </c>
      <c r="V2405" s="15">
        <f t="shared" si="830"/>
        <v>113.38</v>
      </c>
      <c r="W2405" s="15">
        <f>IF(MarkupType="Store Markup",ROUND(V2405+V2405*StoreMarkup,2),IF(MarkupType="Supplier Markup",V2405+V2405*SupplierMarkup,"Error at finding value"))</f>
        <v>178.57</v>
      </c>
      <c r="X2405" s="32">
        <f t="shared" si="832"/>
        <v>12.72</v>
      </c>
      <c r="Y2405" s="15">
        <f t="shared" si="833"/>
        <v>907.04</v>
      </c>
      <c r="Z2405" s="15">
        <f t="shared" si="834"/>
        <v>1326.8</v>
      </c>
      <c r="AA2405" s="15">
        <f>IF(FreightType="Lethbridge-Stewart Freight ",ROUND(2.99+IF(N2405&gt;0.75,(N2405-0.75)*2.25,0)*S2405,2),IF(MarkupType="Supplier Markup",V2405+V2405*SupplierMarkup,"Error at finding value"))</f>
        <v>52.49</v>
      </c>
      <c r="AB2405" s="15">
        <f t="shared" si="835"/>
        <v>101.76</v>
      </c>
    </row>
    <row r="2406" spans="1:28" x14ac:dyDescent="0.25">
      <c r="A2406" s="16">
        <f>OrdersTable!A2406</f>
        <v>989</v>
      </c>
      <c r="B2406" s="15" t="str">
        <f t="shared" si="815"/>
        <v>Miss</v>
      </c>
      <c r="C2406" s="15" t="str">
        <f t="shared" si="836"/>
        <v>McInnes</v>
      </c>
      <c r="D2406" s="15" t="str">
        <f t="shared" si="816"/>
        <v>Nina Marie</v>
      </c>
      <c r="E2406" s="15" t="str">
        <f t="shared" si="817"/>
        <v>28 Caruss Road</v>
      </c>
      <c r="F2406" s="15" t="str">
        <f t="shared" si="818"/>
        <v>Belford</v>
      </c>
      <c r="G2406" s="15" t="str">
        <f t="shared" si="819"/>
        <v>NSW</v>
      </c>
      <c r="H2406" s="15">
        <f t="shared" si="820"/>
        <v>2335</v>
      </c>
      <c r="I2406" s="15">
        <f t="shared" si="831"/>
        <v>716</v>
      </c>
      <c r="J2406" s="15">
        <f>OrdersTable!B2406</f>
        <v>358</v>
      </c>
      <c r="K2406" s="15" t="str">
        <f t="shared" si="821"/>
        <v>Clothing and Apparel</v>
      </c>
      <c r="L2406" s="15" t="str">
        <f t="shared" si="822"/>
        <v xml:space="preserve">Doctor Who: T-Shirts: 5th Doctor Costume </v>
      </c>
      <c r="M2406" s="15" t="str">
        <f t="shared" si="823"/>
        <v>M</v>
      </c>
      <c r="N2406" s="15">
        <f t="shared" si="824"/>
        <v>0.8</v>
      </c>
      <c r="O2406" s="15" t="str">
        <f t="shared" si="825"/>
        <v>A30</v>
      </c>
      <c r="P2406" s="15" t="str">
        <f t="shared" si="826"/>
        <v>Chesterton Enterprises</v>
      </c>
      <c r="Q2406" s="15" t="str">
        <f t="shared" si="827"/>
        <v>41 William Russell Road</v>
      </c>
      <c r="R2406" s="3">
        <f>OrdersTable!C2406</f>
        <v>44734</v>
      </c>
      <c r="S2406" s="15">
        <f>OrdersTable!E2406</f>
        <v>1</v>
      </c>
      <c r="T2406" s="15">
        <f t="shared" si="828"/>
        <v>15.99</v>
      </c>
      <c r="U2406" s="15">
        <f t="shared" si="829"/>
        <v>21.96</v>
      </c>
      <c r="V2406" s="15">
        <f t="shared" si="830"/>
        <v>25.9</v>
      </c>
      <c r="W2406" s="15">
        <f>IF(MarkupType="Store Markup",ROUND(V2406+V2406*StoreMarkup,2),IF(MarkupType="Supplier Markup",V2406+V2406*SupplierMarkup,"Error at finding value"))</f>
        <v>40.79</v>
      </c>
      <c r="X2406" s="32" t="str">
        <f t="shared" si="832"/>
        <v>0.00</v>
      </c>
      <c r="Y2406" s="15">
        <f t="shared" si="833"/>
        <v>25.9</v>
      </c>
      <c r="Z2406" s="15">
        <f t="shared" si="834"/>
        <v>40.79</v>
      </c>
      <c r="AA2406" s="15">
        <f>IF(FreightType="Lethbridge-Stewart Freight ",ROUND(2.99+IF(N2406&gt;0.75,(N2406-0.75)*2.25,0)*S2406,2),IF(MarkupType="Supplier Markup",V2406+V2406*SupplierMarkup,"Error at finding value"))</f>
        <v>3.1</v>
      </c>
      <c r="AB2406" s="15">
        <f t="shared" si="835"/>
        <v>0</v>
      </c>
    </row>
    <row r="2407" spans="1:28" x14ac:dyDescent="0.25">
      <c r="A2407" s="16">
        <f>OrdersTable!A2407</f>
        <v>42</v>
      </c>
      <c r="B2407" s="15" t="str">
        <f t="shared" si="815"/>
        <v>Mr</v>
      </c>
      <c r="C2407" s="15" t="str">
        <f t="shared" si="836"/>
        <v>Ballantyne</v>
      </c>
      <c r="D2407" s="15" t="str">
        <f t="shared" si="816"/>
        <v>Barry John</v>
      </c>
      <c r="E2407" s="15" t="str">
        <f t="shared" si="817"/>
        <v>14 Bachmann Drive</v>
      </c>
      <c r="F2407" s="15" t="str">
        <f t="shared" si="818"/>
        <v>Alleena</v>
      </c>
      <c r="G2407" s="15" t="str">
        <f t="shared" si="819"/>
        <v>NSW</v>
      </c>
      <c r="H2407" s="15">
        <f t="shared" si="820"/>
        <v>2671</v>
      </c>
      <c r="I2407" s="15">
        <f t="shared" si="831"/>
        <v>988</v>
      </c>
      <c r="J2407" s="15">
        <f>OrdersTable!B2407</f>
        <v>543</v>
      </c>
      <c r="K2407" s="15" t="str">
        <f t="shared" si="821"/>
        <v>Giftware</v>
      </c>
      <c r="L2407" s="15" t="str">
        <f t="shared" si="822"/>
        <v>Doctor Who: Sonic Screwdriver Pen</v>
      </c>
      <c r="M2407" s="15" t="str">
        <f t="shared" si="823"/>
        <v>-</v>
      </c>
      <c r="N2407" s="15">
        <f t="shared" si="824"/>
        <v>0.65</v>
      </c>
      <c r="O2407" s="15" t="str">
        <f t="shared" si="825"/>
        <v>A20</v>
      </c>
      <c r="P2407" s="15" t="str">
        <f t="shared" si="826"/>
        <v>Morbius Inc.</v>
      </c>
      <c r="Q2407" s="15" t="str">
        <f t="shared" si="827"/>
        <v>56 Michael Spice Hwy</v>
      </c>
      <c r="R2407" s="3">
        <f>OrdersTable!C2407</f>
        <v>44735</v>
      </c>
      <c r="S2407" s="15">
        <f>OrdersTable!E2407</f>
        <v>10</v>
      </c>
      <c r="T2407" s="15">
        <f t="shared" si="828"/>
        <v>12.99</v>
      </c>
      <c r="U2407" s="15">
        <f t="shared" si="829"/>
        <v>18.02</v>
      </c>
      <c r="V2407" s="15">
        <f t="shared" si="830"/>
        <v>21.04</v>
      </c>
      <c r="W2407" s="15">
        <f>IF(MarkupType="Store Markup",ROUND(V2407+V2407*StoreMarkup,2),IF(MarkupType="Supplier Markup",V2407+V2407*SupplierMarkup,"Error at finding value"))</f>
        <v>33.14</v>
      </c>
      <c r="X2407" s="32" t="str">
        <f t="shared" si="832"/>
        <v>0.00</v>
      </c>
      <c r="Y2407" s="15">
        <f t="shared" si="833"/>
        <v>210.4</v>
      </c>
      <c r="Z2407" s="15">
        <f t="shared" si="834"/>
        <v>331.4</v>
      </c>
      <c r="AA2407" s="15">
        <f>IF(FreightType="Lethbridge-Stewart Freight ",ROUND(2.99+IF(N2407&gt;0.75,(N2407-0.75)*2.25,0)*S2407,2),IF(MarkupType="Supplier Markup",V2407+V2407*SupplierMarkup,"Error at finding value"))</f>
        <v>2.99</v>
      </c>
      <c r="AB2407" s="15">
        <f t="shared" si="835"/>
        <v>0</v>
      </c>
    </row>
    <row r="2408" spans="1:28" x14ac:dyDescent="0.25">
      <c r="A2408" s="16">
        <f>OrdersTable!A2408</f>
        <v>46</v>
      </c>
      <c r="B2408" s="15" t="str">
        <f t="shared" si="815"/>
        <v>Mrs</v>
      </c>
      <c r="C2408" s="15" t="str">
        <f t="shared" si="836"/>
        <v>Dovey</v>
      </c>
      <c r="D2408" s="15" t="str">
        <f t="shared" si="816"/>
        <v>Aisha Jade</v>
      </c>
      <c r="E2408" s="15" t="str">
        <f t="shared" si="817"/>
        <v>43 Wilkes Circuit</v>
      </c>
      <c r="F2408" s="15" t="str">
        <f t="shared" si="818"/>
        <v>Alfredtown</v>
      </c>
      <c r="G2408" s="15" t="str">
        <f t="shared" si="819"/>
        <v>NSW</v>
      </c>
      <c r="H2408" s="15">
        <f t="shared" si="820"/>
        <v>2650</v>
      </c>
      <c r="I2408" s="15">
        <f t="shared" si="831"/>
        <v>1124</v>
      </c>
      <c r="J2408" s="15">
        <f>OrdersTable!B2408</f>
        <v>643</v>
      </c>
      <c r="K2408" s="15" t="str">
        <f t="shared" si="821"/>
        <v>Mugs</v>
      </c>
      <c r="L2408" s="15" t="str">
        <f t="shared" si="822"/>
        <v>Doctor Who: Giant Mug: Logo</v>
      </c>
      <c r="M2408" s="15" t="str">
        <f t="shared" si="823"/>
        <v>-</v>
      </c>
      <c r="N2408" s="15">
        <f t="shared" si="824"/>
        <v>0.44500000000000001</v>
      </c>
      <c r="O2408" s="15" t="str">
        <f t="shared" si="825"/>
        <v>A10</v>
      </c>
      <c r="P2408" s="15" t="str">
        <f t="shared" si="826"/>
        <v>Gallifrey International</v>
      </c>
      <c r="Q2408" s="15" t="str">
        <f t="shared" si="827"/>
        <v>181 Arcadia Street</v>
      </c>
      <c r="R2408" s="3">
        <f>OrdersTable!C2408</f>
        <v>44735</v>
      </c>
      <c r="S2408" s="15">
        <f>OrdersTable!E2408</f>
        <v>10</v>
      </c>
      <c r="T2408" s="15">
        <f t="shared" si="828"/>
        <v>8.89</v>
      </c>
      <c r="U2408" s="15">
        <f t="shared" si="829"/>
        <v>12.19</v>
      </c>
      <c r="V2408" s="15">
        <f t="shared" si="830"/>
        <v>14.4</v>
      </c>
      <c r="W2408" s="15">
        <f>IF(MarkupType="Store Markup",ROUND(V2408+V2408*StoreMarkup,2),IF(MarkupType="Supplier Markup",V2408+V2408*SupplierMarkup,"Error at finding value"))</f>
        <v>22.68</v>
      </c>
      <c r="X2408" s="32" t="str">
        <f t="shared" si="832"/>
        <v>0.00</v>
      </c>
      <c r="Y2408" s="15">
        <f t="shared" si="833"/>
        <v>144</v>
      </c>
      <c r="Z2408" s="15">
        <f t="shared" si="834"/>
        <v>226.8</v>
      </c>
      <c r="AA2408" s="15">
        <f>IF(FreightType="Lethbridge-Stewart Freight ",ROUND(2.99+IF(N2408&gt;0.75,(N2408-0.75)*2.25,0)*S2408,2),IF(MarkupType="Supplier Markup",V2408+V2408*SupplierMarkup,"Error at finding value"))</f>
        <v>2.99</v>
      </c>
      <c r="AB2408" s="15">
        <f t="shared" si="835"/>
        <v>0</v>
      </c>
    </row>
    <row r="2409" spans="1:28" x14ac:dyDescent="0.25">
      <c r="A2409" s="16">
        <f>OrdersTable!A2409</f>
        <v>81</v>
      </c>
      <c r="B2409" s="15" t="str">
        <f t="shared" si="815"/>
        <v>Ms</v>
      </c>
      <c r="C2409" s="15" t="str">
        <f t="shared" si="836"/>
        <v>Madsen</v>
      </c>
      <c r="D2409" s="15" t="str">
        <f t="shared" si="816"/>
        <v>Kim Marie</v>
      </c>
      <c r="E2409" s="15" t="str">
        <f t="shared" si="817"/>
        <v>42 Singh Drive</v>
      </c>
      <c r="F2409" s="15" t="str">
        <f t="shared" si="818"/>
        <v>Caliph</v>
      </c>
      <c r="G2409" s="15" t="str">
        <f t="shared" si="819"/>
        <v>SA</v>
      </c>
      <c r="H2409" s="15">
        <f t="shared" si="820"/>
        <v>5310</v>
      </c>
      <c r="I2409" s="15">
        <f t="shared" si="831"/>
        <v>1720</v>
      </c>
      <c r="J2409" s="15">
        <f>OrdersTable!B2409</f>
        <v>541</v>
      </c>
      <c r="K2409" s="15" t="str">
        <f t="shared" si="821"/>
        <v>Giftware</v>
      </c>
      <c r="L2409" s="15" t="str">
        <f t="shared" si="822"/>
        <v>Doctor Who: Salt and Pepper Shakers: TARDIS</v>
      </c>
      <c r="M2409" s="15" t="str">
        <f t="shared" si="823"/>
        <v>-</v>
      </c>
      <c r="N2409" s="15">
        <f t="shared" si="824"/>
        <v>0.6</v>
      </c>
      <c r="O2409" s="15" t="str">
        <f t="shared" si="825"/>
        <v>A10</v>
      </c>
      <c r="P2409" s="15" t="str">
        <f t="shared" si="826"/>
        <v>Gallifrey International</v>
      </c>
      <c r="Q2409" s="15" t="str">
        <f t="shared" si="827"/>
        <v>181 Arcadia Street</v>
      </c>
      <c r="R2409" s="3">
        <f>OrdersTable!C2409</f>
        <v>44735</v>
      </c>
      <c r="S2409" s="15">
        <f>OrdersTable!E2409</f>
        <v>2</v>
      </c>
      <c r="T2409" s="15">
        <f t="shared" si="828"/>
        <v>11.99</v>
      </c>
      <c r="U2409" s="15">
        <f t="shared" si="829"/>
        <v>16.62</v>
      </c>
      <c r="V2409" s="15">
        <f t="shared" si="830"/>
        <v>19.420000000000002</v>
      </c>
      <c r="W2409" s="15">
        <f>IF(MarkupType="Store Markup",ROUND(V2409+V2409*StoreMarkup,2),IF(MarkupType="Supplier Markup",V2409+V2409*SupplierMarkup,"Error at finding value"))</f>
        <v>30.59</v>
      </c>
      <c r="X2409" s="32" t="str">
        <f t="shared" si="832"/>
        <v>0.00</v>
      </c>
      <c r="Y2409" s="15">
        <f t="shared" si="833"/>
        <v>38.840000000000003</v>
      </c>
      <c r="Z2409" s="15">
        <f t="shared" si="834"/>
        <v>61.18</v>
      </c>
      <c r="AA2409" s="15">
        <f>IF(FreightType="Lethbridge-Stewart Freight ",ROUND(2.99+IF(N2409&gt;0.75,(N2409-0.75)*2.25,0)*S2409,2),IF(MarkupType="Supplier Markup",V2409+V2409*SupplierMarkup,"Error at finding value"))</f>
        <v>2.99</v>
      </c>
      <c r="AB2409" s="15">
        <f t="shared" si="835"/>
        <v>0</v>
      </c>
    </row>
    <row r="2410" spans="1:28" x14ac:dyDescent="0.25">
      <c r="A2410" s="16">
        <f>OrdersTable!A2410</f>
        <v>112</v>
      </c>
      <c r="B2410" s="15" t="str">
        <f t="shared" si="815"/>
        <v>Mr</v>
      </c>
      <c r="C2410" s="15" t="str">
        <f t="shared" si="836"/>
        <v>Dahal</v>
      </c>
      <c r="D2410" s="15" t="str">
        <f t="shared" si="816"/>
        <v>Subash</v>
      </c>
      <c r="E2410" s="15" t="str">
        <f t="shared" si="817"/>
        <v>121-127 Railway Pde, Granville, NSW 2142</v>
      </c>
      <c r="F2410" s="15" t="str">
        <f t="shared" si="818"/>
        <v>Granville</v>
      </c>
      <c r="G2410" s="15" t="str">
        <f t="shared" si="819"/>
        <v>NSW</v>
      </c>
      <c r="H2410" s="15">
        <f t="shared" si="820"/>
        <v>2142</v>
      </c>
      <c r="I2410" s="15">
        <f t="shared" si="831"/>
        <v>907</v>
      </c>
      <c r="J2410" s="15">
        <f>OrdersTable!B2410</f>
        <v>643</v>
      </c>
      <c r="K2410" s="15" t="str">
        <f t="shared" si="821"/>
        <v>Mugs</v>
      </c>
      <c r="L2410" s="15" t="str">
        <f t="shared" si="822"/>
        <v>Doctor Who: Giant Mug: Logo</v>
      </c>
      <c r="M2410" s="15" t="str">
        <f t="shared" si="823"/>
        <v>-</v>
      </c>
      <c r="N2410" s="15">
        <f t="shared" si="824"/>
        <v>0.44500000000000001</v>
      </c>
      <c r="O2410" s="15" t="str">
        <f t="shared" si="825"/>
        <v>A10</v>
      </c>
      <c r="P2410" s="15" t="str">
        <f t="shared" si="826"/>
        <v>Gallifrey International</v>
      </c>
      <c r="Q2410" s="15" t="str">
        <f t="shared" si="827"/>
        <v>181 Arcadia Street</v>
      </c>
      <c r="R2410" s="3">
        <f>OrdersTable!C2410</f>
        <v>44735</v>
      </c>
      <c r="S2410" s="15">
        <f>OrdersTable!E2410</f>
        <v>8</v>
      </c>
      <c r="T2410" s="15">
        <f t="shared" si="828"/>
        <v>8.89</v>
      </c>
      <c r="U2410" s="15">
        <f t="shared" si="829"/>
        <v>12.19</v>
      </c>
      <c r="V2410" s="15">
        <f t="shared" si="830"/>
        <v>14.4</v>
      </c>
      <c r="W2410" s="15">
        <f>IF(MarkupType="Store Markup",ROUND(V2410+V2410*StoreMarkup,2),IF(MarkupType="Supplier Markup",V2410+V2410*SupplierMarkup,"Error at finding value"))</f>
        <v>22.68</v>
      </c>
      <c r="X2410" s="32" t="str">
        <f t="shared" si="832"/>
        <v>0.00</v>
      </c>
      <c r="Y2410" s="15">
        <f t="shared" si="833"/>
        <v>115.2</v>
      </c>
      <c r="Z2410" s="15">
        <f t="shared" si="834"/>
        <v>181.44</v>
      </c>
      <c r="AA2410" s="15">
        <f>IF(FreightType="Lethbridge-Stewart Freight ",ROUND(2.99+IF(N2410&gt;0.75,(N2410-0.75)*2.25,0)*S2410,2),IF(MarkupType="Supplier Markup",V2410+V2410*SupplierMarkup,"Error at finding value"))</f>
        <v>2.99</v>
      </c>
      <c r="AB2410" s="15">
        <f t="shared" si="835"/>
        <v>0</v>
      </c>
    </row>
    <row r="2411" spans="1:28" x14ac:dyDescent="0.25">
      <c r="A2411" s="16">
        <f>OrdersTable!A2411</f>
        <v>112</v>
      </c>
      <c r="B2411" s="15" t="str">
        <f t="shared" si="815"/>
        <v>Mr</v>
      </c>
      <c r="C2411" s="15" t="str">
        <f t="shared" si="836"/>
        <v>Dahal</v>
      </c>
      <c r="D2411" s="15" t="str">
        <f t="shared" si="816"/>
        <v>Subash</v>
      </c>
      <c r="E2411" s="15" t="str">
        <f t="shared" si="817"/>
        <v>121-127 Railway Pde, Granville, NSW 2142</v>
      </c>
      <c r="F2411" s="15" t="str">
        <f t="shared" si="818"/>
        <v>Granville</v>
      </c>
      <c r="G2411" s="15" t="str">
        <f t="shared" si="819"/>
        <v>NSW</v>
      </c>
      <c r="H2411" s="15">
        <f t="shared" si="820"/>
        <v>2142</v>
      </c>
      <c r="I2411" s="15">
        <f t="shared" si="831"/>
        <v>907</v>
      </c>
      <c r="J2411" s="15">
        <f>OrdersTable!B2411</f>
        <v>681</v>
      </c>
      <c r="K2411" s="15" t="str">
        <f t="shared" si="821"/>
        <v>Mugs</v>
      </c>
      <c r="L2411" s="15" t="str">
        <f t="shared" si="822"/>
        <v>Doctor Who: Mug: The First Doctor</v>
      </c>
      <c r="M2411" s="15" t="str">
        <f t="shared" si="823"/>
        <v>-</v>
      </c>
      <c r="N2411" s="15">
        <f t="shared" si="824"/>
        <v>0.45</v>
      </c>
      <c r="O2411" s="15" t="str">
        <f t="shared" si="825"/>
        <v>A20</v>
      </c>
      <c r="P2411" s="15" t="str">
        <f t="shared" si="826"/>
        <v>Morbius Inc.</v>
      </c>
      <c r="Q2411" s="15" t="str">
        <f t="shared" si="827"/>
        <v>56 Michael Spice Hwy</v>
      </c>
      <c r="R2411" s="3">
        <f>OrdersTable!C2411</f>
        <v>44735</v>
      </c>
      <c r="S2411" s="15">
        <f>OrdersTable!E2411</f>
        <v>1</v>
      </c>
      <c r="T2411" s="15">
        <f t="shared" si="828"/>
        <v>8.99</v>
      </c>
      <c r="U2411" s="15">
        <f t="shared" si="829"/>
        <v>12.51</v>
      </c>
      <c r="V2411" s="15">
        <f t="shared" si="830"/>
        <v>14.56</v>
      </c>
      <c r="W2411" s="15">
        <f>IF(MarkupType="Store Markup",ROUND(V2411+V2411*StoreMarkup,2),IF(MarkupType="Supplier Markup",V2411+V2411*SupplierMarkup,"Error at finding value"))</f>
        <v>22.93</v>
      </c>
      <c r="X2411" s="32" t="str">
        <f t="shared" si="832"/>
        <v>0.00</v>
      </c>
      <c r="Y2411" s="15">
        <f t="shared" si="833"/>
        <v>14.56</v>
      </c>
      <c r="Z2411" s="15">
        <f t="shared" si="834"/>
        <v>22.93</v>
      </c>
      <c r="AA2411" s="15">
        <f>IF(FreightType="Lethbridge-Stewart Freight ",ROUND(2.99+IF(N2411&gt;0.75,(N2411-0.75)*2.25,0)*S2411,2),IF(MarkupType="Supplier Markup",V2411+V2411*SupplierMarkup,"Error at finding value"))</f>
        <v>2.99</v>
      </c>
      <c r="AB2411" s="15">
        <f t="shared" si="835"/>
        <v>0</v>
      </c>
    </row>
    <row r="2412" spans="1:28" x14ac:dyDescent="0.25">
      <c r="A2412" s="16">
        <f>OrdersTable!A2412</f>
        <v>180</v>
      </c>
      <c r="B2412" s="15" t="str">
        <f t="shared" si="815"/>
        <v>Mrs</v>
      </c>
      <c r="C2412" s="15" t="str">
        <f t="shared" si="836"/>
        <v>Feeney</v>
      </c>
      <c r="D2412" s="15" t="str">
        <f t="shared" si="816"/>
        <v>Jennifer Ruth</v>
      </c>
      <c r="E2412" s="15" t="str">
        <f t="shared" si="817"/>
        <v>18 Cook Avenue</v>
      </c>
      <c r="F2412" s="15" t="str">
        <f t="shared" si="818"/>
        <v>Nayook</v>
      </c>
      <c r="G2412" s="15" t="str">
        <f t="shared" si="819"/>
        <v>VIC</v>
      </c>
      <c r="H2412" s="15">
        <f t="shared" si="820"/>
        <v>3832</v>
      </c>
      <c r="I2412" s="15">
        <f t="shared" si="831"/>
        <v>1552</v>
      </c>
      <c r="J2412" s="15">
        <f>OrdersTable!B2412</f>
        <v>780</v>
      </c>
      <c r="K2412" s="15" t="str">
        <f t="shared" si="821"/>
        <v>Statues and Busts</v>
      </c>
      <c r="L2412" s="15" t="str">
        <f t="shared" si="822"/>
        <v>Doctor Who: Masterpiece Collection Dalek: Genesis Of The Daleks</v>
      </c>
      <c r="M2412" s="15" t="str">
        <f t="shared" si="823"/>
        <v>-</v>
      </c>
      <c r="N2412" s="15">
        <f t="shared" si="824"/>
        <v>2.5</v>
      </c>
      <c r="O2412" s="15" t="str">
        <f t="shared" si="825"/>
        <v>A30</v>
      </c>
      <c r="P2412" s="15" t="str">
        <f t="shared" si="826"/>
        <v>Chesterton Enterprises</v>
      </c>
      <c r="Q2412" s="15" t="str">
        <f t="shared" si="827"/>
        <v>41 William Russell Road</v>
      </c>
      <c r="R2412" s="3">
        <f>OrdersTable!C2412</f>
        <v>44735</v>
      </c>
      <c r="S2412" s="15">
        <f>OrdersTable!E2412</f>
        <v>1</v>
      </c>
      <c r="T2412" s="15">
        <f t="shared" si="828"/>
        <v>49.99</v>
      </c>
      <c r="U2412" s="15">
        <f t="shared" si="829"/>
        <v>68.23</v>
      </c>
      <c r="V2412" s="15">
        <f t="shared" si="830"/>
        <v>80.98</v>
      </c>
      <c r="W2412" s="15">
        <f>IF(MarkupType="Store Markup",ROUND(V2412+V2412*StoreMarkup,2),IF(MarkupType="Supplier Markup",V2412+V2412*SupplierMarkup,"Error at finding value"))</f>
        <v>127.54</v>
      </c>
      <c r="X2412" s="32" t="str">
        <f t="shared" si="832"/>
        <v>0.00</v>
      </c>
      <c r="Y2412" s="15">
        <f t="shared" si="833"/>
        <v>80.98</v>
      </c>
      <c r="Z2412" s="15">
        <f t="shared" si="834"/>
        <v>127.54</v>
      </c>
      <c r="AA2412" s="15">
        <f>IF(FreightType="Lethbridge-Stewart Freight ",ROUND(2.99+IF(N2412&gt;0.75,(N2412-0.75)*2.25,0)*S2412,2),IF(MarkupType="Supplier Markup",V2412+V2412*SupplierMarkup,"Error at finding value"))</f>
        <v>6.93</v>
      </c>
      <c r="AB2412" s="15">
        <f t="shared" si="835"/>
        <v>0</v>
      </c>
    </row>
    <row r="2413" spans="1:28" x14ac:dyDescent="0.25">
      <c r="A2413" s="16">
        <f>OrdersTable!A2413</f>
        <v>226</v>
      </c>
      <c r="B2413" s="15" t="str">
        <f t="shared" si="815"/>
        <v>Ms</v>
      </c>
      <c r="C2413" s="15" t="str">
        <f t="shared" si="836"/>
        <v>Stewart</v>
      </c>
      <c r="D2413" s="15" t="str">
        <f t="shared" si="816"/>
        <v>Jodi Louise</v>
      </c>
      <c r="E2413" s="15" t="str">
        <f t="shared" si="817"/>
        <v>33 Abington Court</v>
      </c>
      <c r="F2413" s="15" t="str">
        <f t="shared" si="818"/>
        <v>Iluka</v>
      </c>
      <c r="G2413" s="15" t="str">
        <f t="shared" si="819"/>
        <v>NSW</v>
      </c>
      <c r="H2413" s="15">
        <f t="shared" si="820"/>
        <v>2466</v>
      </c>
      <c r="I2413" s="15">
        <f t="shared" si="831"/>
        <v>347</v>
      </c>
      <c r="J2413" s="15">
        <f>OrdersTable!B2413</f>
        <v>707</v>
      </c>
      <c r="K2413" s="15" t="str">
        <f t="shared" si="821"/>
        <v>Posters, Prints and Standees</v>
      </c>
      <c r="L2413" s="15" t="str">
        <f t="shared" si="822"/>
        <v>Doctor Who: Poster: Ironside Dalek Blueprint</v>
      </c>
      <c r="M2413" s="15" t="str">
        <f t="shared" si="823"/>
        <v>-</v>
      </c>
      <c r="N2413" s="15">
        <f t="shared" si="824"/>
        <v>0.2</v>
      </c>
      <c r="O2413" s="15" t="str">
        <f t="shared" si="825"/>
        <v>A20</v>
      </c>
      <c r="P2413" s="15" t="str">
        <f t="shared" si="826"/>
        <v>Morbius Inc.</v>
      </c>
      <c r="Q2413" s="15" t="str">
        <f t="shared" si="827"/>
        <v>56 Michael Spice Hwy</v>
      </c>
      <c r="R2413" s="3">
        <f>OrdersTable!C2413</f>
        <v>44735</v>
      </c>
      <c r="S2413" s="15">
        <f>OrdersTable!E2413</f>
        <v>3</v>
      </c>
      <c r="T2413" s="15">
        <f t="shared" si="828"/>
        <v>3.99</v>
      </c>
      <c r="U2413" s="15">
        <f t="shared" si="829"/>
        <v>5.48</v>
      </c>
      <c r="V2413" s="15">
        <f t="shared" si="830"/>
        <v>6.46</v>
      </c>
      <c r="W2413" s="15">
        <f>IF(MarkupType="Store Markup",ROUND(V2413+V2413*StoreMarkup,2),IF(MarkupType="Supplier Markup",V2413+V2413*SupplierMarkup,"Error at finding value"))</f>
        <v>10.17</v>
      </c>
      <c r="X2413" s="32" t="str">
        <f t="shared" si="832"/>
        <v>0.00</v>
      </c>
      <c r="Y2413" s="15">
        <f t="shared" si="833"/>
        <v>19.38</v>
      </c>
      <c r="Z2413" s="15">
        <f t="shared" si="834"/>
        <v>30.51</v>
      </c>
      <c r="AA2413" s="15">
        <f>IF(FreightType="Lethbridge-Stewart Freight ",ROUND(2.99+IF(N2413&gt;0.75,(N2413-0.75)*2.25,0)*S2413,2),IF(MarkupType="Supplier Markup",V2413+V2413*SupplierMarkup,"Error at finding value"))</f>
        <v>2.99</v>
      </c>
      <c r="AB2413" s="15">
        <f t="shared" si="835"/>
        <v>0</v>
      </c>
    </row>
    <row r="2414" spans="1:28" x14ac:dyDescent="0.25">
      <c r="A2414" s="16">
        <f>OrdersTable!A2414</f>
        <v>323</v>
      </c>
      <c r="B2414" s="15" t="str">
        <f t="shared" si="815"/>
        <v>Dr</v>
      </c>
      <c r="C2414" s="15" t="str">
        <f t="shared" si="836"/>
        <v>King</v>
      </c>
      <c r="D2414" s="15" t="str">
        <f t="shared" si="816"/>
        <v>Leith</v>
      </c>
      <c r="E2414" s="15" t="str">
        <f t="shared" si="817"/>
        <v>25 Carbone Court</v>
      </c>
      <c r="F2414" s="15" t="str">
        <f t="shared" si="818"/>
        <v>Nayook</v>
      </c>
      <c r="G2414" s="15" t="str">
        <f t="shared" si="819"/>
        <v>VIC</v>
      </c>
      <c r="H2414" s="15">
        <f t="shared" si="820"/>
        <v>3832</v>
      </c>
      <c r="I2414" s="15">
        <f t="shared" si="831"/>
        <v>1552</v>
      </c>
      <c r="J2414" s="15">
        <f>OrdersTable!B2414</f>
        <v>830</v>
      </c>
      <c r="K2414" s="15" t="str">
        <f t="shared" si="821"/>
        <v>Statues and Busts</v>
      </c>
      <c r="L2414" s="15" t="str">
        <f t="shared" si="822"/>
        <v>Doctor Who: Mini Bust: Weeping Angel</v>
      </c>
      <c r="M2414" s="15" t="str">
        <f t="shared" si="823"/>
        <v>-</v>
      </c>
      <c r="N2414" s="15">
        <f t="shared" si="824"/>
        <v>1.8</v>
      </c>
      <c r="O2414" s="15" t="str">
        <f t="shared" si="825"/>
        <v>A50</v>
      </c>
      <c r="P2414" s="15" t="str">
        <f t="shared" si="826"/>
        <v>Rassilon Ltd.</v>
      </c>
      <c r="Q2414" s="15" t="str">
        <f t="shared" si="827"/>
        <v>82 Richard Mathews Road</v>
      </c>
      <c r="R2414" s="3">
        <f>OrdersTable!C2414</f>
        <v>44735</v>
      </c>
      <c r="S2414" s="15">
        <f>OrdersTable!E2414</f>
        <v>4</v>
      </c>
      <c r="T2414" s="15">
        <f t="shared" si="828"/>
        <v>35.99</v>
      </c>
      <c r="U2414" s="15">
        <f t="shared" si="829"/>
        <v>49.35</v>
      </c>
      <c r="V2414" s="15">
        <f t="shared" si="830"/>
        <v>58.3</v>
      </c>
      <c r="W2414" s="15">
        <f>IF(MarkupType="Store Markup",ROUND(V2414+V2414*StoreMarkup,2),IF(MarkupType="Supplier Markup",V2414+V2414*SupplierMarkup,"Error at finding value"))</f>
        <v>91.82</v>
      </c>
      <c r="X2414" s="32" t="str">
        <f t="shared" si="832"/>
        <v>0.00</v>
      </c>
      <c r="Y2414" s="15">
        <f t="shared" si="833"/>
        <v>233.2</v>
      </c>
      <c r="Z2414" s="15">
        <f t="shared" si="834"/>
        <v>367.28</v>
      </c>
      <c r="AA2414" s="15">
        <f>IF(FreightType="Lethbridge-Stewart Freight ",ROUND(2.99+IF(N2414&gt;0.75,(N2414-0.75)*2.25,0)*S2414,2),IF(MarkupType="Supplier Markup",V2414+V2414*SupplierMarkup,"Error at finding value"))</f>
        <v>12.44</v>
      </c>
      <c r="AB2414" s="15">
        <f t="shared" si="835"/>
        <v>0</v>
      </c>
    </row>
    <row r="2415" spans="1:28" x14ac:dyDescent="0.25">
      <c r="A2415" s="16">
        <f>OrdersTable!A2415</f>
        <v>500</v>
      </c>
      <c r="B2415" s="15" t="str">
        <f t="shared" si="815"/>
        <v>Ms</v>
      </c>
      <c r="C2415" s="15" t="str">
        <f t="shared" si="836"/>
        <v>Helmers</v>
      </c>
      <c r="D2415" s="15" t="str">
        <f t="shared" si="816"/>
        <v>Kristy-Lee</v>
      </c>
      <c r="E2415" s="15" t="str">
        <f t="shared" si="817"/>
        <v>43 Welthagen Court</v>
      </c>
      <c r="F2415" s="15" t="str">
        <f t="shared" si="818"/>
        <v>Areegra</v>
      </c>
      <c r="G2415" s="15" t="str">
        <f t="shared" si="819"/>
        <v>VIC</v>
      </c>
      <c r="H2415" s="15">
        <f t="shared" si="820"/>
        <v>3480</v>
      </c>
      <c r="I2415" s="15">
        <f t="shared" si="831"/>
        <v>1559</v>
      </c>
      <c r="J2415" s="15">
        <f>OrdersTable!B2415</f>
        <v>358</v>
      </c>
      <c r="K2415" s="15" t="str">
        <f t="shared" si="821"/>
        <v>Clothing and Apparel</v>
      </c>
      <c r="L2415" s="15" t="str">
        <f t="shared" si="822"/>
        <v xml:space="preserve">Doctor Who: T-Shirts: 5th Doctor Costume </v>
      </c>
      <c r="M2415" s="15" t="str">
        <f t="shared" si="823"/>
        <v>M</v>
      </c>
      <c r="N2415" s="15">
        <f t="shared" si="824"/>
        <v>0.8</v>
      </c>
      <c r="O2415" s="15" t="str">
        <f t="shared" si="825"/>
        <v>A30</v>
      </c>
      <c r="P2415" s="15" t="str">
        <f t="shared" si="826"/>
        <v>Chesterton Enterprises</v>
      </c>
      <c r="Q2415" s="15" t="str">
        <f t="shared" si="827"/>
        <v>41 William Russell Road</v>
      </c>
      <c r="R2415" s="3">
        <f>OrdersTable!C2415</f>
        <v>44735</v>
      </c>
      <c r="S2415" s="15">
        <f>OrdersTable!E2415</f>
        <v>8</v>
      </c>
      <c r="T2415" s="15">
        <f t="shared" si="828"/>
        <v>15.99</v>
      </c>
      <c r="U2415" s="15">
        <f t="shared" si="829"/>
        <v>21.96</v>
      </c>
      <c r="V2415" s="15">
        <f t="shared" si="830"/>
        <v>25.9</v>
      </c>
      <c r="W2415" s="15">
        <f>IF(MarkupType="Store Markup",ROUND(V2415+V2415*StoreMarkup,2),IF(MarkupType="Supplier Markup",V2415+V2415*SupplierMarkup,"Error at finding value"))</f>
        <v>40.79</v>
      </c>
      <c r="X2415" s="32" t="str">
        <f t="shared" si="832"/>
        <v>0.00</v>
      </c>
      <c r="Y2415" s="15">
        <f t="shared" si="833"/>
        <v>207.2</v>
      </c>
      <c r="Z2415" s="15">
        <f t="shared" si="834"/>
        <v>326.32</v>
      </c>
      <c r="AA2415" s="15">
        <f>IF(FreightType="Lethbridge-Stewart Freight ",ROUND(2.99+IF(N2415&gt;0.75,(N2415-0.75)*2.25,0)*S2415,2),IF(MarkupType="Supplier Markup",V2415+V2415*SupplierMarkup,"Error at finding value"))</f>
        <v>3.89</v>
      </c>
      <c r="AB2415" s="15">
        <f t="shared" si="835"/>
        <v>0</v>
      </c>
    </row>
    <row r="2416" spans="1:28" x14ac:dyDescent="0.25">
      <c r="A2416" s="16">
        <f>OrdersTable!A2416</f>
        <v>501</v>
      </c>
      <c r="B2416" s="15" t="str">
        <f t="shared" si="815"/>
        <v>Miss</v>
      </c>
      <c r="C2416" s="15" t="str">
        <f t="shared" si="836"/>
        <v>Tharenou</v>
      </c>
      <c r="D2416" s="15" t="str">
        <f t="shared" si="816"/>
        <v>Kimberley Jacinta</v>
      </c>
      <c r="E2416" s="15" t="str">
        <f t="shared" si="817"/>
        <v>49 Moncada Circuit</v>
      </c>
      <c r="F2416" s="15" t="str">
        <f t="shared" si="818"/>
        <v>Belford</v>
      </c>
      <c r="G2416" s="15" t="str">
        <f t="shared" si="819"/>
        <v>NSW</v>
      </c>
      <c r="H2416" s="15">
        <f t="shared" si="820"/>
        <v>2335</v>
      </c>
      <c r="I2416" s="15">
        <f t="shared" si="831"/>
        <v>716</v>
      </c>
      <c r="J2416" s="15">
        <f>OrdersTable!B2416</f>
        <v>849</v>
      </c>
      <c r="K2416" s="15" t="str">
        <f t="shared" si="821"/>
        <v>Statues and Busts</v>
      </c>
      <c r="L2416" s="15" t="str">
        <f t="shared" si="822"/>
        <v>Doctor Who: Statue: Cyber Controller</v>
      </c>
      <c r="M2416" s="15" t="str">
        <f t="shared" si="823"/>
        <v>-</v>
      </c>
      <c r="N2416" s="15">
        <f t="shared" si="824"/>
        <v>5</v>
      </c>
      <c r="O2416" s="15" t="str">
        <f t="shared" si="825"/>
        <v>A10</v>
      </c>
      <c r="P2416" s="15" t="str">
        <f t="shared" si="826"/>
        <v>Gallifrey International</v>
      </c>
      <c r="Q2416" s="15" t="str">
        <f t="shared" si="827"/>
        <v>181 Arcadia Street</v>
      </c>
      <c r="R2416" s="3">
        <f>OrdersTable!C2416</f>
        <v>44735</v>
      </c>
      <c r="S2416" s="15">
        <f>OrdersTable!E2416</f>
        <v>5</v>
      </c>
      <c r="T2416" s="15">
        <f t="shared" si="828"/>
        <v>99.99</v>
      </c>
      <c r="U2416" s="15">
        <f t="shared" si="829"/>
        <v>136.41</v>
      </c>
      <c r="V2416" s="15">
        <f t="shared" si="830"/>
        <v>161.97999999999999</v>
      </c>
      <c r="W2416" s="15">
        <f>IF(MarkupType="Store Markup",ROUND(V2416+V2416*StoreMarkup,2),IF(MarkupType="Supplier Markup",V2416+V2416*SupplierMarkup,"Error at finding value"))</f>
        <v>255.12</v>
      </c>
      <c r="X2416" s="32">
        <f t="shared" si="832"/>
        <v>18.18</v>
      </c>
      <c r="Y2416" s="15">
        <f t="shared" si="833"/>
        <v>809.9</v>
      </c>
      <c r="Z2416" s="15">
        <f t="shared" si="834"/>
        <v>1184.7</v>
      </c>
      <c r="AA2416" s="15">
        <f>IF(FreightType="Lethbridge-Stewart Freight ",ROUND(2.99+IF(N2416&gt;0.75,(N2416-0.75)*2.25,0)*S2416,2),IF(MarkupType="Supplier Markup",V2416+V2416*SupplierMarkup,"Error at finding value"))</f>
        <v>50.8</v>
      </c>
      <c r="AB2416" s="15">
        <f t="shared" si="835"/>
        <v>90.9</v>
      </c>
    </row>
    <row r="2417" spans="1:28" x14ac:dyDescent="0.25">
      <c r="A2417" s="16">
        <f>OrdersTable!A2417</f>
        <v>594</v>
      </c>
      <c r="B2417" s="15" t="str">
        <f t="shared" si="815"/>
        <v>Mrs</v>
      </c>
      <c r="C2417" s="15" t="str">
        <f t="shared" si="836"/>
        <v>Entriken</v>
      </c>
      <c r="D2417" s="15" t="str">
        <f t="shared" si="816"/>
        <v>Gwenda Dawn</v>
      </c>
      <c r="E2417" s="15" t="str">
        <f t="shared" si="817"/>
        <v>8 Miljkovic Drive</v>
      </c>
      <c r="F2417" s="15" t="str">
        <f t="shared" si="818"/>
        <v>Nayook</v>
      </c>
      <c r="G2417" s="15" t="str">
        <f t="shared" si="819"/>
        <v>VIC</v>
      </c>
      <c r="H2417" s="15">
        <f t="shared" si="820"/>
        <v>3832</v>
      </c>
      <c r="I2417" s="15">
        <f t="shared" si="831"/>
        <v>1552</v>
      </c>
      <c r="J2417" s="15">
        <f>OrdersTable!B2417</f>
        <v>398</v>
      </c>
      <c r="K2417" s="15" t="str">
        <f t="shared" si="821"/>
        <v>Clothing and Apparel</v>
      </c>
      <c r="L2417" s="15" t="str">
        <f t="shared" si="822"/>
        <v>Doctor Who: Women's Winter Pyjamas</v>
      </c>
      <c r="M2417" s="15" t="str">
        <f t="shared" si="823"/>
        <v>S</v>
      </c>
      <c r="N2417" s="15">
        <f t="shared" si="824"/>
        <v>1.5</v>
      </c>
      <c r="O2417" s="15" t="str">
        <f t="shared" si="825"/>
        <v>A40</v>
      </c>
      <c r="P2417" s="15" t="str">
        <f t="shared" si="826"/>
        <v>Romana Imports</v>
      </c>
      <c r="Q2417" s="15" t="str">
        <f t="shared" si="827"/>
        <v>17 Lalla Ward Road</v>
      </c>
      <c r="R2417" s="3">
        <f>OrdersTable!C2417</f>
        <v>44735</v>
      </c>
      <c r="S2417" s="15">
        <f>OrdersTable!E2417</f>
        <v>10</v>
      </c>
      <c r="T2417" s="15">
        <f t="shared" si="828"/>
        <v>29.99</v>
      </c>
      <c r="U2417" s="15">
        <f t="shared" si="829"/>
        <v>41.07</v>
      </c>
      <c r="V2417" s="15">
        <f t="shared" si="830"/>
        <v>48.58</v>
      </c>
      <c r="W2417" s="15">
        <f>IF(MarkupType="Store Markup",ROUND(V2417+V2417*StoreMarkup,2),IF(MarkupType="Supplier Markup",V2417+V2417*SupplierMarkup,"Error at finding value"))</f>
        <v>76.510000000000005</v>
      </c>
      <c r="X2417" s="32" t="str">
        <f t="shared" si="832"/>
        <v>0.00</v>
      </c>
      <c r="Y2417" s="15">
        <f t="shared" si="833"/>
        <v>485.8</v>
      </c>
      <c r="Z2417" s="15">
        <f t="shared" si="834"/>
        <v>765.1</v>
      </c>
      <c r="AA2417" s="15">
        <f>IF(FreightType="Lethbridge-Stewart Freight ",ROUND(2.99+IF(N2417&gt;0.75,(N2417-0.75)*2.25,0)*S2417,2),IF(MarkupType="Supplier Markup",V2417+V2417*SupplierMarkup,"Error at finding value"))</f>
        <v>19.87</v>
      </c>
      <c r="AB2417" s="15">
        <f t="shared" si="835"/>
        <v>0</v>
      </c>
    </row>
    <row r="2418" spans="1:28" x14ac:dyDescent="0.25">
      <c r="A2418" s="16">
        <f>OrdersTable!A2418</f>
        <v>651</v>
      </c>
      <c r="B2418" s="15" t="str">
        <f t="shared" si="815"/>
        <v>Mr</v>
      </c>
      <c r="C2418" s="15" t="str">
        <f t="shared" si="836"/>
        <v>Wilkes</v>
      </c>
      <c r="D2418" s="15" t="str">
        <f t="shared" si="816"/>
        <v>Harley</v>
      </c>
      <c r="E2418" s="15" t="str">
        <f t="shared" si="817"/>
        <v>12 Locke Circuit</v>
      </c>
      <c r="F2418" s="15" t="str">
        <f t="shared" si="818"/>
        <v>Bray Park</v>
      </c>
      <c r="G2418" s="15" t="str">
        <f t="shared" si="819"/>
        <v>QLD</v>
      </c>
      <c r="H2418" s="15">
        <f t="shared" si="820"/>
        <v>4500</v>
      </c>
      <c r="I2418" s="15">
        <f t="shared" si="831"/>
        <v>139</v>
      </c>
      <c r="J2418" s="15">
        <f>OrdersTable!B2418</f>
        <v>331</v>
      </c>
      <c r="K2418" s="15" t="str">
        <f t="shared" si="821"/>
        <v>Clothing and Apparel</v>
      </c>
      <c r="L2418" s="15" t="str">
        <f t="shared" si="822"/>
        <v xml:space="preserve">Doctor Who: T-Shirts: 4th Doctor Costume </v>
      </c>
      <c r="M2418" s="15" t="str">
        <f t="shared" si="823"/>
        <v>L</v>
      </c>
      <c r="N2418" s="15">
        <f t="shared" si="824"/>
        <v>0.8</v>
      </c>
      <c r="O2418" s="15" t="str">
        <f t="shared" si="825"/>
        <v>A20</v>
      </c>
      <c r="P2418" s="15" t="str">
        <f t="shared" si="826"/>
        <v>Morbius Inc.</v>
      </c>
      <c r="Q2418" s="15" t="str">
        <f t="shared" si="827"/>
        <v>56 Michael Spice Hwy</v>
      </c>
      <c r="R2418" s="3">
        <f>OrdersTable!C2418</f>
        <v>44735</v>
      </c>
      <c r="S2418" s="15">
        <f>OrdersTable!E2418</f>
        <v>2</v>
      </c>
      <c r="T2418" s="15">
        <f t="shared" si="828"/>
        <v>15.99</v>
      </c>
      <c r="U2418" s="15">
        <f t="shared" si="829"/>
        <v>22.08</v>
      </c>
      <c r="V2418" s="15">
        <f t="shared" si="830"/>
        <v>25.9</v>
      </c>
      <c r="W2418" s="15">
        <f>IF(MarkupType="Store Markup",ROUND(V2418+V2418*StoreMarkup,2),IF(MarkupType="Supplier Markup",V2418+V2418*SupplierMarkup,"Error at finding value"))</f>
        <v>40.79</v>
      </c>
      <c r="X2418" s="32" t="str">
        <f t="shared" si="832"/>
        <v>0.00</v>
      </c>
      <c r="Y2418" s="15">
        <f t="shared" si="833"/>
        <v>51.8</v>
      </c>
      <c r="Z2418" s="15">
        <f t="shared" si="834"/>
        <v>81.58</v>
      </c>
      <c r="AA2418" s="15">
        <f>IF(FreightType="Lethbridge-Stewart Freight ",ROUND(2.99+IF(N2418&gt;0.75,(N2418-0.75)*2.25,0)*S2418,2),IF(MarkupType="Supplier Markup",V2418+V2418*SupplierMarkup,"Error at finding value"))</f>
        <v>3.22</v>
      </c>
      <c r="AB2418" s="15">
        <f t="shared" si="835"/>
        <v>0</v>
      </c>
    </row>
    <row r="2419" spans="1:28" x14ac:dyDescent="0.25">
      <c r="A2419" s="16">
        <f>OrdersTable!A2419</f>
        <v>651</v>
      </c>
      <c r="B2419" s="15" t="str">
        <f t="shared" si="815"/>
        <v>Mr</v>
      </c>
      <c r="C2419" s="15" t="str">
        <f t="shared" si="836"/>
        <v>Wilkes</v>
      </c>
      <c r="D2419" s="15" t="str">
        <f t="shared" si="816"/>
        <v>Harley</v>
      </c>
      <c r="E2419" s="15" t="str">
        <f t="shared" si="817"/>
        <v>12 Locke Circuit</v>
      </c>
      <c r="F2419" s="15" t="str">
        <f t="shared" si="818"/>
        <v>Bray Park</v>
      </c>
      <c r="G2419" s="15" t="str">
        <f t="shared" si="819"/>
        <v>QLD</v>
      </c>
      <c r="H2419" s="15">
        <f t="shared" si="820"/>
        <v>4500</v>
      </c>
      <c r="I2419" s="15">
        <f t="shared" si="831"/>
        <v>139</v>
      </c>
      <c r="J2419" s="15">
        <f>OrdersTable!B2419</f>
        <v>373</v>
      </c>
      <c r="K2419" s="15" t="str">
        <f t="shared" si="821"/>
        <v>Clothing and Apparel</v>
      </c>
      <c r="L2419" s="15" t="str">
        <f t="shared" si="822"/>
        <v xml:space="preserve">Doctor Who: T-Shirts: 5th Doctor Costume </v>
      </c>
      <c r="M2419" s="15" t="str">
        <f t="shared" si="823"/>
        <v>L</v>
      </c>
      <c r="N2419" s="15">
        <f t="shared" si="824"/>
        <v>0.8</v>
      </c>
      <c r="O2419" s="15" t="str">
        <f t="shared" si="825"/>
        <v>A20</v>
      </c>
      <c r="P2419" s="15" t="str">
        <f t="shared" si="826"/>
        <v>Morbius Inc.</v>
      </c>
      <c r="Q2419" s="15" t="str">
        <f t="shared" si="827"/>
        <v>56 Michael Spice Hwy</v>
      </c>
      <c r="R2419" s="3">
        <f>OrdersTable!C2419</f>
        <v>44735</v>
      </c>
      <c r="S2419" s="15">
        <f>OrdersTable!E2419</f>
        <v>6</v>
      </c>
      <c r="T2419" s="15">
        <f t="shared" si="828"/>
        <v>15.99</v>
      </c>
      <c r="U2419" s="15">
        <f t="shared" si="829"/>
        <v>22.09</v>
      </c>
      <c r="V2419" s="15">
        <f t="shared" si="830"/>
        <v>25.9</v>
      </c>
      <c r="W2419" s="15">
        <f>IF(MarkupType="Store Markup",ROUND(V2419+V2419*StoreMarkup,2),IF(MarkupType="Supplier Markup",V2419+V2419*SupplierMarkup,"Error at finding value"))</f>
        <v>40.79</v>
      </c>
      <c r="X2419" s="32" t="str">
        <f t="shared" si="832"/>
        <v>0.00</v>
      </c>
      <c r="Y2419" s="15">
        <f t="shared" si="833"/>
        <v>155.4</v>
      </c>
      <c r="Z2419" s="15">
        <f t="shared" si="834"/>
        <v>244.74</v>
      </c>
      <c r="AA2419" s="15">
        <f>IF(FreightType="Lethbridge-Stewart Freight ",ROUND(2.99+IF(N2419&gt;0.75,(N2419-0.75)*2.25,0)*S2419,2),IF(MarkupType="Supplier Markup",V2419+V2419*SupplierMarkup,"Error at finding value"))</f>
        <v>3.67</v>
      </c>
      <c r="AB2419" s="15">
        <f t="shared" si="835"/>
        <v>0</v>
      </c>
    </row>
    <row r="2420" spans="1:28" x14ac:dyDescent="0.25">
      <c r="A2420" s="16">
        <f>OrdersTable!A2420</f>
        <v>669</v>
      </c>
      <c r="B2420" s="15" t="str">
        <f t="shared" si="815"/>
        <v>Dr</v>
      </c>
      <c r="C2420" s="15" t="str">
        <f t="shared" si="836"/>
        <v>Ferjani</v>
      </c>
      <c r="D2420" s="15" t="str">
        <f t="shared" si="816"/>
        <v>Rabah</v>
      </c>
      <c r="E2420" s="15" t="str">
        <f t="shared" si="817"/>
        <v>2 Codrington Street</v>
      </c>
      <c r="F2420" s="15" t="str">
        <f t="shared" si="818"/>
        <v>Belford</v>
      </c>
      <c r="G2420" s="15" t="str">
        <f t="shared" si="819"/>
        <v>NSW</v>
      </c>
      <c r="H2420" s="15">
        <f t="shared" si="820"/>
        <v>2335</v>
      </c>
      <c r="I2420" s="15">
        <f t="shared" si="831"/>
        <v>716</v>
      </c>
      <c r="J2420" s="15">
        <f>OrdersTable!B2420</f>
        <v>732</v>
      </c>
      <c r="K2420" s="15" t="str">
        <f t="shared" si="821"/>
        <v>Props and Replicas</v>
      </c>
      <c r="L2420" s="15" t="str">
        <f t="shared" si="822"/>
        <v>Doctor Who: Eleventh Doctor's Sonic Screwdriver</v>
      </c>
      <c r="M2420" s="15" t="str">
        <f t="shared" si="823"/>
        <v>-</v>
      </c>
      <c r="N2420" s="15">
        <f t="shared" si="824"/>
        <v>3</v>
      </c>
      <c r="O2420" s="15" t="str">
        <f t="shared" si="825"/>
        <v>A40</v>
      </c>
      <c r="P2420" s="15" t="str">
        <f t="shared" si="826"/>
        <v>Romana Imports</v>
      </c>
      <c r="Q2420" s="15" t="str">
        <f t="shared" si="827"/>
        <v>17 Lalla Ward Road</v>
      </c>
      <c r="R2420" s="3">
        <f>OrdersTable!C2420</f>
        <v>44735</v>
      </c>
      <c r="S2420" s="15">
        <f>OrdersTable!E2420</f>
        <v>3</v>
      </c>
      <c r="T2420" s="15">
        <f t="shared" si="828"/>
        <v>59.99</v>
      </c>
      <c r="U2420" s="15">
        <f t="shared" si="829"/>
        <v>81.83</v>
      </c>
      <c r="V2420" s="15">
        <f t="shared" si="830"/>
        <v>97.18</v>
      </c>
      <c r="W2420" s="15">
        <f>IF(MarkupType="Store Markup",ROUND(V2420+V2420*StoreMarkup,2),IF(MarkupType="Supplier Markup",V2420+V2420*SupplierMarkup,"Error at finding value"))</f>
        <v>153.06</v>
      </c>
      <c r="X2420" s="32">
        <f t="shared" si="832"/>
        <v>10.91</v>
      </c>
      <c r="Y2420" s="15">
        <f t="shared" si="833"/>
        <v>291.54000000000002</v>
      </c>
      <c r="Z2420" s="15">
        <f t="shared" si="834"/>
        <v>426.45</v>
      </c>
      <c r="AA2420" s="15">
        <f>IF(FreightType="Lethbridge-Stewart Freight ",ROUND(2.99+IF(N2420&gt;0.75,(N2420-0.75)*2.25,0)*S2420,2),IF(MarkupType="Supplier Markup",V2420+V2420*SupplierMarkup,"Error at finding value"))</f>
        <v>18.18</v>
      </c>
      <c r="AB2420" s="15">
        <f t="shared" si="835"/>
        <v>32.729999999999997</v>
      </c>
    </row>
    <row r="2421" spans="1:28" x14ac:dyDescent="0.25">
      <c r="A2421" s="16">
        <f>OrdersTable!A2421</f>
        <v>841</v>
      </c>
      <c r="B2421" s="15" t="str">
        <f t="shared" si="815"/>
        <v>Miss</v>
      </c>
      <c r="C2421" s="15" t="str">
        <f t="shared" si="836"/>
        <v>Donaghy</v>
      </c>
      <c r="D2421" s="15" t="str">
        <f t="shared" si="816"/>
        <v>Elizabeth Mathilde Jane</v>
      </c>
      <c r="E2421" s="15" t="str">
        <f t="shared" si="817"/>
        <v>31 Johnson Boulevard</v>
      </c>
      <c r="F2421" s="15" t="str">
        <f t="shared" si="818"/>
        <v>Belford</v>
      </c>
      <c r="G2421" s="15" t="str">
        <f t="shared" si="819"/>
        <v>NSW</v>
      </c>
      <c r="H2421" s="15">
        <f t="shared" si="820"/>
        <v>2335</v>
      </c>
      <c r="I2421" s="15">
        <f t="shared" si="831"/>
        <v>716</v>
      </c>
      <c r="J2421" s="15">
        <f>OrdersTable!B2421</f>
        <v>726</v>
      </c>
      <c r="K2421" s="15" t="str">
        <f t="shared" si="821"/>
        <v>Props and Replicas</v>
      </c>
      <c r="L2421" s="15" t="str">
        <f t="shared" si="822"/>
        <v>Doctor Who: Dalek Death Ray</v>
      </c>
      <c r="M2421" s="15" t="str">
        <f t="shared" si="823"/>
        <v>-</v>
      </c>
      <c r="N2421" s="15">
        <f t="shared" si="824"/>
        <v>18</v>
      </c>
      <c r="O2421" s="15" t="str">
        <f t="shared" si="825"/>
        <v>A30</v>
      </c>
      <c r="P2421" s="15" t="str">
        <f t="shared" si="826"/>
        <v>Chesterton Enterprises</v>
      </c>
      <c r="Q2421" s="15" t="str">
        <f t="shared" si="827"/>
        <v>41 William Russell Road</v>
      </c>
      <c r="R2421" s="3">
        <f>OrdersTable!C2421</f>
        <v>44735</v>
      </c>
      <c r="S2421" s="15">
        <f>OrdersTable!E2421</f>
        <v>6</v>
      </c>
      <c r="T2421" s="15">
        <f t="shared" si="828"/>
        <v>359.99</v>
      </c>
      <c r="U2421" s="15">
        <f t="shared" si="829"/>
        <v>491.12</v>
      </c>
      <c r="V2421" s="15">
        <f t="shared" si="830"/>
        <v>583.17999999999995</v>
      </c>
      <c r="W2421" s="15">
        <f>IF(MarkupType="Store Markup",ROUND(V2421+V2421*StoreMarkup,2),IF(MarkupType="Supplier Markup",V2421+V2421*SupplierMarkup,"Error at finding value"))</f>
        <v>918.51</v>
      </c>
      <c r="X2421" s="32">
        <f t="shared" si="832"/>
        <v>65.44</v>
      </c>
      <c r="Y2421" s="15">
        <f t="shared" si="833"/>
        <v>3499.08</v>
      </c>
      <c r="Z2421" s="15">
        <f t="shared" si="834"/>
        <v>5118.42</v>
      </c>
      <c r="AA2421" s="15">
        <f>IF(FreightType="Lethbridge-Stewart Freight ",ROUND(2.99+IF(N2421&gt;0.75,(N2421-0.75)*2.25,0)*S2421,2),IF(MarkupType="Supplier Markup",V2421+V2421*SupplierMarkup,"Error at finding value"))</f>
        <v>235.87</v>
      </c>
      <c r="AB2421" s="15">
        <f t="shared" si="835"/>
        <v>392.64</v>
      </c>
    </row>
    <row r="2422" spans="1:28" x14ac:dyDescent="0.25">
      <c r="A2422" s="16">
        <f>OrdersTable!A2422</f>
        <v>47</v>
      </c>
      <c r="B2422" s="15" t="str">
        <f t="shared" si="815"/>
        <v>Dr</v>
      </c>
      <c r="C2422" s="15" t="str">
        <f t="shared" si="836"/>
        <v>Kaur</v>
      </c>
      <c r="D2422" s="15" t="str">
        <f t="shared" si="816"/>
        <v>Jasleen</v>
      </c>
      <c r="E2422" s="15" t="str">
        <f t="shared" si="817"/>
        <v>7 Hong Road</v>
      </c>
      <c r="F2422" s="15" t="str">
        <f t="shared" si="818"/>
        <v>Belconnen</v>
      </c>
      <c r="G2422" s="15" t="str">
        <f t="shared" si="819"/>
        <v>ACT</v>
      </c>
      <c r="H2422" s="15">
        <f t="shared" si="820"/>
        <v>2617</v>
      </c>
      <c r="I2422" s="15">
        <f t="shared" si="831"/>
        <v>1194</v>
      </c>
      <c r="J2422" s="15">
        <f>OrdersTable!B2422</f>
        <v>515</v>
      </c>
      <c r="K2422" s="15" t="str">
        <f t="shared" si="821"/>
        <v>Giftware</v>
      </c>
      <c r="L2422" s="15" t="str">
        <f t="shared" si="822"/>
        <v>Doctor Who: Keyring K9</v>
      </c>
      <c r="M2422" s="15" t="str">
        <f t="shared" si="823"/>
        <v>-</v>
      </c>
      <c r="N2422" s="15">
        <f t="shared" si="824"/>
        <v>0.25</v>
      </c>
      <c r="O2422" s="15" t="str">
        <f t="shared" si="825"/>
        <v>A50</v>
      </c>
      <c r="P2422" s="15" t="str">
        <f t="shared" si="826"/>
        <v>Rassilon Ltd.</v>
      </c>
      <c r="Q2422" s="15" t="str">
        <f t="shared" si="827"/>
        <v>82 Richard Mathews Road</v>
      </c>
      <c r="R2422" s="3">
        <f>OrdersTable!C2422</f>
        <v>44736</v>
      </c>
      <c r="S2422" s="15">
        <f>OrdersTable!E2422</f>
        <v>3</v>
      </c>
      <c r="T2422" s="15">
        <f t="shared" si="828"/>
        <v>4.99</v>
      </c>
      <c r="U2422" s="15">
        <f t="shared" si="829"/>
        <v>6.91</v>
      </c>
      <c r="V2422" s="15">
        <f t="shared" si="830"/>
        <v>8.08</v>
      </c>
      <c r="W2422" s="15">
        <f>IF(MarkupType="Store Markup",ROUND(V2422+V2422*StoreMarkup,2),IF(MarkupType="Supplier Markup",V2422+V2422*SupplierMarkup,"Error at finding value"))</f>
        <v>12.73</v>
      </c>
      <c r="X2422" s="32" t="str">
        <f t="shared" si="832"/>
        <v>0.00</v>
      </c>
      <c r="Y2422" s="15">
        <f t="shared" si="833"/>
        <v>24.24</v>
      </c>
      <c r="Z2422" s="15">
        <f t="shared" si="834"/>
        <v>38.19</v>
      </c>
      <c r="AA2422" s="15">
        <f>IF(FreightType="Lethbridge-Stewart Freight ",ROUND(2.99+IF(N2422&gt;0.75,(N2422-0.75)*2.25,0)*S2422,2),IF(MarkupType="Supplier Markup",V2422+V2422*SupplierMarkup,"Error at finding value"))</f>
        <v>2.99</v>
      </c>
      <c r="AB2422" s="15">
        <f t="shared" si="835"/>
        <v>0</v>
      </c>
    </row>
    <row r="2423" spans="1:28" x14ac:dyDescent="0.25">
      <c r="A2423" s="16">
        <f>OrdersTable!A2423</f>
        <v>142</v>
      </c>
      <c r="B2423" s="15" t="str">
        <f t="shared" si="815"/>
        <v>Miss</v>
      </c>
      <c r="C2423" s="15" t="str">
        <f t="shared" si="836"/>
        <v>Western</v>
      </c>
      <c r="D2423" s="15" t="str">
        <f t="shared" si="816"/>
        <v>Lee Reuben</v>
      </c>
      <c r="E2423" s="15" t="str">
        <f t="shared" si="817"/>
        <v>14 Fields Road</v>
      </c>
      <c r="F2423" s="15" t="str">
        <f t="shared" si="818"/>
        <v>Airly</v>
      </c>
      <c r="G2423" s="15" t="str">
        <f t="shared" si="819"/>
        <v>VIC</v>
      </c>
      <c r="H2423" s="15">
        <f t="shared" si="820"/>
        <v>3851</v>
      </c>
      <c r="I2423" s="15">
        <f t="shared" si="831"/>
        <v>1583</v>
      </c>
      <c r="J2423" s="15">
        <f>OrdersTable!B2423</f>
        <v>709</v>
      </c>
      <c r="K2423" s="15" t="str">
        <f t="shared" si="821"/>
        <v>Posters, Prints and Standees</v>
      </c>
      <c r="L2423" s="15" t="str">
        <f t="shared" si="822"/>
        <v>Doctor Who: Poster: Metallic TARDIS</v>
      </c>
      <c r="M2423" s="15" t="str">
        <f t="shared" si="823"/>
        <v>-</v>
      </c>
      <c r="N2423" s="15">
        <f t="shared" si="824"/>
        <v>0.2</v>
      </c>
      <c r="O2423" s="15" t="str">
        <f t="shared" si="825"/>
        <v>A10</v>
      </c>
      <c r="P2423" s="15" t="str">
        <f t="shared" si="826"/>
        <v>Gallifrey International</v>
      </c>
      <c r="Q2423" s="15" t="str">
        <f t="shared" si="827"/>
        <v>181 Arcadia Street</v>
      </c>
      <c r="R2423" s="3">
        <f>OrdersTable!C2423</f>
        <v>44736</v>
      </c>
      <c r="S2423" s="15">
        <f>OrdersTable!E2423</f>
        <v>1</v>
      </c>
      <c r="T2423" s="15">
        <f t="shared" si="828"/>
        <v>3.99</v>
      </c>
      <c r="U2423" s="15">
        <f t="shared" si="829"/>
        <v>5.71</v>
      </c>
      <c r="V2423" s="15">
        <f t="shared" si="830"/>
        <v>6.46</v>
      </c>
      <c r="W2423" s="15">
        <f>IF(MarkupType="Store Markup",ROUND(V2423+V2423*StoreMarkup,2),IF(MarkupType="Supplier Markup",V2423+V2423*SupplierMarkup,"Error at finding value"))</f>
        <v>10.17</v>
      </c>
      <c r="X2423" s="32" t="str">
        <f t="shared" si="832"/>
        <v>0.00</v>
      </c>
      <c r="Y2423" s="15">
        <f t="shared" si="833"/>
        <v>6.46</v>
      </c>
      <c r="Z2423" s="15">
        <f t="shared" si="834"/>
        <v>10.17</v>
      </c>
      <c r="AA2423" s="15">
        <f>IF(FreightType="Lethbridge-Stewart Freight ",ROUND(2.99+IF(N2423&gt;0.75,(N2423-0.75)*2.25,0)*S2423,2),IF(MarkupType="Supplier Markup",V2423+V2423*SupplierMarkup,"Error at finding value"))</f>
        <v>2.99</v>
      </c>
      <c r="AB2423" s="15">
        <f t="shared" si="835"/>
        <v>0</v>
      </c>
    </row>
    <row r="2424" spans="1:28" x14ac:dyDescent="0.25">
      <c r="A2424" s="16">
        <f>OrdersTable!A2424</f>
        <v>150</v>
      </c>
      <c r="B2424" s="15" t="str">
        <f t="shared" si="815"/>
        <v>Dr</v>
      </c>
      <c r="C2424" s="15" t="str">
        <f t="shared" si="836"/>
        <v>Taumalolo</v>
      </c>
      <c r="D2424" s="15" t="str">
        <f t="shared" si="816"/>
        <v>Latai Fono-Ki-Moana</v>
      </c>
      <c r="E2424" s="15" t="str">
        <f t="shared" si="817"/>
        <v>13 Taylor Way</v>
      </c>
      <c r="F2424" s="15" t="str">
        <f t="shared" si="818"/>
        <v>Bamboo</v>
      </c>
      <c r="G2424" s="15" t="str">
        <f t="shared" si="819"/>
        <v>QLD</v>
      </c>
      <c r="H2424" s="15">
        <f t="shared" si="820"/>
        <v>4873</v>
      </c>
      <c r="I2424" s="15">
        <f t="shared" si="831"/>
        <v>1741</v>
      </c>
      <c r="J2424" s="15">
        <f>OrdersTable!B2424</f>
        <v>177</v>
      </c>
      <c r="K2424" s="15" t="str">
        <f t="shared" si="821"/>
        <v>Bobbleheads</v>
      </c>
      <c r="L2424" s="15" t="str">
        <f t="shared" si="822"/>
        <v>Doctor Who: Bobblehead: TARDIS (With Sound)</v>
      </c>
      <c r="M2424" s="15" t="str">
        <f t="shared" si="823"/>
        <v>-</v>
      </c>
      <c r="N2424" s="15">
        <f t="shared" si="824"/>
        <v>1</v>
      </c>
      <c r="O2424" s="15" t="str">
        <f t="shared" si="825"/>
        <v>A30</v>
      </c>
      <c r="P2424" s="15" t="str">
        <f t="shared" si="826"/>
        <v>Chesterton Enterprises</v>
      </c>
      <c r="Q2424" s="15" t="str">
        <f t="shared" si="827"/>
        <v>41 William Russell Road</v>
      </c>
      <c r="R2424" s="3">
        <f>OrdersTable!C2424</f>
        <v>44736</v>
      </c>
      <c r="S2424" s="15">
        <f>OrdersTable!E2424</f>
        <v>6</v>
      </c>
      <c r="T2424" s="15">
        <f t="shared" si="828"/>
        <v>19.989999999999998</v>
      </c>
      <c r="U2424" s="15">
        <f t="shared" si="829"/>
        <v>27.6</v>
      </c>
      <c r="V2424" s="15">
        <f t="shared" si="830"/>
        <v>32.380000000000003</v>
      </c>
      <c r="W2424" s="15">
        <f>IF(MarkupType="Store Markup",ROUND(V2424+V2424*StoreMarkup,2),IF(MarkupType="Supplier Markup",V2424+V2424*SupplierMarkup,"Error at finding value"))</f>
        <v>51</v>
      </c>
      <c r="X2424" s="32" t="str">
        <f t="shared" si="832"/>
        <v>0.00</v>
      </c>
      <c r="Y2424" s="15">
        <f t="shared" si="833"/>
        <v>194.28</v>
      </c>
      <c r="Z2424" s="15">
        <f t="shared" si="834"/>
        <v>306</v>
      </c>
      <c r="AA2424" s="15">
        <f>IF(FreightType="Lethbridge-Stewart Freight ",ROUND(2.99+IF(N2424&gt;0.75,(N2424-0.75)*2.25,0)*S2424,2),IF(MarkupType="Supplier Markup",V2424+V2424*SupplierMarkup,"Error at finding value"))</f>
        <v>6.37</v>
      </c>
      <c r="AB2424" s="15">
        <f t="shared" si="835"/>
        <v>0</v>
      </c>
    </row>
    <row r="2425" spans="1:28" x14ac:dyDescent="0.25">
      <c r="A2425" s="16">
        <f>OrdersTable!A2425</f>
        <v>190</v>
      </c>
      <c r="B2425" s="15" t="str">
        <f t="shared" si="815"/>
        <v>Mr</v>
      </c>
      <c r="C2425" s="15" t="str">
        <f t="shared" si="836"/>
        <v>Azar</v>
      </c>
      <c r="D2425" s="15" t="str">
        <f t="shared" si="816"/>
        <v>Hector Antonio</v>
      </c>
      <c r="E2425" s="15" t="str">
        <f t="shared" si="817"/>
        <v>38 Hope Avenue</v>
      </c>
      <c r="F2425" s="15" t="str">
        <f t="shared" si="818"/>
        <v>Glenfern</v>
      </c>
      <c r="G2425" s="15" t="str">
        <f t="shared" si="819"/>
        <v>QLD</v>
      </c>
      <c r="H2425" s="15">
        <f t="shared" si="820"/>
        <v>4515</v>
      </c>
      <c r="I2425" s="15">
        <f t="shared" si="831"/>
        <v>128</v>
      </c>
      <c r="J2425" s="15">
        <f>OrdersTable!B2425</f>
        <v>752</v>
      </c>
      <c r="K2425" s="15" t="str">
        <f t="shared" si="821"/>
        <v>Statues and Busts</v>
      </c>
      <c r="L2425" s="15" t="str">
        <f t="shared" si="822"/>
        <v>Doctor Who: Helmet: Cyberman Leader</v>
      </c>
      <c r="M2425" s="15" t="str">
        <f t="shared" si="823"/>
        <v>-</v>
      </c>
      <c r="N2425" s="15">
        <f t="shared" si="824"/>
        <v>2</v>
      </c>
      <c r="O2425" s="15" t="str">
        <f t="shared" si="825"/>
        <v>A30</v>
      </c>
      <c r="P2425" s="15" t="str">
        <f t="shared" si="826"/>
        <v>Chesterton Enterprises</v>
      </c>
      <c r="Q2425" s="15" t="str">
        <f t="shared" si="827"/>
        <v>41 William Russell Road</v>
      </c>
      <c r="R2425" s="3">
        <f>OrdersTable!C2425</f>
        <v>44736</v>
      </c>
      <c r="S2425" s="15">
        <f>OrdersTable!E2425</f>
        <v>7</v>
      </c>
      <c r="T2425" s="15">
        <f t="shared" si="828"/>
        <v>39.99</v>
      </c>
      <c r="U2425" s="15">
        <f t="shared" si="829"/>
        <v>54.85</v>
      </c>
      <c r="V2425" s="15">
        <f t="shared" si="830"/>
        <v>64.78</v>
      </c>
      <c r="W2425" s="15">
        <f>IF(MarkupType="Store Markup",ROUND(V2425+V2425*StoreMarkup,2),IF(MarkupType="Supplier Markup",V2425+V2425*SupplierMarkup,"Error at finding value"))</f>
        <v>102.03</v>
      </c>
      <c r="X2425" s="32">
        <f t="shared" si="832"/>
        <v>7.27</v>
      </c>
      <c r="Y2425" s="15">
        <f t="shared" si="833"/>
        <v>453.46</v>
      </c>
      <c r="Z2425" s="15">
        <f t="shared" si="834"/>
        <v>663.32</v>
      </c>
      <c r="AA2425" s="15">
        <f>IF(FreightType="Lethbridge-Stewart Freight ",ROUND(2.99+IF(N2425&gt;0.75,(N2425-0.75)*2.25,0)*S2425,2),IF(MarkupType="Supplier Markup",V2425+V2425*SupplierMarkup,"Error at finding value"))</f>
        <v>22.68</v>
      </c>
      <c r="AB2425" s="15">
        <f t="shared" si="835"/>
        <v>50.89</v>
      </c>
    </row>
    <row r="2426" spans="1:28" x14ac:dyDescent="0.25">
      <c r="A2426" s="16">
        <f>OrdersTable!A2426</f>
        <v>282</v>
      </c>
      <c r="B2426" s="15" t="str">
        <f t="shared" si="815"/>
        <v>Dr</v>
      </c>
      <c r="C2426" s="15" t="str">
        <f t="shared" si="836"/>
        <v>Johnson</v>
      </c>
      <c r="D2426" s="15" t="str">
        <f t="shared" si="816"/>
        <v>Samantha Emily Louise</v>
      </c>
      <c r="E2426" s="15" t="str">
        <f t="shared" si="817"/>
        <v>2 Wiggan Avenue</v>
      </c>
      <c r="F2426" s="15" t="str">
        <f t="shared" si="818"/>
        <v>Boston</v>
      </c>
      <c r="G2426" s="15" t="str">
        <f t="shared" si="819"/>
        <v>SA</v>
      </c>
      <c r="H2426" s="15">
        <f t="shared" si="820"/>
        <v>5607</v>
      </c>
      <c r="I2426" s="15">
        <f t="shared" si="831"/>
        <v>2076</v>
      </c>
      <c r="J2426" s="15">
        <f>OrdersTable!B2426</f>
        <v>607</v>
      </c>
      <c r="K2426" s="15" t="str">
        <f t="shared" si="821"/>
        <v>iPhone Skins</v>
      </c>
      <c r="L2426" s="15" t="str">
        <f t="shared" si="822"/>
        <v>Doctor Who: iPhone Skin: Keep Calm I'm The Doctor</v>
      </c>
      <c r="M2426" s="15" t="str">
        <f t="shared" si="823"/>
        <v>-</v>
      </c>
      <c r="N2426" s="15">
        <f t="shared" si="824"/>
        <v>0.5</v>
      </c>
      <c r="O2426" s="15" t="str">
        <f t="shared" si="825"/>
        <v>A40</v>
      </c>
      <c r="P2426" s="15" t="str">
        <f t="shared" si="826"/>
        <v>Romana Imports</v>
      </c>
      <c r="Q2426" s="15" t="str">
        <f t="shared" si="827"/>
        <v>17 Lalla Ward Road</v>
      </c>
      <c r="R2426" s="3">
        <f>OrdersTable!C2426</f>
        <v>44736</v>
      </c>
      <c r="S2426" s="15">
        <f>OrdersTable!E2426</f>
        <v>8</v>
      </c>
      <c r="T2426" s="15">
        <f t="shared" si="828"/>
        <v>9.99</v>
      </c>
      <c r="U2426" s="15">
        <f t="shared" si="829"/>
        <v>13.81</v>
      </c>
      <c r="V2426" s="15">
        <f t="shared" si="830"/>
        <v>16.18</v>
      </c>
      <c r="W2426" s="15">
        <f>IF(MarkupType="Store Markup",ROUND(V2426+V2426*StoreMarkup,2),IF(MarkupType="Supplier Markup",V2426+V2426*SupplierMarkup,"Error at finding value"))</f>
        <v>25.48</v>
      </c>
      <c r="X2426" s="32" t="str">
        <f t="shared" si="832"/>
        <v>0.00</v>
      </c>
      <c r="Y2426" s="15">
        <f t="shared" si="833"/>
        <v>129.44</v>
      </c>
      <c r="Z2426" s="15">
        <f t="shared" si="834"/>
        <v>203.84</v>
      </c>
      <c r="AA2426" s="15">
        <f>IF(FreightType="Lethbridge-Stewart Freight ",ROUND(2.99+IF(N2426&gt;0.75,(N2426-0.75)*2.25,0)*S2426,2),IF(MarkupType="Supplier Markup",V2426+V2426*SupplierMarkup,"Error at finding value"))</f>
        <v>2.99</v>
      </c>
      <c r="AB2426" s="15">
        <f t="shared" si="835"/>
        <v>0</v>
      </c>
    </row>
    <row r="2427" spans="1:28" x14ac:dyDescent="0.25">
      <c r="A2427" s="16">
        <f>OrdersTable!A2427</f>
        <v>282</v>
      </c>
      <c r="B2427" s="15" t="str">
        <f t="shared" si="815"/>
        <v>Dr</v>
      </c>
      <c r="C2427" s="15" t="str">
        <f t="shared" si="836"/>
        <v>Johnson</v>
      </c>
      <c r="D2427" s="15" t="str">
        <f t="shared" si="816"/>
        <v>Samantha Emily Louise</v>
      </c>
      <c r="E2427" s="15" t="str">
        <f t="shared" si="817"/>
        <v>2 Wiggan Avenue</v>
      </c>
      <c r="F2427" s="15" t="str">
        <f t="shared" si="818"/>
        <v>Boston</v>
      </c>
      <c r="G2427" s="15" t="str">
        <f t="shared" si="819"/>
        <v>SA</v>
      </c>
      <c r="H2427" s="15">
        <f t="shared" si="820"/>
        <v>5607</v>
      </c>
      <c r="I2427" s="15">
        <f t="shared" si="831"/>
        <v>2076</v>
      </c>
      <c r="J2427" s="15">
        <f>OrdersTable!B2427</f>
        <v>862</v>
      </c>
      <c r="K2427" s="15" t="str">
        <f t="shared" si="821"/>
        <v>Statues and Busts</v>
      </c>
      <c r="L2427" s="15" t="str">
        <f t="shared" si="822"/>
        <v>Doctor Who: TITANS: The 10th Doctor</v>
      </c>
      <c r="M2427" s="15" t="str">
        <f t="shared" si="823"/>
        <v>-</v>
      </c>
      <c r="N2427" s="15">
        <f t="shared" si="824"/>
        <v>0.4</v>
      </c>
      <c r="O2427" s="15" t="str">
        <f t="shared" si="825"/>
        <v>A40</v>
      </c>
      <c r="P2427" s="15" t="str">
        <f t="shared" si="826"/>
        <v>Romana Imports</v>
      </c>
      <c r="Q2427" s="15" t="str">
        <f t="shared" si="827"/>
        <v>17 Lalla Ward Road</v>
      </c>
      <c r="R2427" s="3">
        <f>OrdersTable!C2427</f>
        <v>44736</v>
      </c>
      <c r="S2427" s="15">
        <f>OrdersTable!E2427</f>
        <v>10</v>
      </c>
      <c r="T2427" s="15">
        <f t="shared" si="828"/>
        <v>7.99</v>
      </c>
      <c r="U2427" s="15">
        <f t="shared" si="829"/>
        <v>11.01</v>
      </c>
      <c r="V2427" s="15">
        <f t="shared" si="830"/>
        <v>12.94</v>
      </c>
      <c r="W2427" s="15">
        <f>IF(MarkupType="Store Markup",ROUND(V2427+V2427*StoreMarkup,2),IF(MarkupType="Supplier Markup",V2427+V2427*SupplierMarkup,"Error at finding value"))</f>
        <v>20.38</v>
      </c>
      <c r="X2427" s="32" t="str">
        <f t="shared" si="832"/>
        <v>0.00</v>
      </c>
      <c r="Y2427" s="15">
        <f t="shared" si="833"/>
        <v>129.4</v>
      </c>
      <c r="Z2427" s="15">
        <f t="shared" si="834"/>
        <v>203.8</v>
      </c>
      <c r="AA2427" s="15">
        <f>IF(FreightType="Lethbridge-Stewart Freight ",ROUND(2.99+IF(N2427&gt;0.75,(N2427-0.75)*2.25,0)*S2427,2),IF(MarkupType="Supplier Markup",V2427+V2427*SupplierMarkup,"Error at finding value"))</f>
        <v>2.99</v>
      </c>
      <c r="AB2427" s="15">
        <f t="shared" si="835"/>
        <v>0</v>
      </c>
    </row>
    <row r="2428" spans="1:28" x14ac:dyDescent="0.25">
      <c r="A2428" s="16">
        <f>OrdersTable!A2428</f>
        <v>332</v>
      </c>
      <c r="B2428" s="15" t="str">
        <f t="shared" si="815"/>
        <v>Mr</v>
      </c>
      <c r="C2428" s="15" t="str">
        <f t="shared" si="836"/>
        <v>Selman</v>
      </c>
      <c r="D2428" s="15" t="str">
        <f t="shared" si="816"/>
        <v>Jack Ryan</v>
      </c>
      <c r="E2428" s="15" t="str">
        <f t="shared" si="817"/>
        <v>17 Van Essen Street</v>
      </c>
      <c r="F2428" s="15" t="str">
        <f t="shared" si="818"/>
        <v>Airly</v>
      </c>
      <c r="G2428" s="15" t="str">
        <f t="shared" si="819"/>
        <v>VIC</v>
      </c>
      <c r="H2428" s="15">
        <f t="shared" si="820"/>
        <v>3851</v>
      </c>
      <c r="I2428" s="15">
        <f t="shared" si="831"/>
        <v>1583</v>
      </c>
      <c r="J2428" s="15">
        <f>OrdersTable!B2428</f>
        <v>834</v>
      </c>
      <c r="K2428" s="15" t="str">
        <f t="shared" si="821"/>
        <v>Statues and Busts</v>
      </c>
      <c r="L2428" s="15" t="str">
        <f t="shared" si="822"/>
        <v>Doctor Who: Signature Edition Statue: Gallifrey Edition: Matt Smith</v>
      </c>
      <c r="M2428" s="15" t="str">
        <f t="shared" si="823"/>
        <v>-</v>
      </c>
      <c r="N2428" s="15">
        <f t="shared" si="824"/>
        <v>2.5</v>
      </c>
      <c r="O2428" s="15" t="str">
        <f t="shared" si="825"/>
        <v>A30</v>
      </c>
      <c r="P2428" s="15" t="str">
        <f t="shared" si="826"/>
        <v>Chesterton Enterprises</v>
      </c>
      <c r="Q2428" s="15" t="str">
        <f t="shared" si="827"/>
        <v>41 William Russell Road</v>
      </c>
      <c r="R2428" s="3">
        <f>OrdersTable!C2428</f>
        <v>44736</v>
      </c>
      <c r="S2428" s="15">
        <f>OrdersTable!E2428</f>
        <v>6</v>
      </c>
      <c r="T2428" s="15">
        <f t="shared" si="828"/>
        <v>49.99</v>
      </c>
      <c r="U2428" s="15">
        <f t="shared" si="829"/>
        <v>68.52</v>
      </c>
      <c r="V2428" s="15">
        <f t="shared" si="830"/>
        <v>80.98</v>
      </c>
      <c r="W2428" s="15">
        <f>IF(MarkupType="Store Markup",ROUND(V2428+V2428*StoreMarkup,2),IF(MarkupType="Supplier Markup",V2428+V2428*SupplierMarkup,"Error at finding value"))</f>
        <v>127.54</v>
      </c>
      <c r="X2428" s="32">
        <f t="shared" si="832"/>
        <v>9.09</v>
      </c>
      <c r="Y2428" s="15">
        <f t="shared" si="833"/>
        <v>485.88</v>
      </c>
      <c r="Z2428" s="15">
        <f t="shared" si="834"/>
        <v>710.7</v>
      </c>
      <c r="AA2428" s="15">
        <f>IF(FreightType="Lethbridge-Stewart Freight ",ROUND(2.99+IF(N2428&gt;0.75,(N2428-0.75)*2.25,0)*S2428,2),IF(MarkupType="Supplier Markup",V2428+V2428*SupplierMarkup,"Error at finding value"))</f>
        <v>26.62</v>
      </c>
      <c r="AB2428" s="15">
        <f t="shared" si="835"/>
        <v>54.54</v>
      </c>
    </row>
    <row r="2429" spans="1:28" x14ac:dyDescent="0.25">
      <c r="A2429" s="16">
        <f>OrdersTable!A2429</f>
        <v>416</v>
      </c>
      <c r="B2429" s="15" t="str">
        <f t="shared" si="815"/>
        <v>Mr</v>
      </c>
      <c r="C2429" s="15" t="str">
        <f t="shared" si="836"/>
        <v>Mohammed</v>
      </c>
      <c r="D2429" s="15" t="str">
        <f t="shared" si="816"/>
        <v>Ahmed</v>
      </c>
      <c r="E2429" s="15" t="str">
        <f t="shared" si="817"/>
        <v>35 Ridley Avenue</v>
      </c>
      <c r="F2429" s="15" t="str">
        <f t="shared" si="818"/>
        <v>Iluka</v>
      </c>
      <c r="G2429" s="15" t="str">
        <f t="shared" si="819"/>
        <v>NSW</v>
      </c>
      <c r="H2429" s="15">
        <f t="shared" si="820"/>
        <v>2466</v>
      </c>
      <c r="I2429" s="15">
        <f t="shared" si="831"/>
        <v>347</v>
      </c>
      <c r="J2429" s="15">
        <f>OrdersTable!B2429</f>
        <v>479</v>
      </c>
      <c r="K2429" s="15" t="str">
        <f t="shared" si="821"/>
        <v>Giftware</v>
      </c>
      <c r="L2429" s="15" t="str">
        <f t="shared" si="822"/>
        <v>Doctor Who: Keyring Dalek</v>
      </c>
      <c r="M2429" s="15" t="str">
        <f t="shared" si="823"/>
        <v>-</v>
      </c>
      <c r="N2429" s="15">
        <f t="shared" si="824"/>
        <v>0.25</v>
      </c>
      <c r="O2429" s="15" t="str">
        <f t="shared" si="825"/>
        <v>A10</v>
      </c>
      <c r="P2429" s="15" t="str">
        <f t="shared" si="826"/>
        <v>Gallifrey International</v>
      </c>
      <c r="Q2429" s="15" t="str">
        <f t="shared" si="827"/>
        <v>181 Arcadia Street</v>
      </c>
      <c r="R2429" s="3">
        <f>OrdersTable!C2429</f>
        <v>44736</v>
      </c>
      <c r="S2429" s="15">
        <f>OrdersTable!E2429</f>
        <v>7</v>
      </c>
      <c r="T2429" s="15">
        <f t="shared" si="828"/>
        <v>4.99</v>
      </c>
      <c r="U2429" s="15">
        <f t="shared" si="829"/>
        <v>6.86</v>
      </c>
      <c r="V2429" s="15">
        <f t="shared" si="830"/>
        <v>8.08</v>
      </c>
      <c r="W2429" s="15">
        <f>IF(MarkupType="Store Markup",ROUND(V2429+V2429*StoreMarkup,2),IF(MarkupType="Supplier Markup",V2429+V2429*SupplierMarkup,"Error at finding value"))</f>
        <v>12.73</v>
      </c>
      <c r="X2429" s="32" t="str">
        <f t="shared" si="832"/>
        <v>0.00</v>
      </c>
      <c r="Y2429" s="15">
        <f t="shared" si="833"/>
        <v>56.56</v>
      </c>
      <c r="Z2429" s="15">
        <f t="shared" si="834"/>
        <v>89.11</v>
      </c>
      <c r="AA2429" s="15">
        <f>IF(FreightType="Lethbridge-Stewart Freight ",ROUND(2.99+IF(N2429&gt;0.75,(N2429-0.75)*2.25,0)*S2429,2),IF(MarkupType="Supplier Markup",V2429+V2429*SupplierMarkup,"Error at finding value"))</f>
        <v>2.99</v>
      </c>
      <c r="AB2429" s="15">
        <f t="shared" si="835"/>
        <v>0</v>
      </c>
    </row>
    <row r="2430" spans="1:28" x14ac:dyDescent="0.25">
      <c r="A2430" s="16">
        <f>OrdersTable!A2430</f>
        <v>526</v>
      </c>
      <c r="B2430" s="15" t="str">
        <f t="shared" si="815"/>
        <v>Mrs</v>
      </c>
      <c r="C2430" s="15" t="str">
        <f t="shared" si="836"/>
        <v>Bradford</v>
      </c>
      <c r="D2430" s="15" t="str">
        <f t="shared" si="816"/>
        <v>Haleigh Renae Ann</v>
      </c>
      <c r="E2430" s="15" t="str">
        <f t="shared" si="817"/>
        <v>31 Johnston Road</v>
      </c>
      <c r="F2430" s="15" t="str">
        <f t="shared" si="818"/>
        <v>Ashford</v>
      </c>
      <c r="G2430" s="15" t="str">
        <f t="shared" si="819"/>
        <v>SA</v>
      </c>
      <c r="H2430" s="15">
        <f t="shared" si="820"/>
        <v>5035</v>
      </c>
      <c r="I2430" s="15">
        <f t="shared" si="831"/>
        <v>1877</v>
      </c>
      <c r="J2430" s="15">
        <f>OrdersTable!B2430</f>
        <v>377</v>
      </c>
      <c r="K2430" s="15" t="str">
        <f t="shared" si="821"/>
        <v>Clothing and Apparel</v>
      </c>
      <c r="L2430" s="15" t="str">
        <f t="shared" si="822"/>
        <v xml:space="preserve">Doctor Who: T-Shirts: 7th Doctor Costume </v>
      </c>
      <c r="M2430" s="15" t="str">
        <f t="shared" si="823"/>
        <v>M</v>
      </c>
      <c r="N2430" s="15">
        <f t="shared" si="824"/>
        <v>0.8</v>
      </c>
      <c r="O2430" s="15" t="str">
        <f t="shared" si="825"/>
        <v>A40</v>
      </c>
      <c r="P2430" s="15" t="str">
        <f t="shared" si="826"/>
        <v>Romana Imports</v>
      </c>
      <c r="Q2430" s="15" t="str">
        <f t="shared" si="827"/>
        <v>17 Lalla Ward Road</v>
      </c>
      <c r="R2430" s="3">
        <f>OrdersTable!C2430</f>
        <v>44736</v>
      </c>
      <c r="S2430" s="15">
        <f>OrdersTable!E2430</f>
        <v>2</v>
      </c>
      <c r="T2430" s="15">
        <f t="shared" si="828"/>
        <v>15.99</v>
      </c>
      <c r="U2430" s="15">
        <f t="shared" si="829"/>
        <v>21.95</v>
      </c>
      <c r="V2430" s="15">
        <f t="shared" si="830"/>
        <v>25.9</v>
      </c>
      <c r="W2430" s="15">
        <f>IF(MarkupType="Store Markup",ROUND(V2430+V2430*StoreMarkup,2),IF(MarkupType="Supplier Markup",V2430+V2430*SupplierMarkup,"Error at finding value"))</f>
        <v>40.79</v>
      </c>
      <c r="X2430" s="32" t="str">
        <f t="shared" si="832"/>
        <v>0.00</v>
      </c>
      <c r="Y2430" s="15">
        <f t="shared" si="833"/>
        <v>51.8</v>
      </c>
      <c r="Z2430" s="15">
        <f t="shared" si="834"/>
        <v>81.58</v>
      </c>
      <c r="AA2430" s="15">
        <f>IF(FreightType="Lethbridge-Stewart Freight ",ROUND(2.99+IF(N2430&gt;0.75,(N2430-0.75)*2.25,0)*S2430,2),IF(MarkupType="Supplier Markup",V2430+V2430*SupplierMarkup,"Error at finding value"))</f>
        <v>3.22</v>
      </c>
      <c r="AB2430" s="15">
        <f t="shared" si="835"/>
        <v>0</v>
      </c>
    </row>
    <row r="2431" spans="1:28" x14ac:dyDescent="0.25">
      <c r="A2431" s="16">
        <f>OrdersTable!A2431</f>
        <v>561</v>
      </c>
      <c r="B2431" s="15" t="str">
        <f t="shared" si="815"/>
        <v>Ms</v>
      </c>
      <c r="C2431" s="15" t="str">
        <f t="shared" si="836"/>
        <v>Mulcahy</v>
      </c>
      <c r="D2431" s="15" t="str">
        <f t="shared" si="816"/>
        <v>Jodie Leigh</v>
      </c>
      <c r="E2431" s="15" t="str">
        <f t="shared" si="817"/>
        <v>32 Scott Crescent</v>
      </c>
      <c r="F2431" s="15" t="str">
        <f t="shared" si="818"/>
        <v>Bray Park</v>
      </c>
      <c r="G2431" s="15" t="str">
        <f t="shared" si="819"/>
        <v>QLD</v>
      </c>
      <c r="H2431" s="15">
        <f t="shared" si="820"/>
        <v>4500</v>
      </c>
      <c r="I2431" s="15">
        <f t="shared" si="831"/>
        <v>139</v>
      </c>
      <c r="J2431" s="15">
        <f>OrdersTable!B2431</f>
        <v>689</v>
      </c>
      <c r="K2431" s="15" t="str">
        <f t="shared" si="821"/>
        <v>Posters, Prints and Standees</v>
      </c>
      <c r="L2431" s="15" t="str">
        <f t="shared" si="822"/>
        <v>Doctor Who: 16'x12' Framed Print: Cold War</v>
      </c>
      <c r="M2431" s="15" t="str">
        <f t="shared" si="823"/>
        <v>-</v>
      </c>
      <c r="N2431" s="15">
        <f t="shared" si="824"/>
        <v>0.75</v>
      </c>
      <c r="O2431" s="15" t="str">
        <f t="shared" si="825"/>
        <v>A50</v>
      </c>
      <c r="P2431" s="15" t="str">
        <f t="shared" si="826"/>
        <v>Rassilon Ltd.</v>
      </c>
      <c r="Q2431" s="15" t="str">
        <f t="shared" si="827"/>
        <v>82 Richard Mathews Road</v>
      </c>
      <c r="R2431" s="3">
        <f>OrdersTable!C2431</f>
        <v>44736</v>
      </c>
      <c r="S2431" s="15">
        <f>OrdersTable!E2431</f>
        <v>1</v>
      </c>
      <c r="T2431" s="15">
        <f t="shared" si="828"/>
        <v>14.99</v>
      </c>
      <c r="U2431" s="15">
        <f t="shared" si="829"/>
        <v>20.77</v>
      </c>
      <c r="V2431" s="15">
        <f t="shared" si="830"/>
        <v>24.28</v>
      </c>
      <c r="W2431" s="15">
        <f>IF(MarkupType="Store Markup",ROUND(V2431+V2431*StoreMarkup,2),IF(MarkupType="Supplier Markup",V2431+V2431*SupplierMarkup,"Error at finding value"))</f>
        <v>38.24</v>
      </c>
      <c r="X2431" s="32" t="str">
        <f t="shared" si="832"/>
        <v>0.00</v>
      </c>
      <c r="Y2431" s="15">
        <f t="shared" si="833"/>
        <v>24.28</v>
      </c>
      <c r="Z2431" s="15">
        <f t="shared" si="834"/>
        <v>38.24</v>
      </c>
      <c r="AA2431" s="15">
        <f>IF(FreightType="Lethbridge-Stewart Freight ",ROUND(2.99+IF(N2431&gt;0.75,(N2431-0.75)*2.25,0)*S2431,2),IF(MarkupType="Supplier Markup",V2431+V2431*SupplierMarkup,"Error at finding value"))</f>
        <v>2.99</v>
      </c>
      <c r="AB2431" s="15">
        <f t="shared" si="835"/>
        <v>0</v>
      </c>
    </row>
    <row r="2432" spans="1:28" x14ac:dyDescent="0.25">
      <c r="A2432" s="16">
        <f>OrdersTable!A2432</f>
        <v>602</v>
      </c>
      <c r="B2432" s="15" t="str">
        <f t="shared" si="815"/>
        <v>Mr</v>
      </c>
      <c r="C2432" s="15" t="str">
        <f t="shared" si="836"/>
        <v>Spinelli</v>
      </c>
      <c r="D2432" s="15" t="str">
        <f t="shared" si="816"/>
        <v>Paul Walter</v>
      </c>
      <c r="E2432" s="15" t="str">
        <f t="shared" si="817"/>
        <v>35 Azar Drive</v>
      </c>
      <c r="F2432" s="15" t="str">
        <f t="shared" si="818"/>
        <v>Bray Park</v>
      </c>
      <c r="G2432" s="15" t="str">
        <f t="shared" si="819"/>
        <v>QLD</v>
      </c>
      <c r="H2432" s="15">
        <f t="shared" si="820"/>
        <v>4500</v>
      </c>
      <c r="I2432" s="15">
        <f t="shared" si="831"/>
        <v>139</v>
      </c>
      <c r="J2432" s="15">
        <f>OrdersTable!B2432</f>
        <v>607</v>
      </c>
      <c r="K2432" s="15" t="str">
        <f t="shared" si="821"/>
        <v>iPhone Skins</v>
      </c>
      <c r="L2432" s="15" t="str">
        <f t="shared" si="822"/>
        <v>Doctor Who: iPhone Skin: Keep Calm I'm The Doctor</v>
      </c>
      <c r="M2432" s="15" t="str">
        <f t="shared" si="823"/>
        <v>-</v>
      </c>
      <c r="N2432" s="15">
        <f t="shared" si="824"/>
        <v>0.5</v>
      </c>
      <c r="O2432" s="15" t="str">
        <f t="shared" si="825"/>
        <v>A40</v>
      </c>
      <c r="P2432" s="15" t="str">
        <f t="shared" si="826"/>
        <v>Romana Imports</v>
      </c>
      <c r="Q2432" s="15" t="str">
        <f t="shared" si="827"/>
        <v>17 Lalla Ward Road</v>
      </c>
      <c r="R2432" s="3">
        <f>OrdersTable!C2432</f>
        <v>44736</v>
      </c>
      <c r="S2432" s="15">
        <f>OrdersTable!E2432</f>
        <v>9</v>
      </c>
      <c r="T2432" s="15">
        <f t="shared" si="828"/>
        <v>9.99</v>
      </c>
      <c r="U2432" s="15">
        <f t="shared" si="829"/>
        <v>13.81</v>
      </c>
      <c r="V2432" s="15">
        <f t="shared" si="830"/>
        <v>16.18</v>
      </c>
      <c r="W2432" s="15">
        <f>IF(MarkupType="Store Markup",ROUND(V2432+V2432*StoreMarkup,2),IF(MarkupType="Supplier Markup",V2432+V2432*SupplierMarkup,"Error at finding value"))</f>
        <v>25.48</v>
      </c>
      <c r="X2432" s="32" t="str">
        <f t="shared" si="832"/>
        <v>0.00</v>
      </c>
      <c r="Y2432" s="15">
        <f t="shared" si="833"/>
        <v>145.62</v>
      </c>
      <c r="Z2432" s="15">
        <f t="shared" si="834"/>
        <v>229.32</v>
      </c>
      <c r="AA2432" s="15">
        <f>IF(FreightType="Lethbridge-Stewart Freight ",ROUND(2.99+IF(N2432&gt;0.75,(N2432-0.75)*2.25,0)*S2432,2),IF(MarkupType="Supplier Markup",V2432+V2432*SupplierMarkup,"Error at finding value"))</f>
        <v>2.99</v>
      </c>
      <c r="AB2432" s="15">
        <f t="shared" si="835"/>
        <v>0</v>
      </c>
    </row>
    <row r="2433" spans="1:28" x14ac:dyDescent="0.25">
      <c r="A2433" s="16">
        <f>OrdersTable!A2433</f>
        <v>609</v>
      </c>
      <c r="B2433" s="15" t="str">
        <f t="shared" si="815"/>
        <v>Ms</v>
      </c>
      <c r="C2433" s="15" t="str">
        <f t="shared" si="836"/>
        <v>Ashley</v>
      </c>
      <c r="D2433" s="15" t="str">
        <f t="shared" si="816"/>
        <v>Matthew</v>
      </c>
      <c r="E2433" s="15" t="str">
        <f t="shared" si="817"/>
        <v>3 Wagener Crescent</v>
      </c>
      <c r="F2433" s="15" t="str">
        <f t="shared" si="818"/>
        <v>Aberfoyle</v>
      </c>
      <c r="G2433" s="15" t="str">
        <f t="shared" si="819"/>
        <v>NSW</v>
      </c>
      <c r="H2433" s="15">
        <f t="shared" si="820"/>
        <v>2350</v>
      </c>
      <c r="I2433" s="15">
        <f t="shared" si="831"/>
        <v>363</v>
      </c>
      <c r="J2433" s="15">
        <f>OrdersTable!B2433</f>
        <v>762</v>
      </c>
      <c r="K2433" s="15" t="str">
        <f t="shared" si="821"/>
        <v>Statues and Busts</v>
      </c>
      <c r="L2433" s="15" t="str">
        <f t="shared" si="822"/>
        <v>Doctor Who: Legends Forever Bust: Patrick Troughton</v>
      </c>
      <c r="M2433" s="15" t="str">
        <f t="shared" si="823"/>
        <v>-</v>
      </c>
      <c r="N2433" s="15">
        <f t="shared" si="824"/>
        <v>1.375</v>
      </c>
      <c r="O2433" s="15" t="str">
        <f t="shared" si="825"/>
        <v>A40</v>
      </c>
      <c r="P2433" s="15" t="str">
        <f t="shared" si="826"/>
        <v>Romana Imports</v>
      </c>
      <c r="Q2433" s="15" t="str">
        <f t="shared" si="827"/>
        <v>17 Lalla Ward Road</v>
      </c>
      <c r="R2433" s="3">
        <f>OrdersTable!C2433</f>
        <v>44736</v>
      </c>
      <c r="S2433" s="15">
        <f>OrdersTable!E2433</f>
        <v>6</v>
      </c>
      <c r="T2433" s="15">
        <f t="shared" si="828"/>
        <v>27.5</v>
      </c>
      <c r="U2433" s="15">
        <f t="shared" si="829"/>
        <v>37.799999999999997</v>
      </c>
      <c r="V2433" s="15">
        <f t="shared" si="830"/>
        <v>44.55</v>
      </c>
      <c r="W2433" s="15">
        <f>IF(MarkupType="Store Markup",ROUND(V2433+V2433*StoreMarkup,2),IF(MarkupType="Supplier Markup",V2433+V2433*SupplierMarkup,"Error at finding value"))</f>
        <v>70.17</v>
      </c>
      <c r="X2433" s="32" t="str">
        <f t="shared" si="832"/>
        <v>0.00</v>
      </c>
      <c r="Y2433" s="15">
        <f t="shared" si="833"/>
        <v>267.3</v>
      </c>
      <c r="Z2433" s="15">
        <f t="shared" si="834"/>
        <v>421.02</v>
      </c>
      <c r="AA2433" s="15">
        <f>IF(FreightType="Lethbridge-Stewart Freight ",ROUND(2.99+IF(N2433&gt;0.75,(N2433-0.75)*2.25,0)*S2433,2),IF(MarkupType="Supplier Markup",V2433+V2433*SupplierMarkup,"Error at finding value"))</f>
        <v>11.43</v>
      </c>
      <c r="AB2433" s="15">
        <f t="shared" si="835"/>
        <v>0</v>
      </c>
    </row>
    <row r="2434" spans="1:28" x14ac:dyDescent="0.25">
      <c r="A2434" s="16">
        <f>OrdersTable!A2434</f>
        <v>610</v>
      </c>
      <c r="B2434" s="15" t="str">
        <f t="shared" si="815"/>
        <v>Ms</v>
      </c>
      <c r="C2434" s="15" t="str">
        <f t="shared" si="836"/>
        <v>Bichel</v>
      </c>
      <c r="D2434" s="15" t="str">
        <f t="shared" si="816"/>
        <v>Abbey Kate</v>
      </c>
      <c r="E2434" s="15" t="str">
        <f t="shared" si="817"/>
        <v>32 Rambau Avenue</v>
      </c>
      <c r="F2434" s="15" t="str">
        <f t="shared" si="818"/>
        <v>Bamboo</v>
      </c>
      <c r="G2434" s="15" t="str">
        <f t="shared" si="819"/>
        <v>QLD</v>
      </c>
      <c r="H2434" s="15">
        <f t="shared" si="820"/>
        <v>4873</v>
      </c>
      <c r="I2434" s="15">
        <f t="shared" si="831"/>
        <v>1741</v>
      </c>
      <c r="J2434" s="15">
        <f>OrdersTable!B2434</f>
        <v>464</v>
      </c>
      <c r="K2434" s="15" t="str">
        <f t="shared" si="821"/>
        <v>Giftware</v>
      </c>
      <c r="L2434" s="15" t="str">
        <f t="shared" si="822"/>
        <v>Doctor Who: Collectable License Plate: My Other Car Is A TARDIS</v>
      </c>
      <c r="M2434" s="15" t="str">
        <f t="shared" si="823"/>
        <v>-</v>
      </c>
      <c r="N2434" s="15">
        <f t="shared" si="824"/>
        <v>0.6</v>
      </c>
      <c r="O2434" s="15" t="str">
        <f t="shared" si="825"/>
        <v>A50</v>
      </c>
      <c r="P2434" s="15" t="str">
        <f t="shared" si="826"/>
        <v>Rassilon Ltd.</v>
      </c>
      <c r="Q2434" s="15" t="str">
        <f t="shared" si="827"/>
        <v>82 Richard Mathews Road</v>
      </c>
      <c r="R2434" s="3">
        <f>OrdersTable!C2434</f>
        <v>44736</v>
      </c>
      <c r="S2434" s="15">
        <f>OrdersTable!E2434</f>
        <v>3</v>
      </c>
      <c r="T2434" s="15">
        <f t="shared" si="828"/>
        <v>11.99</v>
      </c>
      <c r="U2434" s="15">
        <f t="shared" si="829"/>
        <v>16.579999999999998</v>
      </c>
      <c r="V2434" s="15">
        <f t="shared" si="830"/>
        <v>19.420000000000002</v>
      </c>
      <c r="W2434" s="15">
        <f>IF(MarkupType="Store Markup",ROUND(V2434+V2434*StoreMarkup,2),IF(MarkupType="Supplier Markup",V2434+V2434*SupplierMarkup,"Error at finding value"))</f>
        <v>30.59</v>
      </c>
      <c r="X2434" s="32" t="str">
        <f t="shared" si="832"/>
        <v>0.00</v>
      </c>
      <c r="Y2434" s="15">
        <f t="shared" si="833"/>
        <v>58.26</v>
      </c>
      <c r="Z2434" s="15">
        <f t="shared" si="834"/>
        <v>91.77</v>
      </c>
      <c r="AA2434" s="15">
        <f>IF(FreightType="Lethbridge-Stewart Freight ",ROUND(2.99+IF(N2434&gt;0.75,(N2434-0.75)*2.25,0)*S2434,2),IF(MarkupType="Supplier Markup",V2434+V2434*SupplierMarkup,"Error at finding value"))</f>
        <v>2.99</v>
      </c>
      <c r="AB2434" s="15">
        <f t="shared" si="835"/>
        <v>0</v>
      </c>
    </row>
    <row r="2435" spans="1:28" x14ac:dyDescent="0.25">
      <c r="A2435" s="16">
        <f>OrdersTable!A2435</f>
        <v>610</v>
      </c>
      <c r="B2435" s="15" t="str">
        <f t="shared" si="815"/>
        <v>Ms</v>
      </c>
      <c r="C2435" s="15" t="str">
        <f t="shared" si="836"/>
        <v>Bichel</v>
      </c>
      <c r="D2435" s="15" t="str">
        <f t="shared" si="816"/>
        <v>Abbey Kate</v>
      </c>
      <c r="E2435" s="15" t="str">
        <f t="shared" si="817"/>
        <v>32 Rambau Avenue</v>
      </c>
      <c r="F2435" s="15" t="str">
        <f t="shared" si="818"/>
        <v>Bamboo</v>
      </c>
      <c r="G2435" s="15" t="str">
        <f t="shared" si="819"/>
        <v>QLD</v>
      </c>
      <c r="H2435" s="15">
        <f t="shared" si="820"/>
        <v>4873</v>
      </c>
      <c r="I2435" s="15">
        <f t="shared" si="831"/>
        <v>1741</v>
      </c>
      <c r="J2435" s="15">
        <f>OrdersTable!B2435</f>
        <v>683</v>
      </c>
      <c r="K2435" s="15" t="str">
        <f t="shared" si="821"/>
        <v>Mugs</v>
      </c>
      <c r="L2435" s="15" t="str">
        <f t="shared" si="822"/>
        <v>Doctor Who: Mug: The Tenth Doctor</v>
      </c>
      <c r="M2435" s="15" t="str">
        <f t="shared" si="823"/>
        <v>-</v>
      </c>
      <c r="N2435" s="15">
        <f t="shared" si="824"/>
        <v>0.45</v>
      </c>
      <c r="O2435" s="15" t="str">
        <f t="shared" si="825"/>
        <v>A20</v>
      </c>
      <c r="P2435" s="15" t="str">
        <f t="shared" si="826"/>
        <v>Morbius Inc.</v>
      </c>
      <c r="Q2435" s="15" t="str">
        <f t="shared" si="827"/>
        <v>56 Michael Spice Hwy</v>
      </c>
      <c r="R2435" s="3">
        <f>OrdersTable!C2435</f>
        <v>44736</v>
      </c>
      <c r="S2435" s="15">
        <f>OrdersTable!E2435</f>
        <v>5</v>
      </c>
      <c r="T2435" s="15">
        <f t="shared" si="828"/>
        <v>8.99</v>
      </c>
      <c r="U2435" s="15">
        <f t="shared" si="829"/>
        <v>12.54</v>
      </c>
      <c r="V2435" s="15">
        <f t="shared" si="830"/>
        <v>14.56</v>
      </c>
      <c r="W2435" s="15">
        <f>IF(MarkupType="Store Markup",ROUND(V2435+V2435*StoreMarkup,2),IF(MarkupType="Supplier Markup",V2435+V2435*SupplierMarkup,"Error at finding value"))</f>
        <v>22.93</v>
      </c>
      <c r="X2435" s="32" t="str">
        <f t="shared" si="832"/>
        <v>0.00</v>
      </c>
      <c r="Y2435" s="15">
        <f t="shared" si="833"/>
        <v>72.8</v>
      </c>
      <c r="Z2435" s="15">
        <f t="shared" si="834"/>
        <v>114.65</v>
      </c>
      <c r="AA2435" s="15">
        <f>IF(FreightType="Lethbridge-Stewart Freight ",ROUND(2.99+IF(N2435&gt;0.75,(N2435-0.75)*2.25,0)*S2435,2),IF(MarkupType="Supplier Markup",V2435+V2435*SupplierMarkup,"Error at finding value"))</f>
        <v>2.99</v>
      </c>
      <c r="AB2435" s="15">
        <f t="shared" si="835"/>
        <v>0</v>
      </c>
    </row>
    <row r="2436" spans="1:28" x14ac:dyDescent="0.25">
      <c r="A2436" s="16">
        <f>OrdersTable!A2436</f>
        <v>634</v>
      </c>
      <c r="B2436" s="15" t="str">
        <f t="shared" ref="B2436:B2503" si="837">VLOOKUP($A2436,Cust,2,0)</f>
        <v>Miss</v>
      </c>
      <c r="C2436" s="15" t="str">
        <f t="shared" si="836"/>
        <v>Betts</v>
      </c>
      <c r="D2436" s="15" t="str">
        <f t="shared" ref="D2436:D2503" si="838">VLOOKUP($A2436,Cust,4,0)</f>
        <v>Melissa Leigh</v>
      </c>
      <c r="E2436" s="15" t="str">
        <f t="shared" ref="E2436:E2503" si="839">VLOOKUP($A2436,Cust,6,0)</f>
        <v>4 Aitcheson Drive</v>
      </c>
      <c r="F2436" s="15" t="str">
        <f t="shared" ref="F2436:F2503" si="840">VLOOKUP($A2436,Cust,7,0)</f>
        <v>Bray Park</v>
      </c>
      <c r="G2436" s="15" t="str">
        <f t="shared" ref="G2436:G2503" si="841">VLOOKUP($A2436,Cust,8,0)</f>
        <v>QLD</v>
      </c>
      <c r="H2436" s="15">
        <f t="shared" ref="H2436:H2503" si="842">VLOOKUP($A2436,Cust,9,0)</f>
        <v>4500</v>
      </c>
      <c r="I2436" s="15">
        <f t="shared" si="831"/>
        <v>139</v>
      </c>
      <c r="J2436" s="15">
        <f>OrdersTable!B2436</f>
        <v>374</v>
      </c>
      <c r="K2436" s="15" t="str">
        <f t="shared" ref="K2436:K2503" si="843">VLOOKUP($J2436,Itms,2,0)</f>
        <v>Clothing and Apparel</v>
      </c>
      <c r="L2436" s="15" t="str">
        <f t="shared" ref="L2436:L2503" si="844">VLOOKUP($J2436,Itms,3,0)</f>
        <v xml:space="preserve">Doctor Who: T-Shirts: 5th Doctor Costume </v>
      </c>
      <c r="M2436" s="15" t="str">
        <f t="shared" ref="M2436:M2503" si="845">VLOOKUP($J2436,Itms,4,0)</f>
        <v>XL</v>
      </c>
      <c r="N2436" s="15">
        <f t="shared" ref="N2436:N2503" si="846">VLOOKUP($J2436,Itms,5,0)</f>
        <v>0.8</v>
      </c>
      <c r="O2436" s="15" t="str">
        <f t="shared" ref="O2436:O2503" si="847">VLOOKUP($J2436,Itms,6,0)</f>
        <v>A50</v>
      </c>
      <c r="P2436" s="15" t="str">
        <f t="shared" ref="P2436:P2503" si="848">VLOOKUP($O2436,Supp,2,0)</f>
        <v>Rassilon Ltd.</v>
      </c>
      <c r="Q2436" s="15" t="str">
        <f t="shared" ref="Q2436:Q2503" si="849">VLOOKUP($O2436,Supp,3,0)</f>
        <v>82 Richard Mathews Road</v>
      </c>
      <c r="R2436" s="3">
        <f>OrdersTable!C2436</f>
        <v>44736</v>
      </c>
      <c r="S2436" s="15">
        <f>OrdersTable!E2436</f>
        <v>6</v>
      </c>
      <c r="T2436" s="15">
        <f t="shared" ref="T2436:T2503" si="850">VLOOKUP($J2436,Itms,9,0)</f>
        <v>15.99</v>
      </c>
      <c r="U2436" s="15">
        <f t="shared" ref="U2436:U2503" si="851">VLOOKUP($J2436,Itms,10,0)</f>
        <v>21.97</v>
      </c>
      <c r="V2436" s="15">
        <f t="shared" ref="V2436:V2499" si="852">IF(ExchRateType="IR",ROUND(T2436*ExchRateIR,2),IF(ExchRateType="CA",ROUND(U2436*ExchRateCA,2),"Error at finding value"))</f>
        <v>25.9</v>
      </c>
      <c r="W2436" s="15">
        <f>IF(MarkupType="Store Markup",ROUND(V2436+V2436*StoreMarkup,2),IF(MarkupType="Supplier Markup",V2436+V2436*SupplierMarkup,"Error at finding value"))</f>
        <v>40.79</v>
      </c>
      <c r="X2436" s="32" t="str">
        <f t="shared" si="832"/>
        <v>0.00</v>
      </c>
      <c r="Y2436" s="15">
        <f t="shared" si="833"/>
        <v>155.4</v>
      </c>
      <c r="Z2436" s="15">
        <f t="shared" si="834"/>
        <v>244.74</v>
      </c>
      <c r="AA2436" s="15">
        <f>IF(FreightType="Lethbridge-Stewart Freight ",ROUND(2.99+IF(N2436&gt;0.75,(N2436-0.75)*2.25,0)*S2436,2),IF(MarkupType="Supplier Markup",V2436+V2436*SupplierMarkup,"Error at finding value"))</f>
        <v>3.67</v>
      </c>
      <c r="AB2436" s="15">
        <f t="shared" si="835"/>
        <v>0</v>
      </c>
    </row>
    <row r="2437" spans="1:28" x14ac:dyDescent="0.25">
      <c r="A2437" s="16">
        <f>OrdersTable!A2437</f>
        <v>634</v>
      </c>
      <c r="B2437" s="15" t="str">
        <f t="shared" si="837"/>
        <v>Miss</v>
      </c>
      <c r="C2437" s="15" t="str">
        <f t="shared" si="836"/>
        <v>Betts</v>
      </c>
      <c r="D2437" s="15" t="str">
        <f t="shared" si="838"/>
        <v>Melissa Leigh</v>
      </c>
      <c r="E2437" s="15" t="str">
        <f t="shared" si="839"/>
        <v>4 Aitcheson Drive</v>
      </c>
      <c r="F2437" s="15" t="str">
        <f t="shared" si="840"/>
        <v>Bray Park</v>
      </c>
      <c r="G2437" s="15" t="str">
        <f t="shared" si="841"/>
        <v>QLD</v>
      </c>
      <c r="H2437" s="15">
        <f t="shared" si="842"/>
        <v>4500</v>
      </c>
      <c r="I2437" s="15">
        <f t="shared" ref="I2437:I2503" si="853">VLOOKUP($A2437,Cust,10,0)</f>
        <v>139</v>
      </c>
      <c r="J2437" s="15">
        <f>OrdersTable!B2437</f>
        <v>377</v>
      </c>
      <c r="K2437" s="15" t="str">
        <f t="shared" si="843"/>
        <v>Clothing and Apparel</v>
      </c>
      <c r="L2437" s="15" t="str">
        <f t="shared" si="844"/>
        <v xml:space="preserve">Doctor Who: T-Shirts: 7th Doctor Costume </v>
      </c>
      <c r="M2437" s="15" t="str">
        <f t="shared" si="845"/>
        <v>M</v>
      </c>
      <c r="N2437" s="15">
        <f t="shared" si="846"/>
        <v>0.8</v>
      </c>
      <c r="O2437" s="15" t="str">
        <f t="shared" si="847"/>
        <v>A40</v>
      </c>
      <c r="P2437" s="15" t="str">
        <f t="shared" si="848"/>
        <v>Romana Imports</v>
      </c>
      <c r="Q2437" s="15" t="str">
        <f t="shared" si="849"/>
        <v>17 Lalla Ward Road</v>
      </c>
      <c r="R2437" s="3">
        <f>OrdersTable!C2437</f>
        <v>44736</v>
      </c>
      <c r="S2437" s="15">
        <f>OrdersTable!E2437</f>
        <v>10</v>
      </c>
      <c r="T2437" s="15">
        <f t="shared" si="850"/>
        <v>15.99</v>
      </c>
      <c r="U2437" s="15">
        <f t="shared" si="851"/>
        <v>21.95</v>
      </c>
      <c r="V2437" s="15">
        <f t="shared" si="852"/>
        <v>25.9</v>
      </c>
      <c r="W2437" s="15">
        <f>IF(MarkupType="Store Markup",ROUND(V2437+V2437*StoreMarkup,2),IF(MarkupType="Supplier Markup",V2437+V2437*SupplierMarkup,"Error at finding value"))</f>
        <v>40.79</v>
      </c>
      <c r="X2437" s="32" t="str">
        <f t="shared" ref="X2437:X2500" si="854">IF(AND(W2437&gt;100,S2437&gt;=3),ROUND(0.07125*W2437,2),"0.00")</f>
        <v>0.00</v>
      </c>
      <c r="Y2437" s="15">
        <f t="shared" ref="Y2437:Y2500" si="855">ROUND(V2437*S2437,2)</f>
        <v>259</v>
      </c>
      <c r="Z2437" s="15">
        <f t="shared" ref="Z2437:Z2500" si="856">ROUND((W2437-X2437)*S2437,2)</f>
        <v>407.9</v>
      </c>
      <c r="AA2437" s="15">
        <f>IF(FreightType="Lethbridge-Stewart Freight ",ROUND(2.99+IF(N2437&gt;0.75,(N2437-0.75)*2.25,0)*S2437,2),IF(MarkupType="Supplier Markup",V2437+V2437*SupplierMarkup,"Error at finding value"))</f>
        <v>4.12</v>
      </c>
      <c r="AB2437" s="15">
        <f t="shared" ref="AB2437:AB2500" si="857">ROUND(X2437*S2437,2)</f>
        <v>0</v>
      </c>
    </row>
    <row r="2438" spans="1:28" x14ac:dyDescent="0.25">
      <c r="A2438" s="16">
        <f>OrdersTable!A2438</f>
        <v>730</v>
      </c>
      <c r="B2438" s="15" t="str">
        <f t="shared" si="837"/>
        <v>Mr</v>
      </c>
      <c r="C2438" s="15" t="str">
        <f t="shared" si="836"/>
        <v>Romer</v>
      </c>
      <c r="D2438" s="15" t="str">
        <f t="shared" si="838"/>
        <v>Leo Alexander</v>
      </c>
      <c r="E2438" s="15" t="str">
        <f t="shared" si="839"/>
        <v>47 Bennett Circuit</v>
      </c>
      <c r="F2438" s="15" t="str">
        <f t="shared" si="840"/>
        <v>Caliph</v>
      </c>
      <c r="G2438" s="15" t="str">
        <f t="shared" si="841"/>
        <v>SA</v>
      </c>
      <c r="H2438" s="15">
        <f t="shared" si="842"/>
        <v>5310</v>
      </c>
      <c r="I2438" s="15">
        <f t="shared" si="853"/>
        <v>1720</v>
      </c>
      <c r="J2438" s="15">
        <f>OrdersTable!B2438</f>
        <v>358</v>
      </c>
      <c r="K2438" s="15" t="str">
        <f t="shared" si="843"/>
        <v>Clothing and Apparel</v>
      </c>
      <c r="L2438" s="15" t="str">
        <f t="shared" si="844"/>
        <v xml:space="preserve">Doctor Who: T-Shirts: 5th Doctor Costume </v>
      </c>
      <c r="M2438" s="15" t="str">
        <f t="shared" si="845"/>
        <v>M</v>
      </c>
      <c r="N2438" s="15">
        <f t="shared" si="846"/>
        <v>0.8</v>
      </c>
      <c r="O2438" s="15" t="str">
        <f t="shared" si="847"/>
        <v>A30</v>
      </c>
      <c r="P2438" s="15" t="str">
        <f t="shared" si="848"/>
        <v>Chesterton Enterprises</v>
      </c>
      <c r="Q2438" s="15" t="str">
        <f t="shared" si="849"/>
        <v>41 William Russell Road</v>
      </c>
      <c r="R2438" s="3">
        <f>OrdersTable!C2438</f>
        <v>44736</v>
      </c>
      <c r="S2438" s="15">
        <f>OrdersTable!E2438</f>
        <v>10</v>
      </c>
      <c r="T2438" s="15">
        <f t="shared" si="850"/>
        <v>15.99</v>
      </c>
      <c r="U2438" s="15">
        <f t="shared" si="851"/>
        <v>21.96</v>
      </c>
      <c r="V2438" s="15">
        <f t="shared" si="852"/>
        <v>25.9</v>
      </c>
      <c r="W2438" s="15">
        <f>IF(MarkupType="Store Markup",ROUND(V2438+V2438*StoreMarkup,2),IF(MarkupType="Supplier Markup",V2438+V2438*SupplierMarkup,"Error at finding value"))</f>
        <v>40.79</v>
      </c>
      <c r="X2438" s="32" t="str">
        <f t="shared" si="854"/>
        <v>0.00</v>
      </c>
      <c r="Y2438" s="15">
        <f t="shared" si="855"/>
        <v>259</v>
      </c>
      <c r="Z2438" s="15">
        <f t="shared" si="856"/>
        <v>407.9</v>
      </c>
      <c r="AA2438" s="15">
        <f>IF(FreightType="Lethbridge-Stewart Freight ",ROUND(2.99+IF(N2438&gt;0.75,(N2438-0.75)*2.25,0)*S2438,2),IF(MarkupType="Supplier Markup",V2438+V2438*SupplierMarkup,"Error at finding value"))</f>
        <v>4.12</v>
      </c>
      <c r="AB2438" s="15">
        <f t="shared" si="857"/>
        <v>0</v>
      </c>
    </row>
    <row r="2439" spans="1:28" x14ac:dyDescent="0.25">
      <c r="A2439" s="16">
        <f>OrdersTable!A2439</f>
        <v>758</v>
      </c>
      <c r="B2439" s="15" t="str">
        <f t="shared" si="837"/>
        <v>Mr</v>
      </c>
      <c r="C2439" s="15" t="str">
        <f t="shared" si="836"/>
        <v>Whitehorn</v>
      </c>
      <c r="D2439" s="15" t="str">
        <f t="shared" si="838"/>
        <v>James</v>
      </c>
      <c r="E2439" s="15" t="str">
        <f t="shared" si="839"/>
        <v>32 Raubenheimer Circuit</v>
      </c>
      <c r="F2439" s="15" t="str">
        <f t="shared" si="840"/>
        <v>Belconnen</v>
      </c>
      <c r="G2439" s="15" t="str">
        <f t="shared" si="841"/>
        <v>ACT</v>
      </c>
      <c r="H2439" s="15">
        <f t="shared" si="842"/>
        <v>2617</v>
      </c>
      <c r="I2439" s="15">
        <f t="shared" si="853"/>
        <v>1194</v>
      </c>
      <c r="J2439" s="15">
        <f>OrdersTable!B2439</f>
        <v>643</v>
      </c>
      <c r="K2439" s="15" t="str">
        <f t="shared" si="843"/>
        <v>Mugs</v>
      </c>
      <c r="L2439" s="15" t="str">
        <f t="shared" si="844"/>
        <v>Doctor Who: Giant Mug: Logo</v>
      </c>
      <c r="M2439" s="15" t="str">
        <f t="shared" si="845"/>
        <v>-</v>
      </c>
      <c r="N2439" s="15">
        <f t="shared" si="846"/>
        <v>0.44500000000000001</v>
      </c>
      <c r="O2439" s="15" t="str">
        <f t="shared" si="847"/>
        <v>A10</v>
      </c>
      <c r="P2439" s="15" t="str">
        <f t="shared" si="848"/>
        <v>Gallifrey International</v>
      </c>
      <c r="Q2439" s="15" t="str">
        <f t="shared" si="849"/>
        <v>181 Arcadia Street</v>
      </c>
      <c r="R2439" s="3">
        <f>OrdersTable!C2439</f>
        <v>44736</v>
      </c>
      <c r="S2439" s="15">
        <f>OrdersTable!E2439</f>
        <v>1</v>
      </c>
      <c r="T2439" s="15">
        <f t="shared" si="850"/>
        <v>8.89</v>
      </c>
      <c r="U2439" s="15">
        <f t="shared" si="851"/>
        <v>12.19</v>
      </c>
      <c r="V2439" s="15">
        <f t="shared" si="852"/>
        <v>14.4</v>
      </c>
      <c r="W2439" s="15">
        <f>IF(MarkupType="Store Markup",ROUND(V2439+V2439*StoreMarkup,2),IF(MarkupType="Supplier Markup",V2439+V2439*SupplierMarkup,"Error at finding value"))</f>
        <v>22.68</v>
      </c>
      <c r="X2439" s="32" t="str">
        <f t="shared" si="854"/>
        <v>0.00</v>
      </c>
      <c r="Y2439" s="15">
        <f t="shared" si="855"/>
        <v>14.4</v>
      </c>
      <c r="Z2439" s="15">
        <f t="shared" si="856"/>
        <v>22.68</v>
      </c>
      <c r="AA2439" s="15">
        <f>IF(FreightType="Lethbridge-Stewart Freight ",ROUND(2.99+IF(N2439&gt;0.75,(N2439-0.75)*2.25,0)*S2439,2),IF(MarkupType="Supplier Markup",V2439+V2439*SupplierMarkup,"Error at finding value"))</f>
        <v>2.99</v>
      </c>
      <c r="AB2439" s="15">
        <f t="shared" si="857"/>
        <v>0</v>
      </c>
    </row>
    <row r="2440" spans="1:28" x14ac:dyDescent="0.25">
      <c r="A2440" s="16">
        <f>OrdersTable!A2440</f>
        <v>923</v>
      </c>
      <c r="B2440" s="15" t="str">
        <f t="shared" si="837"/>
        <v>Ms</v>
      </c>
      <c r="C2440" s="15" t="str">
        <f t="shared" si="836"/>
        <v>Savage</v>
      </c>
      <c r="D2440" s="15" t="str">
        <f t="shared" si="838"/>
        <v>Eliza Margaret</v>
      </c>
      <c r="E2440" s="15" t="str">
        <f t="shared" si="839"/>
        <v>28 Whisson Crescent</v>
      </c>
      <c r="F2440" s="15" t="str">
        <f t="shared" si="840"/>
        <v>Belconnen</v>
      </c>
      <c r="G2440" s="15" t="str">
        <f t="shared" si="841"/>
        <v>ACT</v>
      </c>
      <c r="H2440" s="15">
        <f t="shared" si="842"/>
        <v>2617</v>
      </c>
      <c r="I2440" s="15">
        <f t="shared" si="853"/>
        <v>1194</v>
      </c>
      <c r="J2440" s="15">
        <f>OrdersTable!B2440</f>
        <v>702</v>
      </c>
      <c r="K2440" s="15" t="str">
        <f t="shared" si="843"/>
        <v>Posters, Prints and Standees</v>
      </c>
      <c r="L2440" s="15" t="str">
        <f t="shared" si="844"/>
        <v>Doctor Who: Poster: Daleks</v>
      </c>
      <c r="M2440" s="15" t="str">
        <f t="shared" si="845"/>
        <v>-</v>
      </c>
      <c r="N2440" s="15">
        <f t="shared" si="846"/>
        <v>0.2</v>
      </c>
      <c r="O2440" s="15" t="str">
        <f t="shared" si="847"/>
        <v>A50</v>
      </c>
      <c r="P2440" s="15" t="str">
        <f t="shared" si="848"/>
        <v>Rassilon Ltd.</v>
      </c>
      <c r="Q2440" s="15" t="str">
        <f t="shared" si="849"/>
        <v>82 Richard Mathews Road</v>
      </c>
      <c r="R2440" s="3">
        <f>OrdersTable!C2440</f>
        <v>44736</v>
      </c>
      <c r="S2440" s="15">
        <f>OrdersTable!E2440</f>
        <v>8</v>
      </c>
      <c r="T2440" s="15">
        <f t="shared" si="850"/>
        <v>3.99</v>
      </c>
      <c r="U2440" s="15">
        <f t="shared" si="851"/>
        <v>5.46</v>
      </c>
      <c r="V2440" s="15">
        <f t="shared" si="852"/>
        <v>6.46</v>
      </c>
      <c r="W2440" s="15">
        <f>IF(MarkupType="Store Markup",ROUND(V2440+V2440*StoreMarkup,2),IF(MarkupType="Supplier Markup",V2440+V2440*SupplierMarkup,"Error at finding value"))</f>
        <v>10.17</v>
      </c>
      <c r="X2440" s="32" t="str">
        <f t="shared" si="854"/>
        <v>0.00</v>
      </c>
      <c r="Y2440" s="15">
        <f t="shared" si="855"/>
        <v>51.68</v>
      </c>
      <c r="Z2440" s="15">
        <f t="shared" si="856"/>
        <v>81.36</v>
      </c>
      <c r="AA2440" s="15">
        <f>IF(FreightType="Lethbridge-Stewart Freight ",ROUND(2.99+IF(N2440&gt;0.75,(N2440-0.75)*2.25,0)*S2440,2),IF(MarkupType="Supplier Markup",V2440+V2440*SupplierMarkup,"Error at finding value"))</f>
        <v>2.99</v>
      </c>
      <c r="AB2440" s="15">
        <f t="shared" si="857"/>
        <v>0</v>
      </c>
    </row>
    <row r="2441" spans="1:28" x14ac:dyDescent="0.25">
      <c r="A2441" s="16">
        <f>OrdersTable!A2441</f>
        <v>146</v>
      </c>
      <c r="B2441" s="15" t="str">
        <f t="shared" si="837"/>
        <v>Miss</v>
      </c>
      <c r="C2441" s="15" t="str">
        <f t="shared" si="836"/>
        <v>Brown</v>
      </c>
      <c r="D2441" s="15" t="str">
        <f t="shared" si="838"/>
        <v>Sarah Danielle</v>
      </c>
      <c r="E2441" s="15" t="str">
        <f t="shared" si="839"/>
        <v>50 Brieschke Court</v>
      </c>
      <c r="F2441" s="15" t="str">
        <f t="shared" si="840"/>
        <v>Bray Park</v>
      </c>
      <c r="G2441" s="15" t="str">
        <f t="shared" si="841"/>
        <v>QLD</v>
      </c>
      <c r="H2441" s="15">
        <f t="shared" si="842"/>
        <v>4500</v>
      </c>
      <c r="I2441" s="15">
        <f t="shared" si="853"/>
        <v>139</v>
      </c>
      <c r="J2441" s="15">
        <f>OrdersTable!B2441</f>
        <v>769</v>
      </c>
      <c r="K2441" s="15" t="str">
        <f t="shared" si="843"/>
        <v>Statues and Busts</v>
      </c>
      <c r="L2441" s="15" t="str">
        <f t="shared" si="844"/>
        <v>Doctor Who: Legends Forever Bust: Tom Baker</v>
      </c>
      <c r="M2441" s="15" t="str">
        <f t="shared" si="845"/>
        <v>-</v>
      </c>
      <c r="N2441" s="15">
        <f t="shared" si="846"/>
        <v>1.375</v>
      </c>
      <c r="O2441" s="15" t="str">
        <f t="shared" si="847"/>
        <v>A30</v>
      </c>
      <c r="P2441" s="15" t="str">
        <f t="shared" si="848"/>
        <v>Chesterton Enterprises</v>
      </c>
      <c r="Q2441" s="15" t="str">
        <f t="shared" si="849"/>
        <v>41 William Russell Road</v>
      </c>
      <c r="R2441" s="3">
        <f>OrdersTable!C2441</f>
        <v>44737</v>
      </c>
      <c r="S2441" s="15">
        <f>OrdersTable!E2441</f>
        <v>8</v>
      </c>
      <c r="T2441" s="15">
        <f t="shared" si="850"/>
        <v>27.5</v>
      </c>
      <c r="U2441" s="15">
        <f t="shared" si="851"/>
        <v>37.76</v>
      </c>
      <c r="V2441" s="15">
        <f t="shared" si="852"/>
        <v>44.55</v>
      </c>
      <c r="W2441" s="15">
        <f>IF(MarkupType="Store Markup",ROUND(V2441+V2441*StoreMarkup,2),IF(MarkupType="Supplier Markup",V2441+V2441*SupplierMarkup,"Error at finding value"))</f>
        <v>70.17</v>
      </c>
      <c r="X2441" s="32" t="str">
        <f t="shared" si="854"/>
        <v>0.00</v>
      </c>
      <c r="Y2441" s="15">
        <f t="shared" si="855"/>
        <v>356.4</v>
      </c>
      <c r="Z2441" s="15">
        <f t="shared" si="856"/>
        <v>561.36</v>
      </c>
      <c r="AA2441" s="15">
        <f>IF(FreightType="Lethbridge-Stewart Freight ",ROUND(2.99+IF(N2441&gt;0.75,(N2441-0.75)*2.25,0)*S2441,2),IF(MarkupType="Supplier Markup",V2441+V2441*SupplierMarkup,"Error at finding value"))</f>
        <v>14.24</v>
      </c>
      <c r="AB2441" s="15">
        <f t="shared" si="857"/>
        <v>0</v>
      </c>
    </row>
    <row r="2442" spans="1:28" x14ac:dyDescent="0.25">
      <c r="A2442" s="16">
        <f>OrdersTable!A2442</f>
        <v>284</v>
      </c>
      <c r="B2442" s="15" t="str">
        <f t="shared" si="837"/>
        <v>Mr</v>
      </c>
      <c r="C2442" s="15" t="str">
        <f t="shared" si="836"/>
        <v>Aitcheson</v>
      </c>
      <c r="D2442" s="15" t="str">
        <f t="shared" si="838"/>
        <v>Ben James</v>
      </c>
      <c r="E2442" s="15" t="str">
        <f t="shared" si="839"/>
        <v>32 Evans Avenue</v>
      </c>
      <c r="F2442" s="15" t="str">
        <f t="shared" si="840"/>
        <v>Batlow</v>
      </c>
      <c r="G2442" s="15" t="str">
        <f t="shared" si="841"/>
        <v>NSW</v>
      </c>
      <c r="H2442" s="15">
        <f t="shared" si="842"/>
        <v>2730</v>
      </c>
      <c r="I2442" s="15">
        <f t="shared" si="853"/>
        <v>1138</v>
      </c>
      <c r="J2442" s="15">
        <f>OrdersTable!B2442</f>
        <v>769</v>
      </c>
      <c r="K2442" s="15" t="str">
        <f t="shared" si="843"/>
        <v>Statues and Busts</v>
      </c>
      <c r="L2442" s="15" t="str">
        <f t="shared" si="844"/>
        <v>Doctor Who: Legends Forever Bust: Tom Baker</v>
      </c>
      <c r="M2442" s="15" t="str">
        <f t="shared" si="845"/>
        <v>-</v>
      </c>
      <c r="N2442" s="15">
        <f t="shared" si="846"/>
        <v>1.375</v>
      </c>
      <c r="O2442" s="15" t="str">
        <f t="shared" si="847"/>
        <v>A30</v>
      </c>
      <c r="P2442" s="15" t="str">
        <f t="shared" si="848"/>
        <v>Chesterton Enterprises</v>
      </c>
      <c r="Q2442" s="15" t="str">
        <f t="shared" si="849"/>
        <v>41 William Russell Road</v>
      </c>
      <c r="R2442" s="3">
        <f>OrdersTable!C2442</f>
        <v>44737</v>
      </c>
      <c r="S2442" s="15">
        <f>OrdersTable!E2442</f>
        <v>5</v>
      </c>
      <c r="T2442" s="15">
        <f t="shared" si="850"/>
        <v>27.5</v>
      </c>
      <c r="U2442" s="15">
        <f t="shared" si="851"/>
        <v>37.76</v>
      </c>
      <c r="V2442" s="15">
        <f t="shared" si="852"/>
        <v>44.55</v>
      </c>
      <c r="W2442" s="15">
        <f>IF(MarkupType="Store Markup",ROUND(V2442+V2442*StoreMarkup,2),IF(MarkupType="Supplier Markup",V2442+V2442*SupplierMarkup,"Error at finding value"))</f>
        <v>70.17</v>
      </c>
      <c r="X2442" s="32" t="str">
        <f t="shared" si="854"/>
        <v>0.00</v>
      </c>
      <c r="Y2442" s="15">
        <f t="shared" si="855"/>
        <v>222.75</v>
      </c>
      <c r="Z2442" s="15">
        <f t="shared" si="856"/>
        <v>350.85</v>
      </c>
      <c r="AA2442" s="15">
        <f>IF(FreightType="Lethbridge-Stewart Freight ",ROUND(2.99+IF(N2442&gt;0.75,(N2442-0.75)*2.25,0)*S2442,2),IF(MarkupType="Supplier Markup",V2442+V2442*SupplierMarkup,"Error at finding value"))</f>
        <v>10.02</v>
      </c>
      <c r="AB2442" s="15">
        <f t="shared" si="857"/>
        <v>0</v>
      </c>
    </row>
    <row r="2443" spans="1:28" x14ac:dyDescent="0.25">
      <c r="A2443" s="16">
        <f>OrdersTable!A2443</f>
        <v>331</v>
      </c>
      <c r="B2443" s="15" t="str">
        <f t="shared" si="837"/>
        <v>Mrs</v>
      </c>
      <c r="C2443" s="15" t="str">
        <f t="shared" ref="C2443:C2503" si="858">VLOOKUP($A2443,Cust,3,0)</f>
        <v>McKenzie</v>
      </c>
      <c r="D2443" s="15" t="str">
        <f t="shared" si="838"/>
        <v>Melinda Kate</v>
      </c>
      <c r="E2443" s="15" t="str">
        <f t="shared" si="839"/>
        <v>49 McKay Way</v>
      </c>
      <c r="F2443" s="15" t="str">
        <f t="shared" si="840"/>
        <v>Black Hills</v>
      </c>
      <c r="G2443" s="15" t="str">
        <f t="shared" si="841"/>
        <v>TAS</v>
      </c>
      <c r="H2443" s="15">
        <f t="shared" si="842"/>
        <v>7140</v>
      </c>
      <c r="I2443" s="15">
        <f t="shared" si="853"/>
        <v>2191</v>
      </c>
      <c r="J2443" s="15">
        <f>OrdersTable!B2443</f>
        <v>676</v>
      </c>
      <c r="K2443" s="15" t="str">
        <f t="shared" si="843"/>
        <v>Mugs</v>
      </c>
      <c r="L2443" s="15" t="str">
        <f t="shared" si="844"/>
        <v>Doctor Who: Mug: The Eleventh Doctor</v>
      </c>
      <c r="M2443" s="15" t="str">
        <f t="shared" si="845"/>
        <v>-</v>
      </c>
      <c r="N2443" s="15">
        <f t="shared" si="846"/>
        <v>0.45</v>
      </c>
      <c r="O2443" s="15" t="str">
        <f t="shared" si="847"/>
        <v>A20</v>
      </c>
      <c r="P2443" s="15" t="str">
        <f t="shared" si="848"/>
        <v>Morbius Inc.</v>
      </c>
      <c r="Q2443" s="15" t="str">
        <f t="shared" si="849"/>
        <v>56 Michael Spice Hwy</v>
      </c>
      <c r="R2443" s="3">
        <f>OrdersTable!C2443</f>
        <v>44737</v>
      </c>
      <c r="S2443" s="15">
        <f>OrdersTable!E2443</f>
        <v>7</v>
      </c>
      <c r="T2443" s="15">
        <f t="shared" si="850"/>
        <v>8.99</v>
      </c>
      <c r="U2443" s="15">
        <f t="shared" si="851"/>
        <v>12.55</v>
      </c>
      <c r="V2443" s="15">
        <f t="shared" si="852"/>
        <v>14.56</v>
      </c>
      <c r="W2443" s="15">
        <f>IF(MarkupType="Store Markup",ROUND(V2443+V2443*StoreMarkup,2),IF(MarkupType="Supplier Markup",V2443+V2443*SupplierMarkup,"Error at finding value"))</f>
        <v>22.93</v>
      </c>
      <c r="X2443" s="32" t="str">
        <f t="shared" si="854"/>
        <v>0.00</v>
      </c>
      <c r="Y2443" s="15">
        <f t="shared" si="855"/>
        <v>101.92</v>
      </c>
      <c r="Z2443" s="15">
        <f t="shared" si="856"/>
        <v>160.51</v>
      </c>
      <c r="AA2443" s="15">
        <f>IF(FreightType="Lethbridge-Stewart Freight ",ROUND(2.99+IF(N2443&gt;0.75,(N2443-0.75)*2.25,0)*S2443,2),IF(MarkupType="Supplier Markup",V2443+V2443*SupplierMarkup,"Error at finding value"))</f>
        <v>2.99</v>
      </c>
      <c r="AB2443" s="15">
        <f t="shared" si="857"/>
        <v>0</v>
      </c>
    </row>
    <row r="2444" spans="1:28" x14ac:dyDescent="0.25">
      <c r="A2444" s="16">
        <f>OrdersTable!A2444</f>
        <v>390</v>
      </c>
      <c r="B2444" s="15" t="str">
        <f t="shared" si="837"/>
        <v>Ms</v>
      </c>
      <c r="C2444" s="15" t="str">
        <f t="shared" si="858"/>
        <v>Queen</v>
      </c>
      <c r="D2444" s="15" t="str">
        <f t="shared" si="838"/>
        <v>Joanne</v>
      </c>
      <c r="E2444" s="15" t="str">
        <f t="shared" si="839"/>
        <v>30 Hall Drive</v>
      </c>
      <c r="F2444" s="15" t="str">
        <f t="shared" si="840"/>
        <v>Belconnen</v>
      </c>
      <c r="G2444" s="15" t="str">
        <f t="shared" si="841"/>
        <v>ACT</v>
      </c>
      <c r="H2444" s="15">
        <f t="shared" si="842"/>
        <v>2617</v>
      </c>
      <c r="I2444" s="15">
        <f t="shared" si="853"/>
        <v>1194</v>
      </c>
      <c r="J2444" s="15">
        <f>OrdersTable!B2444</f>
        <v>479</v>
      </c>
      <c r="K2444" s="15" t="str">
        <f t="shared" si="843"/>
        <v>Giftware</v>
      </c>
      <c r="L2444" s="15" t="str">
        <f t="shared" si="844"/>
        <v>Doctor Who: Keyring Dalek</v>
      </c>
      <c r="M2444" s="15" t="str">
        <f t="shared" si="845"/>
        <v>-</v>
      </c>
      <c r="N2444" s="15">
        <f t="shared" si="846"/>
        <v>0.25</v>
      </c>
      <c r="O2444" s="15" t="str">
        <f t="shared" si="847"/>
        <v>A10</v>
      </c>
      <c r="P2444" s="15" t="str">
        <f t="shared" si="848"/>
        <v>Gallifrey International</v>
      </c>
      <c r="Q2444" s="15" t="str">
        <f t="shared" si="849"/>
        <v>181 Arcadia Street</v>
      </c>
      <c r="R2444" s="3">
        <f>OrdersTable!C2444</f>
        <v>44737</v>
      </c>
      <c r="S2444" s="15">
        <f>OrdersTable!E2444</f>
        <v>6</v>
      </c>
      <c r="T2444" s="15">
        <f t="shared" si="850"/>
        <v>4.99</v>
      </c>
      <c r="U2444" s="15">
        <f t="shared" si="851"/>
        <v>6.86</v>
      </c>
      <c r="V2444" s="15">
        <f t="shared" si="852"/>
        <v>8.08</v>
      </c>
      <c r="W2444" s="15">
        <f>IF(MarkupType="Store Markup",ROUND(V2444+V2444*StoreMarkup,2),IF(MarkupType="Supplier Markup",V2444+V2444*SupplierMarkup,"Error at finding value"))</f>
        <v>12.73</v>
      </c>
      <c r="X2444" s="32" t="str">
        <f t="shared" si="854"/>
        <v>0.00</v>
      </c>
      <c r="Y2444" s="15">
        <f t="shared" si="855"/>
        <v>48.48</v>
      </c>
      <c r="Z2444" s="15">
        <f t="shared" si="856"/>
        <v>76.38</v>
      </c>
      <c r="AA2444" s="15">
        <f>IF(FreightType="Lethbridge-Stewart Freight ",ROUND(2.99+IF(N2444&gt;0.75,(N2444-0.75)*2.25,0)*S2444,2),IF(MarkupType="Supplier Markup",V2444+V2444*SupplierMarkup,"Error at finding value"))</f>
        <v>2.99</v>
      </c>
      <c r="AB2444" s="15">
        <f t="shared" si="857"/>
        <v>0</v>
      </c>
    </row>
    <row r="2445" spans="1:28" x14ac:dyDescent="0.25">
      <c r="A2445" s="16">
        <f>OrdersTable!A2445</f>
        <v>416</v>
      </c>
      <c r="B2445" s="15" t="str">
        <f t="shared" si="837"/>
        <v>Mr</v>
      </c>
      <c r="C2445" s="15" t="str">
        <f t="shared" si="858"/>
        <v>Mohammed</v>
      </c>
      <c r="D2445" s="15" t="str">
        <f t="shared" si="838"/>
        <v>Ahmed</v>
      </c>
      <c r="E2445" s="15" t="str">
        <f t="shared" si="839"/>
        <v>35 Ridley Avenue</v>
      </c>
      <c r="F2445" s="15" t="str">
        <f t="shared" si="840"/>
        <v>Iluka</v>
      </c>
      <c r="G2445" s="15" t="str">
        <f t="shared" si="841"/>
        <v>NSW</v>
      </c>
      <c r="H2445" s="15">
        <f t="shared" si="842"/>
        <v>2466</v>
      </c>
      <c r="I2445" s="15">
        <f t="shared" si="853"/>
        <v>347</v>
      </c>
      <c r="J2445" s="15">
        <f>OrdersTable!B2445</f>
        <v>530</v>
      </c>
      <c r="K2445" s="15" t="str">
        <f t="shared" si="843"/>
        <v>Giftware</v>
      </c>
      <c r="L2445" s="15" t="str">
        <f t="shared" si="844"/>
        <v>Doctor Who: Keyring TARDIS</v>
      </c>
      <c r="M2445" s="15" t="str">
        <f t="shared" si="845"/>
        <v>-</v>
      </c>
      <c r="N2445" s="15">
        <f t="shared" si="846"/>
        <v>0.25</v>
      </c>
      <c r="O2445" s="15" t="str">
        <f t="shared" si="847"/>
        <v>A20</v>
      </c>
      <c r="P2445" s="15" t="str">
        <f t="shared" si="848"/>
        <v>Morbius Inc.</v>
      </c>
      <c r="Q2445" s="15" t="str">
        <f t="shared" si="849"/>
        <v>56 Michael Spice Hwy</v>
      </c>
      <c r="R2445" s="3">
        <f>OrdersTable!C2445</f>
        <v>44737</v>
      </c>
      <c r="S2445" s="15">
        <f>OrdersTable!E2445</f>
        <v>6</v>
      </c>
      <c r="T2445" s="15">
        <f t="shared" si="850"/>
        <v>4.99</v>
      </c>
      <c r="U2445" s="15">
        <f t="shared" si="851"/>
        <v>7.1</v>
      </c>
      <c r="V2445" s="15">
        <f t="shared" si="852"/>
        <v>8.08</v>
      </c>
      <c r="W2445" s="15">
        <f>IF(MarkupType="Store Markup",ROUND(V2445+V2445*StoreMarkup,2),IF(MarkupType="Supplier Markup",V2445+V2445*SupplierMarkup,"Error at finding value"))</f>
        <v>12.73</v>
      </c>
      <c r="X2445" s="32" t="str">
        <f t="shared" si="854"/>
        <v>0.00</v>
      </c>
      <c r="Y2445" s="15">
        <f t="shared" si="855"/>
        <v>48.48</v>
      </c>
      <c r="Z2445" s="15">
        <f t="shared" si="856"/>
        <v>76.38</v>
      </c>
      <c r="AA2445" s="15">
        <f>IF(FreightType="Lethbridge-Stewart Freight ",ROUND(2.99+IF(N2445&gt;0.75,(N2445-0.75)*2.25,0)*S2445,2),IF(MarkupType="Supplier Markup",V2445+V2445*SupplierMarkup,"Error at finding value"))</f>
        <v>2.99</v>
      </c>
      <c r="AB2445" s="15">
        <f t="shared" si="857"/>
        <v>0</v>
      </c>
    </row>
    <row r="2446" spans="1:28" x14ac:dyDescent="0.25">
      <c r="A2446" s="16">
        <f>OrdersTable!A2446</f>
        <v>467</v>
      </c>
      <c r="B2446" s="15" t="str">
        <f t="shared" si="837"/>
        <v>Mrs</v>
      </c>
      <c r="C2446" s="15" t="str">
        <f t="shared" si="858"/>
        <v>Daniell</v>
      </c>
      <c r="D2446" s="15" t="str">
        <f t="shared" si="838"/>
        <v>Bronte Eliza</v>
      </c>
      <c r="E2446" s="15" t="str">
        <f t="shared" si="839"/>
        <v>41 Wilson Boulevard</v>
      </c>
      <c r="F2446" s="15" t="str">
        <f t="shared" si="840"/>
        <v>Aberfoyle</v>
      </c>
      <c r="G2446" s="15" t="str">
        <f t="shared" si="841"/>
        <v>NSW</v>
      </c>
      <c r="H2446" s="15">
        <f t="shared" si="842"/>
        <v>2350</v>
      </c>
      <c r="I2446" s="15">
        <f t="shared" si="853"/>
        <v>363</v>
      </c>
      <c r="J2446" s="15">
        <f>OrdersTable!B2446</f>
        <v>830</v>
      </c>
      <c r="K2446" s="15" t="str">
        <f t="shared" si="843"/>
        <v>Statues and Busts</v>
      </c>
      <c r="L2446" s="15" t="str">
        <f t="shared" si="844"/>
        <v>Doctor Who: Mini Bust: Weeping Angel</v>
      </c>
      <c r="M2446" s="15" t="str">
        <f t="shared" si="845"/>
        <v>-</v>
      </c>
      <c r="N2446" s="15">
        <f t="shared" si="846"/>
        <v>1.8</v>
      </c>
      <c r="O2446" s="15" t="str">
        <f t="shared" si="847"/>
        <v>A50</v>
      </c>
      <c r="P2446" s="15" t="str">
        <f t="shared" si="848"/>
        <v>Rassilon Ltd.</v>
      </c>
      <c r="Q2446" s="15" t="str">
        <f t="shared" si="849"/>
        <v>82 Richard Mathews Road</v>
      </c>
      <c r="R2446" s="3">
        <f>OrdersTable!C2446</f>
        <v>44737</v>
      </c>
      <c r="S2446" s="15">
        <f>OrdersTable!E2446</f>
        <v>3</v>
      </c>
      <c r="T2446" s="15">
        <f t="shared" si="850"/>
        <v>35.99</v>
      </c>
      <c r="U2446" s="15">
        <f t="shared" si="851"/>
        <v>49.35</v>
      </c>
      <c r="V2446" s="15">
        <f t="shared" si="852"/>
        <v>58.3</v>
      </c>
      <c r="W2446" s="15">
        <f>IF(MarkupType="Store Markup",ROUND(V2446+V2446*StoreMarkup,2),IF(MarkupType="Supplier Markup",V2446+V2446*SupplierMarkup,"Error at finding value"))</f>
        <v>91.82</v>
      </c>
      <c r="X2446" s="32" t="str">
        <f t="shared" si="854"/>
        <v>0.00</v>
      </c>
      <c r="Y2446" s="15">
        <f t="shared" si="855"/>
        <v>174.9</v>
      </c>
      <c r="Z2446" s="15">
        <f t="shared" si="856"/>
        <v>275.45999999999998</v>
      </c>
      <c r="AA2446" s="15">
        <f>IF(FreightType="Lethbridge-Stewart Freight ",ROUND(2.99+IF(N2446&gt;0.75,(N2446-0.75)*2.25,0)*S2446,2),IF(MarkupType="Supplier Markup",V2446+V2446*SupplierMarkup,"Error at finding value"))</f>
        <v>10.08</v>
      </c>
      <c r="AB2446" s="15">
        <f t="shared" si="857"/>
        <v>0</v>
      </c>
    </row>
    <row r="2447" spans="1:28" x14ac:dyDescent="0.25">
      <c r="A2447" s="16">
        <f>OrdersTable!A2447</f>
        <v>468</v>
      </c>
      <c r="B2447" s="15" t="str">
        <f t="shared" si="837"/>
        <v>Mrs</v>
      </c>
      <c r="C2447" s="15" t="str">
        <f t="shared" si="858"/>
        <v>Van Essen</v>
      </c>
      <c r="D2447" s="15" t="str">
        <f t="shared" si="838"/>
        <v>Bianca Jane</v>
      </c>
      <c r="E2447" s="15" t="str">
        <f t="shared" si="839"/>
        <v>47 Ward Circuit</v>
      </c>
      <c r="F2447" s="15" t="str">
        <f t="shared" si="840"/>
        <v>Batlow</v>
      </c>
      <c r="G2447" s="15" t="str">
        <f t="shared" si="841"/>
        <v>NSW</v>
      </c>
      <c r="H2447" s="15">
        <f t="shared" si="842"/>
        <v>2730</v>
      </c>
      <c r="I2447" s="15">
        <f t="shared" si="853"/>
        <v>1138</v>
      </c>
      <c r="J2447" s="15">
        <f>OrdersTable!B2447</f>
        <v>740</v>
      </c>
      <c r="K2447" s="15" t="str">
        <f t="shared" si="843"/>
        <v>Props and Replicas</v>
      </c>
      <c r="L2447" s="15" t="str">
        <f t="shared" si="844"/>
        <v>Doctor Who: River Song Squareness Blaster</v>
      </c>
      <c r="M2447" s="15" t="str">
        <f t="shared" si="845"/>
        <v>-</v>
      </c>
      <c r="N2447" s="15">
        <f t="shared" si="846"/>
        <v>14.8</v>
      </c>
      <c r="O2447" s="15" t="str">
        <f t="shared" si="847"/>
        <v>A40</v>
      </c>
      <c r="P2447" s="15" t="str">
        <f t="shared" si="848"/>
        <v>Romana Imports</v>
      </c>
      <c r="Q2447" s="15" t="str">
        <f t="shared" si="849"/>
        <v>17 Lalla Ward Road</v>
      </c>
      <c r="R2447" s="3">
        <f>OrdersTable!C2447</f>
        <v>44737</v>
      </c>
      <c r="S2447" s="15">
        <f>OrdersTable!E2447</f>
        <v>8</v>
      </c>
      <c r="T2447" s="15">
        <f t="shared" si="850"/>
        <v>295.99</v>
      </c>
      <c r="U2447" s="15">
        <f t="shared" si="851"/>
        <v>403.84</v>
      </c>
      <c r="V2447" s="15">
        <f t="shared" si="852"/>
        <v>479.5</v>
      </c>
      <c r="W2447" s="15">
        <f>IF(MarkupType="Store Markup",ROUND(V2447+V2447*StoreMarkup,2),IF(MarkupType="Supplier Markup",V2447+V2447*SupplierMarkup,"Error at finding value"))</f>
        <v>755.21</v>
      </c>
      <c r="X2447" s="32">
        <f t="shared" si="854"/>
        <v>53.81</v>
      </c>
      <c r="Y2447" s="15">
        <f t="shared" si="855"/>
        <v>3836</v>
      </c>
      <c r="Z2447" s="15">
        <f t="shared" si="856"/>
        <v>5611.2</v>
      </c>
      <c r="AA2447" s="15">
        <f>IF(FreightType="Lethbridge-Stewart Freight ",ROUND(2.99+IF(N2447&gt;0.75,(N2447-0.75)*2.25,0)*S2447,2),IF(MarkupType="Supplier Markup",V2447+V2447*SupplierMarkup,"Error at finding value"))</f>
        <v>255.89</v>
      </c>
      <c r="AB2447" s="15">
        <f t="shared" si="857"/>
        <v>430.48</v>
      </c>
    </row>
    <row r="2448" spans="1:28" x14ac:dyDescent="0.25">
      <c r="A2448" s="16">
        <f>OrdersTable!A2448</f>
        <v>489</v>
      </c>
      <c r="B2448" s="15" t="str">
        <f t="shared" si="837"/>
        <v>Mr</v>
      </c>
      <c r="C2448" s="15" t="str">
        <f t="shared" si="858"/>
        <v>Edwards</v>
      </c>
      <c r="D2448" s="15" t="str">
        <f t="shared" si="838"/>
        <v>Luke Russell</v>
      </c>
      <c r="E2448" s="15" t="str">
        <f t="shared" si="839"/>
        <v>43 Valusaga Court</v>
      </c>
      <c r="F2448" s="15" t="str">
        <f t="shared" si="840"/>
        <v>Alfredtown</v>
      </c>
      <c r="G2448" s="15" t="str">
        <f t="shared" si="841"/>
        <v>NSW</v>
      </c>
      <c r="H2448" s="15">
        <f t="shared" si="842"/>
        <v>2650</v>
      </c>
      <c r="I2448" s="15">
        <f t="shared" si="853"/>
        <v>1124</v>
      </c>
      <c r="J2448" s="15">
        <f>OrdersTable!B2448</f>
        <v>745</v>
      </c>
      <c r="K2448" s="15" t="str">
        <f t="shared" si="843"/>
        <v>Props and Replicas</v>
      </c>
      <c r="L2448" s="15" t="str">
        <f t="shared" si="844"/>
        <v>Doctor Who: TARDIS Type 40 Plaque</v>
      </c>
      <c r="M2448" s="15" t="str">
        <f t="shared" si="845"/>
        <v>-</v>
      </c>
      <c r="N2448" s="15">
        <f t="shared" si="846"/>
        <v>1.75</v>
      </c>
      <c r="O2448" s="15" t="str">
        <f t="shared" si="847"/>
        <v>A30</v>
      </c>
      <c r="P2448" s="15" t="str">
        <f t="shared" si="848"/>
        <v>Chesterton Enterprises</v>
      </c>
      <c r="Q2448" s="15" t="str">
        <f t="shared" si="849"/>
        <v>41 William Russell Road</v>
      </c>
      <c r="R2448" s="3">
        <f>OrdersTable!C2448</f>
        <v>44737</v>
      </c>
      <c r="S2448" s="15">
        <f>OrdersTable!E2448</f>
        <v>1</v>
      </c>
      <c r="T2448" s="15">
        <f t="shared" si="850"/>
        <v>34.99</v>
      </c>
      <c r="U2448" s="15">
        <f t="shared" si="851"/>
        <v>47.86</v>
      </c>
      <c r="V2448" s="15">
        <f t="shared" si="852"/>
        <v>56.68</v>
      </c>
      <c r="W2448" s="15">
        <f>IF(MarkupType="Store Markup",ROUND(V2448+V2448*StoreMarkup,2),IF(MarkupType="Supplier Markup",V2448+V2448*SupplierMarkup,"Error at finding value"))</f>
        <v>89.27</v>
      </c>
      <c r="X2448" s="32" t="str">
        <f t="shared" si="854"/>
        <v>0.00</v>
      </c>
      <c r="Y2448" s="15">
        <f t="shared" si="855"/>
        <v>56.68</v>
      </c>
      <c r="Z2448" s="15">
        <f t="shared" si="856"/>
        <v>89.27</v>
      </c>
      <c r="AA2448" s="15">
        <f>IF(FreightType="Lethbridge-Stewart Freight ",ROUND(2.99+IF(N2448&gt;0.75,(N2448-0.75)*2.25,0)*S2448,2),IF(MarkupType="Supplier Markup",V2448+V2448*SupplierMarkup,"Error at finding value"))</f>
        <v>5.24</v>
      </c>
      <c r="AB2448" s="15">
        <f t="shared" si="857"/>
        <v>0</v>
      </c>
    </row>
    <row r="2449" spans="1:28" x14ac:dyDescent="0.25">
      <c r="A2449" s="16">
        <f>OrdersTable!A2449</f>
        <v>761</v>
      </c>
      <c r="B2449" s="15" t="str">
        <f t="shared" si="837"/>
        <v>Miss</v>
      </c>
      <c r="C2449" s="15" t="str">
        <f t="shared" si="858"/>
        <v>Randall</v>
      </c>
      <c r="D2449" s="15" t="str">
        <f t="shared" si="838"/>
        <v>Kylee</v>
      </c>
      <c r="E2449" s="15" t="str">
        <f t="shared" si="839"/>
        <v>45 Cremasco Avenue</v>
      </c>
      <c r="F2449" s="15" t="str">
        <f t="shared" si="840"/>
        <v>Breakwater</v>
      </c>
      <c r="G2449" s="15" t="str">
        <f t="shared" si="841"/>
        <v>VIC</v>
      </c>
      <c r="H2449" s="15">
        <f t="shared" si="842"/>
        <v>3219</v>
      </c>
      <c r="I2449" s="15">
        <f t="shared" si="853"/>
        <v>1596</v>
      </c>
      <c r="J2449" s="15">
        <f>OrdersTable!B2449</f>
        <v>607</v>
      </c>
      <c r="K2449" s="15" t="str">
        <f t="shared" si="843"/>
        <v>iPhone Skins</v>
      </c>
      <c r="L2449" s="15" t="str">
        <f t="shared" si="844"/>
        <v>Doctor Who: iPhone Skin: Keep Calm I'm The Doctor</v>
      </c>
      <c r="M2449" s="15" t="str">
        <f t="shared" si="845"/>
        <v>-</v>
      </c>
      <c r="N2449" s="15">
        <f t="shared" si="846"/>
        <v>0.5</v>
      </c>
      <c r="O2449" s="15" t="str">
        <f t="shared" si="847"/>
        <v>A40</v>
      </c>
      <c r="P2449" s="15" t="str">
        <f t="shared" si="848"/>
        <v>Romana Imports</v>
      </c>
      <c r="Q2449" s="15" t="str">
        <f t="shared" si="849"/>
        <v>17 Lalla Ward Road</v>
      </c>
      <c r="R2449" s="3">
        <f>OrdersTable!C2449</f>
        <v>44737</v>
      </c>
      <c r="S2449" s="15">
        <f>OrdersTable!E2449</f>
        <v>9</v>
      </c>
      <c r="T2449" s="15">
        <f t="shared" si="850"/>
        <v>9.99</v>
      </c>
      <c r="U2449" s="15">
        <f t="shared" si="851"/>
        <v>13.81</v>
      </c>
      <c r="V2449" s="15">
        <f t="shared" si="852"/>
        <v>16.18</v>
      </c>
      <c r="W2449" s="15">
        <f>IF(MarkupType="Store Markup",ROUND(V2449+V2449*StoreMarkup,2),IF(MarkupType="Supplier Markup",V2449+V2449*SupplierMarkup,"Error at finding value"))</f>
        <v>25.48</v>
      </c>
      <c r="X2449" s="32" t="str">
        <f t="shared" si="854"/>
        <v>0.00</v>
      </c>
      <c r="Y2449" s="15">
        <f t="shared" si="855"/>
        <v>145.62</v>
      </c>
      <c r="Z2449" s="15">
        <f t="shared" si="856"/>
        <v>229.32</v>
      </c>
      <c r="AA2449" s="15">
        <f>IF(FreightType="Lethbridge-Stewart Freight ",ROUND(2.99+IF(N2449&gt;0.75,(N2449-0.75)*2.25,0)*S2449,2),IF(MarkupType="Supplier Markup",V2449+V2449*SupplierMarkup,"Error at finding value"))</f>
        <v>2.99</v>
      </c>
      <c r="AB2449" s="15">
        <f t="shared" si="857"/>
        <v>0</v>
      </c>
    </row>
    <row r="2450" spans="1:28" x14ac:dyDescent="0.25">
      <c r="A2450" s="16">
        <f>OrdersTable!A2450</f>
        <v>827</v>
      </c>
      <c r="B2450" s="15" t="str">
        <f t="shared" si="837"/>
        <v>Ms</v>
      </c>
      <c r="C2450" s="15" t="str">
        <f t="shared" si="858"/>
        <v>Ottaway</v>
      </c>
      <c r="D2450" s="15" t="str">
        <f t="shared" si="838"/>
        <v>Katherine</v>
      </c>
      <c r="E2450" s="15" t="str">
        <f t="shared" si="839"/>
        <v>7 Morrison Street</v>
      </c>
      <c r="F2450" s="15" t="str">
        <f t="shared" si="840"/>
        <v>Glenfern</v>
      </c>
      <c r="G2450" s="15" t="str">
        <f t="shared" si="841"/>
        <v>QLD</v>
      </c>
      <c r="H2450" s="15">
        <f t="shared" si="842"/>
        <v>4515</v>
      </c>
      <c r="I2450" s="15">
        <f t="shared" si="853"/>
        <v>128</v>
      </c>
      <c r="J2450" s="15">
        <f>OrdersTable!B2450</f>
        <v>679</v>
      </c>
      <c r="K2450" s="15" t="str">
        <f t="shared" si="843"/>
        <v>Mugs</v>
      </c>
      <c r="L2450" s="15" t="str">
        <f t="shared" si="844"/>
        <v>Doctor Who: Mug: The Fifth Doctor</v>
      </c>
      <c r="M2450" s="15" t="str">
        <f t="shared" si="845"/>
        <v>-</v>
      </c>
      <c r="N2450" s="15">
        <f t="shared" si="846"/>
        <v>0.45</v>
      </c>
      <c r="O2450" s="15" t="str">
        <f t="shared" si="847"/>
        <v>A40</v>
      </c>
      <c r="P2450" s="15" t="str">
        <f t="shared" si="848"/>
        <v>Romana Imports</v>
      </c>
      <c r="Q2450" s="15" t="str">
        <f t="shared" si="849"/>
        <v>17 Lalla Ward Road</v>
      </c>
      <c r="R2450" s="3">
        <f>OrdersTable!C2450</f>
        <v>44737</v>
      </c>
      <c r="S2450" s="15">
        <f>OrdersTable!E2450</f>
        <v>6</v>
      </c>
      <c r="T2450" s="15">
        <f t="shared" si="850"/>
        <v>8.99</v>
      </c>
      <c r="U2450" s="15">
        <f t="shared" si="851"/>
        <v>12.28</v>
      </c>
      <c r="V2450" s="15">
        <f t="shared" si="852"/>
        <v>14.56</v>
      </c>
      <c r="W2450" s="15">
        <f>IF(MarkupType="Store Markup",ROUND(V2450+V2450*StoreMarkup,2),IF(MarkupType="Supplier Markup",V2450+V2450*SupplierMarkup,"Error at finding value"))</f>
        <v>22.93</v>
      </c>
      <c r="X2450" s="32" t="str">
        <f t="shared" si="854"/>
        <v>0.00</v>
      </c>
      <c r="Y2450" s="15">
        <f t="shared" si="855"/>
        <v>87.36</v>
      </c>
      <c r="Z2450" s="15">
        <f t="shared" si="856"/>
        <v>137.58000000000001</v>
      </c>
      <c r="AA2450" s="15">
        <f>IF(FreightType="Lethbridge-Stewart Freight ",ROUND(2.99+IF(N2450&gt;0.75,(N2450-0.75)*2.25,0)*S2450,2),IF(MarkupType="Supplier Markup",V2450+V2450*SupplierMarkup,"Error at finding value"))</f>
        <v>2.99</v>
      </c>
      <c r="AB2450" s="15">
        <f t="shared" si="857"/>
        <v>0</v>
      </c>
    </row>
    <row r="2451" spans="1:28" x14ac:dyDescent="0.25">
      <c r="A2451" s="16">
        <f>OrdersTable!A2451</f>
        <v>983</v>
      </c>
      <c r="B2451" s="15" t="str">
        <f t="shared" si="837"/>
        <v>Mrs</v>
      </c>
      <c r="C2451" s="15" t="str">
        <f t="shared" si="858"/>
        <v>Bennett</v>
      </c>
      <c r="D2451" s="15" t="str">
        <f t="shared" si="838"/>
        <v>Mikayla Elizabeth</v>
      </c>
      <c r="E2451" s="15" t="str">
        <f t="shared" si="839"/>
        <v>35 Khanal Crescent</v>
      </c>
      <c r="F2451" s="15" t="str">
        <f t="shared" si="840"/>
        <v>Bamboo</v>
      </c>
      <c r="G2451" s="15" t="str">
        <f t="shared" si="841"/>
        <v>QLD</v>
      </c>
      <c r="H2451" s="15">
        <f t="shared" si="842"/>
        <v>4873</v>
      </c>
      <c r="I2451" s="15">
        <f t="shared" si="853"/>
        <v>1741</v>
      </c>
      <c r="J2451" s="15">
        <f>OrdersTable!B2451</f>
        <v>696</v>
      </c>
      <c r="K2451" s="15" t="str">
        <f t="shared" si="843"/>
        <v>Posters, Prints and Standees</v>
      </c>
      <c r="L2451" s="15" t="str">
        <f t="shared" si="844"/>
        <v xml:space="preserve">Doctor Who: 50th Anniversary: Poster: To Victory </v>
      </c>
      <c r="M2451" s="15" t="str">
        <f t="shared" si="845"/>
        <v>-</v>
      </c>
      <c r="N2451" s="15">
        <f t="shared" si="846"/>
        <v>0.2</v>
      </c>
      <c r="O2451" s="15" t="str">
        <f t="shared" si="847"/>
        <v>A40</v>
      </c>
      <c r="P2451" s="15" t="str">
        <f t="shared" si="848"/>
        <v>Romana Imports</v>
      </c>
      <c r="Q2451" s="15" t="str">
        <f t="shared" si="849"/>
        <v>17 Lalla Ward Road</v>
      </c>
      <c r="R2451" s="3">
        <f>OrdersTable!C2451</f>
        <v>44737</v>
      </c>
      <c r="S2451" s="15">
        <f>OrdersTable!E2451</f>
        <v>9</v>
      </c>
      <c r="T2451" s="15">
        <f t="shared" si="850"/>
        <v>3.99</v>
      </c>
      <c r="U2451" s="15">
        <f t="shared" si="851"/>
        <v>5.6</v>
      </c>
      <c r="V2451" s="15">
        <f t="shared" si="852"/>
        <v>6.46</v>
      </c>
      <c r="W2451" s="15">
        <f>IF(MarkupType="Store Markup",ROUND(V2451+V2451*StoreMarkup,2),IF(MarkupType="Supplier Markup",V2451+V2451*SupplierMarkup,"Error at finding value"))</f>
        <v>10.17</v>
      </c>
      <c r="X2451" s="32" t="str">
        <f t="shared" si="854"/>
        <v>0.00</v>
      </c>
      <c r="Y2451" s="15">
        <f t="shared" si="855"/>
        <v>58.14</v>
      </c>
      <c r="Z2451" s="15">
        <f t="shared" si="856"/>
        <v>91.53</v>
      </c>
      <c r="AA2451" s="15">
        <f>IF(FreightType="Lethbridge-Stewart Freight ",ROUND(2.99+IF(N2451&gt;0.75,(N2451-0.75)*2.25,0)*S2451,2),IF(MarkupType="Supplier Markup",V2451+V2451*SupplierMarkup,"Error at finding value"))</f>
        <v>2.99</v>
      </c>
      <c r="AB2451" s="15">
        <f t="shared" si="857"/>
        <v>0</v>
      </c>
    </row>
    <row r="2452" spans="1:28" x14ac:dyDescent="0.25">
      <c r="A2452" s="16">
        <f>OrdersTable!A2452</f>
        <v>989</v>
      </c>
      <c r="B2452" s="15" t="str">
        <f t="shared" si="837"/>
        <v>Miss</v>
      </c>
      <c r="C2452" s="15" t="str">
        <f t="shared" si="858"/>
        <v>McInnes</v>
      </c>
      <c r="D2452" s="15" t="str">
        <f t="shared" si="838"/>
        <v>Nina Marie</v>
      </c>
      <c r="E2452" s="15" t="str">
        <f t="shared" si="839"/>
        <v>28 Caruss Road</v>
      </c>
      <c r="F2452" s="15" t="str">
        <f t="shared" si="840"/>
        <v>Belford</v>
      </c>
      <c r="G2452" s="15" t="str">
        <f t="shared" si="841"/>
        <v>NSW</v>
      </c>
      <c r="H2452" s="15">
        <f t="shared" si="842"/>
        <v>2335</v>
      </c>
      <c r="I2452" s="15">
        <f t="shared" si="853"/>
        <v>716</v>
      </c>
      <c r="J2452" s="15">
        <f>OrdersTable!B2452</f>
        <v>812</v>
      </c>
      <c r="K2452" s="15" t="str">
        <f t="shared" si="843"/>
        <v>Statues and Busts</v>
      </c>
      <c r="L2452" s="15" t="str">
        <f t="shared" si="844"/>
        <v>Doctor Who: Masterpiece Collection Maxi Bust: Dalek: Day Of The Daleks</v>
      </c>
      <c r="M2452" s="15" t="str">
        <f t="shared" si="845"/>
        <v>-</v>
      </c>
      <c r="N2452" s="15">
        <f t="shared" si="846"/>
        <v>2.5</v>
      </c>
      <c r="O2452" s="15" t="str">
        <f t="shared" si="847"/>
        <v>A20</v>
      </c>
      <c r="P2452" s="15" t="str">
        <f t="shared" si="848"/>
        <v>Morbius Inc.</v>
      </c>
      <c r="Q2452" s="15" t="str">
        <f t="shared" si="849"/>
        <v>56 Michael Spice Hwy</v>
      </c>
      <c r="R2452" s="3">
        <f>OrdersTable!C2452</f>
        <v>44737</v>
      </c>
      <c r="S2452" s="15">
        <f>OrdersTable!E2452</f>
        <v>1</v>
      </c>
      <c r="T2452" s="15">
        <f t="shared" si="850"/>
        <v>49.99</v>
      </c>
      <c r="U2452" s="15">
        <f t="shared" si="851"/>
        <v>68.47</v>
      </c>
      <c r="V2452" s="15">
        <f t="shared" si="852"/>
        <v>80.98</v>
      </c>
      <c r="W2452" s="15">
        <f>IF(MarkupType="Store Markup",ROUND(V2452+V2452*StoreMarkup,2),IF(MarkupType="Supplier Markup",V2452+V2452*SupplierMarkup,"Error at finding value"))</f>
        <v>127.54</v>
      </c>
      <c r="X2452" s="32" t="str">
        <f t="shared" si="854"/>
        <v>0.00</v>
      </c>
      <c r="Y2452" s="15">
        <f t="shared" si="855"/>
        <v>80.98</v>
      </c>
      <c r="Z2452" s="15">
        <f t="shared" si="856"/>
        <v>127.54</v>
      </c>
      <c r="AA2452" s="15">
        <f>IF(FreightType="Lethbridge-Stewart Freight ",ROUND(2.99+IF(N2452&gt;0.75,(N2452-0.75)*2.25,0)*S2452,2),IF(MarkupType="Supplier Markup",V2452+V2452*SupplierMarkup,"Error at finding value"))</f>
        <v>6.93</v>
      </c>
      <c r="AB2452" s="15">
        <f t="shared" si="857"/>
        <v>0</v>
      </c>
    </row>
    <row r="2453" spans="1:28" x14ac:dyDescent="0.25">
      <c r="A2453" s="16">
        <f>OrdersTable!A2453</f>
        <v>22</v>
      </c>
      <c r="B2453" s="15" t="str">
        <f t="shared" si="837"/>
        <v>Mr</v>
      </c>
      <c r="C2453" s="15" t="str">
        <f t="shared" si="858"/>
        <v>Tyrrell</v>
      </c>
      <c r="D2453" s="15" t="str">
        <f t="shared" si="838"/>
        <v>Timothy James</v>
      </c>
      <c r="E2453" s="15" t="str">
        <f t="shared" si="839"/>
        <v>48 Lambourne Crescent</v>
      </c>
      <c r="F2453" s="15" t="str">
        <f t="shared" si="840"/>
        <v>Belford</v>
      </c>
      <c r="G2453" s="15" t="str">
        <f t="shared" si="841"/>
        <v>NSW</v>
      </c>
      <c r="H2453" s="15">
        <f t="shared" si="842"/>
        <v>2335</v>
      </c>
      <c r="I2453" s="15">
        <f t="shared" si="853"/>
        <v>716</v>
      </c>
      <c r="J2453" s="15">
        <f>OrdersTable!B2453</f>
        <v>316</v>
      </c>
      <c r="K2453" s="15" t="str">
        <f t="shared" si="843"/>
        <v>Clothing and Apparel</v>
      </c>
      <c r="L2453" s="15" t="str">
        <f t="shared" si="844"/>
        <v xml:space="preserve">Doctor Who: T-Shirts: 4th Doctor Costume </v>
      </c>
      <c r="M2453" s="15" t="str">
        <f t="shared" si="845"/>
        <v>S</v>
      </c>
      <c r="N2453" s="15">
        <f t="shared" si="846"/>
        <v>0.8</v>
      </c>
      <c r="O2453" s="15" t="str">
        <f t="shared" si="847"/>
        <v>A30</v>
      </c>
      <c r="P2453" s="15" t="str">
        <f t="shared" si="848"/>
        <v>Chesterton Enterprises</v>
      </c>
      <c r="Q2453" s="15" t="str">
        <f t="shared" si="849"/>
        <v>41 William Russell Road</v>
      </c>
      <c r="R2453" s="3">
        <f>OrdersTable!C2453</f>
        <v>44738</v>
      </c>
      <c r="S2453" s="15">
        <f>OrdersTable!E2453</f>
        <v>7</v>
      </c>
      <c r="T2453" s="15">
        <f t="shared" si="850"/>
        <v>15.99</v>
      </c>
      <c r="U2453" s="15">
        <f t="shared" si="851"/>
        <v>21.94</v>
      </c>
      <c r="V2453" s="15">
        <f t="shared" si="852"/>
        <v>25.9</v>
      </c>
      <c r="W2453" s="15">
        <f>IF(MarkupType="Store Markup",ROUND(V2453+V2453*StoreMarkup,2),IF(MarkupType="Supplier Markup",V2453+V2453*SupplierMarkup,"Error at finding value"))</f>
        <v>40.79</v>
      </c>
      <c r="X2453" s="32" t="str">
        <f t="shared" si="854"/>
        <v>0.00</v>
      </c>
      <c r="Y2453" s="15">
        <f t="shared" si="855"/>
        <v>181.3</v>
      </c>
      <c r="Z2453" s="15">
        <f t="shared" si="856"/>
        <v>285.52999999999997</v>
      </c>
      <c r="AA2453" s="15">
        <f>IF(FreightType="Lethbridge-Stewart Freight ",ROUND(2.99+IF(N2453&gt;0.75,(N2453-0.75)*2.25,0)*S2453,2),IF(MarkupType="Supplier Markup",V2453+V2453*SupplierMarkup,"Error at finding value"))</f>
        <v>3.78</v>
      </c>
      <c r="AB2453" s="15">
        <f t="shared" si="857"/>
        <v>0</v>
      </c>
    </row>
    <row r="2454" spans="1:28" x14ac:dyDescent="0.25">
      <c r="A2454" s="16">
        <f>OrdersTable!A2454</f>
        <v>489</v>
      </c>
      <c r="B2454" s="15" t="str">
        <f t="shared" si="837"/>
        <v>Mr</v>
      </c>
      <c r="C2454" s="15" t="str">
        <f t="shared" si="858"/>
        <v>Edwards</v>
      </c>
      <c r="D2454" s="15" t="str">
        <f t="shared" si="838"/>
        <v>Luke Russell</v>
      </c>
      <c r="E2454" s="15" t="str">
        <f t="shared" si="839"/>
        <v>43 Valusaga Court</v>
      </c>
      <c r="F2454" s="15" t="str">
        <f t="shared" si="840"/>
        <v>Alfredtown</v>
      </c>
      <c r="G2454" s="15" t="str">
        <f t="shared" si="841"/>
        <v>NSW</v>
      </c>
      <c r="H2454" s="15">
        <f t="shared" si="842"/>
        <v>2650</v>
      </c>
      <c r="I2454" s="15">
        <f t="shared" si="853"/>
        <v>1124</v>
      </c>
      <c r="J2454" s="15">
        <f>OrdersTable!B2454</f>
        <v>757</v>
      </c>
      <c r="K2454" s="15" t="str">
        <f t="shared" si="843"/>
        <v>Statues and Busts</v>
      </c>
      <c r="L2454" s="15" t="str">
        <f t="shared" si="844"/>
        <v>Doctor Who: Helmet: Ice Warrior</v>
      </c>
      <c r="M2454" s="15" t="str">
        <f t="shared" si="845"/>
        <v>-</v>
      </c>
      <c r="N2454" s="15">
        <f t="shared" si="846"/>
        <v>1.75</v>
      </c>
      <c r="O2454" s="15" t="str">
        <f t="shared" si="847"/>
        <v>A20</v>
      </c>
      <c r="P2454" s="15" t="str">
        <f t="shared" si="848"/>
        <v>Morbius Inc.</v>
      </c>
      <c r="Q2454" s="15" t="str">
        <f t="shared" si="849"/>
        <v>56 Michael Spice Hwy</v>
      </c>
      <c r="R2454" s="3">
        <f>OrdersTable!C2454</f>
        <v>44738</v>
      </c>
      <c r="S2454" s="15">
        <f>OrdersTable!E2454</f>
        <v>4</v>
      </c>
      <c r="T2454" s="15">
        <f t="shared" si="850"/>
        <v>34.99</v>
      </c>
      <c r="U2454" s="15">
        <f t="shared" si="851"/>
        <v>47.88</v>
      </c>
      <c r="V2454" s="15">
        <f t="shared" si="852"/>
        <v>56.68</v>
      </c>
      <c r="W2454" s="15">
        <f>IF(MarkupType="Store Markup",ROUND(V2454+V2454*StoreMarkup,2),IF(MarkupType="Supplier Markup",V2454+V2454*SupplierMarkup,"Error at finding value"))</f>
        <v>89.27</v>
      </c>
      <c r="X2454" s="32" t="str">
        <f t="shared" si="854"/>
        <v>0.00</v>
      </c>
      <c r="Y2454" s="15">
        <f t="shared" si="855"/>
        <v>226.72</v>
      </c>
      <c r="Z2454" s="15">
        <f t="shared" si="856"/>
        <v>357.08</v>
      </c>
      <c r="AA2454" s="15">
        <f>IF(FreightType="Lethbridge-Stewart Freight ",ROUND(2.99+IF(N2454&gt;0.75,(N2454-0.75)*2.25,0)*S2454,2),IF(MarkupType="Supplier Markup",V2454+V2454*SupplierMarkup,"Error at finding value"))</f>
        <v>11.99</v>
      </c>
      <c r="AB2454" s="15">
        <f t="shared" si="857"/>
        <v>0</v>
      </c>
    </row>
    <row r="2455" spans="1:28" x14ac:dyDescent="0.25">
      <c r="A2455" s="16">
        <f>OrdersTable!A2455</f>
        <v>491</v>
      </c>
      <c r="B2455" s="15" t="str">
        <f t="shared" si="837"/>
        <v>Miss</v>
      </c>
      <c r="C2455" s="15" t="str">
        <f t="shared" si="858"/>
        <v>Winks</v>
      </c>
      <c r="D2455" s="15" t="str">
        <f t="shared" si="838"/>
        <v>Lori-Ann</v>
      </c>
      <c r="E2455" s="15" t="str">
        <f t="shared" si="839"/>
        <v>40 Lyne Street</v>
      </c>
      <c r="F2455" s="15" t="str">
        <f t="shared" si="840"/>
        <v>Bray Park</v>
      </c>
      <c r="G2455" s="15" t="str">
        <f t="shared" si="841"/>
        <v>QLD</v>
      </c>
      <c r="H2455" s="15">
        <f t="shared" si="842"/>
        <v>4500</v>
      </c>
      <c r="I2455" s="15">
        <f t="shared" si="853"/>
        <v>139</v>
      </c>
      <c r="J2455" s="15">
        <f>OrdersTable!B2455</f>
        <v>769</v>
      </c>
      <c r="K2455" s="15" t="str">
        <f t="shared" si="843"/>
        <v>Statues and Busts</v>
      </c>
      <c r="L2455" s="15" t="str">
        <f t="shared" si="844"/>
        <v>Doctor Who: Legends Forever Bust: Tom Baker</v>
      </c>
      <c r="M2455" s="15" t="str">
        <f t="shared" si="845"/>
        <v>-</v>
      </c>
      <c r="N2455" s="15">
        <f t="shared" si="846"/>
        <v>1.375</v>
      </c>
      <c r="O2455" s="15" t="str">
        <f t="shared" si="847"/>
        <v>A30</v>
      </c>
      <c r="P2455" s="15" t="str">
        <f t="shared" si="848"/>
        <v>Chesterton Enterprises</v>
      </c>
      <c r="Q2455" s="15" t="str">
        <f t="shared" si="849"/>
        <v>41 William Russell Road</v>
      </c>
      <c r="R2455" s="3">
        <f>OrdersTable!C2455</f>
        <v>44738</v>
      </c>
      <c r="S2455" s="15">
        <f>OrdersTable!E2455</f>
        <v>1</v>
      </c>
      <c r="T2455" s="15">
        <f t="shared" si="850"/>
        <v>27.5</v>
      </c>
      <c r="U2455" s="15">
        <f t="shared" si="851"/>
        <v>37.76</v>
      </c>
      <c r="V2455" s="15">
        <f t="shared" si="852"/>
        <v>44.55</v>
      </c>
      <c r="W2455" s="15">
        <f>IF(MarkupType="Store Markup",ROUND(V2455+V2455*StoreMarkup,2),IF(MarkupType="Supplier Markup",V2455+V2455*SupplierMarkup,"Error at finding value"))</f>
        <v>70.17</v>
      </c>
      <c r="X2455" s="32" t="str">
        <f t="shared" si="854"/>
        <v>0.00</v>
      </c>
      <c r="Y2455" s="15">
        <f t="shared" si="855"/>
        <v>44.55</v>
      </c>
      <c r="Z2455" s="15">
        <f t="shared" si="856"/>
        <v>70.17</v>
      </c>
      <c r="AA2455" s="15">
        <f>IF(FreightType="Lethbridge-Stewart Freight ",ROUND(2.99+IF(N2455&gt;0.75,(N2455-0.75)*2.25,0)*S2455,2),IF(MarkupType="Supplier Markup",V2455+V2455*SupplierMarkup,"Error at finding value"))</f>
        <v>4.4000000000000004</v>
      </c>
      <c r="AB2455" s="15">
        <f t="shared" si="857"/>
        <v>0</v>
      </c>
    </row>
    <row r="2456" spans="1:28" x14ac:dyDescent="0.25">
      <c r="A2456" s="16">
        <f>OrdersTable!A2456</f>
        <v>543</v>
      </c>
      <c r="B2456" s="15" t="str">
        <f t="shared" si="837"/>
        <v>Ms</v>
      </c>
      <c r="C2456" s="15" t="str">
        <f t="shared" si="858"/>
        <v>Mendezona</v>
      </c>
      <c r="D2456" s="15" t="str">
        <f t="shared" si="838"/>
        <v>Tara Colleen-Mary</v>
      </c>
      <c r="E2456" s="15" t="str">
        <f t="shared" si="839"/>
        <v>27 Picone Drive</v>
      </c>
      <c r="F2456" s="15" t="str">
        <f t="shared" si="840"/>
        <v>Aberfoyle</v>
      </c>
      <c r="G2456" s="15" t="str">
        <f t="shared" si="841"/>
        <v>NSW</v>
      </c>
      <c r="H2456" s="15">
        <f t="shared" si="842"/>
        <v>2350</v>
      </c>
      <c r="I2456" s="15">
        <f t="shared" si="853"/>
        <v>363</v>
      </c>
      <c r="J2456" s="15">
        <f>OrdersTable!B2456</f>
        <v>709</v>
      </c>
      <c r="K2456" s="15" t="str">
        <f t="shared" si="843"/>
        <v>Posters, Prints and Standees</v>
      </c>
      <c r="L2456" s="15" t="str">
        <f t="shared" si="844"/>
        <v>Doctor Who: Poster: Metallic TARDIS</v>
      </c>
      <c r="M2456" s="15" t="str">
        <f t="shared" si="845"/>
        <v>-</v>
      </c>
      <c r="N2456" s="15">
        <f t="shared" si="846"/>
        <v>0.2</v>
      </c>
      <c r="O2456" s="15" t="str">
        <f t="shared" si="847"/>
        <v>A10</v>
      </c>
      <c r="P2456" s="15" t="str">
        <f t="shared" si="848"/>
        <v>Gallifrey International</v>
      </c>
      <c r="Q2456" s="15" t="str">
        <f t="shared" si="849"/>
        <v>181 Arcadia Street</v>
      </c>
      <c r="R2456" s="3">
        <f>OrdersTable!C2456</f>
        <v>44738</v>
      </c>
      <c r="S2456" s="15">
        <f>OrdersTable!E2456</f>
        <v>9</v>
      </c>
      <c r="T2456" s="15">
        <f t="shared" si="850"/>
        <v>3.99</v>
      </c>
      <c r="U2456" s="15">
        <f t="shared" si="851"/>
        <v>5.71</v>
      </c>
      <c r="V2456" s="15">
        <f t="shared" si="852"/>
        <v>6.46</v>
      </c>
      <c r="W2456" s="15">
        <f>IF(MarkupType="Store Markup",ROUND(V2456+V2456*StoreMarkup,2),IF(MarkupType="Supplier Markup",V2456+V2456*SupplierMarkup,"Error at finding value"))</f>
        <v>10.17</v>
      </c>
      <c r="X2456" s="32" t="str">
        <f t="shared" si="854"/>
        <v>0.00</v>
      </c>
      <c r="Y2456" s="15">
        <f t="shared" si="855"/>
        <v>58.14</v>
      </c>
      <c r="Z2456" s="15">
        <f t="shared" si="856"/>
        <v>91.53</v>
      </c>
      <c r="AA2456" s="15">
        <f>IF(FreightType="Lethbridge-Stewart Freight ",ROUND(2.99+IF(N2456&gt;0.75,(N2456-0.75)*2.25,0)*S2456,2),IF(MarkupType="Supplier Markup",V2456+V2456*SupplierMarkup,"Error at finding value"))</f>
        <v>2.99</v>
      </c>
      <c r="AB2456" s="15">
        <f t="shared" si="857"/>
        <v>0</v>
      </c>
    </row>
    <row r="2457" spans="1:28" x14ac:dyDescent="0.25">
      <c r="A2457" s="16">
        <f>OrdersTable!A2457</f>
        <v>543</v>
      </c>
      <c r="B2457" s="15" t="str">
        <f t="shared" si="837"/>
        <v>Ms</v>
      </c>
      <c r="C2457" s="15" t="str">
        <f t="shared" si="858"/>
        <v>Mendezona</v>
      </c>
      <c r="D2457" s="15" t="str">
        <f t="shared" si="838"/>
        <v>Tara Colleen-Mary</v>
      </c>
      <c r="E2457" s="15" t="str">
        <f t="shared" si="839"/>
        <v>27 Picone Drive</v>
      </c>
      <c r="F2457" s="15" t="str">
        <f t="shared" si="840"/>
        <v>Aberfoyle</v>
      </c>
      <c r="G2457" s="15" t="str">
        <f t="shared" si="841"/>
        <v>NSW</v>
      </c>
      <c r="H2457" s="15">
        <f t="shared" si="842"/>
        <v>2350</v>
      </c>
      <c r="I2457" s="15">
        <f t="shared" si="853"/>
        <v>363</v>
      </c>
      <c r="J2457" s="15">
        <f>OrdersTable!B2457</f>
        <v>780</v>
      </c>
      <c r="K2457" s="15" t="str">
        <f t="shared" si="843"/>
        <v>Statues and Busts</v>
      </c>
      <c r="L2457" s="15" t="str">
        <f t="shared" si="844"/>
        <v>Doctor Who: Masterpiece Collection Dalek: Genesis Of The Daleks</v>
      </c>
      <c r="M2457" s="15" t="str">
        <f t="shared" si="845"/>
        <v>-</v>
      </c>
      <c r="N2457" s="15">
        <f t="shared" si="846"/>
        <v>2.5</v>
      </c>
      <c r="O2457" s="15" t="str">
        <f t="shared" si="847"/>
        <v>A30</v>
      </c>
      <c r="P2457" s="15" t="str">
        <f t="shared" si="848"/>
        <v>Chesterton Enterprises</v>
      </c>
      <c r="Q2457" s="15" t="str">
        <f t="shared" si="849"/>
        <v>41 William Russell Road</v>
      </c>
      <c r="R2457" s="3">
        <f>OrdersTable!C2457</f>
        <v>44738</v>
      </c>
      <c r="S2457" s="15">
        <f>OrdersTable!E2457</f>
        <v>9</v>
      </c>
      <c r="T2457" s="15">
        <f t="shared" si="850"/>
        <v>49.99</v>
      </c>
      <c r="U2457" s="15">
        <f t="shared" si="851"/>
        <v>68.23</v>
      </c>
      <c r="V2457" s="15">
        <f t="shared" si="852"/>
        <v>80.98</v>
      </c>
      <c r="W2457" s="15">
        <f>IF(MarkupType="Store Markup",ROUND(V2457+V2457*StoreMarkup,2),IF(MarkupType="Supplier Markup",V2457+V2457*SupplierMarkup,"Error at finding value"))</f>
        <v>127.54</v>
      </c>
      <c r="X2457" s="32">
        <f t="shared" si="854"/>
        <v>9.09</v>
      </c>
      <c r="Y2457" s="15">
        <f t="shared" si="855"/>
        <v>728.82</v>
      </c>
      <c r="Z2457" s="15">
        <f t="shared" si="856"/>
        <v>1066.05</v>
      </c>
      <c r="AA2457" s="15">
        <f>IF(FreightType="Lethbridge-Stewart Freight ",ROUND(2.99+IF(N2457&gt;0.75,(N2457-0.75)*2.25,0)*S2457,2),IF(MarkupType="Supplier Markup",V2457+V2457*SupplierMarkup,"Error at finding value"))</f>
        <v>38.43</v>
      </c>
      <c r="AB2457" s="15">
        <f t="shared" si="857"/>
        <v>81.81</v>
      </c>
    </row>
    <row r="2458" spans="1:28" x14ac:dyDescent="0.25">
      <c r="A2458" s="16">
        <f>OrdersTable!A2458</f>
        <v>557</v>
      </c>
      <c r="B2458" s="15" t="str">
        <f t="shared" si="837"/>
        <v>Mrs</v>
      </c>
      <c r="C2458" s="15" t="str">
        <f t="shared" si="858"/>
        <v>Allen</v>
      </c>
      <c r="D2458" s="15" t="str">
        <f t="shared" si="838"/>
        <v>Morgan</v>
      </c>
      <c r="E2458" s="15" t="str">
        <f t="shared" si="839"/>
        <v>15 Winsor Street</v>
      </c>
      <c r="F2458" s="15" t="str">
        <f t="shared" si="840"/>
        <v>Appletree Flat</v>
      </c>
      <c r="G2458" s="15" t="str">
        <f t="shared" si="841"/>
        <v>NSW</v>
      </c>
      <c r="H2458" s="15">
        <f t="shared" si="842"/>
        <v>2330</v>
      </c>
      <c r="I2458" s="15">
        <f t="shared" si="853"/>
        <v>691</v>
      </c>
      <c r="J2458" s="15">
        <f>OrdersTable!B2458</f>
        <v>667</v>
      </c>
      <c r="K2458" s="15" t="str">
        <f t="shared" si="843"/>
        <v>Mugs</v>
      </c>
      <c r="L2458" s="15" t="str">
        <f t="shared" si="844"/>
        <v>Doctor Who: Mug: Keep Calm And Don't Blink</v>
      </c>
      <c r="M2458" s="15" t="str">
        <f t="shared" si="845"/>
        <v>-</v>
      </c>
      <c r="N2458" s="15">
        <f t="shared" si="846"/>
        <v>0.35</v>
      </c>
      <c r="O2458" s="15" t="str">
        <f t="shared" si="847"/>
        <v>A10</v>
      </c>
      <c r="P2458" s="15" t="str">
        <f t="shared" si="848"/>
        <v>Gallifrey International</v>
      </c>
      <c r="Q2458" s="15" t="str">
        <f t="shared" si="849"/>
        <v>181 Arcadia Street</v>
      </c>
      <c r="R2458" s="3">
        <f>OrdersTable!C2458</f>
        <v>44738</v>
      </c>
      <c r="S2458" s="15">
        <f>OrdersTable!E2458</f>
        <v>2</v>
      </c>
      <c r="T2458" s="15">
        <f t="shared" si="850"/>
        <v>6.99</v>
      </c>
      <c r="U2458" s="15">
        <f t="shared" si="851"/>
        <v>9.84</v>
      </c>
      <c r="V2458" s="15">
        <f t="shared" si="852"/>
        <v>11.32</v>
      </c>
      <c r="W2458" s="15">
        <f>IF(MarkupType="Store Markup",ROUND(V2458+V2458*StoreMarkup,2),IF(MarkupType="Supplier Markup",V2458+V2458*SupplierMarkup,"Error at finding value"))</f>
        <v>17.829999999999998</v>
      </c>
      <c r="X2458" s="32" t="str">
        <f t="shared" si="854"/>
        <v>0.00</v>
      </c>
      <c r="Y2458" s="15">
        <f t="shared" si="855"/>
        <v>22.64</v>
      </c>
      <c r="Z2458" s="15">
        <f t="shared" si="856"/>
        <v>35.659999999999997</v>
      </c>
      <c r="AA2458" s="15">
        <f>IF(FreightType="Lethbridge-Stewart Freight ",ROUND(2.99+IF(N2458&gt;0.75,(N2458-0.75)*2.25,0)*S2458,2),IF(MarkupType="Supplier Markup",V2458+V2458*SupplierMarkup,"Error at finding value"))</f>
        <v>2.99</v>
      </c>
      <c r="AB2458" s="15">
        <f t="shared" si="857"/>
        <v>0</v>
      </c>
    </row>
    <row r="2459" spans="1:28" x14ac:dyDescent="0.25">
      <c r="A2459" s="16">
        <f>OrdersTable!A2459</f>
        <v>609</v>
      </c>
      <c r="B2459" s="15" t="str">
        <f t="shared" si="837"/>
        <v>Ms</v>
      </c>
      <c r="C2459" s="15" t="str">
        <f t="shared" si="858"/>
        <v>Ashley</v>
      </c>
      <c r="D2459" s="15" t="str">
        <f t="shared" si="838"/>
        <v>Matthew</v>
      </c>
      <c r="E2459" s="15" t="str">
        <f t="shared" si="839"/>
        <v>3 Wagener Crescent</v>
      </c>
      <c r="F2459" s="15" t="str">
        <f t="shared" si="840"/>
        <v>Aberfoyle</v>
      </c>
      <c r="G2459" s="15" t="str">
        <f t="shared" si="841"/>
        <v>NSW</v>
      </c>
      <c r="H2459" s="15">
        <f t="shared" si="842"/>
        <v>2350</v>
      </c>
      <c r="I2459" s="15">
        <f t="shared" si="853"/>
        <v>363</v>
      </c>
      <c r="J2459" s="15">
        <f>OrdersTable!B2459</f>
        <v>196</v>
      </c>
      <c r="K2459" s="15" t="str">
        <f t="shared" si="843"/>
        <v>Clothing and Apparel</v>
      </c>
      <c r="L2459" s="15" t="str">
        <f t="shared" si="844"/>
        <v>Doctor Who: 12 Foot Tom Baker Scarf</v>
      </c>
      <c r="M2459" s="15" t="str">
        <f t="shared" si="845"/>
        <v>-</v>
      </c>
      <c r="N2459" s="15">
        <f t="shared" si="846"/>
        <v>2.5</v>
      </c>
      <c r="O2459" s="15" t="str">
        <f t="shared" si="847"/>
        <v>A40</v>
      </c>
      <c r="P2459" s="15" t="str">
        <f t="shared" si="848"/>
        <v>Romana Imports</v>
      </c>
      <c r="Q2459" s="15" t="str">
        <f t="shared" si="849"/>
        <v>17 Lalla Ward Road</v>
      </c>
      <c r="R2459" s="3">
        <f>OrdersTable!C2459</f>
        <v>44738</v>
      </c>
      <c r="S2459" s="15">
        <f>OrdersTable!E2459</f>
        <v>1</v>
      </c>
      <c r="T2459" s="15">
        <f t="shared" si="850"/>
        <v>49.99</v>
      </c>
      <c r="U2459" s="15">
        <f t="shared" si="851"/>
        <v>68.28</v>
      </c>
      <c r="V2459" s="15">
        <f t="shared" si="852"/>
        <v>80.98</v>
      </c>
      <c r="W2459" s="15">
        <f>IF(MarkupType="Store Markup",ROUND(V2459+V2459*StoreMarkup,2),IF(MarkupType="Supplier Markup",V2459+V2459*SupplierMarkup,"Error at finding value"))</f>
        <v>127.54</v>
      </c>
      <c r="X2459" s="32" t="str">
        <f t="shared" si="854"/>
        <v>0.00</v>
      </c>
      <c r="Y2459" s="15">
        <f t="shared" si="855"/>
        <v>80.98</v>
      </c>
      <c r="Z2459" s="15">
        <f t="shared" si="856"/>
        <v>127.54</v>
      </c>
      <c r="AA2459" s="15">
        <f>IF(FreightType="Lethbridge-Stewart Freight ",ROUND(2.99+IF(N2459&gt;0.75,(N2459-0.75)*2.25,0)*S2459,2),IF(MarkupType="Supplier Markup",V2459+V2459*SupplierMarkup,"Error at finding value"))</f>
        <v>6.93</v>
      </c>
      <c r="AB2459" s="15">
        <f t="shared" si="857"/>
        <v>0</v>
      </c>
    </row>
    <row r="2460" spans="1:28" x14ac:dyDescent="0.25">
      <c r="A2460" s="16">
        <f>OrdersTable!A2460</f>
        <v>610</v>
      </c>
      <c r="B2460" s="15" t="str">
        <f t="shared" si="837"/>
        <v>Ms</v>
      </c>
      <c r="C2460" s="15" t="str">
        <f t="shared" si="858"/>
        <v>Bichel</v>
      </c>
      <c r="D2460" s="15" t="str">
        <f t="shared" si="838"/>
        <v>Abbey Kate</v>
      </c>
      <c r="E2460" s="15" t="str">
        <f t="shared" si="839"/>
        <v>32 Rambau Avenue</v>
      </c>
      <c r="F2460" s="15" t="str">
        <f t="shared" si="840"/>
        <v>Bamboo</v>
      </c>
      <c r="G2460" s="15" t="str">
        <f t="shared" si="841"/>
        <v>QLD</v>
      </c>
      <c r="H2460" s="15">
        <f t="shared" si="842"/>
        <v>4873</v>
      </c>
      <c r="I2460" s="15">
        <f t="shared" si="853"/>
        <v>1741</v>
      </c>
      <c r="J2460" s="15">
        <f>OrdersTable!B2460</f>
        <v>585</v>
      </c>
      <c r="K2460" s="15" t="str">
        <f t="shared" si="843"/>
        <v>iPhone Skins</v>
      </c>
      <c r="L2460" s="15" t="str">
        <f t="shared" si="844"/>
        <v>Doctor Who: iPhone Skin: Dalek To Victory</v>
      </c>
      <c r="M2460" s="15" t="str">
        <f t="shared" si="845"/>
        <v>-</v>
      </c>
      <c r="N2460" s="15">
        <f t="shared" si="846"/>
        <v>0.5</v>
      </c>
      <c r="O2460" s="15" t="str">
        <f t="shared" si="847"/>
        <v>A10</v>
      </c>
      <c r="P2460" s="15" t="str">
        <f t="shared" si="848"/>
        <v>Gallifrey International</v>
      </c>
      <c r="Q2460" s="15" t="str">
        <f t="shared" si="849"/>
        <v>181 Arcadia Street</v>
      </c>
      <c r="R2460" s="3">
        <f>OrdersTable!C2460</f>
        <v>44738</v>
      </c>
      <c r="S2460" s="15">
        <f>OrdersTable!E2460</f>
        <v>6</v>
      </c>
      <c r="T2460" s="15">
        <f t="shared" si="850"/>
        <v>9.99</v>
      </c>
      <c r="U2460" s="15">
        <f t="shared" si="851"/>
        <v>13.7</v>
      </c>
      <c r="V2460" s="15">
        <f t="shared" si="852"/>
        <v>16.18</v>
      </c>
      <c r="W2460" s="15">
        <f>IF(MarkupType="Store Markup",ROUND(V2460+V2460*StoreMarkup,2),IF(MarkupType="Supplier Markup",V2460+V2460*SupplierMarkup,"Error at finding value"))</f>
        <v>25.48</v>
      </c>
      <c r="X2460" s="32" t="str">
        <f t="shared" si="854"/>
        <v>0.00</v>
      </c>
      <c r="Y2460" s="15">
        <f t="shared" si="855"/>
        <v>97.08</v>
      </c>
      <c r="Z2460" s="15">
        <f t="shared" si="856"/>
        <v>152.88</v>
      </c>
      <c r="AA2460" s="15">
        <f>IF(FreightType="Lethbridge-Stewart Freight ",ROUND(2.99+IF(N2460&gt;0.75,(N2460-0.75)*2.25,0)*S2460,2),IF(MarkupType="Supplier Markup",V2460+V2460*SupplierMarkup,"Error at finding value"))</f>
        <v>2.99</v>
      </c>
      <c r="AB2460" s="15">
        <f t="shared" si="857"/>
        <v>0</v>
      </c>
    </row>
    <row r="2461" spans="1:28" x14ac:dyDescent="0.25">
      <c r="A2461" s="16">
        <f>OrdersTable!A2461</f>
        <v>823</v>
      </c>
      <c r="B2461" s="15" t="str">
        <f t="shared" si="837"/>
        <v>Mrs</v>
      </c>
      <c r="C2461" s="15" t="str">
        <f t="shared" si="858"/>
        <v>Riordan</v>
      </c>
      <c r="D2461" s="15" t="str">
        <f t="shared" si="838"/>
        <v>Brianna Leigh</v>
      </c>
      <c r="E2461" s="15" t="str">
        <f t="shared" si="839"/>
        <v>7 Boyd Crescent</v>
      </c>
      <c r="F2461" s="15" t="str">
        <f t="shared" si="840"/>
        <v>Bamboo</v>
      </c>
      <c r="G2461" s="15" t="str">
        <f t="shared" si="841"/>
        <v>QLD</v>
      </c>
      <c r="H2461" s="15">
        <f t="shared" si="842"/>
        <v>4873</v>
      </c>
      <c r="I2461" s="15">
        <f t="shared" si="853"/>
        <v>1741</v>
      </c>
      <c r="J2461" s="15">
        <f>OrdersTable!B2461</f>
        <v>724</v>
      </c>
      <c r="K2461" s="15" t="str">
        <f t="shared" si="843"/>
        <v>Posters, Prints and Standees</v>
      </c>
      <c r="L2461" s="15" t="str">
        <f t="shared" si="844"/>
        <v>Doctor Who: Standee: The 10th Doctor</v>
      </c>
      <c r="M2461" s="15" t="str">
        <f t="shared" si="845"/>
        <v>-</v>
      </c>
      <c r="N2461" s="15">
        <f t="shared" si="846"/>
        <v>1.125</v>
      </c>
      <c r="O2461" s="15" t="str">
        <f t="shared" si="847"/>
        <v>A50</v>
      </c>
      <c r="P2461" s="15" t="str">
        <f t="shared" si="848"/>
        <v>Rassilon Ltd.</v>
      </c>
      <c r="Q2461" s="15" t="str">
        <f t="shared" si="849"/>
        <v>82 Richard Mathews Road</v>
      </c>
      <c r="R2461" s="3">
        <f>OrdersTable!C2461</f>
        <v>44738</v>
      </c>
      <c r="S2461" s="15">
        <f>OrdersTable!E2461</f>
        <v>9</v>
      </c>
      <c r="T2461" s="15">
        <f t="shared" si="850"/>
        <v>22.49</v>
      </c>
      <c r="U2461" s="15">
        <f t="shared" si="851"/>
        <v>30.77</v>
      </c>
      <c r="V2461" s="15">
        <f t="shared" si="852"/>
        <v>36.43</v>
      </c>
      <c r="W2461" s="15">
        <f>IF(MarkupType="Store Markup",ROUND(V2461+V2461*StoreMarkup,2),IF(MarkupType="Supplier Markup",V2461+V2461*SupplierMarkup,"Error at finding value"))</f>
        <v>57.38</v>
      </c>
      <c r="X2461" s="32" t="str">
        <f t="shared" si="854"/>
        <v>0.00</v>
      </c>
      <c r="Y2461" s="15">
        <f t="shared" si="855"/>
        <v>327.87</v>
      </c>
      <c r="Z2461" s="15">
        <f t="shared" si="856"/>
        <v>516.41999999999996</v>
      </c>
      <c r="AA2461" s="15">
        <f>IF(FreightType="Lethbridge-Stewart Freight ",ROUND(2.99+IF(N2461&gt;0.75,(N2461-0.75)*2.25,0)*S2461,2),IF(MarkupType="Supplier Markup",V2461+V2461*SupplierMarkup,"Error at finding value"))</f>
        <v>10.58</v>
      </c>
      <c r="AB2461" s="15">
        <f t="shared" si="857"/>
        <v>0</v>
      </c>
    </row>
    <row r="2462" spans="1:28" x14ac:dyDescent="0.25">
      <c r="A2462" s="16">
        <f>OrdersTable!A2462</f>
        <v>841</v>
      </c>
      <c r="B2462" s="15" t="str">
        <f t="shared" si="837"/>
        <v>Miss</v>
      </c>
      <c r="C2462" s="15" t="str">
        <f t="shared" si="858"/>
        <v>Donaghy</v>
      </c>
      <c r="D2462" s="15" t="str">
        <f t="shared" si="838"/>
        <v>Elizabeth Mathilde Jane</v>
      </c>
      <c r="E2462" s="15" t="str">
        <f t="shared" si="839"/>
        <v>31 Johnson Boulevard</v>
      </c>
      <c r="F2462" s="15" t="str">
        <f t="shared" si="840"/>
        <v>Belford</v>
      </c>
      <c r="G2462" s="15" t="str">
        <f t="shared" si="841"/>
        <v>NSW</v>
      </c>
      <c r="H2462" s="15">
        <f t="shared" si="842"/>
        <v>2335</v>
      </c>
      <c r="I2462" s="15">
        <f t="shared" si="853"/>
        <v>716</v>
      </c>
      <c r="J2462" s="15">
        <f>OrdersTable!B2462</f>
        <v>681</v>
      </c>
      <c r="K2462" s="15" t="str">
        <f t="shared" si="843"/>
        <v>Mugs</v>
      </c>
      <c r="L2462" s="15" t="str">
        <f t="shared" si="844"/>
        <v>Doctor Who: Mug: The First Doctor</v>
      </c>
      <c r="M2462" s="15" t="str">
        <f t="shared" si="845"/>
        <v>-</v>
      </c>
      <c r="N2462" s="15">
        <f t="shared" si="846"/>
        <v>0.45</v>
      </c>
      <c r="O2462" s="15" t="str">
        <f t="shared" si="847"/>
        <v>A20</v>
      </c>
      <c r="P2462" s="15" t="str">
        <f t="shared" si="848"/>
        <v>Morbius Inc.</v>
      </c>
      <c r="Q2462" s="15" t="str">
        <f t="shared" si="849"/>
        <v>56 Michael Spice Hwy</v>
      </c>
      <c r="R2462" s="3">
        <f>OrdersTable!C2462</f>
        <v>44738</v>
      </c>
      <c r="S2462" s="15">
        <f>OrdersTable!E2462</f>
        <v>5</v>
      </c>
      <c r="T2462" s="15">
        <f t="shared" si="850"/>
        <v>8.99</v>
      </c>
      <c r="U2462" s="15">
        <f t="shared" si="851"/>
        <v>12.51</v>
      </c>
      <c r="V2462" s="15">
        <f t="shared" si="852"/>
        <v>14.56</v>
      </c>
      <c r="W2462" s="15">
        <f>IF(MarkupType="Store Markup",ROUND(V2462+V2462*StoreMarkup,2),IF(MarkupType="Supplier Markup",V2462+V2462*SupplierMarkup,"Error at finding value"))</f>
        <v>22.93</v>
      </c>
      <c r="X2462" s="32" t="str">
        <f t="shared" si="854"/>
        <v>0.00</v>
      </c>
      <c r="Y2462" s="15">
        <f t="shared" si="855"/>
        <v>72.8</v>
      </c>
      <c r="Z2462" s="15">
        <f t="shared" si="856"/>
        <v>114.65</v>
      </c>
      <c r="AA2462" s="15">
        <f>IF(FreightType="Lethbridge-Stewart Freight ",ROUND(2.99+IF(N2462&gt;0.75,(N2462-0.75)*2.25,0)*S2462,2),IF(MarkupType="Supplier Markup",V2462+V2462*SupplierMarkup,"Error at finding value"))</f>
        <v>2.99</v>
      </c>
      <c r="AB2462" s="15">
        <f t="shared" si="857"/>
        <v>0</v>
      </c>
    </row>
    <row r="2463" spans="1:28" x14ac:dyDescent="0.25">
      <c r="A2463" s="16">
        <f>OrdersTable!A2463</f>
        <v>972</v>
      </c>
      <c r="B2463" s="15" t="str">
        <f t="shared" si="837"/>
        <v>Miss</v>
      </c>
      <c r="C2463" s="15" t="str">
        <f t="shared" si="858"/>
        <v>Walsh</v>
      </c>
      <c r="D2463" s="15" t="str">
        <f t="shared" si="838"/>
        <v>Alana Jane</v>
      </c>
      <c r="E2463" s="15" t="str">
        <f t="shared" si="839"/>
        <v>40 Betts Crescent</v>
      </c>
      <c r="F2463" s="15" t="str">
        <f t="shared" si="840"/>
        <v>Alleena</v>
      </c>
      <c r="G2463" s="15" t="str">
        <f t="shared" si="841"/>
        <v>NSW</v>
      </c>
      <c r="H2463" s="15">
        <f t="shared" si="842"/>
        <v>2671</v>
      </c>
      <c r="I2463" s="15">
        <f t="shared" si="853"/>
        <v>988</v>
      </c>
      <c r="J2463" s="15">
        <f>OrdersTable!B2463</f>
        <v>689</v>
      </c>
      <c r="K2463" s="15" t="str">
        <f t="shared" si="843"/>
        <v>Posters, Prints and Standees</v>
      </c>
      <c r="L2463" s="15" t="str">
        <f t="shared" si="844"/>
        <v>Doctor Who: 16'x12' Framed Print: Cold War</v>
      </c>
      <c r="M2463" s="15" t="str">
        <f t="shared" si="845"/>
        <v>-</v>
      </c>
      <c r="N2463" s="15">
        <f t="shared" si="846"/>
        <v>0.75</v>
      </c>
      <c r="O2463" s="15" t="str">
        <f t="shared" si="847"/>
        <v>A50</v>
      </c>
      <c r="P2463" s="15" t="str">
        <f t="shared" si="848"/>
        <v>Rassilon Ltd.</v>
      </c>
      <c r="Q2463" s="15" t="str">
        <f t="shared" si="849"/>
        <v>82 Richard Mathews Road</v>
      </c>
      <c r="R2463" s="3">
        <f>OrdersTable!C2463</f>
        <v>44738</v>
      </c>
      <c r="S2463" s="15">
        <f>OrdersTable!E2463</f>
        <v>10</v>
      </c>
      <c r="T2463" s="15">
        <f t="shared" si="850"/>
        <v>14.99</v>
      </c>
      <c r="U2463" s="15">
        <f t="shared" si="851"/>
        <v>20.77</v>
      </c>
      <c r="V2463" s="15">
        <f t="shared" si="852"/>
        <v>24.28</v>
      </c>
      <c r="W2463" s="15">
        <f>IF(MarkupType="Store Markup",ROUND(V2463+V2463*StoreMarkup,2),IF(MarkupType="Supplier Markup",V2463+V2463*SupplierMarkup,"Error at finding value"))</f>
        <v>38.24</v>
      </c>
      <c r="X2463" s="32" t="str">
        <f t="shared" si="854"/>
        <v>0.00</v>
      </c>
      <c r="Y2463" s="15">
        <f t="shared" si="855"/>
        <v>242.8</v>
      </c>
      <c r="Z2463" s="15">
        <f t="shared" si="856"/>
        <v>382.4</v>
      </c>
      <c r="AA2463" s="15">
        <f>IF(FreightType="Lethbridge-Stewart Freight ",ROUND(2.99+IF(N2463&gt;0.75,(N2463-0.75)*2.25,0)*S2463,2),IF(MarkupType="Supplier Markup",V2463+V2463*SupplierMarkup,"Error at finding value"))</f>
        <v>2.99</v>
      </c>
      <c r="AB2463" s="15">
        <f t="shared" si="857"/>
        <v>0</v>
      </c>
    </row>
    <row r="2464" spans="1:28" x14ac:dyDescent="0.25">
      <c r="A2464" s="16">
        <f>OrdersTable!A2464</f>
        <v>983</v>
      </c>
      <c r="B2464" s="15" t="str">
        <f t="shared" si="837"/>
        <v>Mrs</v>
      </c>
      <c r="C2464" s="15" t="str">
        <f t="shared" si="858"/>
        <v>Bennett</v>
      </c>
      <c r="D2464" s="15" t="str">
        <f t="shared" si="838"/>
        <v>Mikayla Elizabeth</v>
      </c>
      <c r="E2464" s="15" t="str">
        <f t="shared" si="839"/>
        <v>35 Khanal Crescent</v>
      </c>
      <c r="F2464" s="15" t="str">
        <f t="shared" si="840"/>
        <v>Bamboo</v>
      </c>
      <c r="G2464" s="15" t="str">
        <f t="shared" si="841"/>
        <v>QLD</v>
      </c>
      <c r="H2464" s="15">
        <f t="shared" si="842"/>
        <v>4873</v>
      </c>
      <c r="I2464" s="15">
        <f t="shared" si="853"/>
        <v>1741</v>
      </c>
      <c r="J2464" s="15">
        <f>OrdersTable!B2464</f>
        <v>316</v>
      </c>
      <c r="K2464" s="15" t="str">
        <f t="shared" si="843"/>
        <v>Clothing and Apparel</v>
      </c>
      <c r="L2464" s="15" t="str">
        <f t="shared" si="844"/>
        <v xml:space="preserve">Doctor Who: T-Shirts: 4th Doctor Costume </v>
      </c>
      <c r="M2464" s="15" t="str">
        <f t="shared" si="845"/>
        <v>S</v>
      </c>
      <c r="N2464" s="15">
        <f t="shared" si="846"/>
        <v>0.8</v>
      </c>
      <c r="O2464" s="15" t="str">
        <f t="shared" si="847"/>
        <v>A30</v>
      </c>
      <c r="P2464" s="15" t="str">
        <f t="shared" si="848"/>
        <v>Chesterton Enterprises</v>
      </c>
      <c r="Q2464" s="15" t="str">
        <f t="shared" si="849"/>
        <v>41 William Russell Road</v>
      </c>
      <c r="R2464" s="3">
        <f>OrdersTable!C2464</f>
        <v>44738</v>
      </c>
      <c r="S2464" s="15">
        <f>OrdersTable!E2464</f>
        <v>2</v>
      </c>
      <c r="T2464" s="15">
        <f t="shared" si="850"/>
        <v>15.99</v>
      </c>
      <c r="U2464" s="15">
        <f t="shared" si="851"/>
        <v>21.94</v>
      </c>
      <c r="V2464" s="15">
        <f t="shared" si="852"/>
        <v>25.9</v>
      </c>
      <c r="W2464" s="15">
        <f>IF(MarkupType="Store Markup",ROUND(V2464+V2464*StoreMarkup,2),IF(MarkupType="Supplier Markup",V2464+V2464*SupplierMarkup,"Error at finding value"))</f>
        <v>40.79</v>
      </c>
      <c r="X2464" s="32" t="str">
        <f t="shared" si="854"/>
        <v>0.00</v>
      </c>
      <c r="Y2464" s="15">
        <f t="shared" si="855"/>
        <v>51.8</v>
      </c>
      <c r="Z2464" s="15">
        <f t="shared" si="856"/>
        <v>81.58</v>
      </c>
      <c r="AA2464" s="15">
        <f>IF(FreightType="Lethbridge-Stewart Freight ",ROUND(2.99+IF(N2464&gt;0.75,(N2464-0.75)*2.25,0)*S2464,2),IF(MarkupType="Supplier Markup",V2464+V2464*SupplierMarkup,"Error at finding value"))</f>
        <v>3.22</v>
      </c>
      <c r="AB2464" s="15">
        <f t="shared" si="857"/>
        <v>0</v>
      </c>
    </row>
    <row r="2465" spans="1:28" x14ac:dyDescent="0.25">
      <c r="A2465" s="16">
        <f>OrdersTable!A2465</f>
        <v>81</v>
      </c>
      <c r="B2465" s="15" t="str">
        <f t="shared" si="837"/>
        <v>Ms</v>
      </c>
      <c r="C2465" s="15" t="str">
        <f t="shared" si="858"/>
        <v>Madsen</v>
      </c>
      <c r="D2465" s="15" t="str">
        <f t="shared" si="838"/>
        <v>Kim Marie</v>
      </c>
      <c r="E2465" s="15" t="str">
        <f t="shared" si="839"/>
        <v>42 Singh Drive</v>
      </c>
      <c r="F2465" s="15" t="str">
        <f t="shared" si="840"/>
        <v>Caliph</v>
      </c>
      <c r="G2465" s="15" t="str">
        <f t="shared" si="841"/>
        <v>SA</v>
      </c>
      <c r="H2465" s="15">
        <f t="shared" si="842"/>
        <v>5310</v>
      </c>
      <c r="I2465" s="15">
        <f t="shared" si="853"/>
        <v>1720</v>
      </c>
      <c r="J2465" s="15">
        <f>OrdersTable!B2465</f>
        <v>780</v>
      </c>
      <c r="K2465" s="15" t="str">
        <f t="shared" si="843"/>
        <v>Statues and Busts</v>
      </c>
      <c r="L2465" s="15" t="str">
        <f t="shared" si="844"/>
        <v>Doctor Who: Masterpiece Collection Dalek: Genesis Of The Daleks</v>
      </c>
      <c r="M2465" s="15" t="str">
        <f t="shared" si="845"/>
        <v>-</v>
      </c>
      <c r="N2465" s="15">
        <f t="shared" si="846"/>
        <v>2.5</v>
      </c>
      <c r="O2465" s="15" t="str">
        <f t="shared" si="847"/>
        <v>A30</v>
      </c>
      <c r="P2465" s="15" t="str">
        <f t="shared" si="848"/>
        <v>Chesterton Enterprises</v>
      </c>
      <c r="Q2465" s="15" t="str">
        <f t="shared" si="849"/>
        <v>41 William Russell Road</v>
      </c>
      <c r="R2465" s="3">
        <f>OrdersTable!C2465</f>
        <v>44739</v>
      </c>
      <c r="S2465" s="15">
        <f>OrdersTable!E2465</f>
        <v>6</v>
      </c>
      <c r="T2465" s="15">
        <f t="shared" si="850"/>
        <v>49.99</v>
      </c>
      <c r="U2465" s="15">
        <f t="shared" si="851"/>
        <v>68.23</v>
      </c>
      <c r="V2465" s="15">
        <f t="shared" si="852"/>
        <v>80.98</v>
      </c>
      <c r="W2465" s="15">
        <f>IF(MarkupType="Store Markup",ROUND(V2465+V2465*StoreMarkup,2),IF(MarkupType="Supplier Markup",V2465+V2465*SupplierMarkup,"Error at finding value"))</f>
        <v>127.54</v>
      </c>
      <c r="X2465" s="32">
        <f t="shared" si="854"/>
        <v>9.09</v>
      </c>
      <c r="Y2465" s="15">
        <f t="shared" si="855"/>
        <v>485.88</v>
      </c>
      <c r="Z2465" s="15">
        <f t="shared" si="856"/>
        <v>710.7</v>
      </c>
      <c r="AA2465" s="15">
        <f>IF(FreightType="Lethbridge-Stewart Freight ",ROUND(2.99+IF(N2465&gt;0.75,(N2465-0.75)*2.25,0)*S2465,2),IF(MarkupType="Supplier Markup",V2465+V2465*SupplierMarkup,"Error at finding value"))</f>
        <v>26.62</v>
      </c>
      <c r="AB2465" s="15">
        <f t="shared" si="857"/>
        <v>54.54</v>
      </c>
    </row>
    <row r="2466" spans="1:28" x14ac:dyDescent="0.25">
      <c r="A2466" s="16">
        <f>OrdersTable!A2466</f>
        <v>224</v>
      </c>
      <c r="B2466" s="15" t="str">
        <f t="shared" si="837"/>
        <v>Miss</v>
      </c>
      <c r="C2466" s="15" t="str">
        <f t="shared" si="858"/>
        <v>Baruwal</v>
      </c>
      <c r="D2466" s="15" t="str">
        <f t="shared" si="838"/>
        <v>Pratikshya</v>
      </c>
      <c r="E2466" s="15" t="str">
        <f t="shared" si="839"/>
        <v>43 Gilloway Street</v>
      </c>
      <c r="F2466" s="15" t="str">
        <f t="shared" si="840"/>
        <v>Iluka</v>
      </c>
      <c r="G2466" s="15" t="str">
        <f t="shared" si="841"/>
        <v>NSW</v>
      </c>
      <c r="H2466" s="15">
        <f t="shared" si="842"/>
        <v>2466</v>
      </c>
      <c r="I2466" s="15">
        <f t="shared" si="853"/>
        <v>347</v>
      </c>
      <c r="J2466" s="15">
        <f>OrdersTable!B2466</f>
        <v>259</v>
      </c>
      <c r="K2466" s="15" t="str">
        <f t="shared" si="843"/>
        <v>Clothing and Apparel</v>
      </c>
      <c r="L2466" s="15" t="str">
        <f t="shared" si="844"/>
        <v>Doctor Who: Men's Winter Pyjamas</v>
      </c>
      <c r="M2466" s="15" t="str">
        <f t="shared" si="845"/>
        <v>XL</v>
      </c>
      <c r="N2466" s="15">
        <f t="shared" si="846"/>
        <v>1.5</v>
      </c>
      <c r="O2466" s="15" t="str">
        <f t="shared" si="847"/>
        <v>A50</v>
      </c>
      <c r="P2466" s="15" t="str">
        <f t="shared" si="848"/>
        <v>Rassilon Ltd.</v>
      </c>
      <c r="Q2466" s="15" t="str">
        <f t="shared" si="849"/>
        <v>82 Richard Mathews Road</v>
      </c>
      <c r="R2466" s="3">
        <f>OrdersTable!C2466</f>
        <v>44739</v>
      </c>
      <c r="S2466" s="15">
        <f>OrdersTable!E2466</f>
        <v>9</v>
      </c>
      <c r="T2466" s="15">
        <f t="shared" si="850"/>
        <v>29.99</v>
      </c>
      <c r="U2466" s="15">
        <f t="shared" si="851"/>
        <v>41.15</v>
      </c>
      <c r="V2466" s="15">
        <f t="shared" si="852"/>
        <v>48.58</v>
      </c>
      <c r="W2466" s="15">
        <f>IF(MarkupType="Store Markup",ROUND(V2466+V2466*StoreMarkup,2),IF(MarkupType="Supplier Markup",V2466+V2466*SupplierMarkup,"Error at finding value"))</f>
        <v>76.510000000000005</v>
      </c>
      <c r="X2466" s="32" t="str">
        <f t="shared" si="854"/>
        <v>0.00</v>
      </c>
      <c r="Y2466" s="15">
        <f t="shared" si="855"/>
        <v>437.22</v>
      </c>
      <c r="Z2466" s="15">
        <f t="shared" si="856"/>
        <v>688.59</v>
      </c>
      <c r="AA2466" s="15">
        <f>IF(FreightType="Lethbridge-Stewart Freight ",ROUND(2.99+IF(N2466&gt;0.75,(N2466-0.75)*2.25,0)*S2466,2),IF(MarkupType="Supplier Markup",V2466+V2466*SupplierMarkup,"Error at finding value"))</f>
        <v>18.18</v>
      </c>
      <c r="AB2466" s="15">
        <f t="shared" si="857"/>
        <v>0</v>
      </c>
    </row>
    <row r="2467" spans="1:28" x14ac:dyDescent="0.25">
      <c r="A2467" s="16">
        <f>OrdersTable!A2467</f>
        <v>226</v>
      </c>
      <c r="B2467" s="15" t="str">
        <f t="shared" si="837"/>
        <v>Ms</v>
      </c>
      <c r="C2467" s="15" t="str">
        <f t="shared" si="858"/>
        <v>Stewart</v>
      </c>
      <c r="D2467" s="15" t="str">
        <f t="shared" si="838"/>
        <v>Jodi Louise</v>
      </c>
      <c r="E2467" s="15" t="str">
        <f t="shared" si="839"/>
        <v>33 Abington Court</v>
      </c>
      <c r="F2467" s="15" t="str">
        <f t="shared" si="840"/>
        <v>Iluka</v>
      </c>
      <c r="G2467" s="15" t="str">
        <f t="shared" si="841"/>
        <v>NSW</v>
      </c>
      <c r="H2467" s="15">
        <f t="shared" si="842"/>
        <v>2466</v>
      </c>
      <c r="I2467" s="15">
        <f t="shared" si="853"/>
        <v>347</v>
      </c>
      <c r="J2467" s="15">
        <f>OrdersTable!B2467</f>
        <v>694</v>
      </c>
      <c r="K2467" s="15" t="str">
        <f t="shared" si="843"/>
        <v>Posters, Prints and Standees</v>
      </c>
      <c r="L2467" s="15" t="str">
        <f t="shared" si="844"/>
        <v>Doctor Who: 16'x12' Framed Print: Hide</v>
      </c>
      <c r="M2467" s="15" t="str">
        <f t="shared" si="845"/>
        <v>-</v>
      </c>
      <c r="N2467" s="15">
        <f t="shared" si="846"/>
        <v>0.75</v>
      </c>
      <c r="O2467" s="15" t="str">
        <f t="shared" si="847"/>
        <v>A40</v>
      </c>
      <c r="P2467" s="15" t="str">
        <f t="shared" si="848"/>
        <v>Romana Imports</v>
      </c>
      <c r="Q2467" s="15" t="str">
        <f t="shared" si="849"/>
        <v>17 Lalla Ward Road</v>
      </c>
      <c r="R2467" s="3">
        <f>OrdersTable!C2467</f>
        <v>44739</v>
      </c>
      <c r="S2467" s="15">
        <f>OrdersTable!E2467</f>
        <v>10</v>
      </c>
      <c r="T2467" s="15">
        <f t="shared" si="850"/>
        <v>14.99</v>
      </c>
      <c r="U2467" s="15">
        <f t="shared" si="851"/>
        <v>20.49</v>
      </c>
      <c r="V2467" s="15">
        <f t="shared" si="852"/>
        <v>24.28</v>
      </c>
      <c r="W2467" s="15">
        <f>IF(MarkupType="Store Markup",ROUND(V2467+V2467*StoreMarkup,2),IF(MarkupType="Supplier Markup",V2467+V2467*SupplierMarkup,"Error at finding value"))</f>
        <v>38.24</v>
      </c>
      <c r="X2467" s="32" t="str">
        <f t="shared" si="854"/>
        <v>0.00</v>
      </c>
      <c r="Y2467" s="15">
        <f t="shared" si="855"/>
        <v>242.8</v>
      </c>
      <c r="Z2467" s="15">
        <f t="shared" si="856"/>
        <v>382.4</v>
      </c>
      <c r="AA2467" s="15">
        <f>IF(FreightType="Lethbridge-Stewart Freight ",ROUND(2.99+IF(N2467&gt;0.75,(N2467-0.75)*2.25,0)*S2467,2),IF(MarkupType="Supplier Markup",V2467+V2467*SupplierMarkup,"Error at finding value"))</f>
        <v>2.99</v>
      </c>
      <c r="AB2467" s="15">
        <f t="shared" si="857"/>
        <v>0</v>
      </c>
    </row>
    <row r="2468" spans="1:28" x14ac:dyDescent="0.25">
      <c r="A2468" s="16">
        <f>OrdersTable!A2468</f>
        <v>232</v>
      </c>
      <c r="B2468" s="15" t="str">
        <f t="shared" si="837"/>
        <v>Mrs</v>
      </c>
      <c r="C2468" s="15" t="str">
        <f t="shared" si="858"/>
        <v>Bishop</v>
      </c>
      <c r="D2468" s="15" t="str">
        <f t="shared" si="838"/>
        <v>Katherine Marie</v>
      </c>
      <c r="E2468" s="15" t="str">
        <f t="shared" si="839"/>
        <v>19 Whitehorn Circuit</v>
      </c>
      <c r="F2468" s="15" t="str">
        <f t="shared" si="840"/>
        <v>Black Hills</v>
      </c>
      <c r="G2468" s="15" t="str">
        <f t="shared" si="841"/>
        <v>TAS</v>
      </c>
      <c r="H2468" s="15">
        <f t="shared" si="842"/>
        <v>7140</v>
      </c>
      <c r="I2468" s="15">
        <f t="shared" si="853"/>
        <v>2191</v>
      </c>
      <c r="J2468" s="15">
        <f>OrdersTable!B2468</f>
        <v>239</v>
      </c>
      <c r="K2468" s="15" t="str">
        <f t="shared" si="843"/>
        <v>Clothing and Apparel</v>
      </c>
      <c r="L2468" s="15" t="str">
        <f t="shared" si="844"/>
        <v>Doctor Who: Men's Winter Pyjamas</v>
      </c>
      <c r="M2468" s="15" t="str">
        <f t="shared" si="845"/>
        <v>L</v>
      </c>
      <c r="N2468" s="15">
        <f t="shared" si="846"/>
        <v>1.5</v>
      </c>
      <c r="O2468" s="15" t="str">
        <f t="shared" si="847"/>
        <v>A10</v>
      </c>
      <c r="P2468" s="15" t="str">
        <f t="shared" si="848"/>
        <v>Gallifrey International</v>
      </c>
      <c r="Q2468" s="15" t="str">
        <f t="shared" si="849"/>
        <v>181 Arcadia Street</v>
      </c>
      <c r="R2468" s="3">
        <f>OrdersTable!C2468</f>
        <v>44739</v>
      </c>
      <c r="S2468" s="15">
        <f>OrdersTable!E2468</f>
        <v>7</v>
      </c>
      <c r="T2468" s="15">
        <f t="shared" si="850"/>
        <v>29.99</v>
      </c>
      <c r="U2468" s="15">
        <f t="shared" si="851"/>
        <v>41.23</v>
      </c>
      <c r="V2468" s="15">
        <f t="shared" si="852"/>
        <v>48.58</v>
      </c>
      <c r="W2468" s="15">
        <f>IF(MarkupType="Store Markup",ROUND(V2468+V2468*StoreMarkup,2),IF(MarkupType="Supplier Markup",V2468+V2468*SupplierMarkup,"Error at finding value"))</f>
        <v>76.510000000000005</v>
      </c>
      <c r="X2468" s="32" t="str">
        <f t="shared" si="854"/>
        <v>0.00</v>
      </c>
      <c r="Y2468" s="15">
        <f t="shared" si="855"/>
        <v>340.06</v>
      </c>
      <c r="Z2468" s="15">
        <f t="shared" si="856"/>
        <v>535.57000000000005</v>
      </c>
      <c r="AA2468" s="15">
        <f>IF(FreightType="Lethbridge-Stewart Freight ",ROUND(2.99+IF(N2468&gt;0.75,(N2468-0.75)*2.25,0)*S2468,2),IF(MarkupType="Supplier Markup",V2468+V2468*SupplierMarkup,"Error at finding value"))</f>
        <v>14.8</v>
      </c>
      <c r="AB2468" s="15">
        <f t="shared" si="857"/>
        <v>0</v>
      </c>
    </row>
    <row r="2469" spans="1:28" x14ac:dyDescent="0.25">
      <c r="A2469" s="16">
        <f>OrdersTable!A2469</f>
        <v>249</v>
      </c>
      <c r="B2469" s="15" t="str">
        <f t="shared" si="837"/>
        <v>Mr</v>
      </c>
      <c r="C2469" s="15" t="str">
        <f t="shared" si="858"/>
        <v>Sinclair</v>
      </c>
      <c r="D2469" s="15" t="str">
        <f t="shared" si="838"/>
        <v>Travis James Foord</v>
      </c>
      <c r="E2469" s="15" t="str">
        <f t="shared" si="839"/>
        <v>25 Leunen Avenue</v>
      </c>
      <c r="F2469" s="15" t="str">
        <f t="shared" si="840"/>
        <v>Batlow</v>
      </c>
      <c r="G2469" s="15" t="str">
        <f t="shared" si="841"/>
        <v>NSW</v>
      </c>
      <c r="H2469" s="15">
        <f t="shared" si="842"/>
        <v>2730</v>
      </c>
      <c r="I2469" s="15">
        <f t="shared" si="853"/>
        <v>1138</v>
      </c>
      <c r="J2469" s="15">
        <f>OrdersTable!B2469</f>
        <v>709</v>
      </c>
      <c r="K2469" s="15" t="str">
        <f t="shared" si="843"/>
        <v>Posters, Prints and Standees</v>
      </c>
      <c r="L2469" s="15" t="str">
        <f t="shared" si="844"/>
        <v>Doctor Who: Poster: Metallic TARDIS</v>
      </c>
      <c r="M2469" s="15" t="str">
        <f t="shared" si="845"/>
        <v>-</v>
      </c>
      <c r="N2469" s="15">
        <f t="shared" si="846"/>
        <v>0.2</v>
      </c>
      <c r="O2469" s="15" t="str">
        <f t="shared" si="847"/>
        <v>A10</v>
      </c>
      <c r="P2469" s="15" t="str">
        <f t="shared" si="848"/>
        <v>Gallifrey International</v>
      </c>
      <c r="Q2469" s="15" t="str">
        <f t="shared" si="849"/>
        <v>181 Arcadia Street</v>
      </c>
      <c r="R2469" s="3">
        <f>OrdersTable!C2469</f>
        <v>44739</v>
      </c>
      <c r="S2469" s="15">
        <f>OrdersTable!E2469</f>
        <v>3</v>
      </c>
      <c r="T2469" s="15">
        <f t="shared" si="850"/>
        <v>3.99</v>
      </c>
      <c r="U2469" s="15">
        <f t="shared" si="851"/>
        <v>5.71</v>
      </c>
      <c r="V2469" s="15">
        <f t="shared" si="852"/>
        <v>6.46</v>
      </c>
      <c r="W2469" s="15">
        <f>IF(MarkupType="Store Markup",ROUND(V2469+V2469*StoreMarkup,2),IF(MarkupType="Supplier Markup",V2469+V2469*SupplierMarkup,"Error at finding value"))</f>
        <v>10.17</v>
      </c>
      <c r="X2469" s="32" t="str">
        <f t="shared" si="854"/>
        <v>0.00</v>
      </c>
      <c r="Y2469" s="15">
        <f t="shared" si="855"/>
        <v>19.38</v>
      </c>
      <c r="Z2469" s="15">
        <f t="shared" si="856"/>
        <v>30.51</v>
      </c>
      <c r="AA2469" s="15">
        <f>IF(FreightType="Lethbridge-Stewart Freight ",ROUND(2.99+IF(N2469&gt;0.75,(N2469-0.75)*2.25,0)*S2469,2),IF(MarkupType="Supplier Markup",V2469+V2469*SupplierMarkup,"Error at finding value"))</f>
        <v>2.99</v>
      </c>
      <c r="AB2469" s="15">
        <f t="shared" si="857"/>
        <v>0</v>
      </c>
    </row>
    <row r="2470" spans="1:28" x14ac:dyDescent="0.25">
      <c r="A2470" s="16">
        <f>OrdersTable!A2470</f>
        <v>284</v>
      </c>
      <c r="B2470" s="15" t="str">
        <f t="shared" si="837"/>
        <v>Mr</v>
      </c>
      <c r="C2470" s="15" t="str">
        <f t="shared" si="858"/>
        <v>Aitcheson</v>
      </c>
      <c r="D2470" s="15" t="str">
        <f t="shared" si="838"/>
        <v>Ben James</v>
      </c>
      <c r="E2470" s="15" t="str">
        <f t="shared" si="839"/>
        <v>32 Evans Avenue</v>
      </c>
      <c r="F2470" s="15" t="str">
        <f t="shared" si="840"/>
        <v>Batlow</v>
      </c>
      <c r="G2470" s="15" t="str">
        <f t="shared" si="841"/>
        <v>NSW</v>
      </c>
      <c r="H2470" s="15">
        <f t="shared" si="842"/>
        <v>2730</v>
      </c>
      <c r="I2470" s="15">
        <f t="shared" si="853"/>
        <v>1138</v>
      </c>
      <c r="J2470" s="15">
        <f>OrdersTable!B2470</f>
        <v>676</v>
      </c>
      <c r="K2470" s="15" t="str">
        <f t="shared" si="843"/>
        <v>Mugs</v>
      </c>
      <c r="L2470" s="15" t="str">
        <f t="shared" si="844"/>
        <v>Doctor Who: Mug: The Eleventh Doctor</v>
      </c>
      <c r="M2470" s="15" t="str">
        <f t="shared" si="845"/>
        <v>-</v>
      </c>
      <c r="N2470" s="15">
        <f t="shared" si="846"/>
        <v>0.45</v>
      </c>
      <c r="O2470" s="15" t="str">
        <f t="shared" si="847"/>
        <v>A20</v>
      </c>
      <c r="P2470" s="15" t="str">
        <f t="shared" si="848"/>
        <v>Morbius Inc.</v>
      </c>
      <c r="Q2470" s="15" t="str">
        <f t="shared" si="849"/>
        <v>56 Michael Spice Hwy</v>
      </c>
      <c r="R2470" s="3">
        <f>OrdersTable!C2470</f>
        <v>44739</v>
      </c>
      <c r="S2470" s="15">
        <f>OrdersTable!E2470</f>
        <v>1</v>
      </c>
      <c r="T2470" s="15">
        <f t="shared" si="850"/>
        <v>8.99</v>
      </c>
      <c r="U2470" s="15">
        <f t="shared" si="851"/>
        <v>12.55</v>
      </c>
      <c r="V2470" s="15">
        <f t="shared" si="852"/>
        <v>14.56</v>
      </c>
      <c r="W2470" s="15">
        <f>IF(MarkupType="Store Markup",ROUND(V2470+V2470*StoreMarkup,2),IF(MarkupType="Supplier Markup",V2470+V2470*SupplierMarkup,"Error at finding value"))</f>
        <v>22.93</v>
      </c>
      <c r="X2470" s="32" t="str">
        <f t="shared" si="854"/>
        <v>0.00</v>
      </c>
      <c r="Y2470" s="15">
        <f t="shared" si="855"/>
        <v>14.56</v>
      </c>
      <c r="Z2470" s="15">
        <f t="shared" si="856"/>
        <v>22.93</v>
      </c>
      <c r="AA2470" s="15">
        <f>IF(FreightType="Lethbridge-Stewart Freight ",ROUND(2.99+IF(N2470&gt;0.75,(N2470-0.75)*2.25,0)*S2470,2),IF(MarkupType="Supplier Markup",V2470+V2470*SupplierMarkup,"Error at finding value"))</f>
        <v>2.99</v>
      </c>
      <c r="AB2470" s="15">
        <f t="shared" si="857"/>
        <v>0</v>
      </c>
    </row>
    <row r="2471" spans="1:28" x14ac:dyDescent="0.25">
      <c r="A2471" s="16">
        <f>OrdersTable!A2471</f>
        <v>302</v>
      </c>
      <c r="B2471" s="15" t="str">
        <f t="shared" si="837"/>
        <v>Ms</v>
      </c>
      <c r="C2471" s="15" t="str">
        <f t="shared" si="858"/>
        <v>Lamshed</v>
      </c>
      <c r="D2471" s="15" t="str">
        <f t="shared" si="838"/>
        <v>Laura Clare</v>
      </c>
      <c r="E2471" s="15" t="str">
        <f t="shared" si="839"/>
        <v>22 Edser Drive</v>
      </c>
      <c r="F2471" s="15" t="str">
        <f t="shared" si="840"/>
        <v>Caliph</v>
      </c>
      <c r="G2471" s="15" t="str">
        <f t="shared" si="841"/>
        <v>SA</v>
      </c>
      <c r="H2471" s="15">
        <f t="shared" si="842"/>
        <v>5310</v>
      </c>
      <c r="I2471" s="15">
        <f t="shared" si="853"/>
        <v>1720</v>
      </c>
      <c r="J2471" s="15">
        <f>OrdersTable!B2471</f>
        <v>703</v>
      </c>
      <c r="K2471" s="15" t="str">
        <f t="shared" si="843"/>
        <v>Posters, Prints and Standees</v>
      </c>
      <c r="L2471" s="15" t="str">
        <f t="shared" si="844"/>
        <v>Doctor Who: Poster: Doctor With Sonic Screwdriver</v>
      </c>
      <c r="M2471" s="15" t="str">
        <f t="shared" si="845"/>
        <v>-</v>
      </c>
      <c r="N2471" s="15">
        <f t="shared" si="846"/>
        <v>0.2</v>
      </c>
      <c r="O2471" s="15" t="str">
        <f t="shared" si="847"/>
        <v>A50</v>
      </c>
      <c r="P2471" s="15" t="str">
        <f t="shared" si="848"/>
        <v>Rassilon Ltd.</v>
      </c>
      <c r="Q2471" s="15" t="str">
        <f t="shared" si="849"/>
        <v>82 Richard Mathews Road</v>
      </c>
      <c r="R2471" s="3">
        <f>OrdersTable!C2471</f>
        <v>44739</v>
      </c>
      <c r="S2471" s="15">
        <f>OrdersTable!E2471</f>
        <v>6</v>
      </c>
      <c r="T2471" s="15">
        <f t="shared" si="850"/>
        <v>3.99</v>
      </c>
      <c r="U2471" s="15">
        <f t="shared" si="851"/>
        <v>5.51</v>
      </c>
      <c r="V2471" s="15">
        <f t="shared" si="852"/>
        <v>6.46</v>
      </c>
      <c r="W2471" s="15">
        <f>IF(MarkupType="Store Markup",ROUND(V2471+V2471*StoreMarkup,2),IF(MarkupType="Supplier Markup",V2471+V2471*SupplierMarkup,"Error at finding value"))</f>
        <v>10.17</v>
      </c>
      <c r="X2471" s="32" t="str">
        <f t="shared" si="854"/>
        <v>0.00</v>
      </c>
      <c r="Y2471" s="15">
        <f t="shared" si="855"/>
        <v>38.76</v>
      </c>
      <c r="Z2471" s="15">
        <f t="shared" si="856"/>
        <v>61.02</v>
      </c>
      <c r="AA2471" s="15">
        <f>IF(FreightType="Lethbridge-Stewart Freight ",ROUND(2.99+IF(N2471&gt;0.75,(N2471-0.75)*2.25,0)*S2471,2),IF(MarkupType="Supplier Markup",V2471+V2471*SupplierMarkup,"Error at finding value"))</f>
        <v>2.99</v>
      </c>
      <c r="AB2471" s="15">
        <f t="shared" si="857"/>
        <v>0</v>
      </c>
    </row>
    <row r="2472" spans="1:28" x14ac:dyDescent="0.25">
      <c r="A2472" s="16">
        <f>OrdersTable!A2472</f>
        <v>328</v>
      </c>
      <c r="B2472" s="15" t="str">
        <f t="shared" si="837"/>
        <v>Dr</v>
      </c>
      <c r="C2472" s="15" t="str">
        <f t="shared" si="858"/>
        <v>Ward</v>
      </c>
      <c r="D2472" s="15" t="str">
        <f t="shared" si="838"/>
        <v>Keiren Nicholas</v>
      </c>
      <c r="E2472" s="15" t="str">
        <f t="shared" si="839"/>
        <v>13 Green Crescent</v>
      </c>
      <c r="F2472" s="15" t="str">
        <f t="shared" si="840"/>
        <v>Breakwater</v>
      </c>
      <c r="G2472" s="15" t="str">
        <f t="shared" si="841"/>
        <v>VIC</v>
      </c>
      <c r="H2472" s="15">
        <f t="shared" si="842"/>
        <v>3219</v>
      </c>
      <c r="I2472" s="15">
        <f t="shared" si="853"/>
        <v>1596</v>
      </c>
      <c r="J2472" s="15">
        <f>OrdersTable!B2472</f>
        <v>563</v>
      </c>
      <c r="K2472" s="15" t="str">
        <f t="shared" si="843"/>
        <v>Giftware</v>
      </c>
      <c r="L2472" s="15" t="str">
        <f t="shared" si="844"/>
        <v>Doctor Who: TARDIS Jewellery Box</v>
      </c>
      <c r="M2472" s="15" t="str">
        <f t="shared" si="845"/>
        <v>-</v>
      </c>
      <c r="N2472" s="15">
        <f t="shared" si="846"/>
        <v>1.1499999999999999</v>
      </c>
      <c r="O2472" s="15" t="str">
        <f t="shared" si="847"/>
        <v>A50</v>
      </c>
      <c r="P2472" s="15" t="str">
        <f t="shared" si="848"/>
        <v>Rassilon Ltd.</v>
      </c>
      <c r="Q2472" s="15" t="str">
        <f t="shared" si="849"/>
        <v>82 Richard Mathews Road</v>
      </c>
      <c r="R2472" s="3">
        <f>OrdersTable!C2472</f>
        <v>44739</v>
      </c>
      <c r="S2472" s="15">
        <f>OrdersTable!E2472</f>
        <v>4</v>
      </c>
      <c r="T2472" s="15">
        <f t="shared" si="850"/>
        <v>22.99</v>
      </c>
      <c r="U2472" s="15">
        <f t="shared" si="851"/>
        <v>31.63</v>
      </c>
      <c r="V2472" s="15">
        <f t="shared" si="852"/>
        <v>37.24</v>
      </c>
      <c r="W2472" s="15">
        <f>IF(MarkupType="Store Markup",ROUND(V2472+V2472*StoreMarkup,2),IF(MarkupType="Supplier Markup",V2472+V2472*SupplierMarkup,"Error at finding value"))</f>
        <v>58.65</v>
      </c>
      <c r="X2472" s="32" t="str">
        <f t="shared" si="854"/>
        <v>0.00</v>
      </c>
      <c r="Y2472" s="15">
        <f t="shared" si="855"/>
        <v>148.96</v>
      </c>
      <c r="Z2472" s="15">
        <f t="shared" si="856"/>
        <v>234.6</v>
      </c>
      <c r="AA2472" s="15">
        <f>IF(FreightType="Lethbridge-Stewart Freight ",ROUND(2.99+IF(N2472&gt;0.75,(N2472-0.75)*2.25,0)*S2472,2),IF(MarkupType="Supplier Markup",V2472+V2472*SupplierMarkup,"Error at finding value"))</f>
        <v>6.59</v>
      </c>
      <c r="AB2472" s="15">
        <f t="shared" si="857"/>
        <v>0</v>
      </c>
    </row>
    <row r="2473" spans="1:28" x14ac:dyDescent="0.25">
      <c r="A2473" s="16">
        <f>OrdersTable!A2473</f>
        <v>332</v>
      </c>
      <c r="B2473" s="15" t="str">
        <f t="shared" si="837"/>
        <v>Mr</v>
      </c>
      <c r="C2473" s="15" t="str">
        <f t="shared" si="858"/>
        <v>Selman</v>
      </c>
      <c r="D2473" s="15" t="str">
        <f t="shared" si="838"/>
        <v>Jack Ryan</v>
      </c>
      <c r="E2473" s="15" t="str">
        <f t="shared" si="839"/>
        <v>17 Van Essen Street</v>
      </c>
      <c r="F2473" s="15" t="str">
        <f t="shared" si="840"/>
        <v>Airly</v>
      </c>
      <c r="G2473" s="15" t="str">
        <f t="shared" si="841"/>
        <v>VIC</v>
      </c>
      <c r="H2473" s="15">
        <f t="shared" si="842"/>
        <v>3851</v>
      </c>
      <c r="I2473" s="15">
        <f t="shared" si="853"/>
        <v>1583</v>
      </c>
      <c r="J2473" s="15">
        <f>OrdersTable!B2473</f>
        <v>580</v>
      </c>
      <c r="K2473" s="15" t="str">
        <f t="shared" si="843"/>
        <v>Giftware</v>
      </c>
      <c r="L2473" s="15" t="str">
        <f t="shared" si="844"/>
        <v>Doctor Who: Wallpaper: Classic TARDIS Columns</v>
      </c>
      <c r="M2473" s="15" t="str">
        <f t="shared" si="845"/>
        <v>-</v>
      </c>
      <c r="N2473" s="15">
        <f t="shared" si="846"/>
        <v>0.65500000000000003</v>
      </c>
      <c r="O2473" s="15" t="str">
        <f t="shared" si="847"/>
        <v>A50</v>
      </c>
      <c r="P2473" s="15" t="str">
        <f t="shared" si="848"/>
        <v>Rassilon Ltd.</v>
      </c>
      <c r="Q2473" s="15" t="str">
        <f t="shared" si="849"/>
        <v>82 Richard Mathews Road</v>
      </c>
      <c r="R2473" s="3">
        <f>OrdersTable!C2473</f>
        <v>44739</v>
      </c>
      <c r="S2473" s="15">
        <f>OrdersTable!E2473</f>
        <v>10</v>
      </c>
      <c r="T2473" s="15">
        <f t="shared" si="850"/>
        <v>13.11</v>
      </c>
      <c r="U2473" s="15">
        <f t="shared" si="851"/>
        <v>18.18</v>
      </c>
      <c r="V2473" s="15">
        <f t="shared" si="852"/>
        <v>21.24</v>
      </c>
      <c r="W2473" s="15">
        <f>IF(MarkupType="Store Markup",ROUND(V2473+V2473*StoreMarkup,2),IF(MarkupType="Supplier Markup",V2473+V2473*SupplierMarkup,"Error at finding value"))</f>
        <v>33.450000000000003</v>
      </c>
      <c r="X2473" s="32" t="str">
        <f t="shared" si="854"/>
        <v>0.00</v>
      </c>
      <c r="Y2473" s="15">
        <f t="shared" si="855"/>
        <v>212.4</v>
      </c>
      <c r="Z2473" s="15">
        <f t="shared" si="856"/>
        <v>334.5</v>
      </c>
      <c r="AA2473" s="15">
        <f>IF(FreightType="Lethbridge-Stewart Freight ",ROUND(2.99+IF(N2473&gt;0.75,(N2473-0.75)*2.25,0)*S2473,2),IF(MarkupType="Supplier Markup",V2473+V2473*SupplierMarkup,"Error at finding value"))</f>
        <v>2.99</v>
      </c>
      <c r="AB2473" s="15">
        <f t="shared" si="857"/>
        <v>0</v>
      </c>
    </row>
    <row r="2474" spans="1:28" x14ac:dyDescent="0.25">
      <c r="A2474" s="16">
        <f>OrdersTable!A2474</f>
        <v>360</v>
      </c>
      <c r="B2474" s="15" t="str">
        <f t="shared" si="837"/>
        <v>Ms</v>
      </c>
      <c r="C2474" s="15" t="str">
        <f t="shared" si="858"/>
        <v>Bobonica</v>
      </c>
      <c r="D2474" s="15" t="str">
        <f t="shared" si="838"/>
        <v>Claudia</v>
      </c>
      <c r="E2474" s="15" t="str">
        <f t="shared" si="839"/>
        <v>47 Klein Way</v>
      </c>
      <c r="F2474" s="15" t="str">
        <f t="shared" si="840"/>
        <v>Avon Plains</v>
      </c>
      <c r="G2474" s="15" t="str">
        <f t="shared" si="841"/>
        <v>VIC</v>
      </c>
      <c r="H2474" s="15">
        <f t="shared" si="842"/>
        <v>3477</v>
      </c>
      <c r="I2474" s="15">
        <f t="shared" si="853"/>
        <v>1565</v>
      </c>
      <c r="J2474" s="15">
        <f>OrdersTable!B2474</f>
        <v>683</v>
      </c>
      <c r="K2474" s="15" t="str">
        <f t="shared" si="843"/>
        <v>Mugs</v>
      </c>
      <c r="L2474" s="15" t="str">
        <f t="shared" si="844"/>
        <v>Doctor Who: Mug: The Tenth Doctor</v>
      </c>
      <c r="M2474" s="15" t="str">
        <f t="shared" si="845"/>
        <v>-</v>
      </c>
      <c r="N2474" s="15">
        <f t="shared" si="846"/>
        <v>0.45</v>
      </c>
      <c r="O2474" s="15" t="str">
        <f t="shared" si="847"/>
        <v>A20</v>
      </c>
      <c r="P2474" s="15" t="str">
        <f t="shared" si="848"/>
        <v>Morbius Inc.</v>
      </c>
      <c r="Q2474" s="15" t="str">
        <f t="shared" si="849"/>
        <v>56 Michael Spice Hwy</v>
      </c>
      <c r="R2474" s="3">
        <f>OrdersTable!C2474</f>
        <v>44739</v>
      </c>
      <c r="S2474" s="15">
        <f>OrdersTable!E2474</f>
        <v>6</v>
      </c>
      <c r="T2474" s="15">
        <f t="shared" si="850"/>
        <v>8.99</v>
      </c>
      <c r="U2474" s="15">
        <f t="shared" si="851"/>
        <v>12.54</v>
      </c>
      <c r="V2474" s="15">
        <f t="shared" si="852"/>
        <v>14.56</v>
      </c>
      <c r="W2474" s="15">
        <f>IF(MarkupType="Store Markup",ROUND(V2474+V2474*StoreMarkup,2),IF(MarkupType="Supplier Markup",V2474+V2474*SupplierMarkup,"Error at finding value"))</f>
        <v>22.93</v>
      </c>
      <c r="X2474" s="32" t="str">
        <f t="shared" si="854"/>
        <v>0.00</v>
      </c>
      <c r="Y2474" s="15">
        <f t="shared" si="855"/>
        <v>87.36</v>
      </c>
      <c r="Z2474" s="15">
        <f t="shared" si="856"/>
        <v>137.58000000000001</v>
      </c>
      <c r="AA2474" s="15">
        <f>IF(FreightType="Lethbridge-Stewart Freight ",ROUND(2.99+IF(N2474&gt;0.75,(N2474-0.75)*2.25,0)*S2474,2),IF(MarkupType="Supplier Markup",V2474+V2474*SupplierMarkup,"Error at finding value"))</f>
        <v>2.99</v>
      </c>
      <c r="AB2474" s="15">
        <f t="shared" si="857"/>
        <v>0</v>
      </c>
    </row>
    <row r="2475" spans="1:28" x14ac:dyDescent="0.25">
      <c r="A2475" s="16">
        <f>OrdersTable!A2475</f>
        <v>362</v>
      </c>
      <c r="B2475" s="15" t="str">
        <f t="shared" si="837"/>
        <v>Mr</v>
      </c>
      <c r="C2475" s="15" t="str">
        <f t="shared" si="858"/>
        <v>Hurst</v>
      </c>
      <c r="D2475" s="15" t="str">
        <f t="shared" si="838"/>
        <v>Ralph Gregory</v>
      </c>
      <c r="E2475" s="15" t="str">
        <f t="shared" si="839"/>
        <v>45 Blakeney Road</v>
      </c>
      <c r="F2475" s="15" t="str">
        <f t="shared" si="840"/>
        <v>Iluka</v>
      </c>
      <c r="G2475" s="15" t="str">
        <f t="shared" si="841"/>
        <v>NSW</v>
      </c>
      <c r="H2475" s="15">
        <f t="shared" si="842"/>
        <v>2466</v>
      </c>
      <c r="I2475" s="15">
        <f t="shared" si="853"/>
        <v>347</v>
      </c>
      <c r="J2475" s="15">
        <f>OrdersTable!B2475</f>
        <v>196</v>
      </c>
      <c r="K2475" s="15" t="str">
        <f t="shared" si="843"/>
        <v>Clothing and Apparel</v>
      </c>
      <c r="L2475" s="15" t="str">
        <f t="shared" si="844"/>
        <v>Doctor Who: 12 Foot Tom Baker Scarf</v>
      </c>
      <c r="M2475" s="15" t="str">
        <f t="shared" si="845"/>
        <v>-</v>
      </c>
      <c r="N2475" s="15">
        <f t="shared" si="846"/>
        <v>2.5</v>
      </c>
      <c r="O2475" s="15" t="str">
        <f t="shared" si="847"/>
        <v>A40</v>
      </c>
      <c r="P2475" s="15" t="str">
        <f t="shared" si="848"/>
        <v>Romana Imports</v>
      </c>
      <c r="Q2475" s="15" t="str">
        <f t="shared" si="849"/>
        <v>17 Lalla Ward Road</v>
      </c>
      <c r="R2475" s="3">
        <f>OrdersTable!C2475</f>
        <v>44739</v>
      </c>
      <c r="S2475" s="15">
        <f>OrdersTable!E2475</f>
        <v>1</v>
      </c>
      <c r="T2475" s="15">
        <f t="shared" si="850"/>
        <v>49.99</v>
      </c>
      <c r="U2475" s="15">
        <f t="shared" si="851"/>
        <v>68.28</v>
      </c>
      <c r="V2475" s="15">
        <f t="shared" si="852"/>
        <v>80.98</v>
      </c>
      <c r="W2475" s="15">
        <f>IF(MarkupType="Store Markup",ROUND(V2475+V2475*StoreMarkup,2),IF(MarkupType="Supplier Markup",V2475+V2475*SupplierMarkup,"Error at finding value"))</f>
        <v>127.54</v>
      </c>
      <c r="X2475" s="32" t="str">
        <f t="shared" si="854"/>
        <v>0.00</v>
      </c>
      <c r="Y2475" s="15">
        <f t="shared" si="855"/>
        <v>80.98</v>
      </c>
      <c r="Z2475" s="15">
        <f t="shared" si="856"/>
        <v>127.54</v>
      </c>
      <c r="AA2475" s="15">
        <f>IF(FreightType="Lethbridge-Stewart Freight ",ROUND(2.99+IF(N2475&gt;0.75,(N2475-0.75)*2.25,0)*S2475,2),IF(MarkupType="Supplier Markup",V2475+V2475*SupplierMarkup,"Error at finding value"))</f>
        <v>6.93</v>
      </c>
      <c r="AB2475" s="15">
        <f t="shared" si="857"/>
        <v>0</v>
      </c>
    </row>
    <row r="2476" spans="1:28" x14ac:dyDescent="0.25">
      <c r="A2476" s="16">
        <f>OrdersTable!A2476</f>
        <v>416</v>
      </c>
      <c r="B2476" s="15" t="str">
        <f t="shared" si="837"/>
        <v>Mr</v>
      </c>
      <c r="C2476" s="15" t="str">
        <f t="shared" si="858"/>
        <v>Mohammed</v>
      </c>
      <c r="D2476" s="15" t="str">
        <f t="shared" si="838"/>
        <v>Ahmed</v>
      </c>
      <c r="E2476" s="15" t="str">
        <f t="shared" si="839"/>
        <v>35 Ridley Avenue</v>
      </c>
      <c r="F2476" s="15" t="str">
        <f t="shared" si="840"/>
        <v>Iluka</v>
      </c>
      <c r="G2476" s="15" t="str">
        <f t="shared" si="841"/>
        <v>NSW</v>
      </c>
      <c r="H2476" s="15">
        <f t="shared" si="842"/>
        <v>2466</v>
      </c>
      <c r="I2476" s="15">
        <f t="shared" si="853"/>
        <v>347</v>
      </c>
      <c r="J2476" s="15">
        <f>OrdersTable!B2476</f>
        <v>813</v>
      </c>
      <c r="K2476" s="15" t="str">
        <f t="shared" si="843"/>
        <v>Statues and Busts</v>
      </c>
      <c r="L2476" s="15" t="str">
        <f t="shared" si="844"/>
        <v>Doctor Who: Masterpiece Collection Maxi Bust: Leela</v>
      </c>
      <c r="M2476" s="15" t="str">
        <f t="shared" si="845"/>
        <v>-</v>
      </c>
      <c r="N2476" s="15">
        <f t="shared" si="846"/>
        <v>2.5</v>
      </c>
      <c r="O2476" s="15" t="str">
        <f t="shared" si="847"/>
        <v>A30</v>
      </c>
      <c r="P2476" s="15" t="str">
        <f t="shared" si="848"/>
        <v>Chesterton Enterprises</v>
      </c>
      <c r="Q2476" s="15" t="str">
        <f t="shared" si="849"/>
        <v>41 William Russell Road</v>
      </c>
      <c r="R2476" s="3">
        <f>OrdersTable!C2476</f>
        <v>44739</v>
      </c>
      <c r="S2476" s="15">
        <f>OrdersTable!E2476</f>
        <v>8</v>
      </c>
      <c r="T2476" s="15">
        <f t="shared" si="850"/>
        <v>49.99</v>
      </c>
      <c r="U2476" s="15">
        <f t="shared" si="851"/>
        <v>68.319999999999993</v>
      </c>
      <c r="V2476" s="15">
        <f t="shared" si="852"/>
        <v>80.98</v>
      </c>
      <c r="W2476" s="15">
        <f>IF(MarkupType="Store Markup",ROUND(V2476+V2476*StoreMarkup,2),IF(MarkupType="Supplier Markup",V2476+V2476*SupplierMarkup,"Error at finding value"))</f>
        <v>127.54</v>
      </c>
      <c r="X2476" s="32">
        <f t="shared" si="854"/>
        <v>9.09</v>
      </c>
      <c r="Y2476" s="15">
        <f t="shared" si="855"/>
        <v>647.84</v>
      </c>
      <c r="Z2476" s="15">
        <f t="shared" si="856"/>
        <v>947.6</v>
      </c>
      <c r="AA2476" s="15">
        <f>IF(FreightType="Lethbridge-Stewart Freight ",ROUND(2.99+IF(N2476&gt;0.75,(N2476-0.75)*2.25,0)*S2476,2),IF(MarkupType="Supplier Markup",V2476+V2476*SupplierMarkup,"Error at finding value"))</f>
        <v>34.49</v>
      </c>
      <c r="AB2476" s="15">
        <f t="shared" si="857"/>
        <v>72.72</v>
      </c>
    </row>
    <row r="2477" spans="1:28" x14ac:dyDescent="0.25">
      <c r="A2477" s="16">
        <f>OrdersTable!A2477</f>
        <v>467</v>
      </c>
      <c r="B2477" s="15" t="str">
        <f t="shared" si="837"/>
        <v>Mrs</v>
      </c>
      <c r="C2477" s="15" t="str">
        <f t="shared" si="858"/>
        <v>Daniell</v>
      </c>
      <c r="D2477" s="15" t="str">
        <f t="shared" si="838"/>
        <v>Bronte Eliza</v>
      </c>
      <c r="E2477" s="15" t="str">
        <f t="shared" si="839"/>
        <v>41 Wilson Boulevard</v>
      </c>
      <c r="F2477" s="15" t="str">
        <f t="shared" si="840"/>
        <v>Aberfoyle</v>
      </c>
      <c r="G2477" s="15" t="str">
        <f t="shared" si="841"/>
        <v>NSW</v>
      </c>
      <c r="H2477" s="15">
        <f t="shared" si="842"/>
        <v>2350</v>
      </c>
      <c r="I2477" s="15">
        <f t="shared" si="853"/>
        <v>363</v>
      </c>
      <c r="J2477" s="15">
        <f>OrdersTable!B2477</f>
        <v>830</v>
      </c>
      <c r="K2477" s="15" t="str">
        <f t="shared" si="843"/>
        <v>Statues and Busts</v>
      </c>
      <c r="L2477" s="15" t="str">
        <f t="shared" si="844"/>
        <v>Doctor Who: Mini Bust: Weeping Angel</v>
      </c>
      <c r="M2477" s="15" t="str">
        <f t="shared" si="845"/>
        <v>-</v>
      </c>
      <c r="N2477" s="15">
        <f t="shared" si="846"/>
        <v>1.8</v>
      </c>
      <c r="O2477" s="15" t="str">
        <f t="shared" si="847"/>
        <v>A50</v>
      </c>
      <c r="P2477" s="15" t="str">
        <f t="shared" si="848"/>
        <v>Rassilon Ltd.</v>
      </c>
      <c r="Q2477" s="15" t="str">
        <f t="shared" si="849"/>
        <v>82 Richard Mathews Road</v>
      </c>
      <c r="R2477" s="3">
        <f>OrdersTable!C2477</f>
        <v>44739</v>
      </c>
      <c r="S2477" s="15">
        <f>OrdersTable!E2477</f>
        <v>7</v>
      </c>
      <c r="T2477" s="15">
        <f t="shared" si="850"/>
        <v>35.99</v>
      </c>
      <c r="U2477" s="15">
        <f t="shared" si="851"/>
        <v>49.35</v>
      </c>
      <c r="V2477" s="15">
        <f t="shared" si="852"/>
        <v>58.3</v>
      </c>
      <c r="W2477" s="15">
        <f>IF(MarkupType="Store Markup",ROUND(V2477+V2477*StoreMarkup,2),IF(MarkupType="Supplier Markup",V2477+V2477*SupplierMarkup,"Error at finding value"))</f>
        <v>91.82</v>
      </c>
      <c r="X2477" s="32" t="str">
        <f t="shared" si="854"/>
        <v>0.00</v>
      </c>
      <c r="Y2477" s="15">
        <f t="shared" si="855"/>
        <v>408.1</v>
      </c>
      <c r="Z2477" s="15">
        <f t="shared" si="856"/>
        <v>642.74</v>
      </c>
      <c r="AA2477" s="15">
        <f>IF(FreightType="Lethbridge-Stewart Freight ",ROUND(2.99+IF(N2477&gt;0.75,(N2477-0.75)*2.25,0)*S2477,2),IF(MarkupType="Supplier Markup",V2477+V2477*SupplierMarkup,"Error at finding value"))</f>
        <v>19.53</v>
      </c>
      <c r="AB2477" s="15">
        <f t="shared" si="857"/>
        <v>0</v>
      </c>
    </row>
    <row r="2478" spans="1:28" x14ac:dyDescent="0.25">
      <c r="A2478" s="16">
        <f>OrdersTable!A2478</f>
        <v>468</v>
      </c>
      <c r="B2478" s="15" t="str">
        <f t="shared" si="837"/>
        <v>Mrs</v>
      </c>
      <c r="C2478" s="15" t="str">
        <f t="shared" si="858"/>
        <v>Van Essen</v>
      </c>
      <c r="D2478" s="15" t="str">
        <f t="shared" si="838"/>
        <v>Bianca Jane</v>
      </c>
      <c r="E2478" s="15" t="str">
        <f t="shared" si="839"/>
        <v>47 Ward Circuit</v>
      </c>
      <c r="F2478" s="15" t="str">
        <f t="shared" si="840"/>
        <v>Batlow</v>
      </c>
      <c r="G2478" s="15" t="str">
        <f t="shared" si="841"/>
        <v>NSW</v>
      </c>
      <c r="H2478" s="15">
        <f t="shared" si="842"/>
        <v>2730</v>
      </c>
      <c r="I2478" s="15">
        <f t="shared" si="853"/>
        <v>1138</v>
      </c>
      <c r="J2478" s="15">
        <f>OrdersTable!B2478</f>
        <v>671</v>
      </c>
      <c r="K2478" s="15" t="str">
        <f t="shared" si="843"/>
        <v>Mugs</v>
      </c>
      <c r="L2478" s="15" t="str">
        <f t="shared" si="844"/>
        <v>Doctor Who: Mug: TARDIS Inside</v>
      </c>
      <c r="M2478" s="15" t="str">
        <f t="shared" si="845"/>
        <v>-</v>
      </c>
      <c r="N2478" s="15">
        <f t="shared" si="846"/>
        <v>0.6</v>
      </c>
      <c r="O2478" s="15" t="str">
        <f t="shared" si="847"/>
        <v>A30</v>
      </c>
      <c r="P2478" s="15" t="str">
        <f t="shared" si="848"/>
        <v>Chesterton Enterprises</v>
      </c>
      <c r="Q2478" s="15" t="str">
        <f t="shared" si="849"/>
        <v>41 William Russell Road</v>
      </c>
      <c r="R2478" s="3">
        <f>OrdersTable!C2478</f>
        <v>44739</v>
      </c>
      <c r="S2478" s="15">
        <f>OrdersTable!E2478</f>
        <v>7</v>
      </c>
      <c r="T2478" s="15">
        <f t="shared" si="850"/>
        <v>11.99</v>
      </c>
      <c r="U2478" s="15">
        <f t="shared" si="851"/>
        <v>16.690000000000001</v>
      </c>
      <c r="V2478" s="15">
        <f t="shared" si="852"/>
        <v>19.420000000000002</v>
      </c>
      <c r="W2478" s="15">
        <f>IF(MarkupType="Store Markup",ROUND(V2478+V2478*StoreMarkup,2),IF(MarkupType="Supplier Markup",V2478+V2478*SupplierMarkup,"Error at finding value"))</f>
        <v>30.59</v>
      </c>
      <c r="X2478" s="32" t="str">
        <f t="shared" si="854"/>
        <v>0.00</v>
      </c>
      <c r="Y2478" s="15">
        <f t="shared" si="855"/>
        <v>135.94</v>
      </c>
      <c r="Z2478" s="15">
        <f t="shared" si="856"/>
        <v>214.13</v>
      </c>
      <c r="AA2478" s="15">
        <f>IF(FreightType="Lethbridge-Stewart Freight ",ROUND(2.99+IF(N2478&gt;0.75,(N2478-0.75)*2.25,0)*S2478,2),IF(MarkupType="Supplier Markup",V2478+V2478*SupplierMarkup,"Error at finding value"))</f>
        <v>2.99</v>
      </c>
      <c r="AB2478" s="15">
        <f t="shared" si="857"/>
        <v>0</v>
      </c>
    </row>
    <row r="2479" spans="1:28" x14ac:dyDescent="0.25">
      <c r="A2479" s="16">
        <f>OrdersTable!A2479</f>
        <v>496</v>
      </c>
      <c r="B2479" s="15" t="str">
        <f t="shared" si="837"/>
        <v>Dr</v>
      </c>
      <c r="C2479" s="15" t="str">
        <f t="shared" si="858"/>
        <v>Johnston</v>
      </c>
      <c r="D2479" s="15" t="str">
        <f t="shared" si="838"/>
        <v>Karrina</v>
      </c>
      <c r="E2479" s="15" t="str">
        <f t="shared" si="839"/>
        <v>11 Bishop Drive</v>
      </c>
      <c r="F2479" s="15" t="str">
        <f t="shared" si="840"/>
        <v>Belford</v>
      </c>
      <c r="G2479" s="15" t="str">
        <f t="shared" si="841"/>
        <v>NSW</v>
      </c>
      <c r="H2479" s="15">
        <f t="shared" si="842"/>
        <v>2335</v>
      </c>
      <c r="I2479" s="15">
        <f t="shared" si="853"/>
        <v>716</v>
      </c>
      <c r="J2479" s="15">
        <f>OrdersTable!B2479</f>
        <v>862</v>
      </c>
      <c r="K2479" s="15" t="str">
        <f t="shared" si="843"/>
        <v>Statues and Busts</v>
      </c>
      <c r="L2479" s="15" t="str">
        <f t="shared" si="844"/>
        <v>Doctor Who: TITANS: The 10th Doctor</v>
      </c>
      <c r="M2479" s="15" t="str">
        <f t="shared" si="845"/>
        <v>-</v>
      </c>
      <c r="N2479" s="15">
        <f t="shared" si="846"/>
        <v>0.4</v>
      </c>
      <c r="O2479" s="15" t="str">
        <f t="shared" si="847"/>
        <v>A40</v>
      </c>
      <c r="P2479" s="15" t="str">
        <f t="shared" si="848"/>
        <v>Romana Imports</v>
      </c>
      <c r="Q2479" s="15" t="str">
        <f t="shared" si="849"/>
        <v>17 Lalla Ward Road</v>
      </c>
      <c r="R2479" s="3">
        <f>OrdersTable!C2479</f>
        <v>44739</v>
      </c>
      <c r="S2479" s="15">
        <f>OrdersTable!E2479</f>
        <v>7</v>
      </c>
      <c r="T2479" s="15">
        <f t="shared" si="850"/>
        <v>7.99</v>
      </c>
      <c r="U2479" s="15">
        <f t="shared" si="851"/>
        <v>11.01</v>
      </c>
      <c r="V2479" s="15">
        <f t="shared" si="852"/>
        <v>12.94</v>
      </c>
      <c r="W2479" s="15">
        <f>IF(MarkupType="Store Markup",ROUND(V2479+V2479*StoreMarkup,2),IF(MarkupType="Supplier Markup",V2479+V2479*SupplierMarkup,"Error at finding value"))</f>
        <v>20.38</v>
      </c>
      <c r="X2479" s="32" t="str">
        <f t="shared" si="854"/>
        <v>0.00</v>
      </c>
      <c r="Y2479" s="15">
        <f t="shared" si="855"/>
        <v>90.58</v>
      </c>
      <c r="Z2479" s="15">
        <f t="shared" si="856"/>
        <v>142.66</v>
      </c>
      <c r="AA2479" s="15">
        <f>IF(FreightType="Lethbridge-Stewart Freight ",ROUND(2.99+IF(N2479&gt;0.75,(N2479-0.75)*2.25,0)*S2479,2),IF(MarkupType="Supplier Markup",V2479+V2479*SupplierMarkup,"Error at finding value"))</f>
        <v>2.99</v>
      </c>
      <c r="AB2479" s="15">
        <f t="shared" si="857"/>
        <v>0</v>
      </c>
    </row>
    <row r="2480" spans="1:28" x14ac:dyDescent="0.25">
      <c r="A2480" s="16">
        <f>OrdersTable!A2480</f>
        <v>771</v>
      </c>
      <c r="B2480" s="15" t="str">
        <f t="shared" si="837"/>
        <v>Dr</v>
      </c>
      <c r="C2480" s="15" t="str">
        <f t="shared" si="858"/>
        <v>Virk</v>
      </c>
      <c r="D2480" s="15" t="str">
        <f t="shared" si="838"/>
        <v>Balraj Singh</v>
      </c>
      <c r="E2480" s="15" t="str">
        <f t="shared" si="839"/>
        <v>39 Napanje Drive</v>
      </c>
      <c r="F2480" s="15" t="str">
        <f t="shared" si="840"/>
        <v>Abington</v>
      </c>
      <c r="G2480" s="15" t="str">
        <f t="shared" si="841"/>
        <v>QLD</v>
      </c>
      <c r="H2480" s="15">
        <f t="shared" si="842"/>
        <v>4660</v>
      </c>
      <c r="I2480" s="15">
        <f t="shared" si="853"/>
        <v>336</v>
      </c>
      <c r="J2480" s="15">
        <f>OrdersTable!B2480</f>
        <v>778</v>
      </c>
      <c r="K2480" s="15" t="str">
        <f t="shared" si="843"/>
        <v>Statues and Busts</v>
      </c>
      <c r="L2480" s="15" t="str">
        <f t="shared" si="844"/>
        <v>Doctor Who: Legends Forever Bust: William Hartnell</v>
      </c>
      <c r="M2480" s="15" t="str">
        <f t="shared" si="845"/>
        <v>-</v>
      </c>
      <c r="N2480" s="15">
        <f t="shared" si="846"/>
        <v>1.375</v>
      </c>
      <c r="O2480" s="15" t="str">
        <f t="shared" si="847"/>
        <v>A40</v>
      </c>
      <c r="P2480" s="15" t="str">
        <f t="shared" si="848"/>
        <v>Romana Imports</v>
      </c>
      <c r="Q2480" s="15" t="str">
        <f t="shared" si="849"/>
        <v>17 Lalla Ward Road</v>
      </c>
      <c r="R2480" s="3">
        <f>OrdersTable!C2480</f>
        <v>44739</v>
      </c>
      <c r="S2480" s="15">
        <f>OrdersTable!E2480</f>
        <v>3</v>
      </c>
      <c r="T2480" s="15">
        <f t="shared" si="850"/>
        <v>27.5</v>
      </c>
      <c r="U2480" s="15">
        <f t="shared" si="851"/>
        <v>37.520000000000003</v>
      </c>
      <c r="V2480" s="15">
        <f t="shared" si="852"/>
        <v>44.55</v>
      </c>
      <c r="W2480" s="15">
        <f>IF(MarkupType="Store Markup",ROUND(V2480+V2480*StoreMarkup,2),IF(MarkupType="Supplier Markup",V2480+V2480*SupplierMarkup,"Error at finding value"))</f>
        <v>70.17</v>
      </c>
      <c r="X2480" s="32" t="str">
        <f t="shared" si="854"/>
        <v>0.00</v>
      </c>
      <c r="Y2480" s="15">
        <f t="shared" si="855"/>
        <v>133.65</v>
      </c>
      <c r="Z2480" s="15">
        <f t="shared" si="856"/>
        <v>210.51</v>
      </c>
      <c r="AA2480" s="15">
        <f>IF(FreightType="Lethbridge-Stewart Freight ",ROUND(2.99+IF(N2480&gt;0.75,(N2480-0.75)*2.25,0)*S2480,2),IF(MarkupType="Supplier Markup",V2480+V2480*SupplierMarkup,"Error at finding value"))</f>
        <v>7.21</v>
      </c>
      <c r="AB2480" s="15">
        <f t="shared" si="857"/>
        <v>0</v>
      </c>
    </row>
    <row r="2481" spans="1:28" x14ac:dyDescent="0.25">
      <c r="A2481" s="16">
        <f>OrdersTable!A2481</f>
        <v>983</v>
      </c>
      <c r="B2481" s="15" t="str">
        <f t="shared" si="837"/>
        <v>Mrs</v>
      </c>
      <c r="C2481" s="15" t="str">
        <f t="shared" si="858"/>
        <v>Bennett</v>
      </c>
      <c r="D2481" s="15" t="str">
        <f t="shared" si="838"/>
        <v>Mikayla Elizabeth</v>
      </c>
      <c r="E2481" s="15" t="str">
        <f t="shared" si="839"/>
        <v>35 Khanal Crescent</v>
      </c>
      <c r="F2481" s="15" t="str">
        <f t="shared" si="840"/>
        <v>Bamboo</v>
      </c>
      <c r="G2481" s="15" t="str">
        <f t="shared" si="841"/>
        <v>QLD</v>
      </c>
      <c r="H2481" s="15">
        <f t="shared" si="842"/>
        <v>4873</v>
      </c>
      <c r="I2481" s="15">
        <f t="shared" si="853"/>
        <v>1741</v>
      </c>
      <c r="J2481" s="15">
        <f>OrdersTable!B2481</f>
        <v>696</v>
      </c>
      <c r="K2481" s="15" t="str">
        <f t="shared" si="843"/>
        <v>Posters, Prints and Standees</v>
      </c>
      <c r="L2481" s="15" t="str">
        <f t="shared" si="844"/>
        <v xml:space="preserve">Doctor Who: 50th Anniversary: Poster: To Victory </v>
      </c>
      <c r="M2481" s="15" t="str">
        <f t="shared" si="845"/>
        <v>-</v>
      </c>
      <c r="N2481" s="15">
        <f t="shared" si="846"/>
        <v>0.2</v>
      </c>
      <c r="O2481" s="15" t="str">
        <f t="shared" si="847"/>
        <v>A40</v>
      </c>
      <c r="P2481" s="15" t="str">
        <f t="shared" si="848"/>
        <v>Romana Imports</v>
      </c>
      <c r="Q2481" s="15" t="str">
        <f t="shared" si="849"/>
        <v>17 Lalla Ward Road</v>
      </c>
      <c r="R2481" s="3">
        <f>OrdersTable!C2481</f>
        <v>44739</v>
      </c>
      <c r="S2481" s="15">
        <f>OrdersTable!E2481</f>
        <v>4</v>
      </c>
      <c r="T2481" s="15">
        <f t="shared" si="850"/>
        <v>3.99</v>
      </c>
      <c r="U2481" s="15">
        <f t="shared" si="851"/>
        <v>5.6</v>
      </c>
      <c r="V2481" s="15">
        <f t="shared" si="852"/>
        <v>6.46</v>
      </c>
      <c r="W2481" s="15">
        <f>IF(MarkupType="Store Markup",ROUND(V2481+V2481*StoreMarkup,2),IF(MarkupType="Supplier Markup",V2481+V2481*SupplierMarkup,"Error at finding value"))</f>
        <v>10.17</v>
      </c>
      <c r="X2481" s="32" t="str">
        <f t="shared" si="854"/>
        <v>0.00</v>
      </c>
      <c r="Y2481" s="15">
        <f t="shared" si="855"/>
        <v>25.84</v>
      </c>
      <c r="Z2481" s="15">
        <f t="shared" si="856"/>
        <v>40.68</v>
      </c>
      <c r="AA2481" s="15">
        <f>IF(FreightType="Lethbridge-Stewart Freight ",ROUND(2.99+IF(N2481&gt;0.75,(N2481-0.75)*2.25,0)*S2481,2),IF(MarkupType="Supplier Markup",V2481+V2481*SupplierMarkup,"Error at finding value"))</f>
        <v>2.99</v>
      </c>
      <c r="AB2481" s="15">
        <f t="shared" si="857"/>
        <v>0</v>
      </c>
    </row>
    <row r="2482" spans="1:28" x14ac:dyDescent="0.25">
      <c r="A2482" s="16">
        <f>OrdersTable!A2482</f>
        <v>46</v>
      </c>
      <c r="B2482" s="15" t="str">
        <f t="shared" si="837"/>
        <v>Mrs</v>
      </c>
      <c r="C2482" s="15" t="str">
        <f t="shared" si="858"/>
        <v>Dovey</v>
      </c>
      <c r="D2482" s="15" t="str">
        <f t="shared" si="838"/>
        <v>Aisha Jade</v>
      </c>
      <c r="E2482" s="15" t="str">
        <f t="shared" si="839"/>
        <v>43 Wilkes Circuit</v>
      </c>
      <c r="F2482" s="15" t="str">
        <f t="shared" si="840"/>
        <v>Alfredtown</v>
      </c>
      <c r="G2482" s="15" t="str">
        <f t="shared" si="841"/>
        <v>NSW</v>
      </c>
      <c r="H2482" s="15">
        <f t="shared" si="842"/>
        <v>2650</v>
      </c>
      <c r="I2482" s="15">
        <f t="shared" si="853"/>
        <v>1124</v>
      </c>
      <c r="J2482" s="15">
        <f>OrdersTable!B2482</f>
        <v>164</v>
      </c>
      <c r="K2482" s="15" t="str">
        <f t="shared" si="843"/>
        <v>Bobbleheads</v>
      </c>
      <c r="L2482" s="15" t="str">
        <f t="shared" si="844"/>
        <v>Doctor Who: Bobblehead: Fourth Doctor</v>
      </c>
      <c r="M2482" s="15" t="str">
        <f t="shared" si="845"/>
        <v>-</v>
      </c>
      <c r="N2482" s="15">
        <f t="shared" si="846"/>
        <v>0.75</v>
      </c>
      <c r="O2482" s="15" t="str">
        <f t="shared" si="847"/>
        <v>A40</v>
      </c>
      <c r="P2482" s="15" t="str">
        <f t="shared" si="848"/>
        <v>Romana Imports</v>
      </c>
      <c r="Q2482" s="15" t="str">
        <f t="shared" si="849"/>
        <v>17 Lalla Ward Road</v>
      </c>
      <c r="R2482" s="3">
        <f>OrdersTable!C2482</f>
        <v>44740</v>
      </c>
      <c r="S2482" s="15">
        <f>OrdersTable!E2482</f>
        <v>8</v>
      </c>
      <c r="T2482" s="15">
        <f t="shared" si="850"/>
        <v>14.99</v>
      </c>
      <c r="U2482" s="15">
        <f t="shared" si="851"/>
        <v>20.53</v>
      </c>
      <c r="V2482" s="15">
        <f t="shared" si="852"/>
        <v>24.28</v>
      </c>
      <c r="W2482" s="15">
        <f>IF(MarkupType="Store Markup",ROUND(V2482+V2482*StoreMarkup,2),IF(MarkupType="Supplier Markup",V2482+V2482*SupplierMarkup,"Error at finding value"))</f>
        <v>38.24</v>
      </c>
      <c r="X2482" s="32" t="str">
        <f t="shared" si="854"/>
        <v>0.00</v>
      </c>
      <c r="Y2482" s="15">
        <f t="shared" si="855"/>
        <v>194.24</v>
      </c>
      <c r="Z2482" s="15">
        <f t="shared" si="856"/>
        <v>305.92</v>
      </c>
      <c r="AA2482" s="15">
        <f>IF(FreightType="Lethbridge-Stewart Freight ",ROUND(2.99+IF(N2482&gt;0.75,(N2482-0.75)*2.25,0)*S2482,2),IF(MarkupType="Supplier Markup",V2482+V2482*SupplierMarkup,"Error at finding value"))</f>
        <v>2.99</v>
      </c>
      <c r="AB2482" s="15">
        <f t="shared" si="857"/>
        <v>0</v>
      </c>
    </row>
    <row r="2483" spans="1:28" x14ac:dyDescent="0.25">
      <c r="A2483" s="16">
        <f>OrdersTable!A2483</f>
        <v>323</v>
      </c>
      <c r="B2483" s="15" t="str">
        <f t="shared" si="837"/>
        <v>Dr</v>
      </c>
      <c r="C2483" s="15" t="str">
        <f t="shared" si="858"/>
        <v>King</v>
      </c>
      <c r="D2483" s="15" t="str">
        <f t="shared" si="838"/>
        <v>Leith</v>
      </c>
      <c r="E2483" s="15" t="str">
        <f t="shared" si="839"/>
        <v>25 Carbone Court</v>
      </c>
      <c r="F2483" s="15" t="str">
        <f t="shared" si="840"/>
        <v>Nayook</v>
      </c>
      <c r="G2483" s="15" t="str">
        <f t="shared" si="841"/>
        <v>VIC</v>
      </c>
      <c r="H2483" s="15">
        <f t="shared" si="842"/>
        <v>3832</v>
      </c>
      <c r="I2483" s="15">
        <f t="shared" si="853"/>
        <v>1552</v>
      </c>
      <c r="J2483" s="15">
        <f>OrdersTable!B2483</f>
        <v>692</v>
      </c>
      <c r="K2483" s="15" t="str">
        <f t="shared" si="843"/>
        <v>Posters, Prints and Standees</v>
      </c>
      <c r="L2483" s="15" t="str">
        <f t="shared" si="844"/>
        <v>Doctor Who: 16'x12' Framed Print: Exploding TARDIS</v>
      </c>
      <c r="M2483" s="15" t="str">
        <f t="shared" si="845"/>
        <v>-</v>
      </c>
      <c r="N2483" s="15">
        <f t="shared" si="846"/>
        <v>0.75</v>
      </c>
      <c r="O2483" s="15" t="str">
        <f t="shared" si="847"/>
        <v>A30</v>
      </c>
      <c r="P2483" s="15" t="str">
        <f t="shared" si="848"/>
        <v>Chesterton Enterprises</v>
      </c>
      <c r="Q2483" s="15" t="str">
        <f t="shared" si="849"/>
        <v>41 William Russell Road</v>
      </c>
      <c r="R2483" s="3">
        <f>OrdersTable!C2483</f>
        <v>44740</v>
      </c>
      <c r="S2483" s="15">
        <f>OrdersTable!E2483</f>
        <v>3</v>
      </c>
      <c r="T2483" s="15">
        <f t="shared" si="850"/>
        <v>14.99</v>
      </c>
      <c r="U2483" s="15">
        <f t="shared" si="851"/>
        <v>20.54</v>
      </c>
      <c r="V2483" s="15">
        <f t="shared" si="852"/>
        <v>24.28</v>
      </c>
      <c r="W2483" s="15">
        <f>IF(MarkupType="Store Markup",ROUND(V2483+V2483*StoreMarkup,2),IF(MarkupType="Supplier Markup",V2483+V2483*SupplierMarkup,"Error at finding value"))</f>
        <v>38.24</v>
      </c>
      <c r="X2483" s="32" t="str">
        <f t="shared" si="854"/>
        <v>0.00</v>
      </c>
      <c r="Y2483" s="15">
        <f t="shared" si="855"/>
        <v>72.84</v>
      </c>
      <c r="Z2483" s="15">
        <f t="shared" si="856"/>
        <v>114.72</v>
      </c>
      <c r="AA2483" s="15">
        <f>IF(FreightType="Lethbridge-Stewart Freight ",ROUND(2.99+IF(N2483&gt;0.75,(N2483-0.75)*2.25,0)*S2483,2),IF(MarkupType="Supplier Markup",V2483+V2483*SupplierMarkup,"Error at finding value"))</f>
        <v>2.99</v>
      </c>
      <c r="AB2483" s="15">
        <f t="shared" si="857"/>
        <v>0</v>
      </c>
    </row>
    <row r="2484" spans="1:28" x14ac:dyDescent="0.25">
      <c r="A2484" s="16">
        <f>OrdersTable!A2484</f>
        <v>448</v>
      </c>
      <c r="B2484" s="15" t="str">
        <f t="shared" si="837"/>
        <v>Mr</v>
      </c>
      <c r="C2484" s="15" t="str">
        <f t="shared" si="858"/>
        <v>Earl</v>
      </c>
      <c r="D2484" s="15" t="str">
        <f t="shared" si="838"/>
        <v>Benn Robert</v>
      </c>
      <c r="E2484" s="15" t="str">
        <f t="shared" si="839"/>
        <v>31 Kae Drive</v>
      </c>
      <c r="F2484" s="15" t="str">
        <f t="shared" si="840"/>
        <v>Belford</v>
      </c>
      <c r="G2484" s="15" t="str">
        <f t="shared" si="841"/>
        <v>NSW</v>
      </c>
      <c r="H2484" s="15">
        <f t="shared" si="842"/>
        <v>2335</v>
      </c>
      <c r="I2484" s="15">
        <f t="shared" si="853"/>
        <v>716</v>
      </c>
      <c r="J2484" s="15">
        <f>OrdersTable!B2484</f>
        <v>703</v>
      </c>
      <c r="K2484" s="15" t="str">
        <f t="shared" si="843"/>
        <v>Posters, Prints and Standees</v>
      </c>
      <c r="L2484" s="15" t="str">
        <f t="shared" si="844"/>
        <v>Doctor Who: Poster: Doctor With Sonic Screwdriver</v>
      </c>
      <c r="M2484" s="15" t="str">
        <f t="shared" si="845"/>
        <v>-</v>
      </c>
      <c r="N2484" s="15">
        <f t="shared" si="846"/>
        <v>0.2</v>
      </c>
      <c r="O2484" s="15" t="str">
        <f t="shared" si="847"/>
        <v>A50</v>
      </c>
      <c r="P2484" s="15" t="str">
        <f t="shared" si="848"/>
        <v>Rassilon Ltd.</v>
      </c>
      <c r="Q2484" s="15" t="str">
        <f t="shared" si="849"/>
        <v>82 Richard Mathews Road</v>
      </c>
      <c r="R2484" s="3">
        <f>OrdersTable!C2484</f>
        <v>44740</v>
      </c>
      <c r="S2484" s="15">
        <f>OrdersTable!E2484</f>
        <v>8</v>
      </c>
      <c r="T2484" s="15">
        <f t="shared" si="850"/>
        <v>3.99</v>
      </c>
      <c r="U2484" s="15">
        <f t="shared" si="851"/>
        <v>5.51</v>
      </c>
      <c r="V2484" s="15">
        <f t="shared" si="852"/>
        <v>6.46</v>
      </c>
      <c r="W2484" s="15">
        <f>IF(MarkupType="Store Markup",ROUND(V2484+V2484*StoreMarkup,2),IF(MarkupType="Supplier Markup",V2484+V2484*SupplierMarkup,"Error at finding value"))</f>
        <v>10.17</v>
      </c>
      <c r="X2484" s="32" t="str">
        <f t="shared" si="854"/>
        <v>0.00</v>
      </c>
      <c r="Y2484" s="15">
        <f t="shared" si="855"/>
        <v>51.68</v>
      </c>
      <c r="Z2484" s="15">
        <f t="shared" si="856"/>
        <v>81.36</v>
      </c>
      <c r="AA2484" s="15">
        <f>IF(FreightType="Lethbridge-Stewart Freight ",ROUND(2.99+IF(N2484&gt;0.75,(N2484-0.75)*2.25,0)*S2484,2),IF(MarkupType="Supplier Markup",V2484+V2484*SupplierMarkup,"Error at finding value"))</f>
        <v>2.99</v>
      </c>
      <c r="AB2484" s="15">
        <f t="shared" si="857"/>
        <v>0</v>
      </c>
    </row>
    <row r="2485" spans="1:28" x14ac:dyDescent="0.25">
      <c r="A2485" s="16">
        <f>OrdersTable!A2485</f>
        <v>448</v>
      </c>
      <c r="B2485" s="15" t="str">
        <f t="shared" si="837"/>
        <v>Mr</v>
      </c>
      <c r="C2485" s="15" t="str">
        <f t="shared" si="858"/>
        <v>Earl</v>
      </c>
      <c r="D2485" s="15" t="str">
        <f t="shared" si="838"/>
        <v>Benn Robert</v>
      </c>
      <c r="E2485" s="15" t="str">
        <f t="shared" si="839"/>
        <v>31 Kae Drive</v>
      </c>
      <c r="F2485" s="15" t="str">
        <f t="shared" si="840"/>
        <v>Belford</v>
      </c>
      <c r="G2485" s="15" t="str">
        <f t="shared" si="841"/>
        <v>NSW</v>
      </c>
      <c r="H2485" s="15">
        <f t="shared" si="842"/>
        <v>2335</v>
      </c>
      <c r="I2485" s="15">
        <f t="shared" si="853"/>
        <v>716</v>
      </c>
      <c r="J2485" s="15">
        <f>OrdersTable!B2485</f>
        <v>805</v>
      </c>
      <c r="K2485" s="15" t="str">
        <f t="shared" si="843"/>
        <v>Statues and Busts</v>
      </c>
      <c r="L2485" s="15" t="str">
        <f t="shared" si="844"/>
        <v>Doctor Who: Masterpiece Collection Maxi Bust: 5th Doctor</v>
      </c>
      <c r="M2485" s="15" t="str">
        <f t="shared" si="845"/>
        <v>-</v>
      </c>
      <c r="N2485" s="15">
        <f t="shared" si="846"/>
        <v>2.5</v>
      </c>
      <c r="O2485" s="15" t="str">
        <f t="shared" si="847"/>
        <v>A20</v>
      </c>
      <c r="P2485" s="15" t="str">
        <f t="shared" si="848"/>
        <v>Morbius Inc.</v>
      </c>
      <c r="Q2485" s="15" t="str">
        <f t="shared" si="849"/>
        <v>56 Michael Spice Hwy</v>
      </c>
      <c r="R2485" s="3">
        <f>OrdersTable!C2485</f>
        <v>44740</v>
      </c>
      <c r="S2485" s="15">
        <f>OrdersTable!E2485</f>
        <v>8</v>
      </c>
      <c r="T2485" s="15">
        <f t="shared" si="850"/>
        <v>49.99</v>
      </c>
      <c r="U2485" s="15">
        <f t="shared" si="851"/>
        <v>68.42</v>
      </c>
      <c r="V2485" s="15">
        <f t="shared" si="852"/>
        <v>80.98</v>
      </c>
      <c r="W2485" s="15">
        <f>IF(MarkupType="Store Markup",ROUND(V2485+V2485*StoreMarkup,2),IF(MarkupType="Supplier Markup",V2485+V2485*SupplierMarkup,"Error at finding value"))</f>
        <v>127.54</v>
      </c>
      <c r="X2485" s="32">
        <f t="shared" si="854"/>
        <v>9.09</v>
      </c>
      <c r="Y2485" s="15">
        <f t="shared" si="855"/>
        <v>647.84</v>
      </c>
      <c r="Z2485" s="15">
        <f t="shared" si="856"/>
        <v>947.6</v>
      </c>
      <c r="AA2485" s="15">
        <f>IF(FreightType="Lethbridge-Stewart Freight ",ROUND(2.99+IF(N2485&gt;0.75,(N2485-0.75)*2.25,0)*S2485,2),IF(MarkupType="Supplier Markup",V2485+V2485*SupplierMarkup,"Error at finding value"))</f>
        <v>34.49</v>
      </c>
      <c r="AB2485" s="15">
        <f t="shared" si="857"/>
        <v>72.72</v>
      </c>
    </row>
    <row r="2486" spans="1:28" x14ac:dyDescent="0.25">
      <c r="A2486" s="16">
        <f>OrdersTable!A2486</f>
        <v>496</v>
      </c>
      <c r="B2486" s="15" t="str">
        <f t="shared" si="837"/>
        <v>Dr</v>
      </c>
      <c r="C2486" s="15" t="str">
        <f t="shared" si="858"/>
        <v>Johnston</v>
      </c>
      <c r="D2486" s="15" t="str">
        <f t="shared" si="838"/>
        <v>Karrina</v>
      </c>
      <c r="E2486" s="15" t="str">
        <f t="shared" si="839"/>
        <v>11 Bishop Drive</v>
      </c>
      <c r="F2486" s="15" t="str">
        <f t="shared" si="840"/>
        <v>Belford</v>
      </c>
      <c r="G2486" s="15" t="str">
        <f t="shared" si="841"/>
        <v>NSW</v>
      </c>
      <c r="H2486" s="15">
        <f t="shared" si="842"/>
        <v>2335</v>
      </c>
      <c r="I2486" s="15">
        <f t="shared" si="853"/>
        <v>716</v>
      </c>
      <c r="J2486" s="15">
        <f>OrdersTable!B2486</f>
        <v>834</v>
      </c>
      <c r="K2486" s="15" t="str">
        <f t="shared" si="843"/>
        <v>Statues and Busts</v>
      </c>
      <c r="L2486" s="15" t="str">
        <f t="shared" si="844"/>
        <v>Doctor Who: Signature Edition Statue: Gallifrey Edition: Matt Smith</v>
      </c>
      <c r="M2486" s="15" t="str">
        <f t="shared" si="845"/>
        <v>-</v>
      </c>
      <c r="N2486" s="15">
        <f t="shared" si="846"/>
        <v>2.5</v>
      </c>
      <c r="O2486" s="15" t="str">
        <f t="shared" si="847"/>
        <v>A30</v>
      </c>
      <c r="P2486" s="15" t="str">
        <f t="shared" si="848"/>
        <v>Chesterton Enterprises</v>
      </c>
      <c r="Q2486" s="15" t="str">
        <f t="shared" si="849"/>
        <v>41 William Russell Road</v>
      </c>
      <c r="R2486" s="3">
        <f>OrdersTable!C2486</f>
        <v>44740</v>
      </c>
      <c r="S2486" s="15">
        <f>OrdersTable!E2486</f>
        <v>7</v>
      </c>
      <c r="T2486" s="15">
        <f t="shared" si="850"/>
        <v>49.99</v>
      </c>
      <c r="U2486" s="15">
        <f t="shared" si="851"/>
        <v>68.52</v>
      </c>
      <c r="V2486" s="15">
        <f t="shared" si="852"/>
        <v>80.98</v>
      </c>
      <c r="W2486" s="15">
        <f>IF(MarkupType="Store Markup",ROUND(V2486+V2486*StoreMarkup,2),IF(MarkupType="Supplier Markup",V2486+V2486*SupplierMarkup,"Error at finding value"))</f>
        <v>127.54</v>
      </c>
      <c r="X2486" s="32">
        <f t="shared" si="854"/>
        <v>9.09</v>
      </c>
      <c r="Y2486" s="15">
        <f t="shared" si="855"/>
        <v>566.86</v>
      </c>
      <c r="Z2486" s="15">
        <f t="shared" si="856"/>
        <v>829.15</v>
      </c>
      <c r="AA2486" s="15">
        <f>IF(FreightType="Lethbridge-Stewart Freight ",ROUND(2.99+IF(N2486&gt;0.75,(N2486-0.75)*2.25,0)*S2486,2),IF(MarkupType="Supplier Markup",V2486+V2486*SupplierMarkup,"Error at finding value"))</f>
        <v>30.55</v>
      </c>
      <c r="AB2486" s="15">
        <f t="shared" si="857"/>
        <v>63.63</v>
      </c>
    </row>
    <row r="2487" spans="1:28" x14ac:dyDescent="0.25">
      <c r="A2487" s="16">
        <f>OrdersTable!A2487</f>
        <v>500</v>
      </c>
      <c r="B2487" s="15" t="str">
        <f t="shared" si="837"/>
        <v>Ms</v>
      </c>
      <c r="C2487" s="15" t="str">
        <f t="shared" si="858"/>
        <v>Helmers</v>
      </c>
      <c r="D2487" s="15" t="str">
        <f t="shared" si="838"/>
        <v>Kristy-Lee</v>
      </c>
      <c r="E2487" s="15" t="str">
        <f t="shared" si="839"/>
        <v>43 Welthagen Court</v>
      </c>
      <c r="F2487" s="15" t="str">
        <f t="shared" si="840"/>
        <v>Areegra</v>
      </c>
      <c r="G2487" s="15" t="str">
        <f t="shared" si="841"/>
        <v>VIC</v>
      </c>
      <c r="H2487" s="15">
        <f t="shared" si="842"/>
        <v>3480</v>
      </c>
      <c r="I2487" s="15">
        <f t="shared" si="853"/>
        <v>1559</v>
      </c>
      <c r="J2487" s="15">
        <f>OrdersTable!B2487</f>
        <v>780</v>
      </c>
      <c r="K2487" s="15" t="str">
        <f t="shared" si="843"/>
        <v>Statues and Busts</v>
      </c>
      <c r="L2487" s="15" t="str">
        <f t="shared" si="844"/>
        <v>Doctor Who: Masterpiece Collection Dalek: Genesis Of The Daleks</v>
      </c>
      <c r="M2487" s="15" t="str">
        <f t="shared" si="845"/>
        <v>-</v>
      </c>
      <c r="N2487" s="15">
        <f t="shared" si="846"/>
        <v>2.5</v>
      </c>
      <c r="O2487" s="15" t="str">
        <f t="shared" si="847"/>
        <v>A30</v>
      </c>
      <c r="P2487" s="15" t="str">
        <f t="shared" si="848"/>
        <v>Chesterton Enterprises</v>
      </c>
      <c r="Q2487" s="15" t="str">
        <f t="shared" si="849"/>
        <v>41 William Russell Road</v>
      </c>
      <c r="R2487" s="3">
        <f>OrdersTable!C2487</f>
        <v>44740</v>
      </c>
      <c r="S2487" s="15">
        <f>OrdersTable!E2487</f>
        <v>7</v>
      </c>
      <c r="T2487" s="15">
        <f t="shared" si="850"/>
        <v>49.99</v>
      </c>
      <c r="U2487" s="15">
        <f t="shared" si="851"/>
        <v>68.23</v>
      </c>
      <c r="V2487" s="15">
        <f t="shared" si="852"/>
        <v>80.98</v>
      </c>
      <c r="W2487" s="15">
        <f>IF(MarkupType="Store Markup",ROUND(V2487+V2487*StoreMarkup,2),IF(MarkupType="Supplier Markup",V2487+V2487*SupplierMarkup,"Error at finding value"))</f>
        <v>127.54</v>
      </c>
      <c r="X2487" s="32">
        <f t="shared" si="854"/>
        <v>9.09</v>
      </c>
      <c r="Y2487" s="15">
        <f t="shared" si="855"/>
        <v>566.86</v>
      </c>
      <c r="Z2487" s="15">
        <f t="shared" si="856"/>
        <v>829.15</v>
      </c>
      <c r="AA2487" s="15">
        <f>IF(FreightType="Lethbridge-Stewart Freight ",ROUND(2.99+IF(N2487&gt;0.75,(N2487-0.75)*2.25,0)*S2487,2),IF(MarkupType="Supplier Markup",V2487+V2487*SupplierMarkup,"Error at finding value"))</f>
        <v>30.55</v>
      </c>
      <c r="AB2487" s="15">
        <f t="shared" si="857"/>
        <v>63.63</v>
      </c>
    </row>
    <row r="2488" spans="1:28" x14ac:dyDescent="0.25">
      <c r="A2488" s="16">
        <f>OrdersTable!A2488</f>
        <v>501</v>
      </c>
      <c r="B2488" s="15" t="str">
        <f t="shared" si="837"/>
        <v>Miss</v>
      </c>
      <c r="C2488" s="15" t="str">
        <f t="shared" si="858"/>
        <v>Tharenou</v>
      </c>
      <c r="D2488" s="15" t="str">
        <f t="shared" si="838"/>
        <v>Kimberley Jacinta</v>
      </c>
      <c r="E2488" s="15" t="str">
        <f t="shared" si="839"/>
        <v>49 Moncada Circuit</v>
      </c>
      <c r="F2488" s="15" t="str">
        <f t="shared" si="840"/>
        <v>Belford</v>
      </c>
      <c r="G2488" s="15" t="str">
        <f t="shared" si="841"/>
        <v>NSW</v>
      </c>
      <c r="H2488" s="15">
        <f t="shared" si="842"/>
        <v>2335</v>
      </c>
      <c r="I2488" s="15">
        <f t="shared" si="853"/>
        <v>716</v>
      </c>
      <c r="J2488" s="15">
        <f>OrdersTable!B2488</f>
        <v>780</v>
      </c>
      <c r="K2488" s="15" t="str">
        <f t="shared" si="843"/>
        <v>Statues and Busts</v>
      </c>
      <c r="L2488" s="15" t="str">
        <f t="shared" si="844"/>
        <v>Doctor Who: Masterpiece Collection Dalek: Genesis Of The Daleks</v>
      </c>
      <c r="M2488" s="15" t="str">
        <f t="shared" si="845"/>
        <v>-</v>
      </c>
      <c r="N2488" s="15">
        <f t="shared" si="846"/>
        <v>2.5</v>
      </c>
      <c r="O2488" s="15" t="str">
        <f t="shared" si="847"/>
        <v>A30</v>
      </c>
      <c r="P2488" s="15" t="str">
        <f t="shared" si="848"/>
        <v>Chesterton Enterprises</v>
      </c>
      <c r="Q2488" s="15" t="str">
        <f t="shared" si="849"/>
        <v>41 William Russell Road</v>
      </c>
      <c r="R2488" s="3">
        <f>OrdersTable!C2488</f>
        <v>44740</v>
      </c>
      <c r="S2488" s="15">
        <f>OrdersTable!E2488</f>
        <v>8</v>
      </c>
      <c r="T2488" s="15">
        <f t="shared" si="850"/>
        <v>49.99</v>
      </c>
      <c r="U2488" s="15">
        <f t="shared" si="851"/>
        <v>68.23</v>
      </c>
      <c r="V2488" s="15">
        <f t="shared" si="852"/>
        <v>80.98</v>
      </c>
      <c r="W2488" s="15">
        <f>IF(MarkupType="Store Markup",ROUND(V2488+V2488*StoreMarkup,2),IF(MarkupType="Supplier Markup",V2488+V2488*SupplierMarkup,"Error at finding value"))</f>
        <v>127.54</v>
      </c>
      <c r="X2488" s="32">
        <f t="shared" si="854"/>
        <v>9.09</v>
      </c>
      <c r="Y2488" s="15">
        <f t="shared" si="855"/>
        <v>647.84</v>
      </c>
      <c r="Z2488" s="15">
        <f t="shared" si="856"/>
        <v>947.6</v>
      </c>
      <c r="AA2488" s="15">
        <f>IF(FreightType="Lethbridge-Stewart Freight ",ROUND(2.99+IF(N2488&gt;0.75,(N2488-0.75)*2.25,0)*S2488,2),IF(MarkupType="Supplier Markup",V2488+V2488*SupplierMarkup,"Error at finding value"))</f>
        <v>34.49</v>
      </c>
      <c r="AB2488" s="15">
        <f t="shared" si="857"/>
        <v>72.72</v>
      </c>
    </row>
    <row r="2489" spans="1:28" x14ac:dyDescent="0.25">
      <c r="A2489" s="16">
        <f>OrdersTable!A2489</f>
        <v>573</v>
      </c>
      <c r="B2489" s="15" t="str">
        <f t="shared" si="837"/>
        <v>Mrs</v>
      </c>
      <c r="C2489" s="15" t="str">
        <f t="shared" si="858"/>
        <v>Hollonds</v>
      </c>
      <c r="D2489" s="15" t="str">
        <f t="shared" si="838"/>
        <v>Suzan</v>
      </c>
      <c r="E2489" s="15" t="str">
        <f t="shared" si="839"/>
        <v>49 Patel Way</v>
      </c>
      <c r="F2489" s="15" t="str">
        <f t="shared" si="840"/>
        <v>Belconnen</v>
      </c>
      <c r="G2489" s="15" t="str">
        <f t="shared" si="841"/>
        <v>ACT</v>
      </c>
      <c r="H2489" s="15">
        <f t="shared" si="842"/>
        <v>2617</v>
      </c>
      <c r="I2489" s="15">
        <f t="shared" si="853"/>
        <v>1194</v>
      </c>
      <c r="J2489" s="15">
        <f>OrdersTable!B2489</f>
        <v>689</v>
      </c>
      <c r="K2489" s="15" t="str">
        <f t="shared" si="843"/>
        <v>Posters, Prints and Standees</v>
      </c>
      <c r="L2489" s="15" t="str">
        <f t="shared" si="844"/>
        <v>Doctor Who: 16'x12' Framed Print: Cold War</v>
      </c>
      <c r="M2489" s="15" t="str">
        <f t="shared" si="845"/>
        <v>-</v>
      </c>
      <c r="N2489" s="15">
        <f t="shared" si="846"/>
        <v>0.75</v>
      </c>
      <c r="O2489" s="15" t="str">
        <f t="shared" si="847"/>
        <v>A50</v>
      </c>
      <c r="P2489" s="15" t="str">
        <f t="shared" si="848"/>
        <v>Rassilon Ltd.</v>
      </c>
      <c r="Q2489" s="15" t="str">
        <f t="shared" si="849"/>
        <v>82 Richard Mathews Road</v>
      </c>
      <c r="R2489" s="3">
        <f>OrdersTable!C2489</f>
        <v>44740</v>
      </c>
      <c r="S2489" s="15">
        <f>OrdersTable!E2489</f>
        <v>8</v>
      </c>
      <c r="T2489" s="15">
        <f t="shared" si="850"/>
        <v>14.99</v>
      </c>
      <c r="U2489" s="15">
        <f t="shared" si="851"/>
        <v>20.77</v>
      </c>
      <c r="V2489" s="15">
        <f t="shared" si="852"/>
        <v>24.28</v>
      </c>
      <c r="W2489" s="15">
        <f>IF(MarkupType="Store Markup",ROUND(V2489+V2489*StoreMarkup,2),IF(MarkupType="Supplier Markup",V2489+V2489*SupplierMarkup,"Error at finding value"))</f>
        <v>38.24</v>
      </c>
      <c r="X2489" s="32" t="str">
        <f t="shared" si="854"/>
        <v>0.00</v>
      </c>
      <c r="Y2489" s="15">
        <f t="shared" si="855"/>
        <v>194.24</v>
      </c>
      <c r="Z2489" s="15">
        <f t="shared" si="856"/>
        <v>305.92</v>
      </c>
      <c r="AA2489" s="15">
        <f>IF(FreightType="Lethbridge-Stewart Freight ",ROUND(2.99+IF(N2489&gt;0.75,(N2489-0.75)*2.25,0)*S2489,2),IF(MarkupType="Supplier Markup",V2489+V2489*SupplierMarkup,"Error at finding value"))</f>
        <v>2.99</v>
      </c>
      <c r="AB2489" s="15">
        <f t="shared" si="857"/>
        <v>0</v>
      </c>
    </row>
    <row r="2490" spans="1:28" x14ac:dyDescent="0.25">
      <c r="A2490" s="16">
        <f>OrdersTable!A2490</f>
        <v>586</v>
      </c>
      <c r="B2490" s="15" t="str">
        <f t="shared" si="837"/>
        <v>Dr</v>
      </c>
      <c r="C2490" s="15" t="str">
        <f t="shared" si="858"/>
        <v>Coetzee</v>
      </c>
      <c r="D2490" s="15" t="str">
        <f t="shared" si="838"/>
        <v>Riekert</v>
      </c>
      <c r="E2490" s="15" t="str">
        <f t="shared" si="839"/>
        <v>5 Western Road</v>
      </c>
      <c r="F2490" s="15" t="str">
        <f t="shared" si="840"/>
        <v>Alfredtown</v>
      </c>
      <c r="G2490" s="15" t="str">
        <f t="shared" si="841"/>
        <v>NSW</v>
      </c>
      <c r="H2490" s="15">
        <f t="shared" si="842"/>
        <v>2650</v>
      </c>
      <c r="I2490" s="15">
        <f t="shared" si="853"/>
        <v>1124</v>
      </c>
      <c r="J2490" s="15">
        <f>OrdersTable!B2490</f>
        <v>316</v>
      </c>
      <c r="K2490" s="15" t="str">
        <f t="shared" si="843"/>
        <v>Clothing and Apparel</v>
      </c>
      <c r="L2490" s="15" t="str">
        <f t="shared" si="844"/>
        <v xml:space="preserve">Doctor Who: T-Shirts: 4th Doctor Costume </v>
      </c>
      <c r="M2490" s="15" t="str">
        <f t="shared" si="845"/>
        <v>S</v>
      </c>
      <c r="N2490" s="15">
        <f t="shared" si="846"/>
        <v>0.8</v>
      </c>
      <c r="O2490" s="15" t="str">
        <f t="shared" si="847"/>
        <v>A30</v>
      </c>
      <c r="P2490" s="15" t="str">
        <f t="shared" si="848"/>
        <v>Chesterton Enterprises</v>
      </c>
      <c r="Q2490" s="15" t="str">
        <f t="shared" si="849"/>
        <v>41 William Russell Road</v>
      </c>
      <c r="R2490" s="3">
        <f>OrdersTable!C2490</f>
        <v>44740</v>
      </c>
      <c r="S2490" s="15">
        <f>OrdersTable!E2490</f>
        <v>5</v>
      </c>
      <c r="T2490" s="15">
        <f t="shared" si="850"/>
        <v>15.99</v>
      </c>
      <c r="U2490" s="15">
        <f t="shared" si="851"/>
        <v>21.94</v>
      </c>
      <c r="V2490" s="15">
        <f t="shared" si="852"/>
        <v>25.9</v>
      </c>
      <c r="W2490" s="15">
        <f>IF(MarkupType="Store Markup",ROUND(V2490+V2490*StoreMarkup,2),IF(MarkupType="Supplier Markup",V2490+V2490*SupplierMarkup,"Error at finding value"))</f>
        <v>40.79</v>
      </c>
      <c r="X2490" s="32" t="str">
        <f t="shared" si="854"/>
        <v>0.00</v>
      </c>
      <c r="Y2490" s="15">
        <f t="shared" si="855"/>
        <v>129.5</v>
      </c>
      <c r="Z2490" s="15">
        <f t="shared" si="856"/>
        <v>203.95</v>
      </c>
      <c r="AA2490" s="15">
        <f>IF(FreightType="Lethbridge-Stewart Freight ",ROUND(2.99+IF(N2490&gt;0.75,(N2490-0.75)*2.25,0)*S2490,2),IF(MarkupType="Supplier Markup",V2490+V2490*SupplierMarkup,"Error at finding value"))</f>
        <v>3.55</v>
      </c>
      <c r="AB2490" s="15">
        <f t="shared" si="857"/>
        <v>0</v>
      </c>
    </row>
    <row r="2491" spans="1:28" x14ac:dyDescent="0.25">
      <c r="A2491" s="16">
        <f>OrdersTable!A2491</f>
        <v>609</v>
      </c>
      <c r="B2491" s="15" t="str">
        <f t="shared" si="837"/>
        <v>Ms</v>
      </c>
      <c r="C2491" s="15" t="str">
        <f t="shared" si="858"/>
        <v>Ashley</v>
      </c>
      <c r="D2491" s="15" t="str">
        <f t="shared" si="838"/>
        <v>Matthew</v>
      </c>
      <c r="E2491" s="15" t="str">
        <f t="shared" si="839"/>
        <v>3 Wagener Crescent</v>
      </c>
      <c r="F2491" s="15" t="str">
        <f t="shared" si="840"/>
        <v>Aberfoyle</v>
      </c>
      <c r="G2491" s="15" t="str">
        <f t="shared" si="841"/>
        <v>NSW</v>
      </c>
      <c r="H2491" s="15">
        <f t="shared" si="842"/>
        <v>2350</v>
      </c>
      <c r="I2491" s="15">
        <f t="shared" si="853"/>
        <v>363</v>
      </c>
      <c r="J2491" s="15">
        <f>OrdersTable!B2491</f>
        <v>782</v>
      </c>
      <c r="K2491" s="15" t="str">
        <f t="shared" si="843"/>
        <v>Statues and Busts</v>
      </c>
      <c r="L2491" s="15" t="str">
        <f t="shared" si="844"/>
        <v>Doctor Who: Masterpiece Collection Maxi Bust: 10th Doctor</v>
      </c>
      <c r="M2491" s="15" t="str">
        <f t="shared" si="845"/>
        <v>-</v>
      </c>
      <c r="N2491" s="15">
        <f t="shared" si="846"/>
        <v>2.5</v>
      </c>
      <c r="O2491" s="15" t="str">
        <f t="shared" si="847"/>
        <v>A30</v>
      </c>
      <c r="P2491" s="15" t="str">
        <f t="shared" si="848"/>
        <v>Chesterton Enterprises</v>
      </c>
      <c r="Q2491" s="15" t="str">
        <f t="shared" si="849"/>
        <v>41 William Russell Road</v>
      </c>
      <c r="R2491" s="3">
        <f>OrdersTable!C2491</f>
        <v>44740</v>
      </c>
      <c r="S2491" s="15">
        <f>OrdersTable!E2491</f>
        <v>8</v>
      </c>
      <c r="T2491" s="15">
        <f t="shared" si="850"/>
        <v>49.99</v>
      </c>
      <c r="U2491" s="15">
        <f t="shared" si="851"/>
        <v>68.5</v>
      </c>
      <c r="V2491" s="15">
        <f t="shared" si="852"/>
        <v>80.98</v>
      </c>
      <c r="W2491" s="15">
        <f>IF(MarkupType="Store Markup",ROUND(V2491+V2491*StoreMarkup,2),IF(MarkupType="Supplier Markup",V2491+V2491*SupplierMarkup,"Error at finding value"))</f>
        <v>127.54</v>
      </c>
      <c r="X2491" s="32">
        <f t="shared" si="854"/>
        <v>9.09</v>
      </c>
      <c r="Y2491" s="15">
        <f t="shared" si="855"/>
        <v>647.84</v>
      </c>
      <c r="Z2491" s="15">
        <f t="shared" si="856"/>
        <v>947.6</v>
      </c>
      <c r="AA2491" s="15">
        <f>IF(FreightType="Lethbridge-Stewart Freight ",ROUND(2.99+IF(N2491&gt;0.75,(N2491-0.75)*2.25,0)*S2491,2),IF(MarkupType="Supplier Markup",V2491+V2491*SupplierMarkup,"Error at finding value"))</f>
        <v>34.49</v>
      </c>
      <c r="AB2491" s="15">
        <f t="shared" si="857"/>
        <v>72.72</v>
      </c>
    </row>
    <row r="2492" spans="1:28" x14ac:dyDescent="0.25">
      <c r="A2492" s="16">
        <f>OrdersTable!A2492</f>
        <v>659</v>
      </c>
      <c r="B2492" s="15" t="str">
        <f t="shared" si="837"/>
        <v>Mr</v>
      </c>
      <c r="C2492" s="15" t="str">
        <f t="shared" si="858"/>
        <v>Douglas</v>
      </c>
      <c r="D2492" s="15" t="str">
        <f t="shared" si="838"/>
        <v>Jason Richard</v>
      </c>
      <c r="E2492" s="15" t="str">
        <f t="shared" si="839"/>
        <v>14 Young Crescent</v>
      </c>
      <c r="F2492" s="15" t="str">
        <f t="shared" si="840"/>
        <v>Caliph</v>
      </c>
      <c r="G2492" s="15" t="str">
        <f t="shared" si="841"/>
        <v>SA</v>
      </c>
      <c r="H2492" s="15">
        <f t="shared" si="842"/>
        <v>5310</v>
      </c>
      <c r="I2492" s="15">
        <f t="shared" si="853"/>
        <v>1720</v>
      </c>
      <c r="J2492" s="15">
        <f>OrdersTable!B2492</f>
        <v>259</v>
      </c>
      <c r="K2492" s="15" t="str">
        <f t="shared" si="843"/>
        <v>Clothing and Apparel</v>
      </c>
      <c r="L2492" s="15" t="str">
        <f t="shared" si="844"/>
        <v>Doctor Who: Men's Winter Pyjamas</v>
      </c>
      <c r="M2492" s="15" t="str">
        <f t="shared" si="845"/>
        <v>XL</v>
      </c>
      <c r="N2492" s="15">
        <f t="shared" si="846"/>
        <v>1.5</v>
      </c>
      <c r="O2492" s="15" t="str">
        <f t="shared" si="847"/>
        <v>A50</v>
      </c>
      <c r="P2492" s="15" t="str">
        <f t="shared" si="848"/>
        <v>Rassilon Ltd.</v>
      </c>
      <c r="Q2492" s="15" t="str">
        <f t="shared" si="849"/>
        <v>82 Richard Mathews Road</v>
      </c>
      <c r="R2492" s="3">
        <f>OrdersTable!C2492</f>
        <v>44740</v>
      </c>
      <c r="S2492" s="15">
        <f>OrdersTable!E2492</f>
        <v>5</v>
      </c>
      <c r="T2492" s="15">
        <f t="shared" si="850"/>
        <v>29.99</v>
      </c>
      <c r="U2492" s="15">
        <f t="shared" si="851"/>
        <v>41.15</v>
      </c>
      <c r="V2492" s="15">
        <f t="shared" si="852"/>
        <v>48.58</v>
      </c>
      <c r="W2492" s="15">
        <f>IF(MarkupType="Store Markup",ROUND(V2492+V2492*StoreMarkup,2),IF(MarkupType="Supplier Markup",V2492+V2492*SupplierMarkup,"Error at finding value"))</f>
        <v>76.510000000000005</v>
      </c>
      <c r="X2492" s="32" t="str">
        <f t="shared" si="854"/>
        <v>0.00</v>
      </c>
      <c r="Y2492" s="15">
        <f t="shared" si="855"/>
        <v>242.9</v>
      </c>
      <c r="Z2492" s="15">
        <f t="shared" si="856"/>
        <v>382.55</v>
      </c>
      <c r="AA2492" s="15">
        <f>IF(FreightType="Lethbridge-Stewart Freight ",ROUND(2.99+IF(N2492&gt;0.75,(N2492-0.75)*2.25,0)*S2492,2),IF(MarkupType="Supplier Markup",V2492+V2492*SupplierMarkup,"Error at finding value"))</f>
        <v>11.43</v>
      </c>
      <c r="AB2492" s="15">
        <f t="shared" si="857"/>
        <v>0</v>
      </c>
    </row>
    <row r="2493" spans="1:28" x14ac:dyDescent="0.25">
      <c r="A2493" s="16">
        <f>OrdersTable!A2493</f>
        <v>659</v>
      </c>
      <c r="B2493" s="15" t="str">
        <f t="shared" si="837"/>
        <v>Mr</v>
      </c>
      <c r="C2493" s="15" t="str">
        <f t="shared" si="858"/>
        <v>Douglas</v>
      </c>
      <c r="D2493" s="15" t="str">
        <f t="shared" si="838"/>
        <v>Jason Richard</v>
      </c>
      <c r="E2493" s="15" t="str">
        <f t="shared" si="839"/>
        <v>14 Young Crescent</v>
      </c>
      <c r="F2493" s="15" t="str">
        <f t="shared" si="840"/>
        <v>Caliph</v>
      </c>
      <c r="G2493" s="15" t="str">
        <f t="shared" si="841"/>
        <v>SA</v>
      </c>
      <c r="H2493" s="15">
        <f t="shared" si="842"/>
        <v>5310</v>
      </c>
      <c r="I2493" s="15">
        <f t="shared" si="853"/>
        <v>1720</v>
      </c>
      <c r="J2493" s="15">
        <f>OrdersTable!B2493</f>
        <v>778</v>
      </c>
      <c r="K2493" s="15" t="str">
        <f t="shared" si="843"/>
        <v>Statues and Busts</v>
      </c>
      <c r="L2493" s="15" t="str">
        <f t="shared" si="844"/>
        <v>Doctor Who: Legends Forever Bust: William Hartnell</v>
      </c>
      <c r="M2493" s="15" t="str">
        <f t="shared" si="845"/>
        <v>-</v>
      </c>
      <c r="N2493" s="15">
        <f t="shared" si="846"/>
        <v>1.375</v>
      </c>
      <c r="O2493" s="15" t="str">
        <f t="shared" si="847"/>
        <v>A40</v>
      </c>
      <c r="P2493" s="15" t="str">
        <f t="shared" si="848"/>
        <v>Romana Imports</v>
      </c>
      <c r="Q2493" s="15" t="str">
        <f t="shared" si="849"/>
        <v>17 Lalla Ward Road</v>
      </c>
      <c r="R2493" s="3">
        <f>OrdersTable!C2493</f>
        <v>44740</v>
      </c>
      <c r="S2493" s="15">
        <f>OrdersTable!E2493</f>
        <v>1</v>
      </c>
      <c r="T2493" s="15">
        <f t="shared" si="850"/>
        <v>27.5</v>
      </c>
      <c r="U2493" s="15">
        <f t="shared" si="851"/>
        <v>37.520000000000003</v>
      </c>
      <c r="V2493" s="15">
        <f t="shared" si="852"/>
        <v>44.55</v>
      </c>
      <c r="W2493" s="15">
        <f>IF(MarkupType="Store Markup",ROUND(V2493+V2493*StoreMarkup,2),IF(MarkupType="Supplier Markup",V2493+V2493*SupplierMarkup,"Error at finding value"))</f>
        <v>70.17</v>
      </c>
      <c r="X2493" s="32" t="str">
        <f t="shared" si="854"/>
        <v>0.00</v>
      </c>
      <c r="Y2493" s="15">
        <f t="shared" si="855"/>
        <v>44.55</v>
      </c>
      <c r="Z2493" s="15">
        <f t="shared" si="856"/>
        <v>70.17</v>
      </c>
      <c r="AA2493" s="15">
        <f>IF(FreightType="Lethbridge-Stewart Freight ",ROUND(2.99+IF(N2493&gt;0.75,(N2493-0.75)*2.25,0)*S2493,2),IF(MarkupType="Supplier Markup",V2493+V2493*SupplierMarkup,"Error at finding value"))</f>
        <v>4.4000000000000004</v>
      </c>
      <c r="AB2493" s="15">
        <f t="shared" si="857"/>
        <v>0</v>
      </c>
    </row>
    <row r="2494" spans="1:28" x14ac:dyDescent="0.25">
      <c r="A2494" s="16">
        <f>OrdersTable!A2494</f>
        <v>467</v>
      </c>
      <c r="B2494" s="15" t="str">
        <f t="shared" si="837"/>
        <v>Mrs</v>
      </c>
      <c r="C2494" s="15" t="str">
        <f t="shared" si="858"/>
        <v>Daniell</v>
      </c>
      <c r="D2494" s="15" t="str">
        <f t="shared" si="838"/>
        <v>Bronte Eliza</v>
      </c>
      <c r="E2494" s="15" t="str">
        <f t="shared" si="839"/>
        <v>41 Wilson Boulevard</v>
      </c>
      <c r="F2494" s="15" t="str">
        <f t="shared" si="840"/>
        <v>Aberfoyle</v>
      </c>
      <c r="G2494" s="15" t="str">
        <f t="shared" si="841"/>
        <v>NSW</v>
      </c>
      <c r="H2494" s="15">
        <f t="shared" si="842"/>
        <v>2350</v>
      </c>
      <c r="I2494" s="15">
        <f t="shared" si="853"/>
        <v>363</v>
      </c>
      <c r="J2494" s="15">
        <f>OrdersTable!B2494</f>
        <v>594</v>
      </c>
      <c r="K2494" s="15" t="str">
        <f t="shared" si="843"/>
        <v>iPhone Skins</v>
      </c>
      <c r="L2494" s="15" t="str">
        <f t="shared" si="844"/>
        <v>Doctor Who: iPhone Skin: Keep Calm And Don't Blink</v>
      </c>
      <c r="M2494" s="15" t="str">
        <f t="shared" si="845"/>
        <v>-</v>
      </c>
      <c r="N2494" s="15">
        <f t="shared" si="846"/>
        <v>0.5</v>
      </c>
      <c r="O2494" s="15" t="str">
        <f t="shared" si="847"/>
        <v>A20</v>
      </c>
      <c r="P2494" s="15" t="str">
        <f t="shared" si="848"/>
        <v>Morbius Inc.</v>
      </c>
      <c r="Q2494" s="15" t="str">
        <f t="shared" si="849"/>
        <v>56 Michael Spice Hwy</v>
      </c>
      <c r="R2494" s="3">
        <f>OrdersTable!C2494</f>
        <v>44741</v>
      </c>
      <c r="S2494" s="15">
        <f>OrdersTable!E2494</f>
        <v>10</v>
      </c>
      <c r="T2494" s="15">
        <f t="shared" si="850"/>
        <v>9.99</v>
      </c>
      <c r="U2494" s="15">
        <f t="shared" si="851"/>
        <v>13.88</v>
      </c>
      <c r="V2494" s="15">
        <f t="shared" si="852"/>
        <v>16.18</v>
      </c>
      <c r="W2494" s="15">
        <f>IF(MarkupType="Store Markup",ROUND(V2494+V2494*StoreMarkup,2),IF(MarkupType="Supplier Markup",V2494+V2494*SupplierMarkup,"Error at finding value"))</f>
        <v>25.48</v>
      </c>
      <c r="X2494" s="32" t="str">
        <f t="shared" si="854"/>
        <v>0.00</v>
      </c>
      <c r="Y2494" s="15">
        <f t="shared" si="855"/>
        <v>161.80000000000001</v>
      </c>
      <c r="Z2494" s="15">
        <f t="shared" si="856"/>
        <v>254.8</v>
      </c>
      <c r="AA2494" s="15">
        <f>IF(FreightType="Lethbridge-Stewart Freight ",ROUND(2.99+IF(N2494&gt;0.75,(N2494-0.75)*2.25,0)*S2494,2),IF(MarkupType="Supplier Markup",V2494+V2494*SupplierMarkup,"Error at finding value"))</f>
        <v>2.99</v>
      </c>
      <c r="AB2494" s="15">
        <f t="shared" si="857"/>
        <v>0</v>
      </c>
    </row>
    <row r="2495" spans="1:28" x14ac:dyDescent="0.25">
      <c r="A2495" s="16">
        <f>OrdersTable!A2495</f>
        <v>501</v>
      </c>
      <c r="B2495" s="15" t="str">
        <f t="shared" si="837"/>
        <v>Miss</v>
      </c>
      <c r="C2495" s="15" t="str">
        <f t="shared" si="858"/>
        <v>Tharenou</v>
      </c>
      <c r="D2495" s="15" t="str">
        <f t="shared" si="838"/>
        <v>Kimberley Jacinta</v>
      </c>
      <c r="E2495" s="15" t="str">
        <f t="shared" si="839"/>
        <v>49 Moncada Circuit</v>
      </c>
      <c r="F2495" s="15" t="str">
        <f t="shared" si="840"/>
        <v>Belford</v>
      </c>
      <c r="G2495" s="15" t="str">
        <f t="shared" si="841"/>
        <v>NSW</v>
      </c>
      <c r="H2495" s="15">
        <f t="shared" si="842"/>
        <v>2335</v>
      </c>
      <c r="I2495" s="15">
        <f t="shared" si="853"/>
        <v>716</v>
      </c>
      <c r="J2495" s="15">
        <f>OrdersTable!B2495</f>
        <v>145</v>
      </c>
      <c r="K2495" s="15" t="str">
        <f t="shared" si="843"/>
        <v>Bobbleheads</v>
      </c>
      <c r="L2495" s="15" t="str">
        <f t="shared" si="844"/>
        <v>Doctor Who: Bobblehead: Eleventh Doctor</v>
      </c>
      <c r="M2495" s="15" t="str">
        <f t="shared" si="845"/>
        <v>-</v>
      </c>
      <c r="N2495" s="15">
        <f t="shared" si="846"/>
        <v>1</v>
      </c>
      <c r="O2495" s="15" t="str">
        <f t="shared" si="847"/>
        <v>A30</v>
      </c>
      <c r="P2495" s="15" t="str">
        <f t="shared" si="848"/>
        <v>Chesterton Enterprises</v>
      </c>
      <c r="Q2495" s="15" t="str">
        <f t="shared" si="849"/>
        <v>41 William Russell Road</v>
      </c>
      <c r="R2495" s="3">
        <f>OrdersTable!C2495</f>
        <v>44741</v>
      </c>
      <c r="S2495" s="15">
        <f>OrdersTable!E2495</f>
        <v>7</v>
      </c>
      <c r="T2495" s="15">
        <f t="shared" si="850"/>
        <v>19.989999999999998</v>
      </c>
      <c r="U2495" s="15">
        <f t="shared" si="851"/>
        <v>27.54</v>
      </c>
      <c r="V2495" s="15">
        <f t="shared" si="852"/>
        <v>32.380000000000003</v>
      </c>
      <c r="W2495" s="15">
        <f>IF(MarkupType="Store Markup",ROUND(V2495+V2495*StoreMarkup,2),IF(MarkupType="Supplier Markup",V2495+V2495*SupplierMarkup,"Error at finding value"))</f>
        <v>51</v>
      </c>
      <c r="X2495" s="32" t="str">
        <f t="shared" si="854"/>
        <v>0.00</v>
      </c>
      <c r="Y2495" s="15">
        <f t="shared" si="855"/>
        <v>226.66</v>
      </c>
      <c r="Z2495" s="15">
        <f t="shared" si="856"/>
        <v>357</v>
      </c>
      <c r="AA2495" s="15">
        <f>IF(FreightType="Lethbridge-Stewart Freight ",ROUND(2.99+IF(N2495&gt;0.75,(N2495-0.75)*2.25,0)*S2495,2),IF(MarkupType="Supplier Markup",V2495+V2495*SupplierMarkup,"Error at finding value"))</f>
        <v>6.93</v>
      </c>
      <c r="AB2495" s="15">
        <f t="shared" si="857"/>
        <v>0</v>
      </c>
    </row>
    <row r="2496" spans="1:28" x14ac:dyDescent="0.25">
      <c r="A2496" s="16">
        <f>OrdersTable!A2496</f>
        <v>527</v>
      </c>
      <c r="B2496" s="15" t="str">
        <f t="shared" si="837"/>
        <v>Mr</v>
      </c>
      <c r="C2496" s="15" t="str">
        <f t="shared" si="858"/>
        <v>McTaggart</v>
      </c>
      <c r="D2496" s="15" t="str">
        <f t="shared" si="838"/>
        <v>Daniel</v>
      </c>
      <c r="E2496" s="15" t="str">
        <f t="shared" si="839"/>
        <v>24 Mulholland Avenue</v>
      </c>
      <c r="F2496" s="15" t="str">
        <f t="shared" si="840"/>
        <v>Belconnen</v>
      </c>
      <c r="G2496" s="15" t="str">
        <f t="shared" si="841"/>
        <v>ACT</v>
      </c>
      <c r="H2496" s="15">
        <f t="shared" si="842"/>
        <v>2617</v>
      </c>
      <c r="I2496" s="15">
        <f t="shared" si="853"/>
        <v>1194</v>
      </c>
      <c r="J2496" s="15">
        <f>OrdersTable!B2496</f>
        <v>752</v>
      </c>
      <c r="K2496" s="15" t="str">
        <f t="shared" si="843"/>
        <v>Statues and Busts</v>
      </c>
      <c r="L2496" s="15" t="str">
        <f t="shared" si="844"/>
        <v>Doctor Who: Helmet: Cyberman Leader</v>
      </c>
      <c r="M2496" s="15" t="str">
        <f t="shared" si="845"/>
        <v>-</v>
      </c>
      <c r="N2496" s="15">
        <f t="shared" si="846"/>
        <v>2</v>
      </c>
      <c r="O2496" s="15" t="str">
        <f t="shared" si="847"/>
        <v>A30</v>
      </c>
      <c r="P2496" s="15" t="str">
        <f t="shared" si="848"/>
        <v>Chesterton Enterprises</v>
      </c>
      <c r="Q2496" s="15" t="str">
        <f t="shared" si="849"/>
        <v>41 William Russell Road</v>
      </c>
      <c r="R2496" s="3">
        <f>OrdersTable!C2496</f>
        <v>44741</v>
      </c>
      <c r="S2496" s="15">
        <f>OrdersTable!E2496</f>
        <v>1</v>
      </c>
      <c r="T2496" s="15">
        <f t="shared" si="850"/>
        <v>39.99</v>
      </c>
      <c r="U2496" s="15">
        <f t="shared" si="851"/>
        <v>54.85</v>
      </c>
      <c r="V2496" s="15">
        <f t="shared" si="852"/>
        <v>64.78</v>
      </c>
      <c r="W2496" s="15">
        <f>IF(MarkupType="Store Markup",ROUND(V2496+V2496*StoreMarkup,2),IF(MarkupType="Supplier Markup",V2496+V2496*SupplierMarkup,"Error at finding value"))</f>
        <v>102.03</v>
      </c>
      <c r="X2496" s="32" t="str">
        <f t="shared" si="854"/>
        <v>0.00</v>
      </c>
      <c r="Y2496" s="15">
        <f t="shared" si="855"/>
        <v>64.78</v>
      </c>
      <c r="Z2496" s="15">
        <f t="shared" si="856"/>
        <v>102.03</v>
      </c>
      <c r="AA2496" s="15">
        <f>IF(FreightType="Lethbridge-Stewart Freight ",ROUND(2.99+IF(N2496&gt;0.75,(N2496-0.75)*2.25,0)*S2496,2),IF(MarkupType="Supplier Markup",V2496+V2496*SupplierMarkup,"Error at finding value"))</f>
        <v>5.8</v>
      </c>
      <c r="AB2496" s="15">
        <f t="shared" si="857"/>
        <v>0</v>
      </c>
    </row>
    <row r="2497" spans="1:28" x14ac:dyDescent="0.25">
      <c r="A2497" s="16">
        <f>OrdersTable!A2497</f>
        <v>561</v>
      </c>
      <c r="B2497" s="15" t="str">
        <f t="shared" si="837"/>
        <v>Ms</v>
      </c>
      <c r="C2497" s="15" t="str">
        <f t="shared" si="858"/>
        <v>Mulcahy</v>
      </c>
      <c r="D2497" s="15" t="str">
        <f t="shared" si="838"/>
        <v>Jodie Leigh</v>
      </c>
      <c r="E2497" s="15" t="str">
        <f t="shared" si="839"/>
        <v>32 Scott Crescent</v>
      </c>
      <c r="F2497" s="15" t="str">
        <f t="shared" si="840"/>
        <v>Bray Park</v>
      </c>
      <c r="G2497" s="15" t="str">
        <f t="shared" si="841"/>
        <v>QLD</v>
      </c>
      <c r="H2497" s="15">
        <f t="shared" si="842"/>
        <v>4500</v>
      </c>
      <c r="I2497" s="15">
        <f t="shared" si="853"/>
        <v>139</v>
      </c>
      <c r="J2497" s="15">
        <f>OrdersTable!B2497</f>
        <v>479</v>
      </c>
      <c r="K2497" s="15" t="str">
        <f t="shared" si="843"/>
        <v>Giftware</v>
      </c>
      <c r="L2497" s="15" t="str">
        <f t="shared" si="844"/>
        <v>Doctor Who: Keyring Dalek</v>
      </c>
      <c r="M2497" s="15" t="str">
        <f t="shared" si="845"/>
        <v>-</v>
      </c>
      <c r="N2497" s="15">
        <f t="shared" si="846"/>
        <v>0.25</v>
      </c>
      <c r="O2497" s="15" t="str">
        <f t="shared" si="847"/>
        <v>A10</v>
      </c>
      <c r="P2497" s="15" t="str">
        <f t="shared" si="848"/>
        <v>Gallifrey International</v>
      </c>
      <c r="Q2497" s="15" t="str">
        <f t="shared" si="849"/>
        <v>181 Arcadia Street</v>
      </c>
      <c r="R2497" s="3">
        <f>OrdersTable!C2497</f>
        <v>44741</v>
      </c>
      <c r="S2497" s="15">
        <f>OrdersTable!E2497</f>
        <v>6</v>
      </c>
      <c r="T2497" s="15">
        <f t="shared" si="850"/>
        <v>4.99</v>
      </c>
      <c r="U2497" s="15">
        <f t="shared" si="851"/>
        <v>6.86</v>
      </c>
      <c r="V2497" s="15">
        <f t="shared" si="852"/>
        <v>8.08</v>
      </c>
      <c r="W2497" s="15">
        <f>IF(MarkupType="Store Markup",ROUND(V2497+V2497*StoreMarkup,2),IF(MarkupType="Supplier Markup",V2497+V2497*SupplierMarkup,"Error at finding value"))</f>
        <v>12.73</v>
      </c>
      <c r="X2497" s="32" t="str">
        <f t="shared" si="854"/>
        <v>0.00</v>
      </c>
      <c r="Y2497" s="15">
        <f t="shared" si="855"/>
        <v>48.48</v>
      </c>
      <c r="Z2497" s="15">
        <f t="shared" si="856"/>
        <v>76.38</v>
      </c>
      <c r="AA2497" s="15">
        <f>IF(FreightType="Lethbridge-Stewart Freight ",ROUND(2.99+IF(N2497&gt;0.75,(N2497-0.75)*2.25,0)*S2497,2),IF(MarkupType="Supplier Markup",V2497+V2497*SupplierMarkup,"Error at finding value"))</f>
        <v>2.99</v>
      </c>
      <c r="AB2497" s="15">
        <f t="shared" si="857"/>
        <v>0</v>
      </c>
    </row>
    <row r="2498" spans="1:28" x14ac:dyDescent="0.25">
      <c r="A2498" s="16">
        <f>OrdersTable!A2498</f>
        <v>573</v>
      </c>
      <c r="B2498" s="15" t="str">
        <f t="shared" si="837"/>
        <v>Mrs</v>
      </c>
      <c r="C2498" s="15" t="str">
        <f t="shared" si="858"/>
        <v>Hollonds</v>
      </c>
      <c r="D2498" s="15" t="str">
        <f t="shared" si="838"/>
        <v>Suzan</v>
      </c>
      <c r="E2498" s="15" t="str">
        <f t="shared" si="839"/>
        <v>49 Patel Way</v>
      </c>
      <c r="F2498" s="15" t="str">
        <f t="shared" si="840"/>
        <v>Belconnen</v>
      </c>
      <c r="G2498" s="15" t="str">
        <f t="shared" si="841"/>
        <v>ACT</v>
      </c>
      <c r="H2498" s="15">
        <f t="shared" si="842"/>
        <v>2617</v>
      </c>
      <c r="I2498" s="15">
        <f t="shared" si="853"/>
        <v>1194</v>
      </c>
      <c r="J2498" s="15">
        <f>OrdersTable!B2498</f>
        <v>373</v>
      </c>
      <c r="K2498" s="15" t="str">
        <f t="shared" si="843"/>
        <v>Clothing and Apparel</v>
      </c>
      <c r="L2498" s="15" t="str">
        <f t="shared" si="844"/>
        <v xml:space="preserve">Doctor Who: T-Shirts: 5th Doctor Costume </v>
      </c>
      <c r="M2498" s="15" t="str">
        <f t="shared" si="845"/>
        <v>L</v>
      </c>
      <c r="N2498" s="15">
        <f t="shared" si="846"/>
        <v>0.8</v>
      </c>
      <c r="O2498" s="15" t="str">
        <f t="shared" si="847"/>
        <v>A20</v>
      </c>
      <c r="P2498" s="15" t="str">
        <f t="shared" si="848"/>
        <v>Morbius Inc.</v>
      </c>
      <c r="Q2498" s="15" t="str">
        <f t="shared" si="849"/>
        <v>56 Michael Spice Hwy</v>
      </c>
      <c r="R2498" s="3">
        <f>OrdersTable!C2498</f>
        <v>44741</v>
      </c>
      <c r="S2498" s="15">
        <f>OrdersTable!E2498</f>
        <v>9</v>
      </c>
      <c r="T2498" s="15">
        <f t="shared" si="850"/>
        <v>15.99</v>
      </c>
      <c r="U2498" s="15">
        <f t="shared" si="851"/>
        <v>22.09</v>
      </c>
      <c r="V2498" s="15">
        <f t="shared" si="852"/>
        <v>25.9</v>
      </c>
      <c r="W2498" s="15">
        <f>IF(MarkupType="Store Markup",ROUND(V2498+V2498*StoreMarkup,2),IF(MarkupType="Supplier Markup",V2498+V2498*SupplierMarkup,"Error at finding value"))</f>
        <v>40.79</v>
      </c>
      <c r="X2498" s="32" t="str">
        <f t="shared" si="854"/>
        <v>0.00</v>
      </c>
      <c r="Y2498" s="15">
        <f t="shared" si="855"/>
        <v>233.1</v>
      </c>
      <c r="Z2498" s="15">
        <f t="shared" si="856"/>
        <v>367.11</v>
      </c>
      <c r="AA2498" s="15">
        <f>IF(FreightType="Lethbridge-Stewart Freight ",ROUND(2.99+IF(N2498&gt;0.75,(N2498-0.75)*2.25,0)*S2498,2),IF(MarkupType="Supplier Markup",V2498+V2498*SupplierMarkup,"Error at finding value"))</f>
        <v>4</v>
      </c>
      <c r="AB2498" s="15">
        <f t="shared" si="857"/>
        <v>0</v>
      </c>
    </row>
    <row r="2499" spans="1:28" x14ac:dyDescent="0.25">
      <c r="A2499" s="16">
        <f>OrdersTable!A2499</f>
        <v>580</v>
      </c>
      <c r="B2499" s="15" t="str">
        <f t="shared" si="837"/>
        <v>Mr</v>
      </c>
      <c r="C2499" s="15" t="str">
        <f t="shared" si="858"/>
        <v>Faatoafe</v>
      </c>
      <c r="D2499" s="15" t="str">
        <f t="shared" si="838"/>
        <v>Jasson Iosefa</v>
      </c>
      <c r="E2499" s="15" t="str">
        <f t="shared" si="839"/>
        <v>29 Schaffer Boulevard</v>
      </c>
      <c r="F2499" s="15" t="str">
        <f t="shared" si="840"/>
        <v>Binduli</v>
      </c>
      <c r="G2499" s="15" t="str">
        <f t="shared" si="841"/>
        <v>WA</v>
      </c>
      <c r="H2499" s="15">
        <f t="shared" si="842"/>
        <v>6430</v>
      </c>
      <c r="I2499" s="15">
        <f t="shared" si="853"/>
        <v>3543</v>
      </c>
      <c r="J2499" s="15">
        <f>OrdersTable!B2499</f>
        <v>464</v>
      </c>
      <c r="K2499" s="15" t="str">
        <f t="shared" si="843"/>
        <v>Giftware</v>
      </c>
      <c r="L2499" s="15" t="str">
        <f t="shared" si="844"/>
        <v>Doctor Who: Collectable License Plate: My Other Car Is A TARDIS</v>
      </c>
      <c r="M2499" s="15" t="str">
        <f t="shared" si="845"/>
        <v>-</v>
      </c>
      <c r="N2499" s="15">
        <f t="shared" si="846"/>
        <v>0.6</v>
      </c>
      <c r="O2499" s="15" t="str">
        <f t="shared" si="847"/>
        <v>A50</v>
      </c>
      <c r="P2499" s="15" t="str">
        <f t="shared" si="848"/>
        <v>Rassilon Ltd.</v>
      </c>
      <c r="Q2499" s="15" t="str">
        <f t="shared" si="849"/>
        <v>82 Richard Mathews Road</v>
      </c>
      <c r="R2499" s="3">
        <f>OrdersTable!C2499</f>
        <v>44741</v>
      </c>
      <c r="S2499" s="15">
        <f>OrdersTable!E2499</f>
        <v>10</v>
      </c>
      <c r="T2499" s="15">
        <f t="shared" si="850"/>
        <v>11.99</v>
      </c>
      <c r="U2499" s="15">
        <f t="shared" si="851"/>
        <v>16.579999999999998</v>
      </c>
      <c r="V2499" s="15">
        <f t="shared" si="852"/>
        <v>19.420000000000002</v>
      </c>
      <c r="W2499" s="15">
        <f>IF(MarkupType="Store Markup",ROUND(V2499+V2499*StoreMarkup,2),IF(MarkupType="Supplier Markup",V2499+V2499*SupplierMarkup,"Error at finding value"))</f>
        <v>30.59</v>
      </c>
      <c r="X2499" s="32" t="str">
        <f t="shared" si="854"/>
        <v>0.00</v>
      </c>
      <c r="Y2499" s="15">
        <f t="shared" si="855"/>
        <v>194.2</v>
      </c>
      <c r="Z2499" s="15">
        <f t="shared" si="856"/>
        <v>305.89999999999998</v>
      </c>
      <c r="AA2499" s="15">
        <f>IF(FreightType="Lethbridge-Stewart Freight ",ROUND(2.99+IF(N2499&gt;0.75,(N2499-0.75)*2.25,0)*S2499,2),IF(MarkupType="Supplier Markup",V2499+V2499*SupplierMarkup,"Error at finding value"))</f>
        <v>2.99</v>
      </c>
      <c r="AB2499" s="15">
        <f t="shared" si="857"/>
        <v>0</v>
      </c>
    </row>
    <row r="2500" spans="1:28" x14ac:dyDescent="0.25">
      <c r="A2500" s="16">
        <f>OrdersTable!A2500</f>
        <v>611</v>
      </c>
      <c r="B2500" s="15" t="str">
        <f t="shared" si="837"/>
        <v>Mr</v>
      </c>
      <c r="C2500" s="15" t="str">
        <f t="shared" si="858"/>
        <v>Wittman</v>
      </c>
      <c r="D2500" s="15" t="str">
        <f t="shared" si="838"/>
        <v>Nicholas Jackson</v>
      </c>
      <c r="E2500" s="15" t="str">
        <f t="shared" si="839"/>
        <v>48 Sheppard-Kadel Way</v>
      </c>
      <c r="F2500" s="15" t="str">
        <f t="shared" si="840"/>
        <v>Nayook</v>
      </c>
      <c r="G2500" s="15" t="str">
        <f t="shared" si="841"/>
        <v>VIC</v>
      </c>
      <c r="H2500" s="15">
        <f t="shared" si="842"/>
        <v>3832</v>
      </c>
      <c r="I2500" s="15">
        <f t="shared" si="853"/>
        <v>1552</v>
      </c>
      <c r="J2500" s="15">
        <f>OrdersTable!B2500</f>
        <v>812</v>
      </c>
      <c r="K2500" s="15" t="str">
        <f t="shared" si="843"/>
        <v>Statues and Busts</v>
      </c>
      <c r="L2500" s="15" t="str">
        <f t="shared" si="844"/>
        <v>Doctor Who: Masterpiece Collection Maxi Bust: Dalek: Day Of The Daleks</v>
      </c>
      <c r="M2500" s="15" t="str">
        <f t="shared" si="845"/>
        <v>-</v>
      </c>
      <c r="N2500" s="15">
        <f t="shared" si="846"/>
        <v>2.5</v>
      </c>
      <c r="O2500" s="15" t="str">
        <f t="shared" si="847"/>
        <v>A20</v>
      </c>
      <c r="P2500" s="15" t="str">
        <f t="shared" si="848"/>
        <v>Morbius Inc.</v>
      </c>
      <c r="Q2500" s="15" t="str">
        <f t="shared" si="849"/>
        <v>56 Michael Spice Hwy</v>
      </c>
      <c r="R2500" s="3">
        <f>OrdersTable!C2500</f>
        <v>44741</v>
      </c>
      <c r="S2500" s="15">
        <f>OrdersTable!E2500</f>
        <v>5</v>
      </c>
      <c r="T2500" s="15">
        <f t="shared" si="850"/>
        <v>49.99</v>
      </c>
      <c r="U2500" s="15">
        <f t="shared" si="851"/>
        <v>68.47</v>
      </c>
      <c r="V2500" s="15">
        <f t="shared" ref="V2500:V2503" si="859">IF(ExchRateType="IR",ROUND(T2500*ExchRateIR,2),IF(ExchRateType="CA",ROUND(U2500*ExchRateCA,2),"Error at finding value"))</f>
        <v>80.98</v>
      </c>
      <c r="W2500" s="15">
        <f>IF(MarkupType="Store Markup",ROUND(V2500+V2500*StoreMarkup,2),IF(MarkupType="Supplier Markup",V2500+V2500*SupplierMarkup,"Error at finding value"))</f>
        <v>127.54</v>
      </c>
      <c r="X2500" s="32">
        <f t="shared" si="854"/>
        <v>9.09</v>
      </c>
      <c r="Y2500" s="15">
        <f t="shared" si="855"/>
        <v>404.9</v>
      </c>
      <c r="Z2500" s="15">
        <f t="shared" si="856"/>
        <v>592.25</v>
      </c>
      <c r="AA2500" s="15">
        <f>IF(FreightType="Lethbridge-Stewart Freight ",ROUND(2.99+IF(N2500&gt;0.75,(N2500-0.75)*2.25,0)*S2500,2),IF(MarkupType="Supplier Markup",V2500+V2500*SupplierMarkup,"Error at finding value"))</f>
        <v>22.68</v>
      </c>
      <c r="AB2500" s="15">
        <f t="shared" si="857"/>
        <v>45.45</v>
      </c>
    </row>
    <row r="2501" spans="1:28" x14ac:dyDescent="0.25">
      <c r="A2501" s="16">
        <f>OrdersTable!A2501</f>
        <v>747</v>
      </c>
      <c r="B2501" s="15" t="str">
        <f t="shared" si="837"/>
        <v>Miss</v>
      </c>
      <c r="C2501" s="15" t="str">
        <f t="shared" si="858"/>
        <v>Coom</v>
      </c>
      <c r="D2501" s="15" t="str">
        <f t="shared" si="838"/>
        <v>Mackenzie Megan</v>
      </c>
      <c r="E2501" s="15" t="str">
        <f t="shared" si="839"/>
        <v>2 Tsalikis Road</v>
      </c>
      <c r="F2501" s="15" t="str">
        <f t="shared" si="840"/>
        <v>Aberfoyle</v>
      </c>
      <c r="G2501" s="15" t="str">
        <f t="shared" si="841"/>
        <v>NSW</v>
      </c>
      <c r="H2501" s="15">
        <f t="shared" si="842"/>
        <v>2350</v>
      </c>
      <c r="I2501" s="15">
        <f t="shared" si="853"/>
        <v>363</v>
      </c>
      <c r="J2501" s="15">
        <f>OrdersTable!B2501</f>
        <v>840</v>
      </c>
      <c r="K2501" s="15" t="str">
        <f t="shared" si="843"/>
        <v>Statues and Busts</v>
      </c>
      <c r="L2501" s="15" t="str">
        <f t="shared" si="844"/>
        <v>Doctor Who: Signature Edition Statue: Gallifrey Edition: Patrick Troughton</v>
      </c>
      <c r="M2501" s="15" t="str">
        <f t="shared" si="845"/>
        <v>-</v>
      </c>
      <c r="N2501" s="15">
        <f t="shared" si="846"/>
        <v>2.5</v>
      </c>
      <c r="O2501" s="15" t="str">
        <f t="shared" si="847"/>
        <v>A40</v>
      </c>
      <c r="P2501" s="15" t="str">
        <f t="shared" si="848"/>
        <v>Romana Imports</v>
      </c>
      <c r="Q2501" s="15" t="str">
        <f t="shared" si="849"/>
        <v>17 Lalla Ward Road</v>
      </c>
      <c r="R2501" s="3">
        <f>OrdersTable!C2501</f>
        <v>44741</v>
      </c>
      <c r="S2501" s="15">
        <f>OrdersTable!E2501</f>
        <v>5</v>
      </c>
      <c r="T2501" s="15">
        <f t="shared" si="850"/>
        <v>49.99</v>
      </c>
      <c r="U2501" s="15">
        <f t="shared" si="851"/>
        <v>68.510000000000005</v>
      </c>
      <c r="V2501" s="15">
        <f t="shared" si="859"/>
        <v>80.98</v>
      </c>
      <c r="W2501" s="15">
        <f>IF(MarkupType="Store Markup",ROUND(V2501+V2501*StoreMarkup,2),IF(MarkupType="Supplier Markup",V2501+V2501*SupplierMarkup,"Error at finding value"))</f>
        <v>127.54</v>
      </c>
      <c r="X2501" s="32">
        <f t="shared" ref="X2501:X2503" si="860">IF(AND(W2501&gt;100,S2501&gt;=3),ROUND(0.07125*W2501,2),"0.00")</f>
        <v>9.09</v>
      </c>
      <c r="Y2501" s="15">
        <f t="shared" ref="Y2501:Y2503" si="861">ROUND(V2501*S2501,2)</f>
        <v>404.9</v>
      </c>
      <c r="Z2501" s="15">
        <f t="shared" ref="Z2501:Z2503" si="862">ROUND((W2501-X2501)*S2501,2)</f>
        <v>592.25</v>
      </c>
      <c r="AA2501" s="15">
        <f>IF(FreightType="Lethbridge-Stewart Freight ",ROUND(2.99+IF(N2501&gt;0.75,(N2501-0.75)*2.25,0)*S2501,2),IF(MarkupType="Supplier Markup",V2501+V2501*SupplierMarkup,"Error at finding value"))</f>
        <v>22.68</v>
      </c>
      <c r="AB2501" s="15">
        <f t="shared" ref="AB2501:AB2503" si="863">ROUND(X2501*S2501,2)</f>
        <v>45.45</v>
      </c>
    </row>
    <row r="2502" spans="1:28" x14ac:dyDescent="0.25">
      <c r="A2502" s="16">
        <f>OrdersTable!A2502</f>
        <v>830</v>
      </c>
      <c r="B2502" s="15" t="str">
        <f t="shared" si="837"/>
        <v>Miss</v>
      </c>
      <c r="C2502" s="15" t="str">
        <f t="shared" si="858"/>
        <v>Blakeney</v>
      </c>
      <c r="D2502" s="15" t="str">
        <f t="shared" si="838"/>
        <v>Hannah</v>
      </c>
      <c r="E2502" s="15" t="str">
        <f t="shared" si="839"/>
        <v>31 Sproule Street</v>
      </c>
      <c r="F2502" s="15" t="str">
        <f t="shared" si="840"/>
        <v>Belford</v>
      </c>
      <c r="G2502" s="15" t="str">
        <f t="shared" si="841"/>
        <v>NSW</v>
      </c>
      <c r="H2502" s="15">
        <f t="shared" si="842"/>
        <v>2335</v>
      </c>
      <c r="I2502" s="15">
        <f t="shared" si="853"/>
        <v>716</v>
      </c>
      <c r="J2502" s="15">
        <f>OrdersTable!B2502</f>
        <v>762</v>
      </c>
      <c r="K2502" s="15" t="str">
        <f t="shared" si="843"/>
        <v>Statues and Busts</v>
      </c>
      <c r="L2502" s="15" t="str">
        <f t="shared" si="844"/>
        <v>Doctor Who: Legends Forever Bust: Patrick Troughton</v>
      </c>
      <c r="M2502" s="15" t="str">
        <f t="shared" si="845"/>
        <v>-</v>
      </c>
      <c r="N2502" s="15">
        <f t="shared" si="846"/>
        <v>1.375</v>
      </c>
      <c r="O2502" s="15" t="str">
        <f t="shared" si="847"/>
        <v>A40</v>
      </c>
      <c r="P2502" s="15" t="str">
        <f t="shared" si="848"/>
        <v>Romana Imports</v>
      </c>
      <c r="Q2502" s="15" t="str">
        <f t="shared" si="849"/>
        <v>17 Lalla Ward Road</v>
      </c>
      <c r="R2502" s="3">
        <f>OrdersTable!C2502</f>
        <v>44741</v>
      </c>
      <c r="S2502" s="15">
        <f>OrdersTable!E2502</f>
        <v>1</v>
      </c>
      <c r="T2502" s="15">
        <f t="shared" si="850"/>
        <v>27.5</v>
      </c>
      <c r="U2502" s="15">
        <f t="shared" si="851"/>
        <v>37.799999999999997</v>
      </c>
      <c r="V2502" s="15">
        <f t="shared" si="859"/>
        <v>44.55</v>
      </c>
      <c r="W2502" s="15">
        <f>IF(MarkupType="Store Markup",ROUND(V2502+V2502*StoreMarkup,2),IF(MarkupType="Supplier Markup",V2502+V2502*SupplierMarkup,"Error at finding value"))</f>
        <v>70.17</v>
      </c>
      <c r="X2502" s="32" t="str">
        <f t="shared" si="860"/>
        <v>0.00</v>
      </c>
      <c r="Y2502" s="15">
        <f t="shared" si="861"/>
        <v>44.55</v>
      </c>
      <c r="Z2502" s="15">
        <f t="shared" si="862"/>
        <v>70.17</v>
      </c>
      <c r="AA2502" s="15">
        <f>IF(FreightType="Lethbridge-Stewart Freight ",ROUND(2.99+IF(N2502&gt;0.75,(N2502-0.75)*2.25,0)*S2502,2),IF(MarkupType="Supplier Markup",V2502+V2502*SupplierMarkup,"Error at finding value"))</f>
        <v>4.4000000000000004</v>
      </c>
      <c r="AB2502" s="15">
        <f t="shared" si="863"/>
        <v>0</v>
      </c>
    </row>
    <row r="2503" spans="1:28" x14ac:dyDescent="0.25">
      <c r="A2503" s="16">
        <f>OrdersTable!A2503</f>
        <v>989</v>
      </c>
      <c r="B2503" s="15" t="str">
        <f t="shared" si="837"/>
        <v>Miss</v>
      </c>
      <c r="C2503" s="15" t="str">
        <f t="shared" si="858"/>
        <v>McInnes</v>
      </c>
      <c r="D2503" s="15" t="str">
        <f t="shared" si="838"/>
        <v>Nina Marie</v>
      </c>
      <c r="E2503" s="15" t="str">
        <f t="shared" si="839"/>
        <v>28 Caruss Road</v>
      </c>
      <c r="F2503" s="15" t="str">
        <f t="shared" si="840"/>
        <v>Belford</v>
      </c>
      <c r="G2503" s="15" t="str">
        <f t="shared" si="841"/>
        <v>NSW</v>
      </c>
      <c r="H2503" s="15">
        <f t="shared" si="842"/>
        <v>2335</v>
      </c>
      <c r="I2503" s="15">
        <f t="shared" si="853"/>
        <v>716</v>
      </c>
      <c r="J2503" s="15">
        <f>OrdersTable!B2503</f>
        <v>145</v>
      </c>
      <c r="K2503" s="15" t="str">
        <f t="shared" si="843"/>
        <v>Bobbleheads</v>
      </c>
      <c r="L2503" s="15" t="str">
        <f t="shared" si="844"/>
        <v>Doctor Who: Bobblehead: Eleventh Doctor</v>
      </c>
      <c r="M2503" s="15" t="str">
        <f t="shared" si="845"/>
        <v>-</v>
      </c>
      <c r="N2503" s="15">
        <f t="shared" si="846"/>
        <v>1</v>
      </c>
      <c r="O2503" s="15" t="str">
        <f t="shared" si="847"/>
        <v>A30</v>
      </c>
      <c r="P2503" s="15" t="str">
        <f t="shared" si="848"/>
        <v>Chesterton Enterprises</v>
      </c>
      <c r="Q2503" s="15" t="str">
        <f t="shared" si="849"/>
        <v>41 William Russell Road</v>
      </c>
      <c r="R2503" s="3">
        <f>OrdersTable!C2503</f>
        <v>44741</v>
      </c>
      <c r="S2503" s="15">
        <f>OrdersTable!E2503</f>
        <v>8</v>
      </c>
      <c r="T2503" s="15">
        <f t="shared" si="850"/>
        <v>19.989999999999998</v>
      </c>
      <c r="U2503" s="15">
        <f t="shared" si="851"/>
        <v>27.54</v>
      </c>
      <c r="V2503" s="15">
        <f t="shared" si="859"/>
        <v>32.380000000000003</v>
      </c>
      <c r="W2503" s="15">
        <f>IF(MarkupType="Store Markup",ROUND(V2503+V2503*StoreMarkup,2),IF(MarkupType="Supplier Markup",V2503+V2503*SupplierMarkup,"Error at finding value"))</f>
        <v>51</v>
      </c>
      <c r="X2503" s="32" t="str">
        <f t="shared" si="860"/>
        <v>0.00</v>
      </c>
      <c r="Y2503" s="15">
        <f t="shared" si="861"/>
        <v>259.04000000000002</v>
      </c>
      <c r="Z2503" s="15">
        <f t="shared" si="862"/>
        <v>408</v>
      </c>
      <c r="AA2503" s="15">
        <f>IF(FreightType="Lethbridge-Stewart Freight ",ROUND(2.99+IF(N2503&gt;0.75,(N2503-0.75)*2.25,0)*S2503,2),IF(MarkupType="Supplier Markup",V2503+V2503*SupplierMarkup,"Error at finding value"))</f>
        <v>7.49</v>
      </c>
      <c r="AB2503" s="15">
        <f t="shared" si="863"/>
        <v>0</v>
      </c>
    </row>
    <row r="2504" spans="1:28" x14ac:dyDescent="0.25">
      <c r="P2504" s="15"/>
      <c r="V2504" s="15"/>
      <c r="W2504" s="15"/>
    </row>
    <row r="2505" spans="1:28" x14ac:dyDescent="0.25">
      <c r="A2505" s="16"/>
      <c r="D2505" s="15"/>
      <c r="J2505" s="15"/>
      <c r="K2505" s="15"/>
      <c r="P2505" s="15"/>
      <c r="R2505" s="3"/>
      <c r="S2505" s="15"/>
      <c r="V2505" s="15"/>
      <c r="W2505" s="15"/>
    </row>
    <row r="2506" spans="1:28" x14ac:dyDescent="0.25">
      <c r="A2506" s="16"/>
      <c r="J2506" s="15"/>
      <c r="P2506" s="15"/>
      <c r="R2506" s="3"/>
      <c r="S2506" s="15"/>
      <c r="V2506" s="15"/>
    </row>
    <row r="2507" spans="1:28" x14ac:dyDescent="0.25">
      <c r="P2507" s="15"/>
      <c r="R2507" s="3"/>
      <c r="S2507" s="15"/>
    </row>
    <row r="2508" spans="1:28" ht="18.75" x14ac:dyDescent="0.3">
      <c r="A2508" s="87" t="s">
        <v>831</v>
      </c>
      <c r="B2508" s="87"/>
      <c r="C2508" s="87"/>
      <c r="D2508" s="87"/>
      <c r="P2508" s="15"/>
      <c r="R2508" s="3"/>
      <c r="S2508" s="15"/>
    </row>
    <row r="2509" spans="1:28" x14ac:dyDescent="0.25">
      <c r="P2509" s="15"/>
      <c r="R2509" s="3"/>
      <c r="S2509" s="15"/>
    </row>
    <row r="2510" spans="1:28" x14ac:dyDescent="0.25">
      <c r="P2510" s="15"/>
      <c r="R2510" s="3"/>
      <c r="S2510" s="15"/>
    </row>
    <row r="2511" spans="1:28" x14ac:dyDescent="0.25">
      <c r="D2511" t="s">
        <v>838</v>
      </c>
      <c r="E2511" t="s">
        <v>860</v>
      </c>
      <c r="P2511" s="15"/>
      <c r="R2511" s="3"/>
      <c r="S2511" s="15"/>
    </row>
    <row r="2512" spans="1:28" x14ac:dyDescent="0.25">
      <c r="A2512" s="23" t="s">
        <v>832</v>
      </c>
      <c r="P2512" s="15"/>
      <c r="R2512" s="3"/>
    </row>
    <row r="2513" spans="1:18" x14ac:dyDescent="0.25">
      <c r="A2513" s="4" t="s">
        <v>829</v>
      </c>
      <c r="B2513" s="4" t="s">
        <v>825</v>
      </c>
      <c r="C2513" s="4">
        <f>IF(ExchRateType="IR",T4*ExchRateIR,"Error at finding value")</f>
        <v>72.883800000000008</v>
      </c>
      <c r="D2513" s="4">
        <f>IF(ExchRateType="IR",T4*ExchRateIR,IF(ExchRateType="CA",U4*ExchRateCA,"Error at finding value"))</f>
        <v>72.883800000000008</v>
      </c>
      <c r="E2513">
        <f>IF(ExchRateType="IR",ROUND(T4*ExchRateIR,2),IF(ExchRateType="CA",ROUND(U4*ExchRateCA,2),"Error at finding value"))</f>
        <v>72.88</v>
      </c>
      <c r="P2513" s="15"/>
      <c r="R2513" s="3"/>
    </row>
    <row r="2514" spans="1:18" x14ac:dyDescent="0.25">
      <c r="A2514" s="4" t="s">
        <v>829</v>
      </c>
      <c r="B2514" s="4" t="s">
        <v>830</v>
      </c>
      <c r="C2514" s="27" t="str">
        <f>IF(ExchRateType="CA",U4*ExchRateCA,"Error at finding value")</f>
        <v>Error at finding value</v>
      </c>
      <c r="D2514" s="4"/>
      <c r="P2514" s="15"/>
      <c r="R2514" s="3"/>
    </row>
    <row r="2515" spans="1:18" x14ac:dyDescent="0.25">
      <c r="P2515" s="15"/>
      <c r="R2515" s="3"/>
    </row>
    <row r="2516" spans="1:18" x14ac:dyDescent="0.25">
      <c r="A2516" s="23" t="s">
        <v>833</v>
      </c>
      <c r="P2516" s="15"/>
      <c r="R2516" s="3"/>
    </row>
    <row r="2517" spans="1:18" x14ac:dyDescent="0.25">
      <c r="C2517" s="4" t="s">
        <v>863</v>
      </c>
      <c r="P2517" s="15"/>
      <c r="R2517" s="3"/>
    </row>
    <row r="2518" spans="1:18" x14ac:dyDescent="0.25">
      <c r="A2518" s="4" t="s">
        <v>834</v>
      </c>
      <c r="C2518">
        <f>IF(MarkupType="Store Markup",ROUND(V4+V4*StoreMarkup,2),IF(MarkupType="Supplier Markup",V4+V4*SupplierMarkup,"Error at finding value"))</f>
        <v>114.79</v>
      </c>
      <c r="P2518" s="15"/>
      <c r="R2518" s="3"/>
    </row>
    <row r="2519" spans="1:18" x14ac:dyDescent="0.25">
      <c r="A2519" s="4" t="e">
        <f>IF(conditionA,ROUND(calculationA,2),IF(conditionB,ROUND(calculationB,2),"Error Message"))</f>
        <v>#NAME?</v>
      </c>
      <c r="P2519" s="15"/>
      <c r="R2519" s="3"/>
    </row>
    <row r="2520" spans="1:18" x14ac:dyDescent="0.25">
      <c r="P2520" s="15"/>
      <c r="R2520" s="3"/>
    </row>
    <row r="2521" spans="1:18" ht="30" x14ac:dyDescent="0.25">
      <c r="A2521" s="4" t="s">
        <v>835</v>
      </c>
      <c r="B2521" s="4"/>
      <c r="C2521" s="4"/>
      <c r="D2521" s="28" t="s">
        <v>840</v>
      </c>
      <c r="E2521" s="4" t="s">
        <v>842</v>
      </c>
      <c r="F2521" s="4" t="s">
        <v>841</v>
      </c>
      <c r="G2521" s="18" t="s">
        <v>843</v>
      </c>
      <c r="P2521" s="15"/>
      <c r="R2521" s="3"/>
    </row>
    <row r="2522" spans="1:18" x14ac:dyDescent="0.25">
      <c r="A2522" s="4" t="s">
        <v>836</v>
      </c>
      <c r="B2522" s="4" t="s">
        <v>837</v>
      </c>
      <c r="C2522" s="4" t="b">
        <f>IF(MarkupType="Store Markup",TRUE,"Error at finding value")</f>
        <v>1</v>
      </c>
      <c r="D2522" s="4">
        <f>IF(MarkupType="Store Markup",V4+V4*StoreMarkup,"Error at finding value")</f>
        <v>114.78599999999999</v>
      </c>
      <c r="E2522" s="4" t="str">
        <f>IF(MarkupType="Supplier Markup",V4+V4*SupplierMarkup,"Error at finding value")</f>
        <v>Error at finding value</v>
      </c>
      <c r="F2522" s="4">
        <f>IF(MarkupType="Store Markup",V4+V4*StoreMarkup,IF(MarkupType="Supplier Markup",V4+V4*SupplierMarkup,"Error at finding value"))</f>
        <v>114.78599999999999</v>
      </c>
      <c r="G2522" s="4">
        <f>IF(MarkupType="Store Markup",ROUND(V4+V4*StoreMarkup,2),IF(MarkupType="Supplier Markup",V4+V4*SupplierMarkup,"Error at finding value"))</f>
        <v>114.79</v>
      </c>
      <c r="P2522" s="15"/>
      <c r="R2522" s="3"/>
    </row>
    <row r="2523" spans="1:18" x14ac:dyDescent="0.25">
      <c r="P2523" s="15"/>
      <c r="R2523" s="3"/>
    </row>
    <row r="2524" spans="1:18" x14ac:dyDescent="0.25">
      <c r="A2524" s="23" t="s">
        <v>844</v>
      </c>
      <c r="P2524" s="15"/>
      <c r="R2524" s="3"/>
    </row>
    <row r="2525" spans="1:18" x14ac:dyDescent="0.25">
      <c r="A2525" t="s">
        <v>845</v>
      </c>
      <c r="P2525" s="15"/>
      <c r="R2525" s="3"/>
    </row>
    <row r="2526" spans="1:18" x14ac:dyDescent="0.25">
      <c r="A2526" t="b">
        <f>AND(C2513&gt;1,C2513&lt;10000)</f>
        <v>1</v>
      </c>
      <c r="C2526" s="30">
        <v>7.1249999999999994E-2</v>
      </c>
      <c r="D2526" t="s">
        <v>849</v>
      </c>
      <c r="E2526">
        <v>7.1249999999999994E-2</v>
      </c>
      <c r="P2526" s="15"/>
      <c r="R2526" s="3"/>
    </row>
    <row r="2527" spans="1:18" x14ac:dyDescent="0.25">
      <c r="P2527" s="15"/>
      <c r="R2527" s="3"/>
    </row>
    <row r="2528" spans="1:18" x14ac:dyDescent="0.25">
      <c r="A2528" t="s">
        <v>846</v>
      </c>
      <c r="D2528" t="s">
        <v>848</v>
      </c>
      <c r="F2528" s="18" t="s">
        <v>843</v>
      </c>
      <c r="P2528" s="15"/>
      <c r="R2528" s="3"/>
    </row>
    <row r="2529" spans="1:18" x14ac:dyDescent="0.25">
      <c r="B2529" s="26"/>
      <c r="D2529">
        <f>IF(AND(W4&gt;100,S4&gt;=3),0.07125*W4,"Not  matched with range of values")</f>
        <v>8.1787875000000003</v>
      </c>
      <c r="E2529">
        <f>IF(MarkupType="Store Markup",V4+V4*StoreMarkup,IF(MarkupType="Supplier Markup",V4+V4*SupplierMarkup,"Error at finding value"))</f>
        <v>114.78599999999999</v>
      </c>
      <c r="F2529" s="4">
        <f>IF(MarkupType="Store Markup",ROUND(V4+V4*StoreMarkup,2),IF(MarkupType="Supplier Markup",V4+V4*SupplierMarkup,"Error at finding value"))</f>
        <v>114.79</v>
      </c>
      <c r="G2529">
        <f>IF(AND(W4&gt;100,S4&gt;=3),ROUND(0.07125*W4,2),"Not  matched with range of values")</f>
        <v>8.18</v>
      </c>
      <c r="P2529" s="15"/>
      <c r="R2529" s="3"/>
    </row>
    <row r="2530" spans="1:18" x14ac:dyDescent="0.25">
      <c r="P2530" s="15"/>
      <c r="R2530" s="3"/>
    </row>
    <row r="2531" spans="1:18" ht="57.75" customHeight="1" x14ac:dyDescent="0.25">
      <c r="A2531" s="29" t="s">
        <v>850</v>
      </c>
      <c r="R2531" s="3"/>
    </row>
    <row r="2532" spans="1:18" x14ac:dyDescent="0.25">
      <c r="A2532" s="4"/>
      <c r="B2532" s="4"/>
      <c r="C2532" s="4"/>
      <c r="D2532" s="4" t="s">
        <v>728</v>
      </c>
      <c r="E2532" s="18" t="s">
        <v>843</v>
      </c>
      <c r="R2532" s="3"/>
    </row>
    <row r="2533" spans="1:18" x14ac:dyDescent="0.25">
      <c r="A2533" s="4" t="s">
        <v>851</v>
      </c>
      <c r="B2533" s="20" t="s">
        <v>852</v>
      </c>
      <c r="C2533" s="4"/>
      <c r="D2533" s="4">
        <f>V4*S4</f>
        <v>437.28</v>
      </c>
      <c r="E2533" s="4"/>
    </row>
    <row r="2534" spans="1:18" x14ac:dyDescent="0.25">
      <c r="A2534" s="4" t="s">
        <v>853</v>
      </c>
      <c r="B2534" s="20" t="s">
        <v>854</v>
      </c>
      <c r="C2534" s="4"/>
      <c r="D2534" s="4">
        <f>(W4-X4)*S4</f>
        <v>639.66000000000008</v>
      </c>
      <c r="E2534" s="4"/>
    </row>
    <row r="2535" spans="1:18" x14ac:dyDescent="0.25">
      <c r="A2535" s="4" t="s">
        <v>855</v>
      </c>
      <c r="B2535" s="20" t="s">
        <v>856</v>
      </c>
      <c r="C2535" s="4"/>
      <c r="D2535" s="4">
        <f>X4*S4</f>
        <v>49.08</v>
      </c>
      <c r="E2535" s="4"/>
    </row>
    <row r="2537" spans="1:18" x14ac:dyDescent="0.25">
      <c r="A2537" s="23" t="s">
        <v>857</v>
      </c>
    </row>
    <row r="2538" spans="1:18" x14ac:dyDescent="0.25">
      <c r="A2538" s="4"/>
      <c r="B2538" s="20" t="s">
        <v>858</v>
      </c>
      <c r="C2538" s="4" t="str">
        <f>IF(FreightType="Lethbridge-Stewart Freight ","FOund","Error at finding value")</f>
        <v>FOund</v>
      </c>
      <c r="D2538" s="4"/>
    </row>
    <row r="2539" spans="1:18" x14ac:dyDescent="0.25">
      <c r="A2539" s="4"/>
      <c r="B2539" s="4"/>
      <c r="C2539" s="4"/>
      <c r="D2539" s="4"/>
    </row>
    <row r="2540" spans="1:18" x14ac:dyDescent="0.25">
      <c r="A2540" s="4" t="s">
        <v>859</v>
      </c>
      <c r="B2540" s="4"/>
      <c r="C2540" s="4"/>
      <c r="D2540" s="4"/>
      <c r="F2540" s="15">
        <f>IF(FreightType="Lethbridge-Stewart Freight ",ROUND((2.99+IF((N4&gt;0.75),(N4-0.75)*2.25,0 )*S4),2),"Error at finding value")</f>
        <v>23.24</v>
      </c>
    </row>
    <row r="2541" spans="1:18" x14ac:dyDescent="0.25">
      <c r="A2541" s="4" t="s">
        <v>836</v>
      </c>
      <c r="B2541" s="20" t="s">
        <v>824</v>
      </c>
      <c r="C2541" s="4" t="str">
        <f>IF(FreightType="Lethbridge-Stewart Freight ","FOund","Error at finding value")</f>
        <v>FOund</v>
      </c>
      <c r="D2541" s="4" t="s">
        <v>860</v>
      </c>
      <c r="E2541" s="34" t="s">
        <v>866</v>
      </c>
    </row>
    <row r="2542" spans="1:18" x14ac:dyDescent="0.25">
      <c r="A2542" s="4"/>
      <c r="B2542" s="4"/>
      <c r="C2542" s="4">
        <f>IF(FreightType="Lethbridge-Stewart Freight ",2.99+IF(N4&gt;0.75,(N4-0.75)*2.25,0)*S4,"Error at finding value")</f>
        <v>23.240000000000002</v>
      </c>
      <c r="D2542" s="4">
        <f>IF(FreightType="Lethbridge-Stewart Freight ",ROUND(2.99+IF(N4&gt;0.75,(N4-0.75)*2.25,0)*S4,2),"Error at finding value")</f>
        <v>23.24</v>
      </c>
      <c r="E2542">
        <f>IF(FreightType="Lethbridge-Stewart Freight ",ROUND(2.99+IF(N4&gt;0.75,(N4-0.75)*2.25,0)*S4,2),IF(MarkupType="Supplier Markup",V4+V4*SupplierMarkup,"Error at finding value"))</f>
        <v>23.24</v>
      </c>
    </row>
    <row r="2543" spans="1:18" x14ac:dyDescent="0.25">
      <c r="A2543" s="4"/>
      <c r="B2543" s="4"/>
      <c r="C2543" s="4"/>
      <c r="D2543" s="4"/>
    </row>
    <row r="2544" spans="1:18" x14ac:dyDescent="0.25">
      <c r="A2544" s="4" t="s">
        <v>847</v>
      </c>
      <c r="B2544" s="20" t="s">
        <v>861</v>
      </c>
      <c r="C2544" s="4" t="str">
        <f>IF(FreightType="Davros Transport","FOund","Error at finding value")</f>
        <v>Error at finding value</v>
      </c>
      <c r="D2544" s="4" t="s">
        <v>860</v>
      </c>
    </row>
    <row r="2545" spans="1:4" x14ac:dyDescent="0.25">
      <c r="A2545" s="4"/>
      <c r="B2545" s="4"/>
      <c r="C2545" s="4" t="str">
        <f>IF(FreightType="Davros Transport",2.99+IF(N4&gt;0.75,(N4-0.75)*2.25,0),"Error at finding value")</f>
        <v>Error at finding value</v>
      </c>
      <c r="D2545" s="4" t="str">
        <f>IF(FreightType="Davros Transport ",ROUND(2.5*N4+IF(I4&gt;1000,(0.0045*I4),0)*S4,2),"Error at finding value")</f>
        <v>Error at finding value</v>
      </c>
    </row>
    <row r="2548" spans="1:4" x14ac:dyDescent="0.25">
      <c r="A2548" s="33" t="s">
        <v>862</v>
      </c>
    </row>
  </sheetData>
  <mergeCells count="1">
    <mergeCell ref="A2508:D2508"/>
  </mergeCells>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heetPr>
  <dimension ref="A1:N22"/>
  <sheetViews>
    <sheetView showGridLines="0" zoomScaleNormal="100" workbookViewId="0">
      <selection activeCell="E24" sqref="E24"/>
    </sheetView>
  </sheetViews>
  <sheetFormatPr defaultRowHeight="15" outlineLevelRow="1" outlineLevelCol="1" x14ac:dyDescent="0.25"/>
  <cols>
    <col min="3" max="3" width="30.85546875" customWidth="1"/>
    <col min="4" max="4" width="26.5703125" hidden="1" customWidth="1" outlineLevel="1"/>
    <col min="5" max="14" width="25.85546875" bestFit="1" customWidth="1" outlineLevel="1"/>
  </cols>
  <sheetData>
    <row r="1" spans="1:14" ht="15.75" thickBot="1" x14ac:dyDescent="0.3">
      <c r="A1" s="1" t="s">
        <v>935</v>
      </c>
    </row>
    <row r="2" spans="1:14" ht="15.75" x14ac:dyDescent="0.25">
      <c r="B2" s="52" t="s">
        <v>881</v>
      </c>
      <c r="C2" s="52"/>
      <c r="D2" s="38"/>
      <c r="E2" s="38"/>
      <c r="F2" s="38"/>
      <c r="G2" s="38"/>
      <c r="H2" s="38"/>
      <c r="I2" s="38"/>
      <c r="J2" s="38"/>
      <c r="K2" s="38"/>
      <c r="L2" s="38"/>
      <c r="M2" s="38"/>
      <c r="N2" s="38"/>
    </row>
    <row r="3" spans="1:14" ht="15.75" collapsed="1" x14ac:dyDescent="0.25">
      <c r="B3" s="51"/>
      <c r="C3" s="51"/>
      <c r="D3" s="39" t="s">
        <v>883</v>
      </c>
      <c r="E3" s="39" t="s">
        <v>870</v>
      </c>
      <c r="F3" s="39" t="s">
        <v>871</v>
      </c>
      <c r="G3" s="39" t="s">
        <v>877</v>
      </c>
      <c r="H3" s="39" t="s">
        <v>872</v>
      </c>
      <c r="I3" s="39" t="s">
        <v>873</v>
      </c>
      <c r="J3" s="39" t="s">
        <v>874</v>
      </c>
      <c r="K3" s="39" t="s">
        <v>875</v>
      </c>
      <c r="L3" s="39" t="s">
        <v>876</v>
      </c>
      <c r="M3" s="39" t="s">
        <v>888</v>
      </c>
      <c r="N3" s="39" t="s">
        <v>902</v>
      </c>
    </row>
    <row r="4" spans="1:14" ht="56.25" hidden="1" outlineLevel="1" x14ac:dyDescent="0.25">
      <c r="B4" s="53"/>
      <c r="C4" s="53"/>
      <c r="D4" s="36"/>
      <c r="E4" s="41" t="s">
        <v>908</v>
      </c>
      <c r="F4" s="41" t="s">
        <v>909</v>
      </c>
      <c r="G4" s="41" t="s">
        <v>909</v>
      </c>
      <c r="H4" s="41" t="s">
        <v>909</v>
      </c>
      <c r="I4" s="41" t="s">
        <v>910</v>
      </c>
      <c r="J4" s="41" t="s">
        <v>910</v>
      </c>
      <c r="K4" s="41" t="s">
        <v>909</v>
      </c>
      <c r="L4" s="41" t="s">
        <v>909</v>
      </c>
      <c r="M4" s="41" t="s">
        <v>900</v>
      </c>
      <c r="N4" s="41" t="s">
        <v>901</v>
      </c>
    </row>
    <row r="5" spans="1:14" x14ac:dyDescent="0.25">
      <c r="B5" s="54" t="s">
        <v>882</v>
      </c>
      <c r="C5" s="54"/>
      <c r="D5" s="37"/>
      <c r="E5" s="37"/>
      <c r="F5" s="37"/>
      <c r="G5" s="37"/>
      <c r="H5" s="37"/>
      <c r="I5" s="37"/>
      <c r="J5" s="37"/>
      <c r="K5" s="37"/>
      <c r="L5" s="37"/>
      <c r="M5" s="37"/>
      <c r="N5" s="37"/>
    </row>
    <row r="6" spans="1:14" outlineLevel="1" x14ac:dyDescent="0.25">
      <c r="B6" s="53"/>
      <c r="C6" s="53" t="s">
        <v>879</v>
      </c>
      <c r="D6" s="36" t="s">
        <v>825</v>
      </c>
      <c r="E6" s="40" t="s">
        <v>825</v>
      </c>
      <c r="F6" s="40" t="s">
        <v>825</v>
      </c>
      <c r="G6" s="40" t="s">
        <v>825</v>
      </c>
      <c r="H6" s="40" t="s">
        <v>830</v>
      </c>
      <c r="I6" s="40" t="s">
        <v>825</v>
      </c>
      <c r="J6" s="40" t="s">
        <v>830</v>
      </c>
      <c r="K6" s="40" t="s">
        <v>825</v>
      </c>
      <c r="L6" s="40" t="s">
        <v>830</v>
      </c>
      <c r="M6" s="36" t="s">
        <v>825</v>
      </c>
      <c r="N6" s="40" t="s">
        <v>825</v>
      </c>
    </row>
    <row r="7" spans="1:14" outlineLevel="1" x14ac:dyDescent="0.25">
      <c r="B7" s="53"/>
      <c r="C7" s="53" t="s">
        <v>880</v>
      </c>
      <c r="D7" s="36" t="s">
        <v>839</v>
      </c>
      <c r="E7" s="40" t="s">
        <v>839</v>
      </c>
      <c r="F7" s="40" t="s">
        <v>839</v>
      </c>
      <c r="G7" s="40" t="s">
        <v>839</v>
      </c>
      <c r="H7" s="40" t="s">
        <v>839</v>
      </c>
      <c r="I7" s="40" t="s">
        <v>868</v>
      </c>
      <c r="J7" s="40" t="s">
        <v>868</v>
      </c>
      <c r="K7" s="40" t="s">
        <v>868</v>
      </c>
      <c r="L7" s="40" t="s">
        <v>868</v>
      </c>
      <c r="M7" s="36" t="s">
        <v>839</v>
      </c>
      <c r="N7" s="40" t="s">
        <v>903</v>
      </c>
    </row>
    <row r="8" spans="1:14" outlineLevel="1" x14ac:dyDescent="0.25">
      <c r="B8" s="53"/>
      <c r="C8" s="53" t="s">
        <v>878</v>
      </c>
      <c r="D8" s="36" t="s">
        <v>824</v>
      </c>
      <c r="E8" s="40" t="s">
        <v>824</v>
      </c>
      <c r="F8" s="40" t="s">
        <v>824</v>
      </c>
      <c r="G8" s="40" t="s">
        <v>869</v>
      </c>
      <c r="H8" s="40" t="s">
        <v>861</v>
      </c>
      <c r="I8" s="40" t="s">
        <v>824</v>
      </c>
      <c r="J8" s="40" t="s">
        <v>824</v>
      </c>
      <c r="K8" s="40" t="s">
        <v>869</v>
      </c>
      <c r="L8" s="40" t="s">
        <v>824</v>
      </c>
      <c r="M8" s="36" t="s">
        <v>824</v>
      </c>
      <c r="N8" s="40" t="s">
        <v>869</v>
      </c>
    </row>
    <row r="9" spans="1:14" outlineLevel="1" x14ac:dyDescent="0.25">
      <c r="B9" s="53"/>
      <c r="C9" s="60" t="s">
        <v>889</v>
      </c>
      <c r="D9" s="61">
        <v>1060983.31</v>
      </c>
      <c r="E9" s="62">
        <v>1060983.31</v>
      </c>
      <c r="F9" s="62">
        <v>1260983.31</v>
      </c>
      <c r="G9" s="62">
        <v>1262453.1200000001</v>
      </c>
      <c r="H9" s="62">
        <v>2300983.31</v>
      </c>
      <c r="I9" s="62">
        <v>1060983.31</v>
      </c>
      <c r="J9" s="62">
        <v>1060983.31</v>
      </c>
      <c r="K9" s="62">
        <v>1060983.31</v>
      </c>
      <c r="L9" s="62">
        <v>1060983.31</v>
      </c>
      <c r="M9" s="62">
        <v>1060983.31</v>
      </c>
      <c r="N9" s="62">
        <v>1060983.31</v>
      </c>
    </row>
    <row r="10" spans="1:14" outlineLevel="1" x14ac:dyDescent="0.25">
      <c r="B10" s="53"/>
      <c r="C10" s="53" t="s">
        <v>890</v>
      </c>
      <c r="D10" s="45">
        <v>530491.65500000003</v>
      </c>
      <c r="E10" s="46">
        <v>530491.65500000003</v>
      </c>
      <c r="F10" s="46">
        <v>532221.255</v>
      </c>
      <c r="G10" s="46">
        <v>5210491.6550000003</v>
      </c>
      <c r="H10" s="46">
        <v>520491.65500000003</v>
      </c>
      <c r="I10" s="46">
        <v>530491.65500000003</v>
      </c>
      <c r="J10" s="46">
        <v>530491.65500000003</v>
      </c>
      <c r="K10" s="46">
        <v>530491.65500000003</v>
      </c>
      <c r="L10" s="46">
        <v>530491.65500000003</v>
      </c>
      <c r="M10" s="46">
        <v>530491.65500000003</v>
      </c>
      <c r="N10" s="46">
        <v>530491.65500000003</v>
      </c>
    </row>
    <row r="11" spans="1:14" outlineLevel="1" x14ac:dyDescent="0.25">
      <c r="B11" s="53"/>
      <c r="C11" s="53" t="s">
        <v>891</v>
      </c>
      <c r="D11" s="36">
        <v>701584.49999999802</v>
      </c>
      <c r="E11" s="40">
        <v>701584.49999999802</v>
      </c>
      <c r="F11" s="40">
        <v>701584.49999999802</v>
      </c>
      <c r="G11" s="40">
        <v>3451584.4999999902</v>
      </c>
      <c r="H11" s="40">
        <v>901584.49999999802</v>
      </c>
      <c r="I11" s="40">
        <v>701584.49999999802</v>
      </c>
      <c r="J11" s="40">
        <v>701584.49999999802</v>
      </c>
      <c r="K11" s="40">
        <v>701584.49999999802</v>
      </c>
      <c r="L11" s="40">
        <v>701584.49999999802</v>
      </c>
      <c r="M11" s="40">
        <v>701584.49999999802</v>
      </c>
      <c r="N11" s="40">
        <v>701584.49999999802</v>
      </c>
    </row>
    <row r="12" spans="1:14" outlineLevel="1" x14ac:dyDescent="0.25">
      <c r="B12" s="53"/>
      <c r="C12" s="63" t="s">
        <v>892</v>
      </c>
      <c r="D12" s="49">
        <v>36515.860000000503</v>
      </c>
      <c r="E12" s="50">
        <v>36515.860000000503</v>
      </c>
      <c r="F12" s="50">
        <v>36515.860000000503</v>
      </c>
      <c r="G12" s="50">
        <v>46515.860000000503</v>
      </c>
      <c r="H12" s="50">
        <v>36515.860000000503</v>
      </c>
      <c r="I12" s="50">
        <v>36515.860000000503</v>
      </c>
      <c r="J12" s="50">
        <v>36515.860000000503</v>
      </c>
      <c r="K12" s="50">
        <v>36515.860000000503</v>
      </c>
      <c r="L12" s="50">
        <v>36515.860000000503</v>
      </c>
      <c r="M12" s="50">
        <v>36515.860000000503</v>
      </c>
      <c r="N12" s="50">
        <v>36515.860000000503</v>
      </c>
    </row>
    <row r="13" spans="1:14" outlineLevel="1" x14ac:dyDescent="0.25">
      <c r="B13" s="53"/>
      <c r="C13" s="53" t="s">
        <v>893</v>
      </c>
      <c r="D13" s="58">
        <v>0.29060000000000002</v>
      </c>
      <c r="E13" s="59">
        <v>0.29060000000000002</v>
      </c>
      <c r="F13" s="59">
        <v>0.29060000000000002</v>
      </c>
      <c r="G13" s="59">
        <v>0.3906</v>
      </c>
      <c r="H13" s="59">
        <v>0.29060000000000002</v>
      </c>
      <c r="I13" s="59">
        <v>0.29060000000000002</v>
      </c>
      <c r="J13" s="59">
        <v>0.29060000000000002</v>
      </c>
      <c r="K13" s="59">
        <v>0.29060000000000002</v>
      </c>
      <c r="L13" s="59">
        <v>0.29060000000000002</v>
      </c>
      <c r="M13" s="59">
        <v>-28.06</v>
      </c>
      <c r="N13" s="59">
        <v>0.29060000000000002</v>
      </c>
    </row>
    <row r="14" spans="1:14" outlineLevel="1" x14ac:dyDescent="0.25">
      <c r="B14" s="53"/>
      <c r="C14" s="53" t="s">
        <v>894</v>
      </c>
      <c r="D14" s="45">
        <v>816515.72</v>
      </c>
      <c r="E14" s="46">
        <v>816515.72</v>
      </c>
      <c r="F14" s="46">
        <v>816515.72</v>
      </c>
      <c r="G14" s="46">
        <v>216515.72</v>
      </c>
      <c r="H14" s="46">
        <v>816515.72</v>
      </c>
      <c r="I14" s="46">
        <v>816515.72</v>
      </c>
      <c r="J14" s="46">
        <v>816515.72</v>
      </c>
      <c r="K14" s="46">
        <v>816515.72</v>
      </c>
      <c r="L14" s="46">
        <v>816515.72</v>
      </c>
      <c r="M14" s="46">
        <v>0</v>
      </c>
      <c r="N14" s="46">
        <v>816515.72</v>
      </c>
    </row>
    <row r="15" spans="1:14" outlineLevel="1" x14ac:dyDescent="0.25">
      <c r="B15" s="53"/>
      <c r="C15" s="64" t="s">
        <v>895</v>
      </c>
      <c r="D15" s="65">
        <v>244467.59</v>
      </c>
      <c r="E15" s="66">
        <v>244467.59</v>
      </c>
      <c r="F15" s="66">
        <v>123444.59</v>
      </c>
      <c r="G15" s="66">
        <v>224467.59</v>
      </c>
      <c r="H15" s="66">
        <v>244467.59</v>
      </c>
      <c r="I15" s="66">
        <v>244467.59</v>
      </c>
      <c r="J15" s="66">
        <v>244467.59</v>
      </c>
      <c r="K15" s="66">
        <v>244467.59</v>
      </c>
      <c r="L15" s="66">
        <v>244467.59</v>
      </c>
      <c r="M15" s="66">
        <v>359398.81000000198</v>
      </c>
      <c r="N15" s="66">
        <v>244467.59</v>
      </c>
    </row>
    <row r="16" spans="1:14" outlineLevel="1" x14ac:dyDescent="0.25">
      <c r="B16" s="53"/>
      <c r="C16" s="53" t="s">
        <v>896</v>
      </c>
      <c r="D16" s="36">
        <v>43991.470000000103</v>
      </c>
      <c r="E16" s="40">
        <v>43991.470000000103</v>
      </c>
      <c r="F16" s="40">
        <v>21222.470000000099</v>
      </c>
      <c r="G16" s="40">
        <v>23991.470000000099</v>
      </c>
      <c r="H16" s="40">
        <v>43991.470000000103</v>
      </c>
      <c r="I16" s="40">
        <v>43991.470000000103</v>
      </c>
      <c r="J16" s="40">
        <v>43991.470000000103</v>
      </c>
      <c r="K16" s="40">
        <v>43991.470000000103</v>
      </c>
      <c r="L16" s="40">
        <v>43991.470000000103</v>
      </c>
      <c r="M16" s="40">
        <v>43991.470000000103</v>
      </c>
      <c r="N16" s="40">
        <v>43991.470000000103</v>
      </c>
    </row>
    <row r="17" spans="2:14" outlineLevel="1" x14ac:dyDescent="0.25">
      <c r="B17" s="53"/>
      <c r="C17" s="68" t="s">
        <v>897</v>
      </c>
      <c r="D17" s="69">
        <v>0.2412</v>
      </c>
      <c r="E17" s="70">
        <v>0.2412</v>
      </c>
      <c r="F17" s="70">
        <v>0.2412</v>
      </c>
      <c r="G17" s="70">
        <v>0.14119999999999999</v>
      </c>
      <c r="H17" s="70">
        <v>0.2412</v>
      </c>
      <c r="I17" s="70">
        <v>0.2412</v>
      </c>
      <c r="J17" s="70">
        <v>0.2412</v>
      </c>
      <c r="K17" s="70">
        <v>0.2412</v>
      </c>
      <c r="L17" s="70">
        <v>0.2412</v>
      </c>
      <c r="M17" s="70">
        <v>-23.12</v>
      </c>
      <c r="N17" s="70">
        <v>0.2412</v>
      </c>
    </row>
    <row r="18" spans="2:14" outlineLevel="1" x14ac:dyDescent="0.25">
      <c r="B18" s="53"/>
      <c r="C18" s="67" t="s">
        <v>898</v>
      </c>
      <c r="D18" s="71">
        <v>448</v>
      </c>
      <c r="E18" s="72">
        <v>448</v>
      </c>
      <c r="F18" s="72">
        <v>454</v>
      </c>
      <c r="G18" s="72">
        <v>448</v>
      </c>
      <c r="H18" s="72">
        <v>448</v>
      </c>
      <c r="I18" s="72">
        <v>448</v>
      </c>
      <c r="J18" s="72">
        <v>448</v>
      </c>
      <c r="K18" s="72">
        <v>448</v>
      </c>
      <c r="L18" s="72">
        <v>448</v>
      </c>
      <c r="M18" s="72">
        <v>448</v>
      </c>
      <c r="N18" s="72">
        <v>448</v>
      </c>
    </row>
    <row r="19" spans="2:14" x14ac:dyDescent="0.25">
      <c r="B19" s="54" t="s">
        <v>884</v>
      </c>
      <c r="C19" s="54"/>
      <c r="D19" s="37"/>
      <c r="E19" s="37"/>
      <c r="F19" s="37"/>
      <c r="G19" s="37"/>
      <c r="H19" s="37"/>
      <c r="I19" s="37"/>
      <c r="J19" s="37"/>
      <c r="K19" s="37"/>
      <c r="L19" s="37"/>
      <c r="M19" s="37"/>
      <c r="N19" s="37"/>
    </row>
    <row r="20" spans="2:14" x14ac:dyDescent="0.25">
      <c r="B20" t="s">
        <v>885</v>
      </c>
    </row>
    <row r="21" spans="2:14" x14ac:dyDescent="0.25">
      <c r="B21" t="s">
        <v>886</v>
      </c>
    </row>
    <row r="22" spans="2:14" x14ac:dyDescent="0.25">
      <c r="B22" t="s">
        <v>887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topLeftCell="A10" workbookViewId="0"/>
  </sheetViews>
  <sheetFormatPr defaultRowHeight="15" x14ac:dyDescent="0.25"/>
  <sheetData>
    <row r="1" spans="1:5" x14ac:dyDescent="0.25">
      <c r="A1" s="2" t="s">
        <v>917</v>
      </c>
    </row>
    <row r="3" spans="1:5" x14ac:dyDescent="0.25">
      <c r="C3" s="23" t="s">
        <v>904</v>
      </c>
    </row>
    <row r="5" spans="1:5" x14ac:dyDescent="0.25">
      <c r="A5" t="s">
        <v>906</v>
      </c>
      <c r="B5" t="s">
        <v>911</v>
      </c>
    </row>
    <row r="16" spans="1:5" x14ac:dyDescent="0.25">
      <c r="E16" t="s">
        <v>905</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
  <sheetViews>
    <sheetView topLeftCell="A10" zoomScale="70" zoomScaleNormal="70" workbookViewId="0"/>
  </sheetViews>
  <sheetFormatPr defaultRowHeight="15" x14ac:dyDescent="0.25"/>
  <cols>
    <col min="3" max="3" width="31.5703125" customWidth="1"/>
  </cols>
  <sheetData>
    <row r="1" spans="1:4" x14ac:dyDescent="0.25">
      <c r="A1" s="1" t="s">
        <v>917</v>
      </c>
    </row>
    <row r="4" spans="1:4" ht="21.75" customHeight="1" x14ac:dyDescent="0.25">
      <c r="B4" s="73" t="s">
        <v>907</v>
      </c>
      <c r="C4" s="74" t="s">
        <v>913</v>
      </c>
    </row>
    <row r="5" spans="1:4" x14ac:dyDescent="0.25">
      <c r="D5" s="73"/>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workbookViewId="0"/>
  </sheetViews>
  <sheetFormatPr defaultRowHeight="15" x14ac:dyDescent="0.25"/>
  <sheetData>
    <row r="1" spans="1:1" x14ac:dyDescent="0.25">
      <c r="A1" s="1" t="s">
        <v>916</v>
      </c>
    </row>
    <row r="3" spans="1:1" x14ac:dyDescent="0.25">
      <c r="A3" t="s">
        <v>912</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8"/>
  <sheetViews>
    <sheetView workbookViewId="0">
      <selection activeCell="B7" sqref="B7"/>
    </sheetView>
  </sheetViews>
  <sheetFormatPr defaultRowHeight="15" x14ac:dyDescent="0.25"/>
  <cols>
    <col min="1" max="1" width="8.85546875" customWidth="1"/>
    <col min="2" max="2" width="7.140625" customWidth="1"/>
    <col min="3" max="3" width="15" bestFit="1" customWidth="1"/>
    <col min="4" max="4" width="22.42578125" bestFit="1" customWidth="1"/>
    <col min="5" max="5" width="13.42578125" customWidth="1"/>
    <col min="6" max="6" width="27.140625" bestFit="1" customWidth="1"/>
    <col min="7" max="7" width="13.85546875" bestFit="1" customWidth="1"/>
    <col min="8" max="8" width="7.7109375" customWidth="1"/>
    <col min="9" max="9" width="11.5703125" customWidth="1"/>
    <col min="10" max="10" width="17" customWidth="1"/>
    <col min="11" max="11" width="13.7109375" customWidth="1"/>
    <col min="12" max="12" width="33.140625" bestFit="1" customWidth="1"/>
    <col min="13" max="13" width="12.7109375" customWidth="1"/>
  </cols>
  <sheetData>
    <row r="1" spans="1:13" x14ac:dyDescent="0.25">
      <c r="A1" s="1" t="s">
        <v>817</v>
      </c>
    </row>
    <row r="3" spans="1:13" x14ac:dyDescent="0.25">
      <c r="A3" t="s">
        <v>3</v>
      </c>
      <c r="B3" t="s">
        <v>4</v>
      </c>
      <c r="C3" t="s">
        <v>5</v>
      </c>
      <c r="D3" t="s">
        <v>6</v>
      </c>
      <c r="E3" t="s">
        <v>7</v>
      </c>
      <c r="F3" t="s">
        <v>8</v>
      </c>
      <c r="G3" t="s">
        <v>9</v>
      </c>
      <c r="H3" t="s">
        <v>10</v>
      </c>
      <c r="I3" t="s">
        <v>11</v>
      </c>
      <c r="J3" t="s">
        <v>12</v>
      </c>
      <c r="K3" t="s">
        <v>13</v>
      </c>
      <c r="L3" t="s">
        <v>14</v>
      </c>
      <c r="M3" t="s">
        <v>15</v>
      </c>
    </row>
    <row r="4" spans="1:13" x14ac:dyDescent="0.25">
      <c r="A4">
        <v>22</v>
      </c>
      <c r="B4" t="s">
        <v>16</v>
      </c>
      <c r="C4" t="s">
        <v>17</v>
      </c>
      <c r="D4" t="s">
        <v>18</v>
      </c>
      <c r="E4" s="3">
        <v>25053</v>
      </c>
      <c r="F4" t="s">
        <v>19</v>
      </c>
      <c r="G4" t="s">
        <v>20</v>
      </c>
      <c r="H4" t="s">
        <v>21</v>
      </c>
      <c r="I4">
        <v>2335</v>
      </c>
      <c r="J4">
        <v>716</v>
      </c>
      <c r="K4" t="s">
        <v>22</v>
      </c>
      <c r="L4" t="s">
        <v>23</v>
      </c>
      <c r="M4" t="s">
        <v>24</v>
      </c>
    </row>
    <row r="5" spans="1:13" x14ac:dyDescent="0.25">
      <c r="A5">
        <v>42</v>
      </c>
      <c r="B5" t="s">
        <v>16</v>
      </c>
      <c r="C5" t="s">
        <v>25</v>
      </c>
      <c r="D5" t="s">
        <v>26</v>
      </c>
      <c r="E5" s="3">
        <v>19835</v>
      </c>
      <c r="F5" t="s">
        <v>27</v>
      </c>
      <c r="G5" t="s">
        <v>28</v>
      </c>
      <c r="H5" t="s">
        <v>21</v>
      </c>
      <c r="I5">
        <v>2671</v>
      </c>
      <c r="J5">
        <v>988</v>
      </c>
      <c r="K5" t="s">
        <v>29</v>
      </c>
      <c r="L5" t="s">
        <v>30</v>
      </c>
      <c r="M5" t="s">
        <v>31</v>
      </c>
    </row>
    <row r="6" spans="1:13" x14ac:dyDescent="0.25">
      <c r="A6">
        <v>46</v>
      </c>
      <c r="B6" t="s">
        <v>32</v>
      </c>
      <c r="C6" t="s">
        <v>33</v>
      </c>
      <c r="D6" t="s">
        <v>34</v>
      </c>
      <c r="E6" s="3">
        <v>11123</v>
      </c>
      <c r="F6" t="s">
        <v>35</v>
      </c>
      <c r="G6" t="s">
        <v>36</v>
      </c>
      <c r="H6" t="s">
        <v>21</v>
      </c>
      <c r="I6">
        <v>2650</v>
      </c>
      <c r="J6">
        <v>1124</v>
      </c>
      <c r="K6" t="s">
        <v>37</v>
      </c>
      <c r="L6" t="s">
        <v>38</v>
      </c>
      <c r="M6" t="s">
        <v>31</v>
      </c>
    </row>
    <row r="7" spans="1:13" x14ac:dyDescent="0.25">
      <c r="A7">
        <v>47</v>
      </c>
      <c r="B7" t="s">
        <v>39</v>
      </c>
      <c r="C7" t="s">
        <v>40</v>
      </c>
      <c r="D7" t="s">
        <v>41</v>
      </c>
      <c r="E7" s="3">
        <v>27693</v>
      </c>
      <c r="F7" t="s">
        <v>42</v>
      </c>
      <c r="G7" t="s">
        <v>43</v>
      </c>
      <c r="H7" t="s">
        <v>44</v>
      </c>
      <c r="I7">
        <v>2617</v>
      </c>
      <c r="J7">
        <v>1194</v>
      </c>
      <c r="K7" t="s">
        <v>45</v>
      </c>
      <c r="L7" t="s">
        <v>46</v>
      </c>
      <c r="M7" t="s">
        <v>31</v>
      </c>
    </row>
    <row r="8" spans="1:13" x14ac:dyDescent="0.25">
      <c r="A8">
        <v>55</v>
      </c>
      <c r="B8" t="s">
        <v>16</v>
      </c>
      <c r="C8" t="s">
        <v>47</v>
      </c>
      <c r="D8" t="s">
        <v>48</v>
      </c>
      <c r="E8" s="3">
        <v>14798</v>
      </c>
      <c r="F8" t="s">
        <v>49</v>
      </c>
      <c r="G8" t="s">
        <v>50</v>
      </c>
      <c r="H8" t="s">
        <v>51</v>
      </c>
      <c r="I8">
        <v>7140</v>
      </c>
      <c r="J8">
        <v>2191</v>
      </c>
      <c r="K8" t="s">
        <v>52</v>
      </c>
      <c r="L8" t="s">
        <v>53</v>
      </c>
      <c r="M8" t="s">
        <v>31</v>
      </c>
    </row>
    <row r="9" spans="1:13" x14ac:dyDescent="0.25">
      <c r="A9">
        <v>66</v>
      </c>
      <c r="B9" t="s">
        <v>16</v>
      </c>
      <c r="C9" t="s">
        <v>54</v>
      </c>
      <c r="D9" t="s">
        <v>55</v>
      </c>
      <c r="E9" s="3">
        <v>26022</v>
      </c>
      <c r="F9" t="s">
        <v>56</v>
      </c>
      <c r="G9" t="s">
        <v>57</v>
      </c>
      <c r="H9" t="s">
        <v>58</v>
      </c>
      <c r="I9">
        <v>3516</v>
      </c>
      <c r="J9">
        <v>1486</v>
      </c>
      <c r="K9" t="s">
        <v>59</v>
      </c>
      <c r="L9" t="s">
        <v>60</v>
      </c>
      <c r="M9" t="s">
        <v>24</v>
      </c>
    </row>
    <row r="10" spans="1:13" x14ac:dyDescent="0.25">
      <c r="A10">
        <v>81</v>
      </c>
      <c r="B10" t="s">
        <v>61</v>
      </c>
      <c r="C10" t="s">
        <v>62</v>
      </c>
      <c r="D10" t="s">
        <v>63</v>
      </c>
      <c r="E10" s="3">
        <v>17444</v>
      </c>
      <c r="F10" t="s">
        <v>64</v>
      </c>
      <c r="G10" t="s">
        <v>65</v>
      </c>
      <c r="H10" t="s">
        <v>66</v>
      </c>
      <c r="I10">
        <v>5310</v>
      </c>
      <c r="J10">
        <v>1720</v>
      </c>
      <c r="K10" t="s">
        <v>67</v>
      </c>
      <c r="L10" t="s">
        <v>68</v>
      </c>
      <c r="M10" t="s">
        <v>31</v>
      </c>
    </row>
    <row r="11" spans="1:13" x14ac:dyDescent="0.25">
      <c r="A11">
        <v>112</v>
      </c>
      <c r="B11" t="s">
        <v>16</v>
      </c>
      <c r="C11" t="s">
        <v>714</v>
      </c>
      <c r="D11" t="s">
        <v>715</v>
      </c>
      <c r="E11" s="3">
        <v>36214</v>
      </c>
      <c r="F11" t="s">
        <v>717</v>
      </c>
      <c r="G11" t="s">
        <v>716</v>
      </c>
      <c r="H11" t="s">
        <v>21</v>
      </c>
      <c r="I11">
        <v>2142</v>
      </c>
      <c r="J11" s="14">
        <v>907</v>
      </c>
      <c r="K11" t="s">
        <v>719</v>
      </c>
      <c r="L11" s="13" t="s">
        <v>718</v>
      </c>
      <c r="M11" t="s">
        <v>24</v>
      </c>
    </row>
    <row r="12" spans="1:13" x14ac:dyDescent="0.25">
      <c r="A12">
        <v>139</v>
      </c>
      <c r="B12" t="s">
        <v>32</v>
      </c>
      <c r="C12" t="s">
        <v>70</v>
      </c>
      <c r="D12" t="s">
        <v>71</v>
      </c>
      <c r="E12" s="3">
        <v>31256</v>
      </c>
      <c r="F12" t="s">
        <v>72</v>
      </c>
      <c r="G12" t="s">
        <v>73</v>
      </c>
      <c r="H12" t="s">
        <v>58</v>
      </c>
      <c r="I12">
        <v>3477</v>
      </c>
      <c r="J12">
        <v>1565</v>
      </c>
      <c r="K12" t="s">
        <v>74</v>
      </c>
      <c r="L12" t="s">
        <v>75</v>
      </c>
      <c r="M12" t="s">
        <v>24</v>
      </c>
    </row>
    <row r="13" spans="1:13" x14ac:dyDescent="0.25">
      <c r="A13">
        <v>141</v>
      </c>
      <c r="B13" t="s">
        <v>16</v>
      </c>
      <c r="C13" t="s">
        <v>76</v>
      </c>
      <c r="D13" t="s">
        <v>77</v>
      </c>
      <c r="E13" s="3">
        <v>13772</v>
      </c>
      <c r="F13" t="s">
        <v>78</v>
      </c>
      <c r="G13" t="s">
        <v>79</v>
      </c>
      <c r="H13" t="s">
        <v>58</v>
      </c>
      <c r="I13">
        <v>3219</v>
      </c>
      <c r="J13">
        <v>1596</v>
      </c>
      <c r="K13" t="s">
        <v>80</v>
      </c>
      <c r="L13" t="s">
        <v>81</v>
      </c>
      <c r="M13" t="s">
        <v>31</v>
      </c>
    </row>
    <row r="14" spans="1:13" x14ac:dyDescent="0.25">
      <c r="A14">
        <v>142</v>
      </c>
      <c r="B14" t="s">
        <v>82</v>
      </c>
      <c r="C14" t="s">
        <v>83</v>
      </c>
      <c r="D14" t="s">
        <v>84</v>
      </c>
      <c r="E14" s="3">
        <v>13922</v>
      </c>
      <c r="F14" t="s">
        <v>85</v>
      </c>
      <c r="G14" t="s">
        <v>86</v>
      </c>
      <c r="H14" t="s">
        <v>58</v>
      </c>
      <c r="I14">
        <v>3851</v>
      </c>
      <c r="J14">
        <v>1583</v>
      </c>
      <c r="K14" t="s">
        <v>87</v>
      </c>
      <c r="L14" t="s">
        <v>88</v>
      </c>
      <c r="M14" t="s">
        <v>31</v>
      </c>
    </row>
    <row r="15" spans="1:13" x14ac:dyDescent="0.25">
      <c r="A15">
        <v>146</v>
      </c>
      <c r="B15" t="s">
        <v>82</v>
      </c>
      <c r="C15" t="s">
        <v>89</v>
      </c>
      <c r="D15" t="s">
        <v>90</v>
      </c>
      <c r="E15" s="3">
        <v>1566</v>
      </c>
      <c r="F15" t="s">
        <v>91</v>
      </c>
      <c r="G15" t="s">
        <v>92</v>
      </c>
      <c r="H15" t="s">
        <v>93</v>
      </c>
      <c r="I15">
        <v>4500</v>
      </c>
      <c r="J15">
        <v>139</v>
      </c>
      <c r="K15" t="s">
        <v>94</v>
      </c>
      <c r="L15" t="s">
        <v>95</v>
      </c>
      <c r="M15" t="s">
        <v>31</v>
      </c>
    </row>
    <row r="16" spans="1:13" x14ac:dyDescent="0.25">
      <c r="A16">
        <v>150</v>
      </c>
      <c r="B16" t="s">
        <v>39</v>
      </c>
      <c r="C16" t="s">
        <v>96</v>
      </c>
      <c r="D16" t="s">
        <v>97</v>
      </c>
      <c r="E16" s="3">
        <v>38620</v>
      </c>
      <c r="F16" t="s">
        <v>98</v>
      </c>
      <c r="G16" t="s">
        <v>99</v>
      </c>
      <c r="H16" t="s">
        <v>93</v>
      </c>
      <c r="I16">
        <v>4873</v>
      </c>
      <c r="J16">
        <v>1741</v>
      </c>
      <c r="K16" t="s">
        <v>100</v>
      </c>
      <c r="L16" t="s">
        <v>101</v>
      </c>
      <c r="M16" t="s">
        <v>24</v>
      </c>
    </row>
    <row r="17" spans="1:13" x14ac:dyDescent="0.25">
      <c r="A17">
        <v>158</v>
      </c>
      <c r="B17" t="s">
        <v>16</v>
      </c>
      <c r="C17" t="s">
        <v>102</v>
      </c>
      <c r="D17" t="s">
        <v>103</v>
      </c>
      <c r="E17" s="3">
        <v>20851</v>
      </c>
      <c r="F17" t="s">
        <v>104</v>
      </c>
      <c r="G17" t="s">
        <v>50</v>
      </c>
      <c r="H17" t="s">
        <v>51</v>
      </c>
      <c r="I17">
        <v>7140</v>
      </c>
      <c r="J17">
        <v>2191</v>
      </c>
      <c r="K17" t="s">
        <v>105</v>
      </c>
      <c r="L17" t="s">
        <v>106</v>
      </c>
      <c r="M17" t="s">
        <v>31</v>
      </c>
    </row>
    <row r="18" spans="1:13" x14ac:dyDescent="0.25">
      <c r="A18">
        <v>180</v>
      </c>
      <c r="B18" t="s">
        <v>32</v>
      </c>
      <c r="C18" t="s">
        <v>107</v>
      </c>
      <c r="D18" t="s">
        <v>108</v>
      </c>
      <c r="E18" s="3">
        <v>7070</v>
      </c>
      <c r="F18" t="s">
        <v>109</v>
      </c>
      <c r="G18" t="s">
        <v>110</v>
      </c>
      <c r="H18" t="s">
        <v>58</v>
      </c>
      <c r="I18">
        <v>3832</v>
      </c>
      <c r="J18">
        <v>1552</v>
      </c>
      <c r="K18" t="s">
        <v>111</v>
      </c>
      <c r="L18" t="s">
        <v>112</v>
      </c>
      <c r="M18" t="s">
        <v>24</v>
      </c>
    </row>
    <row r="19" spans="1:13" x14ac:dyDescent="0.25">
      <c r="A19">
        <v>190</v>
      </c>
      <c r="B19" t="s">
        <v>16</v>
      </c>
      <c r="C19" t="s">
        <v>113</v>
      </c>
      <c r="D19" t="s">
        <v>114</v>
      </c>
      <c r="E19" s="3">
        <v>18006</v>
      </c>
      <c r="F19" t="s">
        <v>115</v>
      </c>
      <c r="G19" t="s">
        <v>116</v>
      </c>
      <c r="H19" t="s">
        <v>93</v>
      </c>
      <c r="I19">
        <v>4515</v>
      </c>
      <c r="J19">
        <v>128</v>
      </c>
      <c r="K19" t="s">
        <v>117</v>
      </c>
      <c r="L19" t="s">
        <v>118</v>
      </c>
      <c r="M19" t="s">
        <v>31</v>
      </c>
    </row>
    <row r="20" spans="1:13" x14ac:dyDescent="0.25">
      <c r="A20">
        <v>200</v>
      </c>
      <c r="B20" t="s">
        <v>61</v>
      </c>
      <c r="C20" t="s">
        <v>119</v>
      </c>
      <c r="D20" t="s">
        <v>120</v>
      </c>
      <c r="E20" s="3">
        <v>29150</v>
      </c>
      <c r="F20" t="s">
        <v>121</v>
      </c>
      <c r="G20" t="s">
        <v>69</v>
      </c>
      <c r="H20" t="s">
        <v>66</v>
      </c>
      <c r="I20">
        <v>5035</v>
      </c>
      <c r="J20">
        <v>1877</v>
      </c>
      <c r="K20" t="s">
        <v>122</v>
      </c>
      <c r="L20" t="s">
        <v>123</v>
      </c>
      <c r="M20" t="s">
        <v>31</v>
      </c>
    </row>
    <row r="21" spans="1:13" x14ac:dyDescent="0.25">
      <c r="A21">
        <v>224</v>
      </c>
      <c r="B21" t="s">
        <v>82</v>
      </c>
      <c r="C21" t="s">
        <v>124</v>
      </c>
      <c r="D21" t="s">
        <v>125</v>
      </c>
      <c r="E21" s="3">
        <v>21973</v>
      </c>
      <c r="F21" t="s">
        <v>126</v>
      </c>
      <c r="G21" t="s">
        <v>127</v>
      </c>
      <c r="H21" t="s">
        <v>21</v>
      </c>
      <c r="I21">
        <v>2466</v>
      </c>
      <c r="J21">
        <v>347</v>
      </c>
      <c r="K21" t="s">
        <v>128</v>
      </c>
      <c r="L21" t="s">
        <v>129</v>
      </c>
      <c r="M21" t="s">
        <v>31</v>
      </c>
    </row>
    <row r="22" spans="1:13" x14ac:dyDescent="0.25">
      <c r="A22">
        <v>226</v>
      </c>
      <c r="B22" t="s">
        <v>61</v>
      </c>
      <c r="C22" t="s">
        <v>130</v>
      </c>
      <c r="D22" t="s">
        <v>131</v>
      </c>
      <c r="E22" s="3">
        <v>19980</v>
      </c>
      <c r="F22" t="s">
        <v>132</v>
      </c>
      <c r="G22" t="s">
        <v>127</v>
      </c>
      <c r="H22" t="s">
        <v>21</v>
      </c>
      <c r="I22">
        <v>2466</v>
      </c>
      <c r="J22">
        <v>347</v>
      </c>
      <c r="K22" t="s">
        <v>133</v>
      </c>
      <c r="L22" t="s">
        <v>134</v>
      </c>
      <c r="M22" t="s">
        <v>31</v>
      </c>
    </row>
    <row r="23" spans="1:13" x14ac:dyDescent="0.25">
      <c r="A23">
        <v>232</v>
      </c>
      <c r="B23" t="s">
        <v>32</v>
      </c>
      <c r="C23" t="s">
        <v>135</v>
      </c>
      <c r="D23" t="s">
        <v>136</v>
      </c>
      <c r="E23" s="3">
        <v>31940</v>
      </c>
      <c r="F23" t="s">
        <v>137</v>
      </c>
      <c r="G23" t="s">
        <v>50</v>
      </c>
      <c r="H23" t="s">
        <v>51</v>
      </c>
      <c r="I23">
        <v>7140</v>
      </c>
      <c r="J23">
        <v>2191</v>
      </c>
      <c r="K23" t="s">
        <v>138</v>
      </c>
      <c r="L23" t="s">
        <v>139</v>
      </c>
      <c r="M23" t="s">
        <v>31</v>
      </c>
    </row>
    <row r="24" spans="1:13" x14ac:dyDescent="0.25">
      <c r="A24">
        <v>249</v>
      </c>
      <c r="B24" t="s">
        <v>16</v>
      </c>
      <c r="C24" t="s">
        <v>140</v>
      </c>
      <c r="D24" t="s">
        <v>141</v>
      </c>
      <c r="E24" s="3">
        <v>31955</v>
      </c>
      <c r="F24" t="s">
        <v>142</v>
      </c>
      <c r="G24" t="s">
        <v>143</v>
      </c>
      <c r="H24" t="s">
        <v>21</v>
      </c>
      <c r="I24">
        <v>2730</v>
      </c>
      <c r="J24">
        <v>1138</v>
      </c>
      <c r="K24" t="s">
        <v>144</v>
      </c>
      <c r="L24" t="s">
        <v>145</v>
      </c>
      <c r="M24" t="s">
        <v>31</v>
      </c>
    </row>
    <row r="25" spans="1:13" x14ac:dyDescent="0.25">
      <c r="A25">
        <v>254</v>
      </c>
      <c r="B25" t="s">
        <v>82</v>
      </c>
      <c r="C25" t="s">
        <v>146</v>
      </c>
      <c r="D25" t="s">
        <v>147</v>
      </c>
      <c r="E25" s="3">
        <v>15617</v>
      </c>
      <c r="F25" t="s">
        <v>148</v>
      </c>
      <c r="G25" t="s">
        <v>149</v>
      </c>
      <c r="H25" t="s">
        <v>21</v>
      </c>
      <c r="I25">
        <v>2350</v>
      </c>
      <c r="J25">
        <v>363</v>
      </c>
      <c r="K25" t="s">
        <v>150</v>
      </c>
      <c r="L25" t="s">
        <v>151</v>
      </c>
      <c r="M25" t="s">
        <v>24</v>
      </c>
    </row>
    <row r="26" spans="1:13" x14ac:dyDescent="0.25">
      <c r="A26">
        <v>282</v>
      </c>
      <c r="B26" t="s">
        <v>39</v>
      </c>
      <c r="C26" t="s">
        <v>152</v>
      </c>
      <c r="D26" t="s">
        <v>153</v>
      </c>
      <c r="E26" s="3">
        <v>6410</v>
      </c>
      <c r="F26" t="s">
        <v>154</v>
      </c>
      <c r="G26" t="s">
        <v>155</v>
      </c>
      <c r="H26" t="s">
        <v>66</v>
      </c>
      <c r="I26">
        <v>5607</v>
      </c>
      <c r="J26">
        <v>2076</v>
      </c>
      <c r="K26" t="s">
        <v>156</v>
      </c>
      <c r="L26" t="s">
        <v>157</v>
      </c>
      <c r="M26" t="s">
        <v>24</v>
      </c>
    </row>
    <row r="27" spans="1:13" x14ac:dyDescent="0.25">
      <c r="A27">
        <v>284</v>
      </c>
      <c r="B27" t="s">
        <v>16</v>
      </c>
      <c r="C27" t="s">
        <v>158</v>
      </c>
      <c r="D27" t="s">
        <v>159</v>
      </c>
      <c r="E27" s="3">
        <v>15456</v>
      </c>
      <c r="F27" t="s">
        <v>160</v>
      </c>
      <c r="G27" t="s">
        <v>143</v>
      </c>
      <c r="H27" t="s">
        <v>21</v>
      </c>
      <c r="I27">
        <v>2730</v>
      </c>
      <c r="J27">
        <v>1138</v>
      </c>
      <c r="K27" t="s">
        <v>161</v>
      </c>
      <c r="L27" t="s">
        <v>162</v>
      </c>
      <c r="M27" t="s">
        <v>31</v>
      </c>
    </row>
    <row r="28" spans="1:13" x14ac:dyDescent="0.25">
      <c r="A28">
        <v>285</v>
      </c>
      <c r="B28" t="s">
        <v>16</v>
      </c>
      <c r="C28" t="s">
        <v>163</v>
      </c>
      <c r="D28" t="s">
        <v>164</v>
      </c>
      <c r="E28" s="3">
        <v>26338</v>
      </c>
      <c r="F28" t="s">
        <v>165</v>
      </c>
      <c r="G28" t="s">
        <v>20</v>
      </c>
      <c r="H28" t="s">
        <v>21</v>
      </c>
      <c r="I28">
        <v>2335</v>
      </c>
      <c r="J28">
        <v>716</v>
      </c>
      <c r="K28" t="s">
        <v>166</v>
      </c>
      <c r="L28" t="s">
        <v>167</v>
      </c>
      <c r="M28" t="s">
        <v>24</v>
      </c>
    </row>
    <row r="29" spans="1:13" x14ac:dyDescent="0.25">
      <c r="A29">
        <v>296</v>
      </c>
      <c r="B29" t="s">
        <v>82</v>
      </c>
      <c r="C29" t="s">
        <v>168</v>
      </c>
      <c r="D29" t="s">
        <v>169</v>
      </c>
      <c r="E29" s="3">
        <v>36198</v>
      </c>
      <c r="F29" t="s">
        <v>170</v>
      </c>
      <c r="G29" t="s">
        <v>79</v>
      </c>
      <c r="H29" t="s">
        <v>58</v>
      </c>
      <c r="I29">
        <v>3219</v>
      </c>
      <c r="J29">
        <v>1596</v>
      </c>
      <c r="K29" t="s">
        <v>171</v>
      </c>
      <c r="L29" t="s">
        <v>172</v>
      </c>
      <c r="M29" t="s">
        <v>24</v>
      </c>
    </row>
    <row r="30" spans="1:13" x14ac:dyDescent="0.25">
      <c r="A30">
        <v>302</v>
      </c>
      <c r="B30" t="s">
        <v>61</v>
      </c>
      <c r="C30" t="s">
        <v>173</v>
      </c>
      <c r="D30" t="s">
        <v>174</v>
      </c>
      <c r="E30" s="3">
        <v>32901</v>
      </c>
      <c r="F30" t="s">
        <v>175</v>
      </c>
      <c r="G30" t="s">
        <v>65</v>
      </c>
      <c r="H30" t="s">
        <v>66</v>
      </c>
      <c r="I30">
        <v>5310</v>
      </c>
      <c r="J30">
        <v>1720</v>
      </c>
      <c r="K30" t="s">
        <v>176</v>
      </c>
      <c r="L30" t="s">
        <v>177</v>
      </c>
      <c r="M30" t="s">
        <v>24</v>
      </c>
    </row>
    <row r="31" spans="1:13" x14ac:dyDescent="0.25">
      <c r="A31">
        <v>308</v>
      </c>
      <c r="B31" t="s">
        <v>39</v>
      </c>
      <c r="C31" t="s">
        <v>113</v>
      </c>
      <c r="D31" t="s">
        <v>178</v>
      </c>
      <c r="E31" s="3">
        <v>20641</v>
      </c>
      <c r="F31" t="s">
        <v>179</v>
      </c>
      <c r="G31" t="s">
        <v>155</v>
      </c>
      <c r="H31" t="s">
        <v>66</v>
      </c>
      <c r="I31">
        <v>5607</v>
      </c>
      <c r="J31">
        <v>2076</v>
      </c>
      <c r="K31" t="s">
        <v>180</v>
      </c>
      <c r="L31" t="s">
        <v>181</v>
      </c>
      <c r="M31" t="s">
        <v>24</v>
      </c>
    </row>
    <row r="32" spans="1:13" x14ac:dyDescent="0.25">
      <c r="A32">
        <v>312</v>
      </c>
      <c r="B32" t="s">
        <v>16</v>
      </c>
      <c r="C32" t="s">
        <v>182</v>
      </c>
      <c r="D32" t="s">
        <v>183</v>
      </c>
      <c r="E32" s="3">
        <v>23150</v>
      </c>
      <c r="F32" t="s">
        <v>184</v>
      </c>
      <c r="G32" t="s">
        <v>127</v>
      </c>
      <c r="H32" t="s">
        <v>21</v>
      </c>
      <c r="I32">
        <v>2466</v>
      </c>
      <c r="J32">
        <v>347</v>
      </c>
      <c r="K32" t="s">
        <v>185</v>
      </c>
      <c r="L32" t="s">
        <v>186</v>
      </c>
      <c r="M32" t="s">
        <v>31</v>
      </c>
    </row>
    <row r="33" spans="1:13" x14ac:dyDescent="0.25">
      <c r="A33">
        <v>323</v>
      </c>
      <c r="B33" t="s">
        <v>39</v>
      </c>
      <c r="C33" t="s">
        <v>187</v>
      </c>
      <c r="D33" t="s">
        <v>188</v>
      </c>
      <c r="E33" s="3">
        <v>20365</v>
      </c>
      <c r="F33" t="s">
        <v>189</v>
      </c>
      <c r="G33" t="s">
        <v>110</v>
      </c>
      <c r="H33" t="s">
        <v>58</v>
      </c>
      <c r="I33">
        <v>3832</v>
      </c>
      <c r="J33">
        <v>1552</v>
      </c>
      <c r="K33" t="s">
        <v>190</v>
      </c>
      <c r="L33" t="s">
        <v>191</v>
      </c>
      <c r="M33" t="s">
        <v>31</v>
      </c>
    </row>
    <row r="34" spans="1:13" x14ac:dyDescent="0.25">
      <c r="A34">
        <v>328</v>
      </c>
      <c r="B34" t="s">
        <v>39</v>
      </c>
      <c r="C34" t="s">
        <v>192</v>
      </c>
      <c r="D34" t="s">
        <v>193</v>
      </c>
      <c r="E34" s="3">
        <v>31547</v>
      </c>
      <c r="F34" t="s">
        <v>194</v>
      </c>
      <c r="G34" t="s">
        <v>79</v>
      </c>
      <c r="H34" t="s">
        <v>58</v>
      </c>
      <c r="I34">
        <v>3219</v>
      </c>
      <c r="J34">
        <v>1596</v>
      </c>
      <c r="K34" t="s">
        <v>195</v>
      </c>
      <c r="L34" t="s">
        <v>196</v>
      </c>
      <c r="M34" t="s">
        <v>31</v>
      </c>
    </row>
    <row r="35" spans="1:13" x14ac:dyDescent="0.25">
      <c r="A35">
        <v>329</v>
      </c>
      <c r="B35" t="s">
        <v>61</v>
      </c>
      <c r="C35" t="s">
        <v>197</v>
      </c>
      <c r="D35" t="s">
        <v>198</v>
      </c>
      <c r="E35" s="3">
        <v>20388</v>
      </c>
      <c r="F35" t="s">
        <v>199</v>
      </c>
      <c r="G35" t="s">
        <v>155</v>
      </c>
      <c r="H35" t="s">
        <v>66</v>
      </c>
      <c r="I35">
        <v>5607</v>
      </c>
      <c r="J35">
        <v>2076</v>
      </c>
      <c r="K35" t="s">
        <v>200</v>
      </c>
      <c r="L35" t="s">
        <v>201</v>
      </c>
      <c r="M35" t="s">
        <v>24</v>
      </c>
    </row>
    <row r="36" spans="1:13" x14ac:dyDescent="0.25">
      <c r="A36">
        <v>330</v>
      </c>
      <c r="B36" t="s">
        <v>16</v>
      </c>
      <c r="C36" t="s">
        <v>202</v>
      </c>
      <c r="D36" t="s">
        <v>203</v>
      </c>
      <c r="E36" s="3">
        <v>3611</v>
      </c>
      <c r="F36" t="s">
        <v>204</v>
      </c>
      <c r="G36" t="s">
        <v>205</v>
      </c>
      <c r="H36" t="s">
        <v>206</v>
      </c>
      <c r="I36">
        <v>6430</v>
      </c>
      <c r="J36">
        <v>3543</v>
      </c>
      <c r="K36" t="s">
        <v>207</v>
      </c>
      <c r="L36" t="s">
        <v>208</v>
      </c>
      <c r="M36" t="s">
        <v>24</v>
      </c>
    </row>
    <row r="37" spans="1:13" x14ac:dyDescent="0.25">
      <c r="A37">
        <v>331</v>
      </c>
      <c r="B37" t="s">
        <v>32</v>
      </c>
      <c r="C37" t="s">
        <v>209</v>
      </c>
      <c r="D37" t="s">
        <v>210</v>
      </c>
      <c r="E37" s="3">
        <v>6795</v>
      </c>
      <c r="F37" t="s">
        <v>211</v>
      </c>
      <c r="G37" t="s">
        <v>50</v>
      </c>
      <c r="H37" t="s">
        <v>51</v>
      </c>
      <c r="I37">
        <v>7140</v>
      </c>
      <c r="J37">
        <v>2191</v>
      </c>
      <c r="K37" t="s">
        <v>212</v>
      </c>
      <c r="L37" t="s">
        <v>213</v>
      </c>
      <c r="M37" t="s">
        <v>24</v>
      </c>
    </row>
    <row r="38" spans="1:13" x14ac:dyDescent="0.25">
      <c r="A38">
        <v>332</v>
      </c>
      <c r="B38" t="s">
        <v>16</v>
      </c>
      <c r="C38" t="s">
        <v>214</v>
      </c>
      <c r="D38" t="s">
        <v>215</v>
      </c>
      <c r="E38" s="3">
        <v>29076</v>
      </c>
      <c r="F38" t="s">
        <v>216</v>
      </c>
      <c r="G38" t="s">
        <v>86</v>
      </c>
      <c r="H38" t="s">
        <v>58</v>
      </c>
      <c r="I38">
        <v>3851</v>
      </c>
      <c r="J38">
        <v>1583</v>
      </c>
      <c r="K38" t="s">
        <v>217</v>
      </c>
      <c r="L38" t="s">
        <v>218</v>
      </c>
      <c r="M38" t="s">
        <v>31</v>
      </c>
    </row>
    <row r="39" spans="1:13" x14ac:dyDescent="0.25">
      <c r="A39">
        <v>333</v>
      </c>
      <c r="B39" t="s">
        <v>16</v>
      </c>
      <c r="C39" t="s">
        <v>219</v>
      </c>
      <c r="D39" t="s">
        <v>220</v>
      </c>
      <c r="E39" s="3">
        <v>2526</v>
      </c>
      <c r="F39" t="s">
        <v>221</v>
      </c>
      <c r="G39" t="s">
        <v>149</v>
      </c>
      <c r="H39" t="s">
        <v>21</v>
      </c>
      <c r="I39">
        <v>2350</v>
      </c>
      <c r="J39">
        <v>363</v>
      </c>
      <c r="K39" t="s">
        <v>222</v>
      </c>
      <c r="L39" t="s">
        <v>223</v>
      </c>
      <c r="M39" t="s">
        <v>31</v>
      </c>
    </row>
    <row r="40" spans="1:13" x14ac:dyDescent="0.25">
      <c r="A40">
        <v>334</v>
      </c>
      <c r="B40" t="s">
        <v>32</v>
      </c>
      <c r="C40" t="s">
        <v>224</v>
      </c>
      <c r="D40" t="s">
        <v>225</v>
      </c>
      <c r="E40" s="3">
        <v>22148</v>
      </c>
      <c r="F40" t="s">
        <v>226</v>
      </c>
      <c r="G40" t="s">
        <v>50</v>
      </c>
      <c r="H40" t="s">
        <v>51</v>
      </c>
      <c r="I40">
        <v>7140</v>
      </c>
      <c r="J40">
        <v>2191</v>
      </c>
      <c r="K40" t="s">
        <v>227</v>
      </c>
      <c r="L40" t="s">
        <v>228</v>
      </c>
      <c r="M40" t="s">
        <v>31</v>
      </c>
    </row>
    <row r="41" spans="1:13" x14ac:dyDescent="0.25">
      <c r="A41">
        <v>338</v>
      </c>
      <c r="B41" t="s">
        <v>82</v>
      </c>
      <c r="C41" t="s">
        <v>229</v>
      </c>
      <c r="D41" t="s">
        <v>230</v>
      </c>
      <c r="E41" s="3">
        <v>18529</v>
      </c>
      <c r="F41" t="s">
        <v>231</v>
      </c>
      <c r="G41" t="s">
        <v>73</v>
      </c>
      <c r="H41" t="s">
        <v>58</v>
      </c>
      <c r="I41">
        <v>3477</v>
      </c>
      <c r="J41">
        <v>1565</v>
      </c>
      <c r="K41" t="s">
        <v>232</v>
      </c>
      <c r="L41" t="s">
        <v>233</v>
      </c>
      <c r="M41" t="s">
        <v>24</v>
      </c>
    </row>
    <row r="42" spans="1:13" x14ac:dyDescent="0.25">
      <c r="A42">
        <v>360</v>
      </c>
      <c r="B42" t="s">
        <v>61</v>
      </c>
      <c r="C42" t="s">
        <v>234</v>
      </c>
      <c r="D42" t="s">
        <v>235</v>
      </c>
      <c r="E42" s="3">
        <v>25228</v>
      </c>
      <c r="F42" t="s">
        <v>236</v>
      </c>
      <c r="G42" t="s">
        <v>73</v>
      </c>
      <c r="H42" t="s">
        <v>58</v>
      </c>
      <c r="I42">
        <v>3477</v>
      </c>
      <c r="J42">
        <v>1565</v>
      </c>
      <c r="K42" t="s">
        <v>237</v>
      </c>
      <c r="L42" t="s">
        <v>238</v>
      </c>
      <c r="M42" t="s">
        <v>24</v>
      </c>
    </row>
    <row r="43" spans="1:13" x14ac:dyDescent="0.25">
      <c r="A43">
        <v>362</v>
      </c>
      <c r="B43" t="s">
        <v>16</v>
      </c>
      <c r="C43" t="s">
        <v>239</v>
      </c>
      <c r="D43" t="s">
        <v>240</v>
      </c>
      <c r="E43" s="3">
        <v>18527</v>
      </c>
      <c r="F43" t="s">
        <v>241</v>
      </c>
      <c r="G43" t="s">
        <v>127</v>
      </c>
      <c r="H43" t="s">
        <v>21</v>
      </c>
      <c r="I43">
        <v>2466</v>
      </c>
      <c r="J43">
        <v>347</v>
      </c>
      <c r="K43" t="s">
        <v>242</v>
      </c>
      <c r="L43" t="s">
        <v>243</v>
      </c>
      <c r="M43" t="s">
        <v>31</v>
      </c>
    </row>
    <row r="44" spans="1:13" x14ac:dyDescent="0.25">
      <c r="A44">
        <v>364</v>
      </c>
      <c r="B44" t="s">
        <v>39</v>
      </c>
      <c r="C44" t="s">
        <v>244</v>
      </c>
      <c r="D44" t="s">
        <v>245</v>
      </c>
      <c r="E44" s="3">
        <v>11075</v>
      </c>
      <c r="F44" t="s">
        <v>246</v>
      </c>
      <c r="G44" t="s">
        <v>65</v>
      </c>
      <c r="H44" t="s">
        <v>66</v>
      </c>
      <c r="I44">
        <v>5310</v>
      </c>
      <c r="J44">
        <v>1720</v>
      </c>
      <c r="K44" t="s">
        <v>247</v>
      </c>
      <c r="L44" t="s">
        <v>248</v>
      </c>
      <c r="M44" t="s">
        <v>31</v>
      </c>
    </row>
    <row r="45" spans="1:13" x14ac:dyDescent="0.25">
      <c r="A45">
        <v>370</v>
      </c>
      <c r="B45" t="s">
        <v>16</v>
      </c>
      <c r="C45" t="s">
        <v>249</v>
      </c>
      <c r="D45" t="s">
        <v>250</v>
      </c>
      <c r="E45" s="3">
        <v>20897</v>
      </c>
      <c r="F45" t="s">
        <v>251</v>
      </c>
      <c r="G45" t="s">
        <v>155</v>
      </c>
      <c r="H45" t="s">
        <v>66</v>
      </c>
      <c r="I45">
        <v>5607</v>
      </c>
      <c r="J45">
        <v>2076</v>
      </c>
      <c r="K45" t="s">
        <v>252</v>
      </c>
      <c r="L45" t="s">
        <v>253</v>
      </c>
      <c r="M45" t="s">
        <v>24</v>
      </c>
    </row>
    <row r="46" spans="1:13" x14ac:dyDescent="0.25">
      <c r="A46">
        <v>390</v>
      </c>
      <c r="B46" t="s">
        <v>61</v>
      </c>
      <c r="C46" t="s">
        <v>254</v>
      </c>
      <c r="D46" t="s">
        <v>255</v>
      </c>
      <c r="E46" s="3">
        <v>32340</v>
      </c>
      <c r="F46" t="s">
        <v>256</v>
      </c>
      <c r="G46" t="s">
        <v>43</v>
      </c>
      <c r="H46" t="s">
        <v>44</v>
      </c>
      <c r="I46">
        <v>2617</v>
      </c>
      <c r="J46">
        <v>1194</v>
      </c>
      <c r="K46" t="s">
        <v>257</v>
      </c>
      <c r="L46" t="s">
        <v>258</v>
      </c>
      <c r="M46" t="s">
        <v>31</v>
      </c>
    </row>
    <row r="47" spans="1:13" x14ac:dyDescent="0.25">
      <c r="A47">
        <v>412</v>
      </c>
      <c r="B47" t="s">
        <v>82</v>
      </c>
      <c r="C47" t="s">
        <v>259</v>
      </c>
      <c r="D47" t="s">
        <v>260</v>
      </c>
      <c r="E47" s="3">
        <v>17361</v>
      </c>
      <c r="F47" t="s">
        <v>261</v>
      </c>
      <c r="G47" t="s">
        <v>86</v>
      </c>
      <c r="H47" t="s">
        <v>58</v>
      </c>
      <c r="I47">
        <v>3851</v>
      </c>
      <c r="J47">
        <v>1583</v>
      </c>
      <c r="K47" t="s">
        <v>262</v>
      </c>
      <c r="L47" t="s">
        <v>263</v>
      </c>
      <c r="M47" t="s">
        <v>24</v>
      </c>
    </row>
    <row r="48" spans="1:13" x14ac:dyDescent="0.25">
      <c r="A48">
        <v>416</v>
      </c>
      <c r="B48" t="s">
        <v>16</v>
      </c>
      <c r="C48" t="s">
        <v>264</v>
      </c>
      <c r="D48" t="s">
        <v>265</v>
      </c>
      <c r="E48" s="3">
        <v>32969</v>
      </c>
      <c r="F48" t="s">
        <v>266</v>
      </c>
      <c r="G48" t="s">
        <v>127</v>
      </c>
      <c r="H48" t="s">
        <v>21</v>
      </c>
      <c r="I48">
        <v>2466</v>
      </c>
      <c r="J48">
        <v>347</v>
      </c>
      <c r="K48" t="s">
        <v>267</v>
      </c>
      <c r="L48" t="s">
        <v>268</v>
      </c>
      <c r="M48" t="s">
        <v>31</v>
      </c>
    </row>
    <row r="49" spans="1:13" x14ac:dyDescent="0.25">
      <c r="A49">
        <v>448</v>
      </c>
      <c r="B49" t="s">
        <v>16</v>
      </c>
      <c r="C49" t="s">
        <v>269</v>
      </c>
      <c r="D49" t="s">
        <v>270</v>
      </c>
      <c r="E49" s="3">
        <v>30827</v>
      </c>
      <c r="F49" t="s">
        <v>271</v>
      </c>
      <c r="G49" t="s">
        <v>20</v>
      </c>
      <c r="H49" t="s">
        <v>21</v>
      </c>
      <c r="I49">
        <v>2335</v>
      </c>
      <c r="J49">
        <v>716</v>
      </c>
      <c r="K49" t="s">
        <v>272</v>
      </c>
      <c r="L49" t="s">
        <v>273</v>
      </c>
      <c r="M49" t="s">
        <v>24</v>
      </c>
    </row>
    <row r="50" spans="1:13" x14ac:dyDescent="0.25">
      <c r="A50">
        <v>467</v>
      </c>
      <c r="B50" t="s">
        <v>32</v>
      </c>
      <c r="C50" t="s">
        <v>274</v>
      </c>
      <c r="D50" t="s">
        <v>275</v>
      </c>
      <c r="E50" s="3">
        <v>20506</v>
      </c>
      <c r="F50" t="s">
        <v>276</v>
      </c>
      <c r="G50" t="s">
        <v>149</v>
      </c>
      <c r="H50" t="s">
        <v>21</v>
      </c>
      <c r="I50">
        <v>2350</v>
      </c>
      <c r="J50">
        <v>363</v>
      </c>
      <c r="K50" t="s">
        <v>277</v>
      </c>
      <c r="L50" t="s">
        <v>278</v>
      </c>
      <c r="M50" t="s">
        <v>24</v>
      </c>
    </row>
    <row r="51" spans="1:13" x14ac:dyDescent="0.25">
      <c r="A51">
        <v>468</v>
      </c>
      <c r="B51" t="s">
        <v>32</v>
      </c>
      <c r="C51" t="s">
        <v>279</v>
      </c>
      <c r="D51" t="s">
        <v>280</v>
      </c>
      <c r="E51" s="3">
        <v>17210</v>
      </c>
      <c r="F51" t="s">
        <v>281</v>
      </c>
      <c r="G51" t="s">
        <v>143</v>
      </c>
      <c r="H51" t="s">
        <v>21</v>
      </c>
      <c r="I51">
        <v>2730</v>
      </c>
      <c r="J51">
        <v>1138</v>
      </c>
      <c r="K51" t="s">
        <v>282</v>
      </c>
      <c r="L51" t="s">
        <v>283</v>
      </c>
      <c r="M51" t="s">
        <v>24</v>
      </c>
    </row>
    <row r="52" spans="1:13" x14ac:dyDescent="0.25">
      <c r="A52">
        <v>474</v>
      </c>
      <c r="B52" t="s">
        <v>16</v>
      </c>
      <c r="C52" t="s">
        <v>284</v>
      </c>
      <c r="D52" t="s">
        <v>285</v>
      </c>
      <c r="E52" s="3">
        <v>13490</v>
      </c>
      <c r="F52" t="s">
        <v>286</v>
      </c>
      <c r="G52" t="s">
        <v>20</v>
      </c>
      <c r="H52" t="s">
        <v>21</v>
      </c>
      <c r="I52">
        <v>2335</v>
      </c>
      <c r="J52">
        <v>716</v>
      </c>
      <c r="K52" t="s">
        <v>287</v>
      </c>
      <c r="L52" t="s">
        <v>288</v>
      </c>
      <c r="M52" t="s">
        <v>31</v>
      </c>
    </row>
    <row r="53" spans="1:13" x14ac:dyDescent="0.25">
      <c r="A53">
        <v>489</v>
      </c>
      <c r="B53" t="s">
        <v>16</v>
      </c>
      <c r="C53" t="s">
        <v>289</v>
      </c>
      <c r="D53" t="s">
        <v>290</v>
      </c>
      <c r="E53" s="3">
        <v>2455</v>
      </c>
      <c r="F53" t="s">
        <v>291</v>
      </c>
      <c r="G53" t="s">
        <v>36</v>
      </c>
      <c r="H53" t="s">
        <v>21</v>
      </c>
      <c r="I53">
        <v>2650</v>
      </c>
      <c r="J53">
        <v>1124</v>
      </c>
      <c r="K53" t="s">
        <v>292</v>
      </c>
      <c r="L53" t="s">
        <v>293</v>
      </c>
      <c r="M53" t="s">
        <v>31</v>
      </c>
    </row>
    <row r="54" spans="1:13" x14ac:dyDescent="0.25">
      <c r="A54">
        <v>491</v>
      </c>
      <c r="B54" t="s">
        <v>82</v>
      </c>
      <c r="C54" t="s">
        <v>294</v>
      </c>
      <c r="D54" t="s">
        <v>295</v>
      </c>
      <c r="E54" s="3">
        <v>13432</v>
      </c>
      <c r="F54" t="s">
        <v>296</v>
      </c>
      <c r="G54" t="s">
        <v>92</v>
      </c>
      <c r="H54" t="s">
        <v>93</v>
      </c>
      <c r="I54">
        <v>4500</v>
      </c>
      <c r="J54">
        <v>139</v>
      </c>
      <c r="K54" t="s">
        <v>297</v>
      </c>
      <c r="L54" t="s">
        <v>298</v>
      </c>
      <c r="M54" t="s">
        <v>24</v>
      </c>
    </row>
    <row r="55" spans="1:13" x14ac:dyDescent="0.25">
      <c r="A55">
        <v>496</v>
      </c>
      <c r="B55" t="s">
        <v>39</v>
      </c>
      <c r="C55" t="s">
        <v>299</v>
      </c>
      <c r="D55" t="s">
        <v>300</v>
      </c>
      <c r="E55" s="3">
        <v>13722</v>
      </c>
      <c r="F55" t="s">
        <v>301</v>
      </c>
      <c r="G55" t="s">
        <v>20</v>
      </c>
      <c r="H55" t="s">
        <v>21</v>
      </c>
      <c r="I55">
        <v>2335</v>
      </c>
      <c r="J55">
        <v>716</v>
      </c>
      <c r="K55" t="s">
        <v>302</v>
      </c>
      <c r="L55" t="s">
        <v>303</v>
      </c>
      <c r="M55" t="s">
        <v>24</v>
      </c>
    </row>
    <row r="56" spans="1:13" x14ac:dyDescent="0.25">
      <c r="A56">
        <v>500</v>
      </c>
      <c r="B56" t="s">
        <v>61</v>
      </c>
      <c r="C56" t="s">
        <v>304</v>
      </c>
      <c r="D56" t="s">
        <v>305</v>
      </c>
      <c r="E56" s="3">
        <v>30775</v>
      </c>
      <c r="F56" t="s">
        <v>306</v>
      </c>
      <c r="G56" t="s">
        <v>307</v>
      </c>
      <c r="H56" t="s">
        <v>58</v>
      </c>
      <c r="I56">
        <v>3480</v>
      </c>
      <c r="J56">
        <v>1559</v>
      </c>
      <c r="K56" t="s">
        <v>308</v>
      </c>
      <c r="L56" t="s">
        <v>309</v>
      </c>
      <c r="M56" t="s">
        <v>31</v>
      </c>
    </row>
    <row r="57" spans="1:13" x14ac:dyDescent="0.25">
      <c r="A57">
        <v>501</v>
      </c>
      <c r="B57" t="s">
        <v>82</v>
      </c>
      <c r="C57" t="s">
        <v>310</v>
      </c>
      <c r="D57" t="s">
        <v>311</v>
      </c>
      <c r="E57" s="3">
        <v>5761</v>
      </c>
      <c r="F57" t="s">
        <v>312</v>
      </c>
      <c r="G57" t="s">
        <v>20</v>
      </c>
      <c r="H57" t="s">
        <v>21</v>
      </c>
      <c r="I57">
        <v>2335</v>
      </c>
      <c r="J57">
        <v>716</v>
      </c>
      <c r="K57" t="s">
        <v>313</v>
      </c>
      <c r="L57" t="s">
        <v>314</v>
      </c>
      <c r="M57" t="s">
        <v>24</v>
      </c>
    </row>
    <row r="58" spans="1:13" x14ac:dyDescent="0.25">
      <c r="A58">
        <v>515</v>
      </c>
      <c r="B58" t="s">
        <v>16</v>
      </c>
      <c r="C58" t="s">
        <v>315</v>
      </c>
      <c r="D58" t="s">
        <v>316</v>
      </c>
      <c r="E58" s="3">
        <v>11128</v>
      </c>
      <c r="F58" t="s">
        <v>317</v>
      </c>
      <c r="G58" t="s">
        <v>307</v>
      </c>
      <c r="H58" t="s">
        <v>58</v>
      </c>
      <c r="I58">
        <v>3480</v>
      </c>
      <c r="J58">
        <v>1559</v>
      </c>
      <c r="K58" t="s">
        <v>318</v>
      </c>
      <c r="L58" t="s">
        <v>319</v>
      </c>
      <c r="M58" t="s">
        <v>24</v>
      </c>
    </row>
    <row r="59" spans="1:13" x14ac:dyDescent="0.25">
      <c r="A59">
        <v>526</v>
      </c>
      <c r="B59" t="s">
        <v>32</v>
      </c>
      <c r="C59" t="s">
        <v>320</v>
      </c>
      <c r="D59" t="s">
        <v>321</v>
      </c>
      <c r="E59" s="3">
        <v>33946</v>
      </c>
      <c r="F59" t="s">
        <v>322</v>
      </c>
      <c r="G59" t="s">
        <v>69</v>
      </c>
      <c r="H59" t="s">
        <v>66</v>
      </c>
      <c r="I59">
        <v>5035</v>
      </c>
      <c r="J59">
        <v>1877</v>
      </c>
      <c r="K59" t="s">
        <v>323</v>
      </c>
      <c r="L59" t="s">
        <v>324</v>
      </c>
      <c r="M59" t="s">
        <v>24</v>
      </c>
    </row>
    <row r="60" spans="1:13" x14ac:dyDescent="0.25">
      <c r="A60">
        <v>527</v>
      </c>
      <c r="B60" t="s">
        <v>16</v>
      </c>
      <c r="C60" t="s">
        <v>325</v>
      </c>
      <c r="D60" t="s">
        <v>326</v>
      </c>
      <c r="E60" s="3">
        <v>16832</v>
      </c>
      <c r="F60" t="s">
        <v>327</v>
      </c>
      <c r="G60" t="s">
        <v>43</v>
      </c>
      <c r="H60" t="s">
        <v>44</v>
      </c>
      <c r="I60">
        <v>2617</v>
      </c>
      <c r="J60">
        <v>1194</v>
      </c>
      <c r="K60" t="s">
        <v>328</v>
      </c>
      <c r="L60" t="s">
        <v>329</v>
      </c>
      <c r="M60" t="s">
        <v>31</v>
      </c>
    </row>
    <row r="61" spans="1:13" x14ac:dyDescent="0.25">
      <c r="A61">
        <v>531</v>
      </c>
      <c r="B61" t="s">
        <v>61</v>
      </c>
      <c r="C61" t="s">
        <v>330</v>
      </c>
      <c r="D61" t="s">
        <v>331</v>
      </c>
      <c r="E61" s="3">
        <v>10035</v>
      </c>
      <c r="F61" t="s">
        <v>332</v>
      </c>
      <c r="G61" t="s">
        <v>36</v>
      </c>
      <c r="H61" t="s">
        <v>21</v>
      </c>
      <c r="I61">
        <v>2650</v>
      </c>
      <c r="J61">
        <v>1124</v>
      </c>
      <c r="K61" t="s">
        <v>333</v>
      </c>
      <c r="L61" t="s">
        <v>334</v>
      </c>
      <c r="M61" t="s">
        <v>31</v>
      </c>
    </row>
    <row r="62" spans="1:13" x14ac:dyDescent="0.25">
      <c r="A62">
        <v>538</v>
      </c>
      <c r="B62" t="s">
        <v>39</v>
      </c>
      <c r="C62" t="s">
        <v>335</v>
      </c>
      <c r="D62" t="s">
        <v>336</v>
      </c>
      <c r="E62" s="3">
        <v>25019</v>
      </c>
      <c r="F62" t="s">
        <v>337</v>
      </c>
      <c r="G62" t="s">
        <v>92</v>
      </c>
      <c r="H62" t="s">
        <v>93</v>
      </c>
      <c r="I62">
        <v>4500</v>
      </c>
      <c r="J62">
        <v>139</v>
      </c>
      <c r="K62" t="s">
        <v>338</v>
      </c>
      <c r="L62" t="s">
        <v>339</v>
      </c>
      <c r="M62" t="s">
        <v>24</v>
      </c>
    </row>
    <row r="63" spans="1:13" x14ac:dyDescent="0.25">
      <c r="A63">
        <v>540</v>
      </c>
      <c r="B63" t="s">
        <v>39</v>
      </c>
      <c r="C63" t="s">
        <v>340</v>
      </c>
      <c r="D63" t="s">
        <v>341</v>
      </c>
      <c r="E63" s="3">
        <v>7567</v>
      </c>
      <c r="F63" t="s">
        <v>342</v>
      </c>
      <c r="G63" t="s">
        <v>57</v>
      </c>
      <c r="H63" t="s">
        <v>58</v>
      </c>
      <c r="I63">
        <v>3516</v>
      </c>
      <c r="J63">
        <v>1486</v>
      </c>
      <c r="K63" t="s">
        <v>343</v>
      </c>
      <c r="L63" t="s">
        <v>344</v>
      </c>
      <c r="M63" t="s">
        <v>24</v>
      </c>
    </row>
    <row r="64" spans="1:13" x14ac:dyDescent="0.25">
      <c r="A64">
        <v>543</v>
      </c>
      <c r="B64" t="s">
        <v>61</v>
      </c>
      <c r="C64" t="s">
        <v>345</v>
      </c>
      <c r="D64" t="s">
        <v>346</v>
      </c>
      <c r="E64" s="3">
        <v>32622</v>
      </c>
      <c r="F64" t="s">
        <v>347</v>
      </c>
      <c r="G64" t="s">
        <v>149</v>
      </c>
      <c r="H64" t="s">
        <v>21</v>
      </c>
      <c r="I64">
        <v>2350</v>
      </c>
      <c r="J64">
        <v>363</v>
      </c>
      <c r="K64" t="s">
        <v>348</v>
      </c>
      <c r="L64" t="s">
        <v>349</v>
      </c>
      <c r="M64" t="s">
        <v>24</v>
      </c>
    </row>
    <row r="65" spans="1:13" x14ac:dyDescent="0.25">
      <c r="A65">
        <v>544</v>
      </c>
      <c r="B65" t="s">
        <v>16</v>
      </c>
      <c r="C65" t="s">
        <v>350</v>
      </c>
      <c r="D65" t="s">
        <v>351</v>
      </c>
      <c r="E65" s="3">
        <v>35707</v>
      </c>
      <c r="F65" t="s">
        <v>352</v>
      </c>
      <c r="G65" t="s">
        <v>79</v>
      </c>
      <c r="H65" t="s">
        <v>58</v>
      </c>
      <c r="I65">
        <v>3219</v>
      </c>
      <c r="J65">
        <v>1596</v>
      </c>
      <c r="K65" t="s">
        <v>353</v>
      </c>
      <c r="L65" t="s">
        <v>354</v>
      </c>
      <c r="M65" t="s">
        <v>24</v>
      </c>
    </row>
    <row r="66" spans="1:13" x14ac:dyDescent="0.25">
      <c r="A66">
        <v>546</v>
      </c>
      <c r="B66" t="s">
        <v>61</v>
      </c>
      <c r="C66" t="s">
        <v>355</v>
      </c>
      <c r="D66" t="s">
        <v>356</v>
      </c>
      <c r="E66" s="3">
        <v>29698</v>
      </c>
      <c r="F66" t="s">
        <v>357</v>
      </c>
      <c r="G66" t="s">
        <v>116</v>
      </c>
      <c r="H66" t="s">
        <v>93</v>
      </c>
      <c r="I66">
        <v>4515</v>
      </c>
      <c r="J66">
        <v>128</v>
      </c>
      <c r="K66" t="s">
        <v>358</v>
      </c>
      <c r="L66" t="s">
        <v>359</v>
      </c>
      <c r="M66" t="s">
        <v>24</v>
      </c>
    </row>
    <row r="67" spans="1:13" x14ac:dyDescent="0.25">
      <c r="A67">
        <v>557</v>
      </c>
      <c r="B67" t="s">
        <v>32</v>
      </c>
      <c r="C67" t="s">
        <v>360</v>
      </c>
      <c r="D67" t="s">
        <v>361</v>
      </c>
      <c r="E67" s="3">
        <v>9976</v>
      </c>
      <c r="F67" t="s">
        <v>362</v>
      </c>
      <c r="G67" t="s">
        <v>363</v>
      </c>
      <c r="H67" t="s">
        <v>21</v>
      </c>
      <c r="I67">
        <v>2330</v>
      </c>
      <c r="J67">
        <v>691</v>
      </c>
      <c r="K67" t="s">
        <v>364</v>
      </c>
      <c r="L67" t="s">
        <v>365</v>
      </c>
      <c r="M67" t="s">
        <v>24</v>
      </c>
    </row>
    <row r="68" spans="1:13" x14ac:dyDescent="0.25">
      <c r="A68">
        <v>561</v>
      </c>
      <c r="B68" t="s">
        <v>61</v>
      </c>
      <c r="C68" t="s">
        <v>366</v>
      </c>
      <c r="D68" t="s">
        <v>367</v>
      </c>
      <c r="E68" s="3">
        <v>8998</v>
      </c>
      <c r="F68" t="s">
        <v>368</v>
      </c>
      <c r="G68" t="s">
        <v>92</v>
      </c>
      <c r="H68" t="s">
        <v>93</v>
      </c>
      <c r="I68">
        <v>4500</v>
      </c>
      <c r="J68">
        <v>139</v>
      </c>
      <c r="K68" t="s">
        <v>369</v>
      </c>
      <c r="L68" t="s">
        <v>370</v>
      </c>
      <c r="M68" t="s">
        <v>24</v>
      </c>
    </row>
    <row r="69" spans="1:13" x14ac:dyDescent="0.25">
      <c r="A69">
        <v>567</v>
      </c>
      <c r="B69" t="s">
        <v>61</v>
      </c>
      <c r="C69" t="s">
        <v>371</v>
      </c>
      <c r="D69" t="s">
        <v>372</v>
      </c>
      <c r="E69" s="3">
        <v>11736</v>
      </c>
      <c r="F69" t="s">
        <v>373</v>
      </c>
      <c r="G69" t="s">
        <v>307</v>
      </c>
      <c r="H69" t="s">
        <v>58</v>
      </c>
      <c r="I69">
        <v>3480</v>
      </c>
      <c r="J69">
        <v>1559</v>
      </c>
      <c r="K69" t="s">
        <v>374</v>
      </c>
      <c r="L69" t="s">
        <v>375</v>
      </c>
      <c r="M69" t="s">
        <v>31</v>
      </c>
    </row>
    <row r="70" spans="1:13" x14ac:dyDescent="0.25">
      <c r="A70">
        <v>568</v>
      </c>
      <c r="B70" t="s">
        <v>16</v>
      </c>
      <c r="C70" t="s">
        <v>376</v>
      </c>
      <c r="D70" t="s">
        <v>377</v>
      </c>
      <c r="E70" s="3">
        <v>25816</v>
      </c>
      <c r="F70" t="s">
        <v>378</v>
      </c>
      <c r="G70" t="s">
        <v>379</v>
      </c>
      <c r="H70" t="s">
        <v>93</v>
      </c>
      <c r="I70">
        <v>4660</v>
      </c>
      <c r="J70">
        <v>336</v>
      </c>
      <c r="K70" t="s">
        <v>380</v>
      </c>
      <c r="L70" t="s">
        <v>381</v>
      </c>
      <c r="M70" t="s">
        <v>31</v>
      </c>
    </row>
    <row r="71" spans="1:13" x14ac:dyDescent="0.25">
      <c r="A71">
        <v>570</v>
      </c>
      <c r="B71" t="s">
        <v>16</v>
      </c>
      <c r="C71" t="s">
        <v>382</v>
      </c>
      <c r="D71" t="s">
        <v>383</v>
      </c>
      <c r="E71" s="3">
        <v>26085</v>
      </c>
      <c r="F71" t="s">
        <v>384</v>
      </c>
      <c r="G71" t="s">
        <v>92</v>
      </c>
      <c r="H71" t="s">
        <v>93</v>
      </c>
      <c r="I71">
        <v>4500</v>
      </c>
      <c r="J71">
        <v>139</v>
      </c>
      <c r="K71" t="s">
        <v>385</v>
      </c>
      <c r="L71" t="s">
        <v>386</v>
      </c>
      <c r="M71" t="s">
        <v>31</v>
      </c>
    </row>
    <row r="72" spans="1:13" x14ac:dyDescent="0.25">
      <c r="A72">
        <v>573</v>
      </c>
      <c r="B72" t="s">
        <v>32</v>
      </c>
      <c r="C72" t="s">
        <v>387</v>
      </c>
      <c r="D72" t="s">
        <v>388</v>
      </c>
      <c r="E72" s="3">
        <v>4041</v>
      </c>
      <c r="F72" t="s">
        <v>389</v>
      </c>
      <c r="G72" t="s">
        <v>43</v>
      </c>
      <c r="H72" t="s">
        <v>44</v>
      </c>
      <c r="I72">
        <v>2617</v>
      </c>
      <c r="J72">
        <v>1194</v>
      </c>
      <c r="K72" t="s">
        <v>390</v>
      </c>
      <c r="L72" t="s">
        <v>391</v>
      </c>
      <c r="M72" t="s">
        <v>24</v>
      </c>
    </row>
    <row r="73" spans="1:13" x14ac:dyDescent="0.25">
      <c r="A73">
        <v>580</v>
      </c>
      <c r="B73" t="s">
        <v>16</v>
      </c>
      <c r="C73" t="s">
        <v>392</v>
      </c>
      <c r="D73" t="s">
        <v>393</v>
      </c>
      <c r="E73" s="3">
        <v>37664</v>
      </c>
      <c r="F73" t="s">
        <v>394</v>
      </c>
      <c r="G73" t="s">
        <v>205</v>
      </c>
      <c r="H73" t="s">
        <v>206</v>
      </c>
      <c r="I73">
        <v>6430</v>
      </c>
      <c r="J73">
        <v>3543</v>
      </c>
      <c r="K73" t="s">
        <v>395</v>
      </c>
      <c r="L73" t="s">
        <v>396</v>
      </c>
      <c r="M73" t="s">
        <v>24</v>
      </c>
    </row>
    <row r="74" spans="1:13" x14ac:dyDescent="0.25">
      <c r="A74">
        <v>585</v>
      </c>
      <c r="B74" t="s">
        <v>82</v>
      </c>
      <c r="C74" t="s">
        <v>397</v>
      </c>
      <c r="D74" t="s">
        <v>398</v>
      </c>
      <c r="E74" s="3">
        <v>11979</v>
      </c>
      <c r="F74" t="s">
        <v>399</v>
      </c>
      <c r="G74" t="s">
        <v>116</v>
      </c>
      <c r="H74" t="s">
        <v>93</v>
      </c>
      <c r="I74">
        <v>4515</v>
      </c>
      <c r="J74">
        <v>128</v>
      </c>
      <c r="K74" t="s">
        <v>400</v>
      </c>
      <c r="L74" t="s">
        <v>401</v>
      </c>
      <c r="M74" t="s">
        <v>24</v>
      </c>
    </row>
    <row r="75" spans="1:13" x14ac:dyDescent="0.25">
      <c r="A75">
        <v>586</v>
      </c>
      <c r="B75" t="s">
        <v>39</v>
      </c>
      <c r="C75" t="s">
        <v>402</v>
      </c>
      <c r="D75" t="s">
        <v>403</v>
      </c>
      <c r="E75" s="3">
        <v>11278</v>
      </c>
      <c r="F75" t="s">
        <v>404</v>
      </c>
      <c r="G75" t="s">
        <v>36</v>
      </c>
      <c r="H75" t="s">
        <v>21</v>
      </c>
      <c r="I75">
        <v>2650</v>
      </c>
      <c r="J75">
        <v>1124</v>
      </c>
      <c r="K75" t="s">
        <v>405</v>
      </c>
      <c r="L75" t="s">
        <v>406</v>
      </c>
      <c r="M75" t="s">
        <v>24</v>
      </c>
    </row>
    <row r="76" spans="1:13" x14ac:dyDescent="0.25">
      <c r="A76">
        <v>594</v>
      </c>
      <c r="B76" t="s">
        <v>32</v>
      </c>
      <c r="C76" t="s">
        <v>407</v>
      </c>
      <c r="D76" t="s">
        <v>408</v>
      </c>
      <c r="E76" s="3">
        <v>6581</v>
      </c>
      <c r="F76" t="s">
        <v>409</v>
      </c>
      <c r="G76" t="s">
        <v>110</v>
      </c>
      <c r="H76" t="s">
        <v>58</v>
      </c>
      <c r="I76">
        <v>3832</v>
      </c>
      <c r="J76">
        <v>1552</v>
      </c>
      <c r="K76" t="s">
        <v>410</v>
      </c>
      <c r="L76" t="s">
        <v>411</v>
      </c>
      <c r="M76" t="s">
        <v>24</v>
      </c>
    </row>
    <row r="77" spans="1:13" x14ac:dyDescent="0.25">
      <c r="A77">
        <v>600</v>
      </c>
      <c r="B77" t="s">
        <v>39</v>
      </c>
      <c r="C77" t="s">
        <v>412</v>
      </c>
      <c r="D77" t="s">
        <v>413</v>
      </c>
      <c r="E77" s="3">
        <v>7706</v>
      </c>
      <c r="F77" t="s">
        <v>414</v>
      </c>
      <c r="G77" t="s">
        <v>69</v>
      </c>
      <c r="H77" t="s">
        <v>66</v>
      </c>
      <c r="I77">
        <v>5035</v>
      </c>
      <c r="J77">
        <v>1877</v>
      </c>
      <c r="K77" t="s">
        <v>415</v>
      </c>
      <c r="L77" t="s">
        <v>416</v>
      </c>
      <c r="M77" t="s">
        <v>31</v>
      </c>
    </row>
    <row r="78" spans="1:13" x14ac:dyDescent="0.25">
      <c r="A78">
        <v>602</v>
      </c>
      <c r="B78" t="s">
        <v>16</v>
      </c>
      <c r="C78" t="s">
        <v>417</v>
      </c>
      <c r="D78" t="s">
        <v>418</v>
      </c>
      <c r="E78" s="3">
        <v>3703</v>
      </c>
      <c r="F78" t="s">
        <v>419</v>
      </c>
      <c r="G78" t="s">
        <v>92</v>
      </c>
      <c r="H78" t="s">
        <v>93</v>
      </c>
      <c r="I78">
        <v>4500</v>
      </c>
      <c r="J78">
        <v>139</v>
      </c>
      <c r="K78" t="s">
        <v>420</v>
      </c>
      <c r="L78" t="s">
        <v>421</v>
      </c>
      <c r="M78" t="s">
        <v>24</v>
      </c>
    </row>
    <row r="79" spans="1:13" x14ac:dyDescent="0.25">
      <c r="A79">
        <v>609</v>
      </c>
      <c r="B79" t="s">
        <v>61</v>
      </c>
      <c r="C79" t="s">
        <v>422</v>
      </c>
      <c r="D79" t="s">
        <v>383</v>
      </c>
      <c r="E79" s="3">
        <v>9174</v>
      </c>
      <c r="F79" t="s">
        <v>423</v>
      </c>
      <c r="G79" t="s">
        <v>149</v>
      </c>
      <c r="H79" t="s">
        <v>21</v>
      </c>
      <c r="I79">
        <v>2350</v>
      </c>
      <c r="J79">
        <v>363</v>
      </c>
      <c r="K79" t="s">
        <v>424</v>
      </c>
      <c r="L79" t="s">
        <v>425</v>
      </c>
      <c r="M79" t="s">
        <v>24</v>
      </c>
    </row>
    <row r="80" spans="1:13" x14ac:dyDescent="0.25">
      <c r="A80">
        <v>610</v>
      </c>
      <c r="B80" t="s">
        <v>61</v>
      </c>
      <c r="C80" t="s">
        <v>426</v>
      </c>
      <c r="D80" t="s">
        <v>427</v>
      </c>
      <c r="E80" s="3">
        <v>21644</v>
      </c>
      <c r="F80" t="s">
        <v>428</v>
      </c>
      <c r="G80" t="s">
        <v>99</v>
      </c>
      <c r="H80" t="s">
        <v>93</v>
      </c>
      <c r="I80">
        <v>4873</v>
      </c>
      <c r="J80">
        <v>1741</v>
      </c>
      <c r="K80" t="s">
        <v>429</v>
      </c>
      <c r="L80" t="s">
        <v>430</v>
      </c>
      <c r="M80" t="s">
        <v>24</v>
      </c>
    </row>
    <row r="81" spans="1:13" x14ac:dyDescent="0.25">
      <c r="A81">
        <v>611</v>
      </c>
      <c r="B81" t="s">
        <v>16</v>
      </c>
      <c r="C81" t="s">
        <v>431</v>
      </c>
      <c r="D81" t="s">
        <v>432</v>
      </c>
      <c r="E81" s="3">
        <v>5834</v>
      </c>
      <c r="F81" t="s">
        <v>433</v>
      </c>
      <c r="G81" t="s">
        <v>110</v>
      </c>
      <c r="H81" t="s">
        <v>58</v>
      </c>
      <c r="I81">
        <v>3832</v>
      </c>
      <c r="J81">
        <v>1552</v>
      </c>
      <c r="K81" t="s">
        <v>434</v>
      </c>
      <c r="L81" t="s">
        <v>435</v>
      </c>
      <c r="M81" t="s">
        <v>31</v>
      </c>
    </row>
    <row r="82" spans="1:13" x14ac:dyDescent="0.25">
      <c r="A82">
        <v>634</v>
      </c>
      <c r="B82" t="s">
        <v>82</v>
      </c>
      <c r="C82" t="s">
        <v>436</v>
      </c>
      <c r="D82" t="s">
        <v>437</v>
      </c>
      <c r="E82" s="3">
        <v>26089</v>
      </c>
      <c r="F82" t="s">
        <v>438</v>
      </c>
      <c r="G82" t="s">
        <v>92</v>
      </c>
      <c r="H82" t="s">
        <v>93</v>
      </c>
      <c r="I82">
        <v>4500</v>
      </c>
      <c r="J82">
        <v>139</v>
      </c>
      <c r="K82" t="s">
        <v>439</v>
      </c>
      <c r="L82" t="s">
        <v>440</v>
      </c>
      <c r="M82" t="s">
        <v>31</v>
      </c>
    </row>
    <row r="83" spans="1:13" x14ac:dyDescent="0.25">
      <c r="A83">
        <v>643</v>
      </c>
      <c r="B83" t="s">
        <v>61</v>
      </c>
      <c r="C83" t="s">
        <v>441</v>
      </c>
      <c r="D83" t="s">
        <v>442</v>
      </c>
      <c r="E83" s="3">
        <v>28348</v>
      </c>
      <c r="F83" t="s">
        <v>443</v>
      </c>
      <c r="G83" t="s">
        <v>363</v>
      </c>
      <c r="H83" t="s">
        <v>21</v>
      </c>
      <c r="I83">
        <v>2330</v>
      </c>
      <c r="J83">
        <v>691</v>
      </c>
      <c r="K83" t="s">
        <v>444</v>
      </c>
      <c r="L83" t="s">
        <v>445</v>
      </c>
      <c r="M83" t="s">
        <v>24</v>
      </c>
    </row>
    <row r="84" spans="1:13" x14ac:dyDescent="0.25">
      <c r="A84">
        <v>651</v>
      </c>
      <c r="B84" t="s">
        <v>16</v>
      </c>
      <c r="C84" t="s">
        <v>446</v>
      </c>
      <c r="D84" t="s">
        <v>447</v>
      </c>
      <c r="E84" s="3">
        <v>13471</v>
      </c>
      <c r="F84" t="s">
        <v>448</v>
      </c>
      <c r="G84" t="s">
        <v>92</v>
      </c>
      <c r="H84" t="s">
        <v>93</v>
      </c>
      <c r="I84">
        <v>4500</v>
      </c>
      <c r="J84">
        <v>139</v>
      </c>
      <c r="K84" t="s">
        <v>449</v>
      </c>
      <c r="L84" t="s">
        <v>450</v>
      </c>
      <c r="M84" t="s">
        <v>31</v>
      </c>
    </row>
    <row r="85" spans="1:13" x14ac:dyDescent="0.25">
      <c r="A85">
        <v>657</v>
      </c>
      <c r="B85" t="s">
        <v>16</v>
      </c>
      <c r="C85" t="s">
        <v>451</v>
      </c>
      <c r="D85" t="s">
        <v>452</v>
      </c>
      <c r="E85" s="3">
        <v>15282</v>
      </c>
      <c r="F85" t="s">
        <v>453</v>
      </c>
      <c r="G85" t="s">
        <v>127</v>
      </c>
      <c r="H85" t="s">
        <v>21</v>
      </c>
      <c r="I85">
        <v>2466</v>
      </c>
      <c r="J85">
        <v>347</v>
      </c>
      <c r="K85" t="s">
        <v>454</v>
      </c>
      <c r="L85" t="s">
        <v>455</v>
      </c>
      <c r="M85" t="s">
        <v>31</v>
      </c>
    </row>
    <row r="86" spans="1:13" x14ac:dyDescent="0.25">
      <c r="A86">
        <v>659</v>
      </c>
      <c r="B86" t="s">
        <v>16</v>
      </c>
      <c r="C86" t="s">
        <v>456</v>
      </c>
      <c r="D86" t="s">
        <v>457</v>
      </c>
      <c r="E86" s="3">
        <v>33698</v>
      </c>
      <c r="F86" t="s">
        <v>458</v>
      </c>
      <c r="G86" t="s">
        <v>65</v>
      </c>
      <c r="H86" t="s">
        <v>66</v>
      </c>
      <c r="I86">
        <v>5310</v>
      </c>
      <c r="J86">
        <v>1720</v>
      </c>
      <c r="K86" t="s">
        <v>459</v>
      </c>
      <c r="L86" t="s">
        <v>460</v>
      </c>
      <c r="M86" t="s">
        <v>31</v>
      </c>
    </row>
    <row r="87" spans="1:13" x14ac:dyDescent="0.25">
      <c r="A87">
        <v>669</v>
      </c>
      <c r="B87" t="s">
        <v>39</v>
      </c>
      <c r="C87" t="s">
        <v>461</v>
      </c>
      <c r="D87" t="s">
        <v>462</v>
      </c>
      <c r="E87" s="3">
        <v>11878</v>
      </c>
      <c r="F87" t="s">
        <v>463</v>
      </c>
      <c r="G87" t="s">
        <v>20</v>
      </c>
      <c r="H87" t="s">
        <v>21</v>
      </c>
      <c r="I87">
        <v>2335</v>
      </c>
      <c r="J87">
        <v>716</v>
      </c>
      <c r="K87" t="s">
        <v>464</v>
      </c>
      <c r="L87" t="s">
        <v>465</v>
      </c>
      <c r="M87" t="s">
        <v>31</v>
      </c>
    </row>
    <row r="88" spans="1:13" x14ac:dyDescent="0.25">
      <c r="A88">
        <v>730</v>
      </c>
      <c r="B88" t="s">
        <v>16</v>
      </c>
      <c r="C88" t="s">
        <v>466</v>
      </c>
      <c r="D88" t="s">
        <v>467</v>
      </c>
      <c r="E88" s="3">
        <v>22874</v>
      </c>
      <c r="F88" t="s">
        <v>468</v>
      </c>
      <c r="G88" t="s">
        <v>65</v>
      </c>
      <c r="H88" t="s">
        <v>66</v>
      </c>
      <c r="I88">
        <v>5310</v>
      </c>
      <c r="J88">
        <v>1720</v>
      </c>
      <c r="K88" t="s">
        <v>469</v>
      </c>
      <c r="L88" t="s">
        <v>470</v>
      </c>
      <c r="M88" t="s">
        <v>31</v>
      </c>
    </row>
    <row r="89" spans="1:13" x14ac:dyDescent="0.25">
      <c r="A89">
        <v>747</v>
      </c>
      <c r="B89" t="s">
        <v>82</v>
      </c>
      <c r="C89" t="s">
        <v>471</v>
      </c>
      <c r="D89" t="s">
        <v>472</v>
      </c>
      <c r="E89" s="3">
        <v>20708</v>
      </c>
      <c r="F89" t="s">
        <v>473</v>
      </c>
      <c r="G89" t="s">
        <v>149</v>
      </c>
      <c r="H89" t="s">
        <v>21</v>
      </c>
      <c r="I89">
        <v>2350</v>
      </c>
      <c r="J89">
        <v>363</v>
      </c>
      <c r="K89" t="s">
        <v>474</v>
      </c>
      <c r="L89" t="s">
        <v>475</v>
      </c>
      <c r="M89" t="s">
        <v>24</v>
      </c>
    </row>
    <row r="90" spans="1:13" x14ac:dyDescent="0.25">
      <c r="A90">
        <v>750</v>
      </c>
      <c r="B90" t="s">
        <v>61</v>
      </c>
      <c r="C90" t="s">
        <v>476</v>
      </c>
      <c r="D90" t="s">
        <v>477</v>
      </c>
      <c r="E90" s="3">
        <v>16605</v>
      </c>
      <c r="F90" t="s">
        <v>478</v>
      </c>
      <c r="G90" t="s">
        <v>155</v>
      </c>
      <c r="H90" t="s">
        <v>66</v>
      </c>
      <c r="I90">
        <v>5607</v>
      </c>
      <c r="J90">
        <v>2076</v>
      </c>
      <c r="K90" t="s">
        <v>479</v>
      </c>
      <c r="L90" t="s">
        <v>480</v>
      </c>
      <c r="M90" t="s">
        <v>31</v>
      </c>
    </row>
    <row r="91" spans="1:13" x14ac:dyDescent="0.25">
      <c r="A91">
        <v>758</v>
      </c>
      <c r="B91" t="s">
        <v>16</v>
      </c>
      <c r="C91" t="s">
        <v>481</v>
      </c>
      <c r="D91" t="s">
        <v>103</v>
      </c>
      <c r="E91" s="3">
        <v>11090</v>
      </c>
      <c r="F91" t="s">
        <v>482</v>
      </c>
      <c r="G91" t="s">
        <v>43</v>
      </c>
      <c r="H91" t="s">
        <v>44</v>
      </c>
      <c r="I91">
        <v>2617</v>
      </c>
      <c r="J91">
        <v>1194</v>
      </c>
      <c r="K91" t="s">
        <v>483</v>
      </c>
      <c r="L91" t="s">
        <v>484</v>
      </c>
      <c r="M91" t="s">
        <v>24</v>
      </c>
    </row>
    <row r="92" spans="1:13" x14ac:dyDescent="0.25">
      <c r="A92">
        <v>761</v>
      </c>
      <c r="B92" t="s">
        <v>82</v>
      </c>
      <c r="C92" t="s">
        <v>485</v>
      </c>
      <c r="D92" t="s">
        <v>486</v>
      </c>
      <c r="E92" s="3">
        <v>22954</v>
      </c>
      <c r="F92" t="s">
        <v>487</v>
      </c>
      <c r="G92" t="s">
        <v>79</v>
      </c>
      <c r="H92" t="s">
        <v>58</v>
      </c>
      <c r="I92">
        <v>3219</v>
      </c>
      <c r="J92">
        <v>1596</v>
      </c>
      <c r="K92" t="s">
        <v>488</v>
      </c>
      <c r="L92" t="s">
        <v>489</v>
      </c>
      <c r="M92" t="s">
        <v>31</v>
      </c>
    </row>
    <row r="93" spans="1:13" x14ac:dyDescent="0.25">
      <c r="A93">
        <v>771</v>
      </c>
      <c r="B93" t="s">
        <v>39</v>
      </c>
      <c r="C93" t="s">
        <v>490</v>
      </c>
      <c r="D93" t="s">
        <v>491</v>
      </c>
      <c r="E93" s="3">
        <v>3987</v>
      </c>
      <c r="F93" t="s">
        <v>492</v>
      </c>
      <c r="G93" t="s">
        <v>379</v>
      </c>
      <c r="H93" t="s">
        <v>93</v>
      </c>
      <c r="I93">
        <v>4660</v>
      </c>
      <c r="J93">
        <v>336</v>
      </c>
      <c r="K93" t="s">
        <v>493</v>
      </c>
      <c r="L93" t="s">
        <v>494</v>
      </c>
      <c r="M93" t="s">
        <v>24</v>
      </c>
    </row>
    <row r="94" spans="1:13" x14ac:dyDescent="0.25">
      <c r="A94">
        <v>784</v>
      </c>
      <c r="B94" t="s">
        <v>61</v>
      </c>
      <c r="C94" t="s">
        <v>495</v>
      </c>
      <c r="D94" t="s">
        <v>496</v>
      </c>
      <c r="E94" s="3">
        <v>25308</v>
      </c>
      <c r="F94" t="s">
        <v>497</v>
      </c>
      <c r="G94" t="s">
        <v>36</v>
      </c>
      <c r="H94" t="s">
        <v>21</v>
      </c>
      <c r="I94">
        <v>2650</v>
      </c>
      <c r="J94">
        <v>1124</v>
      </c>
      <c r="K94" t="s">
        <v>498</v>
      </c>
      <c r="L94" t="s">
        <v>499</v>
      </c>
      <c r="M94" t="s">
        <v>31</v>
      </c>
    </row>
    <row r="95" spans="1:13" x14ac:dyDescent="0.25">
      <c r="A95">
        <v>802</v>
      </c>
      <c r="B95" t="s">
        <v>16</v>
      </c>
      <c r="C95" t="s">
        <v>500</v>
      </c>
      <c r="D95" t="s">
        <v>501</v>
      </c>
      <c r="E95" s="3">
        <v>21462</v>
      </c>
      <c r="F95" t="s">
        <v>502</v>
      </c>
      <c r="G95" t="s">
        <v>79</v>
      </c>
      <c r="H95" t="s">
        <v>58</v>
      </c>
      <c r="I95">
        <v>3219</v>
      </c>
      <c r="J95">
        <v>1596</v>
      </c>
      <c r="K95" t="s">
        <v>503</v>
      </c>
      <c r="L95" t="s">
        <v>504</v>
      </c>
      <c r="M95" t="s">
        <v>31</v>
      </c>
    </row>
    <row r="96" spans="1:13" x14ac:dyDescent="0.25">
      <c r="A96">
        <v>823</v>
      </c>
      <c r="B96" t="s">
        <v>32</v>
      </c>
      <c r="C96" t="s">
        <v>505</v>
      </c>
      <c r="D96" t="s">
        <v>506</v>
      </c>
      <c r="E96" s="3">
        <v>28914</v>
      </c>
      <c r="F96" t="s">
        <v>507</v>
      </c>
      <c r="G96" t="s">
        <v>99</v>
      </c>
      <c r="H96" t="s">
        <v>93</v>
      </c>
      <c r="I96">
        <v>4873</v>
      </c>
      <c r="J96">
        <v>1741</v>
      </c>
      <c r="K96" t="s">
        <v>508</v>
      </c>
      <c r="L96" t="s">
        <v>509</v>
      </c>
      <c r="M96" t="s">
        <v>24</v>
      </c>
    </row>
    <row r="97" spans="1:13" x14ac:dyDescent="0.25">
      <c r="A97">
        <v>827</v>
      </c>
      <c r="B97" t="s">
        <v>61</v>
      </c>
      <c r="C97" t="s">
        <v>510</v>
      </c>
      <c r="D97" t="s">
        <v>511</v>
      </c>
      <c r="E97" s="3">
        <v>18932</v>
      </c>
      <c r="F97" t="s">
        <v>512</v>
      </c>
      <c r="G97" t="s">
        <v>116</v>
      </c>
      <c r="H97" t="s">
        <v>93</v>
      </c>
      <c r="I97">
        <v>4515</v>
      </c>
      <c r="J97">
        <v>128</v>
      </c>
      <c r="K97" t="s">
        <v>513</v>
      </c>
      <c r="L97" t="s">
        <v>514</v>
      </c>
      <c r="M97" t="s">
        <v>24</v>
      </c>
    </row>
    <row r="98" spans="1:13" x14ac:dyDescent="0.25">
      <c r="A98">
        <v>830</v>
      </c>
      <c r="B98" t="s">
        <v>82</v>
      </c>
      <c r="C98" t="s">
        <v>515</v>
      </c>
      <c r="D98" t="s">
        <v>516</v>
      </c>
      <c r="E98" s="3">
        <v>16730</v>
      </c>
      <c r="F98" t="s">
        <v>517</v>
      </c>
      <c r="G98" t="s">
        <v>20</v>
      </c>
      <c r="H98" t="s">
        <v>21</v>
      </c>
      <c r="I98">
        <v>2335</v>
      </c>
      <c r="J98">
        <v>716</v>
      </c>
      <c r="K98" t="s">
        <v>518</v>
      </c>
      <c r="L98" t="s">
        <v>519</v>
      </c>
      <c r="M98" t="s">
        <v>31</v>
      </c>
    </row>
    <row r="99" spans="1:13" x14ac:dyDescent="0.25">
      <c r="A99">
        <v>841</v>
      </c>
      <c r="B99" t="s">
        <v>82</v>
      </c>
      <c r="C99" t="s">
        <v>520</v>
      </c>
      <c r="D99" t="s">
        <v>521</v>
      </c>
      <c r="E99" s="3">
        <v>15729</v>
      </c>
      <c r="F99" t="s">
        <v>522</v>
      </c>
      <c r="G99" t="s">
        <v>20</v>
      </c>
      <c r="H99" t="s">
        <v>21</v>
      </c>
      <c r="I99">
        <v>2335</v>
      </c>
      <c r="J99">
        <v>716</v>
      </c>
      <c r="K99" t="s">
        <v>523</v>
      </c>
      <c r="L99" t="s">
        <v>524</v>
      </c>
      <c r="M99" t="s">
        <v>24</v>
      </c>
    </row>
    <row r="100" spans="1:13" x14ac:dyDescent="0.25">
      <c r="A100">
        <v>843</v>
      </c>
      <c r="B100" t="s">
        <v>16</v>
      </c>
      <c r="C100" t="s">
        <v>525</v>
      </c>
      <c r="D100" t="s">
        <v>526</v>
      </c>
      <c r="E100" s="3">
        <v>16108</v>
      </c>
      <c r="F100" t="s">
        <v>527</v>
      </c>
      <c r="G100" t="s">
        <v>379</v>
      </c>
      <c r="H100" t="s">
        <v>93</v>
      </c>
      <c r="I100">
        <v>4660</v>
      </c>
      <c r="J100">
        <v>336</v>
      </c>
      <c r="K100" t="s">
        <v>528</v>
      </c>
      <c r="L100" t="s">
        <v>529</v>
      </c>
      <c r="M100" t="s">
        <v>24</v>
      </c>
    </row>
    <row r="101" spans="1:13" x14ac:dyDescent="0.25">
      <c r="A101">
        <v>849</v>
      </c>
      <c r="B101" t="s">
        <v>39</v>
      </c>
      <c r="C101" t="s">
        <v>530</v>
      </c>
      <c r="D101" t="s">
        <v>531</v>
      </c>
      <c r="E101" s="3">
        <v>35100</v>
      </c>
      <c r="F101" t="s">
        <v>532</v>
      </c>
      <c r="G101" t="s">
        <v>86</v>
      </c>
      <c r="H101" t="s">
        <v>58</v>
      </c>
      <c r="I101">
        <v>3851</v>
      </c>
      <c r="J101">
        <v>1583</v>
      </c>
      <c r="K101" t="s">
        <v>533</v>
      </c>
      <c r="L101" t="s">
        <v>534</v>
      </c>
      <c r="M101" t="s">
        <v>31</v>
      </c>
    </row>
    <row r="102" spans="1:13" x14ac:dyDescent="0.25">
      <c r="A102">
        <v>884</v>
      </c>
      <c r="B102" t="s">
        <v>16</v>
      </c>
      <c r="C102" t="s">
        <v>535</v>
      </c>
      <c r="D102" t="s">
        <v>536</v>
      </c>
      <c r="E102" s="3">
        <v>11897</v>
      </c>
      <c r="F102" t="s">
        <v>537</v>
      </c>
      <c r="G102" t="s">
        <v>155</v>
      </c>
      <c r="H102" t="s">
        <v>66</v>
      </c>
      <c r="I102">
        <v>5607</v>
      </c>
      <c r="J102">
        <v>2076</v>
      </c>
      <c r="K102" t="s">
        <v>538</v>
      </c>
      <c r="L102" t="s">
        <v>539</v>
      </c>
      <c r="M102" t="s">
        <v>31</v>
      </c>
    </row>
    <row r="103" spans="1:13" x14ac:dyDescent="0.25">
      <c r="A103">
        <v>906</v>
      </c>
      <c r="B103" t="s">
        <v>32</v>
      </c>
      <c r="C103" t="s">
        <v>540</v>
      </c>
      <c r="D103" t="s">
        <v>541</v>
      </c>
      <c r="E103" s="3">
        <v>6124</v>
      </c>
      <c r="F103" t="s">
        <v>542</v>
      </c>
      <c r="G103" t="s">
        <v>79</v>
      </c>
      <c r="H103" t="s">
        <v>58</v>
      </c>
      <c r="I103">
        <v>3219</v>
      </c>
      <c r="J103">
        <v>1596</v>
      </c>
      <c r="K103" t="s">
        <v>543</v>
      </c>
      <c r="L103" t="s">
        <v>544</v>
      </c>
      <c r="M103" t="s">
        <v>24</v>
      </c>
    </row>
    <row r="104" spans="1:13" x14ac:dyDescent="0.25">
      <c r="A104">
        <v>923</v>
      </c>
      <c r="B104" t="s">
        <v>61</v>
      </c>
      <c r="C104" t="s">
        <v>545</v>
      </c>
      <c r="D104" t="s">
        <v>546</v>
      </c>
      <c r="E104" s="3">
        <v>2839</v>
      </c>
      <c r="F104" t="s">
        <v>547</v>
      </c>
      <c r="G104" t="s">
        <v>43</v>
      </c>
      <c r="H104" t="s">
        <v>44</v>
      </c>
      <c r="I104">
        <v>2617</v>
      </c>
      <c r="J104">
        <v>1194</v>
      </c>
      <c r="K104" t="s">
        <v>548</v>
      </c>
      <c r="L104" t="s">
        <v>549</v>
      </c>
      <c r="M104" t="s">
        <v>24</v>
      </c>
    </row>
    <row r="105" spans="1:13" x14ac:dyDescent="0.25">
      <c r="A105">
        <v>961</v>
      </c>
      <c r="B105" t="s">
        <v>61</v>
      </c>
      <c r="C105" t="s">
        <v>550</v>
      </c>
      <c r="D105" t="s">
        <v>551</v>
      </c>
      <c r="E105" s="3">
        <v>31485</v>
      </c>
      <c r="F105" t="s">
        <v>552</v>
      </c>
      <c r="G105" t="s">
        <v>79</v>
      </c>
      <c r="H105" t="s">
        <v>58</v>
      </c>
      <c r="I105">
        <v>3219</v>
      </c>
      <c r="J105">
        <v>1596</v>
      </c>
      <c r="K105" t="s">
        <v>553</v>
      </c>
      <c r="L105" t="s">
        <v>554</v>
      </c>
      <c r="M105" t="s">
        <v>31</v>
      </c>
    </row>
    <row r="106" spans="1:13" x14ac:dyDescent="0.25">
      <c r="A106">
        <v>972</v>
      </c>
      <c r="B106" t="s">
        <v>82</v>
      </c>
      <c r="C106" t="s">
        <v>555</v>
      </c>
      <c r="D106" t="s">
        <v>556</v>
      </c>
      <c r="E106" s="3">
        <v>6627</v>
      </c>
      <c r="F106" t="s">
        <v>557</v>
      </c>
      <c r="G106" t="s">
        <v>28</v>
      </c>
      <c r="H106" t="s">
        <v>21</v>
      </c>
      <c r="I106">
        <v>2671</v>
      </c>
      <c r="J106">
        <v>988</v>
      </c>
      <c r="K106" t="s">
        <v>558</v>
      </c>
      <c r="L106" t="s">
        <v>559</v>
      </c>
      <c r="M106" t="s">
        <v>24</v>
      </c>
    </row>
    <row r="107" spans="1:13" x14ac:dyDescent="0.25">
      <c r="A107">
        <v>983</v>
      </c>
      <c r="B107" t="s">
        <v>32</v>
      </c>
      <c r="C107" t="s">
        <v>560</v>
      </c>
      <c r="D107" t="s">
        <v>561</v>
      </c>
      <c r="E107" s="3">
        <v>900</v>
      </c>
      <c r="F107" t="s">
        <v>562</v>
      </c>
      <c r="G107" t="s">
        <v>99</v>
      </c>
      <c r="H107" t="s">
        <v>93</v>
      </c>
      <c r="I107">
        <v>4873</v>
      </c>
      <c r="J107">
        <v>1741</v>
      </c>
      <c r="K107" t="s">
        <v>563</v>
      </c>
      <c r="L107" t="s">
        <v>564</v>
      </c>
      <c r="M107" t="s">
        <v>31</v>
      </c>
    </row>
    <row r="108" spans="1:13" x14ac:dyDescent="0.25">
      <c r="A108">
        <v>989</v>
      </c>
      <c r="B108" t="s">
        <v>82</v>
      </c>
      <c r="C108" t="s">
        <v>565</v>
      </c>
      <c r="D108" t="s">
        <v>566</v>
      </c>
      <c r="E108" s="3">
        <v>2679</v>
      </c>
      <c r="F108" t="s">
        <v>567</v>
      </c>
      <c r="G108" t="s">
        <v>20</v>
      </c>
      <c r="H108" t="s">
        <v>21</v>
      </c>
      <c r="I108">
        <v>2335</v>
      </c>
      <c r="J108">
        <v>716</v>
      </c>
      <c r="K108" t="s">
        <v>568</v>
      </c>
      <c r="L108" t="s">
        <v>569</v>
      </c>
      <c r="M108" t="s">
        <v>31</v>
      </c>
    </row>
  </sheetData>
  <hyperlinks>
    <hyperlink ref="L11" r:id="rId1"/>
  </hyperlinks>
  <pageMargins left="0.7" right="0.7" top="0.75" bottom="0.75" header="0.3" footer="0.3"/>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4"/>
  <sheetViews>
    <sheetView workbookViewId="0">
      <selection activeCell="C28" sqref="C28"/>
    </sheetView>
  </sheetViews>
  <sheetFormatPr defaultRowHeight="15" x14ac:dyDescent="0.25"/>
  <cols>
    <col min="1" max="1" width="9.140625" customWidth="1"/>
    <col min="2" max="2" width="26.5703125" bestFit="1" customWidth="1"/>
    <col min="3" max="3" width="74.42578125" bestFit="1" customWidth="1"/>
    <col min="4" max="4" width="6.7109375" customWidth="1"/>
    <col min="5" max="5" width="19.42578125" customWidth="1"/>
    <col min="6" max="6" width="12.42578125" customWidth="1"/>
    <col min="7" max="7" width="9.5703125" customWidth="1"/>
    <col min="8" max="8" width="10.85546875" customWidth="1"/>
    <col min="9" max="9" width="14.5703125" customWidth="1"/>
    <col min="10" max="10" width="15.28515625" customWidth="1"/>
  </cols>
  <sheetData>
    <row r="1" spans="1:10" x14ac:dyDescent="0.25">
      <c r="A1" s="1" t="s">
        <v>0</v>
      </c>
    </row>
    <row r="3" spans="1:10" x14ac:dyDescent="0.25">
      <c r="A3" t="s">
        <v>570</v>
      </c>
      <c r="B3" t="s">
        <v>571</v>
      </c>
      <c r="C3" t="s">
        <v>572</v>
      </c>
      <c r="D3" t="s">
        <v>573</v>
      </c>
      <c r="E3" t="s">
        <v>574</v>
      </c>
      <c r="F3" t="s">
        <v>575</v>
      </c>
      <c r="G3" t="s">
        <v>576</v>
      </c>
      <c r="H3" t="s">
        <v>577</v>
      </c>
      <c r="I3" t="s">
        <v>578</v>
      </c>
      <c r="J3" t="s">
        <v>579</v>
      </c>
    </row>
    <row r="4" spans="1:10" x14ac:dyDescent="0.25">
      <c r="A4">
        <v>128</v>
      </c>
      <c r="B4" t="s">
        <v>580</v>
      </c>
      <c r="C4" t="s">
        <v>581</v>
      </c>
      <c r="D4" t="s">
        <v>582</v>
      </c>
      <c r="E4">
        <v>0.85</v>
      </c>
      <c r="F4" t="s">
        <v>583</v>
      </c>
      <c r="G4" t="s">
        <v>24</v>
      </c>
      <c r="H4" t="s">
        <v>24</v>
      </c>
      <c r="I4">
        <v>16.989999999999998</v>
      </c>
      <c r="J4">
        <v>23.27</v>
      </c>
    </row>
    <row r="5" spans="1:10" x14ac:dyDescent="0.25">
      <c r="A5">
        <v>145</v>
      </c>
      <c r="B5" t="s">
        <v>580</v>
      </c>
      <c r="C5" t="s">
        <v>584</v>
      </c>
      <c r="D5" t="s">
        <v>582</v>
      </c>
      <c r="E5">
        <v>1</v>
      </c>
      <c r="F5" t="s">
        <v>585</v>
      </c>
      <c r="G5" t="s">
        <v>31</v>
      </c>
      <c r="H5" t="s">
        <v>31</v>
      </c>
      <c r="I5">
        <v>19.989999999999998</v>
      </c>
      <c r="J5">
        <v>27.54</v>
      </c>
    </row>
    <row r="6" spans="1:10" x14ac:dyDescent="0.25">
      <c r="A6">
        <v>164</v>
      </c>
      <c r="B6" t="s">
        <v>580</v>
      </c>
      <c r="C6" t="s">
        <v>586</v>
      </c>
      <c r="D6" t="s">
        <v>582</v>
      </c>
      <c r="E6">
        <v>0.75</v>
      </c>
      <c r="F6" t="s">
        <v>587</v>
      </c>
      <c r="G6" t="s">
        <v>24</v>
      </c>
      <c r="H6" t="s">
        <v>31</v>
      </c>
      <c r="I6">
        <v>14.99</v>
      </c>
      <c r="J6">
        <v>20.53</v>
      </c>
    </row>
    <row r="7" spans="1:10" x14ac:dyDescent="0.25">
      <c r="A7">
        <v>177</v>
      </c>
      <c r="B7" t="s">
        <v>580</v>
      </c>
      <c r="C7" t="s">
        <v>588</v>
      </c>
      <c r="D7" t="s">
        <v>582</v>
      </c>
      <c r="E7">
        <v>1</v>
      </c>
      <c r="F7" t="s">
        <v>585</v>
      </c>
      <c r="G7" t="s">
        <v>31</v>
      </c>
      <c r="H7" t="s">
        <v>31</v>
      </c>
      <c r="I7">
        <v>19.989999999999998</v>
      </c>
      <c r="J7">
        <v>27.6</v>
      </c>
    </row>
    <row r="8" spans="1:10" x14ac:dyDescent="0.25">
      <c r="A8">
        <v>186</v>
      </c>
      <c r="B8" t="s">
        <v>580</v>
      </c>
      <c r="C8" t="s">
        <v>589</v>
      </c>
      <c r="D8" t="s">
        <v>582</v>
      </c>
      <c r="E8">
        <v>0.45</v>
      </c>
      <c r="F8" t="s">
        <v>590</v>
      </c>
      <c r="G8" t="s">
        <v>24</v>
      </c>
      <c r="H8" t="s">
        <v>31</v>
      </c>
      <c r="I8">
        <v>8.99</v>
      </c>
      <c r="J8">
        <v>12.46</v>
      </c>
    </row>
    <row r="9" spans="1:10" x14ac:dyDescent="0.25">
      <c r="A9">
        <v>196</v>
      </c>
      <c r="B9" t="s">
        <v>591</v>
      </c>
      <c r="C9" t="s">
        <v>592</v>
      </c>
      <c r="D9" t="s">
        <v>582</v>
      </c>
      <c r="E9">
        <v>2.5</v>
      </c>
      <c r="F9" t="s">
        <v>587</v>
      </c>
      <c r="G9" t="s">
        <v>31</v>
      </c>
      <c r="H9" t="s">
        <v>24</v>
      </c>
      <c r="I9">
        <v>49.99</v>
      </c>
      <c r="J9">
        <v>68.28</v>
      </c>
    </row>
    <row r="10" spans="1:10" x14ac:dyDescent="0.25">
      <c r="A10">
        <v>201</v>
      </c>
      <c r="B10" t="s">
        <v>591</v>
      </c>
      <c r="C10" t="s">
        <v>593</v>
      </c>
      <c r="D10" t="s">
        <v>582</v>
      </c>
      <c r="E10">
        <v>1.1399999999999999</v>
      </c>
      <c r="F10" t="s">
        <v>583</v>
      </c>
      <c r="G10" t="s">
        <v>31</v>
      </c>
      <c r="H10" t="s">
        <v>31</v>
      </c>
      <c r="I10">
        <v>22.75</v>
      </c>
      <c r="J10">
        <v>31.26</v>
      </c>
    </row>
    <row r="11" spans="1:10" x14ac:dyDescent="0.25">
      <c r="A11">
        <v>213</v>
      </c>
      <c r="B11" t="s">
        <v>591</v>
      </c>
      <c r="C11" t="s">
        <v>594</v>
      </c>
      <c r="D11" t="s">
        <v>582</v>
      </c>
      <c r="E11">
        <v>0.97499999999999998</v>
      </c>
      <c r="F11" t="s">
        <v>583</v>
      </c>
      <c r="G11" t="s">
        <v>24</v>
      </c>
      <c r="H11" t="s">
        <v>31</v>
      </c>
      <c r="I11">
        <v>19.5</v>
      </c>
      <c r="J11">
        <v>26.88</v>
      </c>
    </row>
    <row r="12" spans="1:10" x14ac:dyDescent="0.25">
      <c r="A12">
        <v>219</v>
      </c>
      <c r="B12" t="s">
        <v>591</v>
      </c>
      <c r="C12" t="s">
        <v>595</v>
      </c>
      <c r="D12" t="s">
        <v>596</v>
      </c>
      <c r="E12">
        <v>1.5</v>
      </c>
      <c r="F12" t="s">
        <v>587</v>
      </c>
      <c r="G12" t="s">
        <v>24</v>
      </c>
      <c r="H12" t="s">
        <v>31</v>
      </c>
      <c r="I12">
        <v>29.99</v>
      </c>
      <c r="J12">
        <v>41.24</v>
      </c>
    </row>
    <row r="13" spans="1:10" x14ac:dyDescent="0.25">
      <c r="A13">
        <v>239</v>
      </c>
      <c r="B13" t="s">
        <v>591</v>
      </c>
      <c r="C13" t="s">
        <v>595</v>
      </c>
      <c r="D13" t="s">
        <v>597</v>
      </c>
      <c r="E13">
        <v>1.5</v>
      </c>
      <c r="F13" t="s">
        <v>598</v>
      </c>
      <c r="G13" t="s">
        <v>24</v>
      </c>
      <c r="H13" t="s">
        <v>31</v>
      </c>
      <c r="I13">
        <v>29.99</v>
      </c>
      <c r="J13">
        <v>41.23</v>
      </c>
    </row>
    <row r="14" spans="1:10" x14ac:dyDescent="0.25">
      <c r="A14">
        <v>259</v>
      </c>
      <c r="B14" t="s">
        <v>591</v>
      </c>
      <c r="C14" t="s">
        <v>595</v>
      </c>
      <c r="D14" t="s">
        <v>599</v>
      </c>
      <c r="E14">
        <v>1.5</v>
      </c>
      <c r="F14" t="s">
        <v>583</v>
      </c>
      <c r="G14" t="s">
        <v>31</v>
      </c>
      <c r="H14" t="s">
        <v>31</v>
      </c>
      <c r="I14">
        <v>29.99</v>
      </c>
      <c r="J14">
        <v>41.15</v>
      </c>
    </row>
    <row r="15" spans="1:10" x14ac:dyDescent="0.25">
      <c r="A15">
        <v>282</v>
      </c>
      <c r="B15" t="s">
        <v>591</v>
      </c>
      <c r="C15" t="s">
        <v>600</v>
      </c>
      <c r="D15" t="s">
        <v>582</v>
      </c>
      <c r="E15">
        <v>0.97499999999999998</v>
      </c>
      <c r="F15" t="s">
        <v>598</v>
      </c>
      <c r="G15" t="s">
        <v>24</v>
      </c>
      <c r="H15" t="s">
        <v>31</v>
      </c>
      <c r="I15">
        <v>19.5</v>
      </c>
      <c r="J15">
        <v>26.93</v>
      </c>
    </row>
    <row r="16" spans="1:10" x14ac:dyDescent="0.25">
      <c r="A16">
        <v>316</v>
      </c>
      <c r="B16" t="s">
        <v>591</v>
      </c>
      <c r="C16" t="s">
        <v>601</v>
      </c>
      <c r="D16" t="s">
        <v>602</v>
      </c>
      <c r="E16">
        <v>0.8</v>
      </c>
      <c r="F16" t="s">
        <v>585</v>
      </c>
      <c r="G16" t="s">
        <v>31</v>
      </c>
      <c r="H16" t="s">
        <v>31</v>
      </c>
      <c r="I16">
        <v>15.99</v>
      </c>
      <c r="J16">
        <v>21.94</v>
      </c>
    </row>
    <row r="17" spans="1:10" x14ac:dyDescent="0.25">
      <c r="A17">
        <v>330</v>
      </c>
      <c r="B17" t="s">
        <v>591</v>
      </c>
      <c r="C17" t="s">
        <v>601</v>
      </c>
      <c r="D17" t="s">
        <v>596</v>
      </c>
      <c r="E17">
        <v>0.8</v>
      </c>
      <c r="F17" t="s">
        <v>590</v>
      </c>
      <c r="G17" t="s">
        <v>31</v>
      </c>
      <c r="H17" t="s">
        <v>31</v>
      </c>
      <c r="I17">
        <v>15.99</v>
      </c>
      <c r="J17">
        <v>22.03</v>
      </c>
    </row>
    <row r="18" spans="1:10" x14ac:dyDescent="0.25">
      <c r="A18">
        <v>331</v>
      </c>
      <c r="B18" t="s">
        <v>591</v>
      </c>
      <c r="C18" t="s">
        <v>601</v>
      </c>
      <c r="D18" t="s">
        <v>597</v>
      </c>
      <c r="E18">
        <v>0.8</v>
      </c>
      <c r="F18" t="s">
        <v>590</v>
      </c>
      <c r="G18" t="s">
        <v>24</v>
      </c>
      <c r="H18" t="s">
        <v>24</v>
      </c>
      <c r="I18">
        <v>15.99</v>
      </c>
      <c r="J18">
        <v>22.08</v>
      </c>
    </row>
    <row r="19" spans="1:10" x14ac:dyDescent="0.25">
      <c r="A19">
        <v>341</v>
      </c>
      <c r="B19" t="s">
        <v>591</v>
      </c>
      <c r="C19" t="s">
        <v>601</v>
      </c>
      <c r="D19" t="s">
        <v>599</v>
      </c>
      <c r="E19">
        <v>0.8</v>
      </c>
      <c r="F19" t="s">
        <v>590</v>
      </c>
      <c r="G19" t="s">
        <v>24</v>
      </c>
      <c r="H19" t="s">
        <v>24</v>
      </c>
      <c r="I19">
        <v>15.99</v>
      </c>
      <c r="J19">
        <v>22.05</v>
      </c>
    </row>
    <row r="20" spans="1:10" x14ac:dyDescent="0.25">
      <c r="A20">
        <v>358</v>
      </c>
      <c r="B20" t="s">
        <v>591</v>
      </c>
      <c r="C20" t="s">
        <v>603</v>
      </c>
      <c r="D20" t="s">
        <v>596</v>
      </c>
      <c r="E20">
        <v>0.8</v>
      </c>
      <c r="F20" t="s">
        <v>585</v>
      </c>
      <c r="G20" t="s">
        <v>24</v>
      </c>
      <c r="H20" t="s">
        <v>31</v>
      </c>
      <c r="I20">
        <v>15.99</v>
      </c>
      <c r="J20">
        <v>21.96</v>
      </c>
    </row>
    <row r="21" spans="1:10" x14ac:dyDescent="0.25">
      <c r="A21">
        <v>373</v>
      </c>
      <c r="B21" t="s">
        <v>591</v>
      </c>
      <c r="C21" t="s">
        <v>603</v>
      </c>
      <c r="D21" t="s">
        <v>597</v>
      </c>
      <c r="E21">
        <v>0.8</v>
      </c>
      <c r="F21" t="s">
        <v>590</v>
      </c>
      <c r="G21" t="s">
        <v>24</v>
      </c>
      <c r="H21" t="s">
        <v>31</v>
      </c>
      <c r="I21">
        <v>15.99</v>
      </c>
      <c r="J21">
        <v>22.09</v>
      </c>
    </row>
    <row r="22" spans="1:10" x14ac:dyDescent="0.25">
      <c r="A22">
        <v>374</v>
      </c>
      <c r="B22" t="s">
        <v>591</v>
      </c>
      <c r="C22" t="s">
        <v>603</v>
      </c>
      <c r="D22" t="s">
        <v>599</v>
      </c>
      <c r="E22">
        <v>0.8</v>
      </c>
      <c r="F22" t="s">
        <v>583</v>
      </c>
      <c r="G22" t="s">
        <v>24</v>
      </c>
      <c r="H22" t="s">
        <v>24</v>
      </c>
      <c r="I22">
        <v>15.99</v>
      </c>
      <c r="J22">
        <v>21.97</v>
      </c>
    </row>
    <row r="23" spans="1:10" x14ac:dyDescent="0.25">
      <c r="A23">
        <v>376</v>
      </c>
      <c r="B23" t="s">
        <v>591</v>
      </c>
      <c r="C23" t="s">
        <v>604</v>
      </c>
      <c r="D23" t="s">
        <v>602</v>
      </c>
      <c r="E23">
        <v>0.8</v>
      </c>
      <c r="F23" t="s">
        <v>598</v>
      </c>
      <c r="G23" t="s">
        <v>24</v>
      </c>
      <c r="H23" t="s">
        <v>31</v>
      </c>
      <c r="I23">
        <v>15.99</v>
      </c>
      <c r="J23">
        <v>21.83</v>
      </c>
    </row>
    <row r="24" spans="1:10" x14ac:dyDescent="0.25">
      <c r="A24">
        <v>377</v>
      </c>
      <c r="B24" t="s">
        <v>591</v>
      </c>
      <c r="C24" t="s">
        <v>604</v>
      </c>
      <c r="D24" t="s">
        <v>596</v>
      </c>
      <c r="E24">
        <v>0.8</v>
      </c>
      <c r="F24" t="s">
        <v>587</v>
      </c>
      <c r="G24" t="s">
        <v>24</v>
      </c>
      <c r="H24" t="s">
        <v>24</v>
      </c>
      <c r="I24">
        <v>15.99</v>
      </c>
      <c r="J24">
        <v>21.95</v>
      </c>
    </row>
    <row r="25" spans="1:10" x14ac:dyDescent="0.25">
      <c r="A25">
        <v>395</v>
      </c>
      <c r="B25" t="s">
        <v>591</v>
      </c>
      <c r="C25" t="s">
        <v>604</v>
      </c>
      <c r="D25" t="s">
        <v>597</v>
      </c>
      <c r="E25">
        <v>0.8</v>
      </c>
      <c r="F25" t="s">
        <v>598</v>
      </c>
      <c r="G25" t="s">
        <v>31</v>
      </c>
      <c r="H25" t="s">
        <v>24</v>
      </c>
      <c r="I25">
        <v>15.99</v>
      </c>
      <c r="J25">
        <v>22.07</v>
      </c>
    </row>
    <row r="26" spans="1:10" x14ac:dyDescent="0.25">
      <c r="A26">
        <v>398</v>
      </c>
      <c r="B26" t="s">
        <v>591</v>
      </c>
      <c r="C26" t="s">
        <v>605</v>
      </c>
      <c r="D26" t="s">
        <v>602</v>
      </c>
      <c r="E26">
        <v>1.5</v>
      </c>
      <c r="F26" t="s">
        <v>587</v>
      </c>
      <c r="G26" t="s">
        <v>24</v>
      </c>
      <c r="H26" t="s">
        <v>31</v>
      </c>
      <c r="I26">
        <v>29.99</v>
      </c>
      <c r="J26">
        <v>41.07</v>
      </c>
    </row>
    <row r="27" spans="1:10" x14ac:dyDescent="0.25">
      <c r="A27">
        <v>418</v>
      </c>
      <c r="B27" t="s">
        <v>591</v>
      </c>
      <c r="C27" t="s">
        <v>605</v>
      </c>
      <c r="D27" t="s">
        <v>596</v>
      </c>
      <c r="E27">
        <v>1.5</v>
      </c>
      <c r="F27" t="s">
        <v>585</v>
      </c>
      <c r="G27" t="s">
        <v>31</v>
      </c>
      <c r="H27" t="s">
        <v>31</v>
      </c>
      <c r="I27">
        <v>29.99</v>
      </c>
      <c r="J27">
        <v>40.96</v>
      </c>
    </row>
    <row r="28" spans="1:10" x14ac:dyDescent="0.25">
      <c r="A28">
        <v>436</v>
      </c>
      <c r="B28" t="s">
        <v>606</v>
      </c>
      <c r="C28" t="s">
        <v>607</v>
      </c>
      <c r="D28" t="s">
        <v>582</v>
      </c>
      <c r="E28">
        <v>1.5</v>
      </c>
      <c r="F28" t="s">
        <v>590</v>
      </c>
      <c r="G28" t="s">
        <v>31</v>
      </c>
      <c r="H28" t="s">
        <v>31</v>
      </c>
      <c r="I28">
        <v>29.99</v>
      </c>
      <c r="J28">
        <v>40.96</v>
      </c>
    </row>
    <row r="29" spans="1:10" x14ac:dyDescent="0.25">
      <c r="A29">
        <v>453</v>
      </c>
      <c r="B29" t="s">
        <v>606</v>
      </c>
      <c r="C29" t="s">
        <v>608</v>
      </c>
      <c r="D29" t="s">
        <v>582</v>
      </c>
      <c r="E29">
        <v>1.35</v>
      </c>
      <c r="F29" t="s">
        <v>587</v>
      </c>
      <c r="G29" t="s">
        <v>31</v>
      </c>
      <c r="H29" t="s">
        <v>24</v>
      </c>
      <c r="I29">
        <v>26.99</v>
      </c>
      <c r="J29">
        <v>37.119999999999997</v>
      </c>
    </row>
    <row r="30" spans="1:10" x14ac:dyDescent="0.25">
      <c r="A30">
        <v>464</v>
      </c>
      <c r="B30" t="s">
        <v>606</v>
      </c>
      <c r="C30" t="s">
        <v>609</v>
      </c>
      <c r="D30" t="s">
        <v>582</v>
      </c>
      <c r="E30">
        <v>0.6</v>
      </c>
      <c r="F30" t="s">
        <v>583</v>
      </c>
      <c r="G30" t="s">
        <v>24</v>
      </c>
      <c r="H30" t="s">
        <v>24</v>
      </c>
      <c r="I30">
        <v>11.99</v>
      </c>
      <c r="J30">
        <v>16.579999999999998</v>
      </c>
    </row>
    <row r="31" spans="1:10" x14ac:dyDescent="0.25">
      <c r="A31">
        <v>479</v>
      </c>
      <c r="B31" t="s">
        <v>606</v>
      </c>
      <c r="C31" t="s">
        <v>610</v>
      </c>
      <c r="D31" t="s">
        <v>582</v>
      </c>
      <c r="E31">
        <v>0.25</v>
      </c>
      <c r="F31" t="s">
        <v>598</v>
      </c>
      <c r="G31" t="s">
        <v>31</v>
      </c>
      <c r="H31" t="s">
        <v>24</v>
      </c>
      <c r="I31">
        <v>4.99</v>
      </c>
      <c r="J31">
        <v>6.86</v>
      </c>
    </row>
    <row r="32" spans="1:10" x14ac:dyDescent="0.25">
      <c r="A32">
        <v>515</v>
      </c>
      <c r="B32" t="s">
        <v>606</v>
      </c>
      <c r="C32" t="s">
        <v>611</v>
      </c>
      <c r="D32" t="s">
        <v>582</v>
      </c>
      <c r="E32">
        <v>0.25</v>
      </c>
      <c r="F32" t="s">
        <v>583</v>
      </c>
      <c r="G32" t="s">
        <v>24</v>
      </c>
      <c r="H32" t="s">
        <v>24</v>
      </c>
      <c r="I32">
        <v>4.99</v>
      </c>
      <c r="J32">
        <v>6.91</v>
      </c>
    </row>
    <row r="33" spans="1:10" x14ac:dyDescent="0.25">
      <c r="A33">
        <v>530</v>
      </c>
      <c r="B33" t="s">
        <v>606</v>
      </c>
      <c r="C33" t="s">
        <v>612</v>
      </c>
      <c r="D33" t="s">
        <v>582</v>
      </c>
      <c r="E33">
        <v>0.25</v>
      </c>
      <c r="F33" t="s">
        <v>590</v>
      </c>
      <c r="G33" t="s">
        <v>31</v>
      </c>
      <c r="H33" t="s">
        <v>31</v>
      </c>
      <c r="I33">
        <v>4.99</v>
      </c>
      <c r="J33">
        <v>7.1</v>
      </c>
    </row>
    <row r="34" spans="1:10" x14ac:dyDescent="0.25">
      <c r="A34">
        <v>541</v>
      </c>
      <c r="B34" t="s">
        <v>606</v>
      </c>
      <c r="C34" t="s">
        <v>613</v>
      </c>
      <c r="D34" t="s">
        <v>582</v>
      </c>
      <c r="E34">
        <v>0.6</v>
      </c>
      <c r="F34" t="s">
        <v>598</v>
      </c>
      <c r="G34" t="s">
        <v>31</v>
      </c>
      <c r="H34" t="s">
        <v>24</v>
      </c>
      <c r="I34">
        <v>11.99</v>
      </c>
      <c r="J34">
        <v>16.62</v>
      </c>
    </row>
    <row r="35" spans="1:10" x14ac:dyDescent="0.25">
      <c r="A35">
        <v>543</v>
      </c>
      <c r="B35" t="s">
        <v>606</v>
      </c>
      <c r="C35" t="s">
        <v>614</v>
      </c>
      <c r="D35" t="s">
        <v>582</v>
      </c>
      <c r="E35">
        <v>0.65</v>
      </c>
      <c r="F35" t="s">
        <v>590</v>
      </c>
      <c r="G35" t="s">
        <v>24</v>
      </c>
      <c r="H35" t="s">
        <v>24</v>
      </c>
      <c r="I35">
        <v>12.99</v>
      </c>
      <c r="J35">
        <v>18.02</v>
      </c>
    </row>
    <row r="36" spans="1:10" x14ac:dyDescent="0.25">
      <c r="A36">
        <v>563</v>
      </c>
      <c r="B36" t="s">
        <v>606</v>
      </c>
      <c r="C36" t="s">
        <v>615</v>
      </c>
      <c r="D36" t="s">
        <v>582</v>
      </c>
      <c r="E36">
        <v>1.1499999999999999</v>
      </c>
      <c r="F36" t="s">
        <v>583</v>
      </c>
      <c r="G36" t="s">
        <v>31</v>
      </c>
      <c r="H36" t="s">
        <v>31</v>
      </c>
      <c r="I36">
        <v>22.99</v>
      </c>
      <c r="J36">
        <v>31.63</v>
      </c>
    </row>
    <row r="37" spans="1:10" x14ac:dyDescent="0.25">
      <c r="A37">
        <v>580</v>
      </c>
      <c r="B37" t="s">
        <v>606</v>
      </c>
      <c r="C37" t="s">
        <v>616</v>
      </c>
      <c r="D37" t="s">
        <v>582</v>
      </c>
      <c r="E37">
        <v>0.65500000000000003</v>
      </c>
      <c r="F37" t="s">
        <v>583</v>
      </c>
      <c r="G37" t="s">
        <v>24</v>
      </c>
      <c r="H37" t="s">
        <v>31</v>
      </c>
      <c r="I37">
        <v>13.11</v>
      </c>
      <c r="J37">
        <v>18.18</v>
      </c>
    </row>
    <row r="38" spans="1:10" x14ac:dyDescent="0.25">
      <c r="A38">
        <v>582</v>
      </c>
      <c r="B38" t="s">
        <v>606</v>
      </c>
      <c r="C38" t="s">
        <v>617</v>
      </c>
      <c r="D38" t="s">
        <v>582</v>
      </c>
      <c r="E38">
        <v>1.75</v>
      </c>
      <c r="F38" t="s">
        <v>587</v>
      </c>
      <c r="G38" t="s">
        <v>31</v>
      </c>
      <c r="H38" t="s">
        <v>24</v>
      </c>
      <c r="I38">
        <v>34.99</v>
      </c>
      <c r="J38">
        <v>47.77</v>
      </c>
    </row>
    <row r="39" spans="1:10" x14ac:dyDescent="0.25">
      <c r="A39">
        <v>583</v>
      </c>
      <c r="B39" t="s">
        <v>618</v>
      </c>
      <c r="C39" t="s">
        <v>619</v>
      </c>
      <c r="D39" t="s">
        <v>582</v>
      </c>
      <c r="E39">
        <v>0.3</v>
      </c>
      <c r="F39" t="s">
        <v>583</v>
      </c>
      <c r="G39" t="s">
        <v>31</v>
      </c>
      <c r="H39" t="s">
        <v>31</v>
      </c>
      <c r="I39">
        <v>5.99</v>
      </c>
      <c r="J39">
        <v>8.23</v>
      </c>
    </row>
    <row r="40" spans="1:10" x14ac:dyDescent="0.25">
      <c r="A40">
        <v>585</v>
      </c>
      <c r="B40" t="s">
        <v>618</v>
      </c>
      <c r="C40" t="s">
        <v>620</v>
      </c>
      <c r="D40" t="s">
        <v>582</v>
      </c>
      <c r="E40">
        <v>0.5</v>
      </c>
      <c r="F40" t="s">
        <v>598</v>
      </c>
      <c r="G40" t="s">
        <v>31</v>
      </c>
      <c r="H40" t="s">
        <v>31</v>
      </c>
      <c r="I40">
        <v>9.99</v>
      </c>
      <c r="J40">
        <v>13.7</v>
      </c>
    </row>
    <row r="41" spans="1:10" x14ac:dyDescent="0.25">
      <c r="A41">
        <v>590</v>
      </c>
      <c r="B41" t="s">
        <v>618</v>
      </c>
      <c r="C41" t="s">
        <v>621</v>
      </c>
      <c r="D41" t="s">
        <v>582</v>
      </c>
      <c r="E41">
        <v>0.5</v>
      </c>
      <c r="F41" t="s">
        <v>590</v>
      </c>
      <c r="G41" t="s">
        <v>24</v>
      </c>
      <c r="H41" t="s">
        <v>24</v>
      </c>
      <c r="I41">
        <v>9.99</v>
      </c>
      <c r="J41">
        <v>13.86</v>
      </c>
    </row>
    <row r="42" spans="1:10" x14ac:dyDescent="0.25">
      <c r="A42">
        <v>594</v>
      </c>
      <c r="B42" t="s">
        <v>618</v>
      </c>
      <c r="C42" t="s">
        <v>622</v>
      </c>
      <c r="D42" t="s">
        <v>582</v>
      </c>
      <c r="E42">
        <v>0.5</v>
      </c>
      <c r="F42" t="s">
        <v>590</v>
      </c>
      <c r="G42" t="s">
        <v>31</v>
      </c>
      <c r="H42" t="s">
        <v>31</v>
      </c>
      <c r="I42">
        <v>9.99</v>
      </c>
      <c r="J42">
        <v>13.88</v>
      </c>
    </row>
    <row r="43" spans="1:10" x14ac:dyDescent="0.25">
      <c r="A43">
        <v>607</v>
      </c>
      <c r="B43" t="s">
        <v>618</v>
      </c>
      <c r="C43" t="s">
        <v>623</v>
      </c>
      <c r="D43" t="s">
        <v>582</v>
      </c>
      <c r="E43">
        <v>0.5</v>
      </c>
      <c r="F43" t="s">
        <v>587</v>
      </c>
      <c r="G43" t="s">
        <v>31</v>
      </c>
      <c r="H43" t="s">
        <v>24</v>
      </c>
      <c r="I43">
        <v>9.99</v>
      </c>
      <c r="J43">
        <v>13.81</v>
      </c>
    </row>
    <row r="44" spans="1:10" x14ac:dyDescent="0.25">
      <c r="A44">
        <v>620</v>
      </c>
      <c r="B44" t="s">
        <v>618</v>
      </c>
      <c r="C44" t="s">
        <v>624</v>
      </c>
      <c r="D44" t="s">
        <v>582</v>
      </c>
      <c r="E44">
        <v>0.5</v>
      </c>
      <c r="F44" t="s">
        <v>585</v>
      </c>
      <c r="G44" t="s">
        <v>31</v>
      </c>
      <c r="H44" t="s">
        <v>24</v>
      </c>
      <c r="I44">
        <v>9.99</v>
      </c>
      <c r="J44">
        <v>13.81</v>
      </c>
    </row>
    <row r="45" spans="1:10" x14ac:dyDescent="0.25">
      <c r="A45">
        <v>643</v>
      </c>
      <c r="B45" t="s">
        <v>625</v>
      </c>
      <c r="C45" t="s">
        <v>626</v>
      </c>
      <c r="D45" t="s">
        <v>582</v>
      </c>
      <c r="E45">
        <v>0.44500000000000001</v>
      </c>
      <c r="F45" t="s">
        <v>598</v>
      </c>
      <c r="G45" t="s">
        <v>31</v>
      </c>
      <c r="H45" t="s">
        <v>31</v>
      </c>
      <c r="I45">
        <v>8.89</v>
      </c>
      <c r="J45">
        <v>12.19</v>
      </c>
    </row>
    <row r="46" spans="1:10" x14ac:dyDescent="0.25">
      <c r="A46">
        <v>652</v>
      </c>
      <c r="B46" t="s">
        <v>625</v>
      </c>
      <c r="C46" t="s">
        <v>627</v>
      </c>
      <c r="D46" t="s">
        <v>582</v>
      </c>
      <c r="E46">
        <v>0.35</v>
      </c>
      <c r="F46" t="s">
        <v>598</v>
      </c>
      <c r="G46" t="s">
        <v>31</v>
      </c>
      <c r="H46" t="s">
        <v>24</v>
      </c>
      <c r="I46">
        <v>6.99</v>
      </c>
      <c r="J46">
        <v>9.8800000000000008</v>
      </c>
    </row>
    <row r="47" spans="1:10" x14ac:dyDescent="0.25">
      <c r="A47">
        <v>667</v>
      </c>
      <c r="B47" t="s">
        <v>625</v>
      </c>
      <c r="C47" t="s">
        <v>628</v>
      </c>
      <c r="D47" t="s">
        <v>582</v>
      </c>
      <c r="E47">
        <v>0.35</v>
      </c>
      <c r="F47" t="s">
        <v>598</v>
      </c>
      <c r="G47" t="s">
        <v>31</v>
      </c>
      <c r="H47" t="s">
        <v>24</v>
      </c>
      <c r="I47">
        <v>6.99</v>
      </c>
      <c r="J47">
        <v>9.84</v>
      </c>
    </row>
    <row r="48" spans="1:10" x14ac:dyDescent="0.25">
      <c r="A48">
        <v>668</v>
      </c>
      <c r="B48" t="s">
        <v>625</v>
      </c>
      <c r="C48" t="s">
        <v>629</v>
      </c>
      <c r="D48" t="s">
        <v>582</v>
      </c>
      <c r="E48">
        <v>1.1499999999999999</v>
      </c>
      <c r="F48" t="s">
        <v>583</v>
      </c>
      <c r="G48" t="s">
        <v>31</v>
      </c>
      <c r="H48" t="s">
        <v>24</v>
      </c>
      <c r="I48">
        <v>22.99</v>
      </c>
      <c r="J48">
        <v>31.53</v>
      </c>
    </row>
    <row r="49" spans="1:10" x14ac:dyDescent="0.25">
      <c r="A49">
        <v>671</v>
      </c>
      <c r="B49" t="s">
        <v>625</v>
      </c>
      <c r="C49" t="s">
        <v>630</v>
      </c>
      <c r="D49" t="s">
        <v>582</v>
      </c>
      <c r="E49">
        <v>0.6</v>
      </c>
      <c r="F49" t="s">
        <v>585</v>
      </c>
      <c r="G49" t="s">
        <v>31</v>
      </c>
      <c r="H49" t="s">
        <v>24</v>
      </c>
      <c r="I49">
        <v>11.99</v>
      </c>
      <c r="J49">
        <v>16.690000000000001</v>
      </c>
    </row>
    <row r="50" spans="1:10" x14ac:dyDescent="0.25">
      <c r="A50">
        <v>673</v>
      </c>
      <c r="B50" t="s">
        <v>625</v>
      </c>
      <c r="C50" t="s">
        <v>631</v>
      </c>
      <c r="D50" t="s">
        <v>582</v>
      </c>
      <c r="E50">
        <v>0.58499999999999996</v>
      </c>
      <c r="F50" t="s">
        <v>598</v>
      </c>
      <c r="G50" t="s">
        <v>24</v>
      </c>
      <c r="H50" t="s">
        <v>31</v>
      </c>
      <c r="I50">
        <v>11.69</v>
      </c>
      <c r="J50">
        <v>16.190000000000001</v>
      </c>
    </row>
    <row r="51" spans="1:10" x14ac:dyDescent="0.25">
      <c r="A51">
        <v>676</v>
      </c>
      <c r="B51" t="s">
        <v>625</v>
      </c>
      <c r="C51" t="s">
        <v>632</v>
      </c>
      <c r="D51" t="s">
        <v>582</v>
      </c>
      <c r="E51">
        <v>0.45</v>
      </c>
      <c r="F51" t="s">
        <v>590</v>
      </c>
      <c r="G51" t="s">
        <v>24</v>
      </c>
      <c r="H51" t="s">
        <v>24</v>
      </c>
      <c r="I51">
        <v>8.99</v>
      </c>
      <c r="J51">
        <v>12.55</v>
      </c>
    </row>
    <row r="52" spans="1:10" x14ac:dyDescent="0.25">
      <c r="A52">
        <v>679</v>
      </c>
      <c r="B52" t="s">
        <v>625</v>
      </c>
      <c r="C52" t="s">
        <v>633</v>
      </c>
      <c r="D52" t="s">
        <v>582</v>
      </c>
      <c r="E52">
        <v>0.45</v>
      </c>
      <c r="F52" t="s">
        <v>587</v>
      </c>
      <c r="G52" t="s">
        <v>24</v>
      </c>
      <c r="H52" t="s">
        <v>31</v>
      </c>
      <c r="I52">
        <v>8.99</v>
      </c>
      <c r="J52">
        <v>12.28</v>
      </c>
    </row>
    <row r="53" spans="1:10" x14ac:dyDescent="0.25">
      <c r="A53">
        <v>681</v>
      </c>
      <c r="B53" t="s">
        <v>625</v>
      </c>
      <c r="C53" t="s">
        <v>634</v>
      </c>
      <c r="D53" t="s">
        <v>582</v>
      </c>
      <c r="E53">
        <v>0.45</v>
      </c>
      <c r="F53" t="s">
        <v>590</v>
      </c>
      <c r="G53" t="s">
        <v>31</v>
      </c>
      <c r="H53" t="s">
        <v>24</v>
      </c>
      <c r="I53">
        <v>8.99</v>
      </c>
      <c r="J53">
        <v>12.51</v>
      </c>
    </row>
    <row r="54" spans="1:10" x14ac:dyDescent="0.25">
      <c r="A54">
        <v>683</v>
      </c>
      <c r="B54" t="s">
        <v>625</v>
      </c>
      <c r="C54" t="s">
        <v>635</v>
      </c>
      <c r="D54" t="s">
        <v>582</v>
      </c>
      <c r="E54">
        <v>0.45</v>
      </c>
      <c r="F54" t="s">
        <v>590</v>
      </c>
      <c r="G54" t="s">
        <v>24</v>
      </c>
      <c r="H54" t="s">
        <v>24</v>
      </c>
      <c r="I54">
        <v>8.99</v>
      </c>
      <c r="J54">
        <v>12.54</v>
      </c>
    </row>
    <row r="55" spans="1:10" x14ac:dyDescent="0.25">
      <c r="A55">
        <v>685</v>
      </c>
      <c r="B55" t="s">
        <v>625</v>
      </c>
      <c r="C55" t="s">
        <v>636</v>
      </c>
      <c r="D55" t="s">
        <v>582</v>
      </c>
      <c r="E55">
        <v>1.35</v>
      </c>
      <c r="F55" t="s">
        <v>585</v>
      </c>
      <c r="G55" t="s">
        <v>31</v>
      </c>
      <c r="H55" t="s">
        <v>24</v>
      </c>
      <c r="I55">
        <v>26.99</v>
      </c>
      <c r="J55">
        <v>36.869999999999997</v>
      </c>
    </row>
    <row r="56" spans="1:10" x14ac:dyDescent="0.25">
      <c r="A56">
        <v>689</v>
      </c>
      <c r="B56" t="s">
        <v>637</v>
      </c>
      <c r="C56" t="s">
        <v>638</v>
      </c>
      <c r="D56" t="s">
        <v>582</v>
      </c>
      <c r="E56">
        <v>0.75</v>
      </c>
      <c r="F56" t="s">
        <v>583</v>
      </c>
      <c r="G56" t="s">
        <v>31</v>
      </c>
      <c r="H56" t="s">
        <v>24</v>
      </c>
      <c r="I56">
        <v>14.99</v>
      </c>
      <c r="J56">
        <v>20.77</v>
      </c>
    </row>
    <row r="57" spans="1:10" x14ac:dyDescent="0.25">
      <c r="A57">
        <v>692</v>
      </c>
      <c r="B57" t="s">
        <v>637</v>
      </c>
      <c r="C57" t="s">
        <v>639</v>
      </c>
      <c r="D57" t="s">
        <v>582</v>
      </c>
      <c r="E57">
        <v>0.75</v>
      </c>
      <c r="F57" t="s">
        <v>585</v>
      </c>
      <c r="G57" t="s">
        <v>31</v>
      </c>
      <c r="H57" t="s">
        <v>31</v>
      </c>
      <c r="I57">
        <v>14.99</v>
      </c>
      <c r="J57">
        <v>20.54</v>
      </c>
    </row>
    <row r="58" spans="1:10" x14ac:dyDescent="0.25">
      <c r="A58">
        <v>694</v>
      </c>
      <c r="B58" t="s">
        <v>637</v>
      </c>
      <c r="C58" t="s">
        <v>640</v>
      </c>
      <c r="D58" t="s">
        <v>582</v>
      </c>
      <c r="E58">
        <v>0.75</v>
      </c>
      <c r="F58" t="s">
        <v>587</v>
      </c>
      <c r="G58" t="s">
        <v>31</v>
      </c>
      <c r="H58" t="s">
        <v>24</v>
      </c>
      <c r="I58">
        <v>14.99</v>
      </c>
      <c r="J58">
        <v>20.49</v>
      </c>
    </row>
    <row r="59" spans="1:10" x14ac:dyDescent="0.25">
      <c r="A59">
        <v>696</v>
      </c>
      <c r="B59" t="s">
        <v>637</v>
      </c>
      <c r="C59" t="s">
        <v>641</v>
      </c>
      <c r="D59" t="s">
        <v>582</v>
      </c>
      <c r="E59">
        <v>0.2</v>
      </c>
      <c r="F59" t="s">
        <v>587</v>
      </c>
      <c r="G59" t="s">
        <v>31</v>
      </c>
      <c r="H59" t="s">
        <v>31</v>
      </c>
      <c r="I59">
        <v>3.99</v>
      </c>
      <c r="J59">
        <v>5.6</v>
      </c>
    </row>
    <row r="60" spans="1:10" x14ac:dyDescent="0.25">
      <c r="A60">
        <v>698</v>
      </c>
      <c r="B60" t="s">
        <v>637</v>
      </c>
      <c r="C60" t="s">
        <v>642</v>
      </c>
      <c r="D60" t="s">
        <v>582</v>
      </c>
      <c r="E60">
        <v>0.75</v>
      </c>
      <c r="F60" t="s">
        <v>585</v>
      </c>
      <c r="G60" t="s">
        <v>24</v>
      </c>
      <c r="H60" t="s">
        <v>31</v>
      </c>
      <c r="I60">
        <v>14.99</v>
      </c>
      <c r="J60">
        <v>20.56</v>
      </c>
    </row>
    <row r="61" spans="1:10" x14ac:dyDescent="0.25">
      <c r="A61">
        <v>699</v>
      </c>
      <c r="B61" t="s">
        <v>637</v>
      </c>
      <c r="C61" t="s">
        <v>643</v>
      </c>
      <c r="D61" t="s">
        <v>582</v>
      </c>
      <c r="E61">
        <v>0.5</v>
      </c>
      <c r="F61" t="s">
        <v>590</v>
      </c>
      <c r="G61" t="s">
        <v>31</v>
      </c>
      <c r="H61" t="s">
        <v>31</v>
      </c>
      <c r="I61">
        <v>9.99</v>
      </c>
      <c r="J61">
        <v>13.79</v>
      </c>
    </row>
    <row r="62" spans="1:10" x14ac:dyDescent="0.25">
      <c r="A62">
        <v>701</v>
      </c>
      <c r="B62" t="s">
        <v>637</v>
      </c>
      <c r="C62" t="s">
        <v>644</v>
      </c>
      <c r="D62" t="s">
        <v>582</v>
      </c>
      <c r="E62">
        <v>0.5</v>
      </c>
      <c r="F62" t="s">
        <v>587</v>
      </c>
      <c r="G62" t="s">
        <v>24</v>
      </c>
      <c r="H62" t="s">
        <v>31</v>
      </c>
      <c r="I62">
        <v>9.99</v>
      </c>
      <c r="J62">
        <v>13.83</v>
      </c>
    </row>
    <row r="63" spans="1:10" x14ac:dyDescent="0.25">
      <c r="A63">
        <v>702</v>
      </c>
      <c r="B63" t="s">
        <v>637</v>
      </c>
      <c r="C63" t="s">
        <v>645</v>
      </c>
      <c r="D63" t="s">
        <v>582</v>
      </c>
      <c r="E63">
        <v>0.2</v>
      </c>
      <c r="F63" t="s">
        <v>583</v>
      </c>
      <c r="G63" t="s">
        <v>24</v>
      </c>
      <c r="H63" t="s">
        <v>24</v>
      </c>
      <c r="I63">
        <v>3.99</v>
      </c>
      <c r="J63">
        <v>5.46</v>
      </c>
    </row>
    <row r="64" spans="1:10" x14ac:dyDescent="0.25">
      <c r="A64">
        <v>703</v>
      </c>
      <c r="B64" t="s">
        <v>637</v>
      </c>
      <c r="C64" t="s">
        <v>646</v>
      </c>
      <c r="D64" t="s">
        <v>582</v>
      </c>
      <c r="E64">
        <v>0.2</v>
      </c>
      <c r="F64" t="s">
        <v>583</v>
      </c>
      <c r="G64" t="s">
        <v>31</v>
      </c>
      <c r="H64" t="s">
        <v>24</v>
      </c>
      <c r="I64">
        <v>3.99</v>
      </c>
      <c r="J64">
        <v>5.51</v>
      </c>
    </row>
    <row r="65" spans="1:10" x14ac:dyDescent="0.25">
      <c r="A65">
        <v>704</v>
      </c>
      <c r="B65" t="s">
        <v>637</v>
      </c>
      <c r="C65" t="s">
        <v>647</v>
      </c>
      <c r="D65" t="s">
        <v>582</v>
      </c>
      <c r="E65">
        <v>0.2</v>
      </c>
      <c r="F65" t="s">
        <v>585</v>
      </c>
      <c r="G65" t="s">
        <v>31</v>
      </c>
      <c r="H65" t="s">
        <v>24</v>
      </c>
      <c r="I65">
        <v>3.99</v>
      </c>
      <c r="J65">
        <v>5.52</v>
      </c>
    </row>
    <row r="66" spans="1:10" x14ac:dyDescent="0.25">
      <c r="A66">
        <v>707</v>
      </c>
      <c r="B66" t="s">
        <v>637</v>
      </c>
      <c r="C66" t="s">
        <v>648</v>
      </c>
      <c r="D66" t="s">
        <v>582</v>
      </c>
      <c r="E66">
        <v>0.2</v>
      </c>
      <c r="F66" t="s">
        <v>590</v>
      </c>
      <c r="G66" t="s">
        <v>24</v>
      </c>
      <c r="H66" t="s">
        <v>24</v>
      </c>
      <c r="I66">
        <v>3.99</v>
      </c>
      <c r="J66">
        <v>5.48</v>
      </c>
    </row>
    <row r="67" spans="1:10" x14ac:dyDescent="0.25">
      <c r="A67">
        <v>709</v>
      </c>
      <c r="B67" t="s">
        <v>637</v>
      </c>
      <c r="C67" t="s">
        <v>649</v>
      </c>
      <c r="D67" t="s">
        <v>582</v>
      </c>
      <c r="E67">
        <v>0.2</v>
      </c>
      <c r="F67" t="s">
        <v>598</v>
      </c>
      <c r="G67" t="s">
        <v>31</v>
      </c>
      <c r="H67" t="s">
        <v>31</v>
      </c>
      <c r="I67">
        <v>3.99</v>
      </c>
      <c r="J67">
        <v>5.71</v>
      </c>
    </row>
    <row r="68" spans="1:10" x14ac:dyDescent="0.25">
      <c r="A68">
        <v>710</v>
      </c>
      <c r="B68" t="s">
        <v>637</v>
      </c>
      <c r="C68" t="s">
        <v>650</v>
      </c>
      <c r="D68" t="s">
        <v>582</v>
      </c>
      <c r="E68">
        <v>0.2</v>
      </c>
      <c r="F68" t="s">
        <v>587</v>
      </c>
      <c r="G68" t="s">
        <v>31</v>
      </c>
      <c r="H68" t="s">
        <v>31</v>
      </c>
      <c r="I68">
        <v>3.99</v>
      </c>
      <c r="J68">
        <v>5.5</v>
      </c>
    </row>
    <row r="69" spans="1:10" x14ac:dyDescent="0.25">
      <c r="A69">
        <v>711</v>
      </c>
      <c r="B69" t="s">
        <v>637</v>
      </c>
      <c r="C69" t="s">
        <v>651</v>
      </c>
      <c r="D69" t="s">
        <v>582</v>
      </c>
      <c r="E69">
        <v>0.3</v>
      </c>
      <c r="F69" t="s">
        <v>590</v>
      </c>
      <c r="G69" t="s">
        <v>31</v>
      </c>
      <c r="H69" t="s">
        <v>31</v>
      </c>
      <c r="I69">
        <v>5.99</v>
      </c>
      <c r="J69">
        <v>8.41</v>
      </c>
    </row>
    <row r="70" spans="1:10" x14ac:dyDescent="0.25">
      <c r="A70">
        <v>719</v>
      </c>
      <c r="B70" t="s">
        <v>637</v>
      </c>
      <c r="C70" t="s">
        <v>652</v>
      </c>
      <c r="D70" t="s">
        <v>582</v>
      </c>
      <c r="E70">
        <v>1.125</v>
      </c>
      <c r="F70" t="s">
        <v>583</v>
      </c>
      <c r="G70" t="s">
        <v>31</v>
      </c>
      <c r="H70" t="s">
        <v>31</v>
      </c>
      <c r="I70">
        <v>22.49</v>
      </c>
      <c r="J70">
        <v>30.76</v>
      </c>
    </row>
    <row r="71" spans="1:10" x14ac:dyDescent="0.25">
      <c r="A71">
        <v>724</v>
      </c>
      <c r="B71" t="s">
        <v>637</v>
      </c>
      <c r="C71" t="s">
        <v>653</v>
      </c>
      <c r="D71" t="s">
        <v>582</v>
      </c>
      <c r="E71">
        <v>1.125</v>
      </c>
      <c r="F71" t="s">
        <v>583</v>
      </c>
      <c r="G71" t="s">
        <v>31</v>
      </c>
      <c r="H71" t="s">
        <v>24</v>
      </c>
      <c r="I71">
        <v>22.49</v>
      </c>
      <c r="J71">
        <v>30.77</v>
      </c>
    </row>
    <row r="72" spans="1:10" x14ac:dyDescent="0.25">
      <c r="A72">
        <v>725</v>
      </c>
      <c r="B72" t="s">
        <v>654</v>
      </c>
      <c r="C72" t="s">
        <v>655</v>
      </c>
      <c r="D72" t="s">
        <v>582</v>
      </c>
      <c r="E72">
        <v>14.8</v>
      </c>
      <c r="F72" t="s">
        <v>585</v>
      </c>
      <c r="G72" t="s">
        <v>31</v>
      </c>
      <c r="H72" t="s">
        <v>31</v>
      </c>
      <c r="I72">
        <v>295.99</v>
      </c>
      <c r="J72">
        <v>403.88</v>
      </c>
    </row>
    <row r="73" spans="1:10" x14ac:dyDescent="0.25">
      <c r="A73">
        <v>726</v>
      </c>
      <c r="B73" t="s">
        <v>654</v>
      </c>
      <c r="C73" t="s">
        <v>656</v>
      </c>
      <c r="D73" t="s">
        <v>582</v>
      </c>
      <c r="E73">
        <v>18</v>
      </c>
      <c r="F73" t="s">
        <v>585</v>
      </c>
      <c r="G73" t="s">
        <v>24</v>
      </c>
      <c r="H73" t="s">
        <v>24</v>
      </c>
      <c r="I73">
        <v>359.99</v>
      </c>
      <c r="J73">
        <v>491.12</v>
      </c>
    </row>
    <row r="74" spans="1:10" x14ac:dyDescent="0.25">
      <c r="A74">
        <v>732</v>
      </c>
      <c r="B74" t="s">
        <v>654</v>
      </c>
      <c r="C74" t="s">
        <v>657</v>
      </c>
      <c r="D74" t="s">
        <v>582</v>
      </c>
      <c r="E74">
        <v>3</v>
      </c>
      <c r="F74" t="s">
        <v>587</v>
      </c>
      <c r="G74" t="s">
        <v>31</v>
      </c>
      <c r="H74" t="s">
        <v>31</v>
      </c>
      <c r="I74">
        <v>59.99</v>
      </c>
      <c r="J74">
        <v>81.83</v>
      </c>
    </row>
    <row r="75" spans="1:10" x14ac:dyDescent="0.25">
      <c r="A75">
        <v>740</v>
      </c>
      <c r="B75" t="s">
        <v>654</v>
      </c>
      <c r="C75" t="s">
        <v>658</v>
      </c>
      <c r="D75" t="s">
        <v>582</v>
      </c>
      <c r="E75">
        <v>14.8</v>
      </c>
      <c r="F75" t="s">
        <v>587</v>
      </c>
      <c r="G75" t="s">
        <v>31</v>
      </c>
      <c r="H75" t="s">
        <v>24</v>
      </c>
      <c r="I75">
        <v>295.99</v>
      </c>
      <c r="J75">
        <v>403.84</v>
      </c>
    </row>
    <row r="76" spans="1:10" x14ac:dyDescent="0.25">
      <c r="A76">
        <v>745</v>
      </c>
      <c r="B76" t="s">
        <v>654</v>
      </c>
      <c r="C76" t="s">
        <v>659</v>
      </c>
      <c r="D76" t="s">
        <v>582</v>
      </c>
      <c r="E76">
        <v>1.75</v>
      </c>
      <c r="F76" t="s">
        <v>585</v>
      </c>
      <c r="G76" t="s">
        <v>31</v>
      </c>
      <c r="H76" t="s">
        <v>24</v>
      </c>
      <c r="I76">
        <v>34.99</v>
      </c>
      <c r="J76">
        <v>47.86</v>
      </c>
    </row>
    <row r="77" spans="1:10" x14ac:dyDescent="0.25">
      <c r="A77">
        <v>747</v>
      </c>
      <c r="B77" t="s">
        <v>654</v>
      </c>
      <c r="C77" t="s">
        <v>660</v>
      </c>
      <c r="D77" t="s">
        <v>582</v>
      </c>
      <c r="E77">
        <v>2.25</v>
      </c>
      <c r="F77" t="s">
        <v>598</v>
      </c>
      <c r="G77" t="s">
        <v>31</v>
      </c>
      <c r="H77" t="s">
        <v>24</v>
      </c>
      <c r="I77">
        <v>44.99</v>
      </c>
      <c r="J77">
        <v>61.7</v>
      </c>
    </row>
    <row r="78" spans="1:10" x14ac:dyDescent="0.25">
      <c r="A78">
        <v>752</v>
      </c>
      <c r="B78" t="s">
        <v>661</v>
      </c>
      <c r="C78" t="s">
        <v>662</v>
      </c>
      <c r="D78" t="s">
        <v>582</v>
      </c>
      <c r="E78">
        <v>2</v>
      </c>
      <c r="F78" t="s">
        <v>585</v>
      </c>
      <c r="G78" t="s">
        <v>24</v>
      </c>
      <c r="H78" t="s">
        <v>24</v>
      </c>
      <c r="I78">
        <v>39.99</v>
      </c>
      <c r="J78">
        <v>54.85</v>
      </c>
    </row>
    <row r="79" spans="1:10" x14ac:dyDescent="0.25">
      <c r="A79">
        <v>757</v>
      </c>
      <c r="B79" t="s">
        <v>661</v>
      </c>
      <c r="C79" t="s">
        <v>663</v>
      </c>
      <c r="D79" t="s">
        <v>582</v>
      </c>
      <c r="E79">
        <v>1.75</v>
      </c>
      <c r="F79" t="s">
        <v>590</v>
      </c>
      <c r="G79" t="s">
        <v>31</v>
      </c>
      <c r="H79" t="s">
        <v>31</v>
      </c>
      <c r="I79">
        <v>34.99</v>
      </c>
      <c r="J79">
        <v>47.88</v>
      </c>
    </row>
    <row r="80" spans="1:10" x14ac:dyDescent="0.25">
      <c r="A80">
        <v>758</v>
      </c>
      <c r="B80" t="s">
        <v>661</v>
      </c>
      <c r="C80" t="s">
        <v>664</v>
      </c>
      <c r="D80" t="s">
        <v>582</v>
      </c>
      <c r="E80">
        <v>1.75</v>
      </c>
      <c r="F80" t="s">
        <v>583</v>
      </c>
      <c r="G80" t="s">
        <v>31</v>
      </c>
      <c r="H80" t="s">
        <v>24</v>
      </c>
      <c r="I80">
        <v>34.99</v>
      </c>
      <c r="J80">
        <v>47.79</v>
      </c>
    </row>
    <row r="81" spans="1:10" x14ac:dyDescent="0.25">
      <c r="A81">
        <v>759</v>
      </c>
      <c r="B81" t="s">
        <v>661</v>
      </c>
      <c r="C81" t="s">
        <v>665</v>
      </c>
      <c r="D81" t="s">
        <v>582</v>
      </c>
      <c r="E81">
        <v>1.375</v>
      </c>
      <c r="F81" t="s">
        <v>585</v>
      </c>
      <c r="G81" t="s">
        <v>24</v>
      </c>
      <c r="H81" t="s">
        <v>31</v>
      </c>
      <c r="I81">
        <v>27.5</v>
      </c>
      <c r="J81">
        <v>37.630000000000003</v>
      </c>
    </row>
    <row r="82" spans="1:10" x14ac:dyDescent="0.25">
      <c r="A82">
        <v>762</v>
      </c>
      <c r="B82" t="s">
        <v>661</v>
      </c>
      <c r="C82" t="s">
        <v>666</v>
      </c>
      <c r="D82" t="s">
        <v>582</v>
      </c>
      <c r="E82">
        <v>1.375</v>
      </c>
      <c r="F82" t="s">
        <v>587</v>
      </c>
      <c r="G82" t="s">
        <v>24</v>
      </c>
      <c r="H82" t="s">
        <v>24</v>
      </c>
      <c r="I82">
        <v>27.5</v>
      </c>
      <c r="J82">
        <v>37.799999999999997</v>
      </c>
    </row>
    <row r="83" spans="1:10" x14ac:dyDescent="0.25">
      <c r="A83">
        <v>769</v>
      </c>
      <c r="B83" t="s">
        <v>661</v>
      </c>
      <c r="C83" t="s">
        <v>667</v>
      </c>
      <c r="D83" t="s">
        <v>582</v>
      </c>
      <c r="E83">
        <v>1.375</v>
      </c>
      <c r="F83" t="s">
        <v>585</v>
      </c>
      <c r="G83" t="s">
        <v>24</v>
      </c>
      <c r="H83" t="s">
        <v>24</v>
      </c>
      <c r="I83">
        <v>27.5</v>
      </c>
      <c r="J83">
        <v>37.76</v>
      </c>
    </row>
    <row r="84" spans="1:10" x14ac:dyDescent="0.25">
      <c r="A84">
        <v>778</v>
      </c>
      <c r="B84" t="s">
        <v>661</v>
      </c>
      <c r="C84" t="s">
        <v>668</v>
      </c>
      <c r="D84" t="s">
        <v>582</v>
      </c>
      <c r="E84">
        <v>1.375</v>
      </c>
      <c r="F84" t="s">
        <v>587</v>
      </c>
      <c r="G84" t="s">
        <v>31</v>
      </c>
      <c r="H84" t="s">
        <v>31</v>
      </c>
      <c r="I84">
        <v>27.5</v>
      </c>
      <c r="J84">
        <v>37.520000000000003</v>
      </c>
    </row>
    <row r="85" spans="1:10" x14ac:dyDescent="0.25">
      <c r="A85">
        <v>780</v>
      </c>
      <c r="B85" t="s">
        <v>661</v>
      </c>
      <c r="C85" t="s">
        <v>669</v>
      </c>
      <c r="D85" t="s">
        <v>582</v>
      </c>
      <c r="E85">
        <v>2.5</v>
      </c>
      <c r="F85" t="s">
        <v>585</v>
      </c>
      <c r="G85" t="s">
        <v>31</v>
      </c>
      <c r="H85" t="s">
        <v>24</v>
      </c>
      <c r="I85">
        <v>49.99</v>
      </c>
      <c r="J85">
        <v>68.23</v>
      </c>
    </row>
    <row r="86" spans="1:10" x14ac:dyDescent="0.25">
      <c r="A86">
        <v>782</v>
      </c>
      <c r="B86" t="s">
        <v>661</v>
      </c>
      <c r="C86" t="s">
        <v>670</v>
      </c>
      <c r="D86" t="s">
        <v>582</v>
      </c>
      <c r="E86">
        <v>2.5</v>
      </c>
      <c r="F86" t="s">
        <v>585</v>
      </c>
      <c r="G86" t="s">
        <v>24</v>
      </c>
      <c r="H86" t="s">
        <v>31</v>
      </c>
      <c r="I86">
        <v>49.99</v>
      </c>
      <c r="J86">
        <v>68.5</v>
      </c>
    </row>
    <row r="87" spans="1:10" x14ac:dyDescent="0.25">
      <c r="A87">
        <v>787</v>
      </c>
      <c r="B87" t="s">
        <v>661</v>
      </c>
      <c r="C87" t="s">
        <v>671</v>
      </c>
      <c r="D87" t="s">
        <v>582</v>
      </c>
      <c r="E87">
        <v>2.5</v>
      </c>
      <c r="F87" t="s">
        <v>598</v>
      </c>
      <c r="G87" t="s">
        <v>24</v>
      </c>
      <c r="H87" t="s">
        <v>24</v>
      </c>
      <c r="I87">
        <v>49.99</v>
      </c>
      <c r="J87">
        <v>68.290000000000006</v>
      </c>
    </row>
    <row r="88" spans="1:10" x14ac:dyDescent="0.25">
      <c r="A88">
        <v>792</v>
      </c>
      <c r="B88" t="s">
        <v>661</v>
      </c>
      <c r="C88" t="s">
        <v>672</v>
      </c>
      <c r="D88" t="s">
        <v>582</v>
      </c>
      <c r="E88">
        <v>2.5</v>
      </c>
      <c r="F88" t="s">
        <v>590</v>
      </c>
      <c r="G88" t="s">
        <v>24</v>
      </c>
      <c r="H88" t="s">
        <v>31</v>
      </c>
      <c r="I88">
        <v>49.99</v>
      </c>
      <c r="J88">
        <v>68.39</v>
      </c>
    </row>
    <row r="89" spans="1:10" x14ac:dyDescent="0.25">
      <c r="A89">
        <v>801</v>
      </c>
      <c r="B89" t="s">
        <v>661</v>
      </c>
      <c r="C89" t="s">
        <v>673</v>
      </c>
      <c r="D89" t="s">
        <v>582</v>
      </c>
      <c r="E89">
        <v>2.5</v>
      </c>
      <c r="F89" t="s">
        <v>585</v>
      </c>
      <c r="G89" t="s">
        <v>24</v>
      </c>
      <c r="H89" t="s">
        <v>24</v>
      </c>
      <c r="I89">
        <v>49.99</v>
      </c>
      <c r="J89">
        <v>68.180000000000007</v>
      </c>
    </row>
    <row r="90" spans="1:10" x14ac:dyDescent="0.25">
      <c r="A90">
        <v>805</v>
      </c>
      <c r="B90" t="s">
        <v>661</v>
      </c>
      <c r="C90" t="s">
        <v>674</v>
      </c>
      <c r="D90" t="s">
        <v>582</v>
      </c>
      <c r="E90">
        <v>2.5</v>
      </c>
      <c r="F90" t="s">
        <v>590</v>
      </c>
      <c r="G90" t="s">
        <v>24</v>
      </c>
      <c r="H90" t="s">
        <v>31</v>
      </c>
      <c r="I90">
        <v>49.99</v>
      </c>
      <c r="J90">
        <v>68.42</v>
      </c>
    </row>
    <row r="91" spans="1:10" x14ac:dyDescent="0.25">
      <c r="A91">
        <v>810</v>
      </c>
      <c r="B91" t="s">
        <v>661</v>
      </c>
      <c r="C91" t="s">
        <v>675</v>
      </c>
      <c r="D91" t="s">
        <v>582</v>
      </c>
      <c r="E91">
        <v>2.5</v>
      </c>
      <c r="F91" t="s">
        <v>583</v>
      </c>
      <c r="G91" t="s">
        <v>24</v>
      </c>
      <c r="H91" t="s">
        <v>24</v>
      </c>
      <c r="I91">
        <v>49.99</v>
      </c>
      <c r="J91">
        <v>68.260000000000005</v>
      </c>
    </row>
    <row r="92" spans="1:10" x14ac:dyDescent="0.25">
      <c r="A92">
        <v>812</v>
      </c>
      <c r="B92" t="s">
        <v>661</v>
      </c>
      <c r="C92" t="s">
        <v>676</v>
      </c>
      <c r="D92" t="s">
        <v>582</v>
      </c>
      <c r="E92">
        <v>2.5</v>
      </c>
      <c r="F92" t="s">
        <v>590</v>
      </c>
      <c r="G92" t="s">
        <v>24</v>
      </c>
      <c r="H92" t="s">
        <v>24</v>
      </c>
      <c r="I92">
        <v>49.99</v>
      </c>
      <c r="J92">
        <v>68.47</v>
      </c>
    </row>
    <row r="93" spans="1:10" x14ac:dyDescent="0.25">
      <c r="A93">
        <v>813</v>
      </c>
      <c r="B93" t="s">
        <v>661</v>
      </c>
      <c r="C93" t="s">
        <v>677</v>
      </c>
      <c r="D93" t="s">
        <v>582</v>
      </c>
      <c r="E93">
        <v>2.5</v>
      </c>
      <c r="F93" t="s">
        <v>585</v>
      </c>
      <c r="G93" t="s">
        <v>31</v>
      </c>
      <c r="H93" t="s">
        <v>24</v>
      </c>
      <c r="I93">
        <v>49.99</v>
      </c>
      <c r="J93">
        <v>68.319999999999993</v>
      </c>
    </row>
    <row r="94" spans="1:10" x14ac:dyDescent="0.25">
      <c r="A94">
        <v>817</v>
      </c>
      <c r="B94" t="s">
        <v>661</v>
      </c>
      <c r="C94" t="s">
        <v>678</v>
      </c>
      <c r="D94" t="s">
        <v>582</v>
      </c>
      <c r="E94">
        <v>2.5</v>
      </c>
      <c r="F94" t="s">
        <v>598</v>
      </c>
      <c r="G94" t="s">
        <v>24</v>
      </c>
      <c r="H94" t="s">
        <v>24</v>
      </c>
      <c r="I94">
        <v>49.99</v>
      </c>
      <c r="J94">
        <v>68.44</v>
      </c>
    </row>
    <row r="95" spans="1:10" x14ac:dyDescent="0.25">
      <c r="A95">
        <v>826</v>
      </c>
      <c r="B95" t="s">
        <v>661</v>
      </c>
      <c r="C95" t="s">
        <v>679</v>
      </c>
      <c r="D95" t="s">
        <v>582</v>
      </c>
      <c r="E95">
        <v>1.8</v>
      </c>
      <c r="F95" t="s">
        <v>587</v>
      </c>
      <c r="G95" t="s">
        <v>31</v>
      </c>
      <c r="H95" t="s">
        <v>31</v>
      </c>
      <c r="I95">
        <v>35.99</v>
      </c>
      <c r="J95">
        <v>49.13</v>
      </c>
    </row>
    <row r="96" spans="1:10" x14ac:dyDescent="0.25">
      <c r="A96">
        <v>830</v>
      </c>
      <c r="B96" t="s">
        <v>661</v>
      </c>
      <c r="C96" t="s">
        <v>680</v>
      </c>
      <c r="D96" t="s">
        <v>582</v>
      </c>
      <c r="E96">
        <v>1.8</v>
      </c>
      <c r="F96" t="s">
        <v>583</v>
      </c>
      <c r="G96" t="s">
        <v>31</v>
      </c>
      <c r="H96" t="s">
        <v>31</v>
      </c>
      <c r="I96">
        <v>35.99</v>
      </c>
      <c r="J96">
        <v>49.35</v>
      </c>
    </row>
    <row r="97" spans="1:10" x14ac:dyDescent="0.25">
      <c r="A97">
        <v>834</v>
      </c>
      <c r="B97" t="s">
        <v>661</v>
      </c>
      <c r="C97" t="s">
        <v>681</v>
      </c>
      <c r="D97" t="s">
        <v>582</v>
      </c>
      <c r="E97">
        <v>2.5</v>
      </c>
      <c r="F97" t="s">
        <v>585</v>
      </c>
      <c r="G97" t="s">
        <v>31</v>
      </c>
      <c r="H97" t="s">
        <v>31</v>
      </c>
      <c r="I97">
        <v>49.99</v>
      </c>
      <c r="J97">
        <v>68.52</v>
      </c>
    </row>
    <row r="98" spans="1:10" x14ac:dyDescent="0.25">
      <c r="A98">
        <v>840</v>
      </c>
      <c r="B98" t="s">
        <v>661</v>
      </c>
      <c r="C98" t="s">
        <v>682</v>
      </c>
      <c r="D98" t="s">
        <v>582</v>
      </c>
      <c r="E98">
        <v>2.5</v>
      </c>
      <c r="F98" t="s">
        <v>587</v>
      </c>
      <c r="G98" t="s">
        <v>31</v>
      </c>
      <c r="H98" t="s">
        <v>31</v>
      </c>
      <c r="I98">
        <v>49.99</v>
      </c>
      <c r="J98">
        <v>68.510000000000005</v>
      </c>
    </row>
    <row r="99" spans="1:10" x14ac:dyDescent="0.25">
      <c r="A99">
        <v>843</v>
      </c>
      <c r="B99" t="s">
        <v>661</v>
      </c>
      <c r="C99" t="s">
        <v>683</v>
      </c>
      <c r="D99" t="s">
        <v>582</v>
      </c>
      <c r="E99">
        <v>2.5</v>
      </c>
      <c r="F99" t="s">
        <v>590</v>
      </c>
      <c r="G99" t="s">
        <v>31</v>
      </c>
      <c r="H99" t="s">
        <v>24</v>
      </c>
      <c r="I99">
        <v>49.99</v>
      </c>
      <c r="J99">
        <v>68.33</v>
      </c>
    </row>
    <row r="100" spans="1:10" x14ac:dyDescent="0.25">
      <c r="A100">
        <v>849</v>
      </c>
      <c r="B100" t="s">
        <v>661</v>
      </c>
      <c r="C100" t="s">
        <v>684</v>
      </c>
      <c r="D100" t="s">
        <v>582</v>
      </c>
      <c r="E100">
        <v>5</v>
      </c>
      <c r="F100" t="s">
        <v>598</v>
      </c>
      <c r="G100" t="s">
        <v>31</v>
      </c>
      <c r="H100" t="s">
        <v>24</v>
      </c>
      <c r="I100">
        <v>99.99</v>
      </c>
      <c r="J100">
        <v>136.41</v>
      </c>
    </row>
    <row r="101" spans="1:10" x14ac:dyDescent="0.25">
      <c r="A101">
        <v>852</v>
      </c>
      <c r="B101" t="s">
        <v>661</v>
      </c>
      <c r="C101" t="s">
        <v>685</v>
      </c>
      <c r="D101" t="s">
        <v>582</v>
      </c>
      <c r="E101">
        <v>5.4</v>
      </c>
      <c r="F101" t="s">
        <v>583</v>
      </c>
      <c r="G101" t="s">
        <v>31</v>
      </c>
      <c r="H101" t="s">
        <v>24</v>
      </c>
      <c r="I101">
        <v>108</v>
      </c>
      <c r="J101">
        <v>147.29</v>
      </c>
    </row>
    <row r="102" spans="1:10" x14ac:dyDescent="0.25">
      <c r="A102">
        <v>853</v>
      </c>
      <c r="B102" t="s">
        <v>661</v>
      </c>
      <c r="C102" t="s">
        <v>686</v>
      </c>
      <c r="D102" t="s">
        <v>582</v>
      </c>
      <c r="E102">
        <v>3.5</v>
      </c>
      <c r="F102" t="s">
        <v>583</v>
      </c>
      <c r="G102" t="s">
        <v>31</v>
      </c>
      <c r="H102" t="s">
        <v>24</v>
      </c>
      <c r="I102">
        <v>69.989999999999995</v>
      </c>
      <c r="J102">
        <v>95.51</v>
      </c>
    </row>
    <row r="103" spans="1:10" x14ac:dyDescent="0.25">
      <c r="A103">
        <v>862</v>
      </c>
      <c r="B103" t="s">
        <v>661</v>
      </c>
      <c r="C103" t="s">
        <v>687</v>
      </c>
      <c r="D103" t="s">
        <v>582</v>
      </c>
      <c r="E103">
        <v>0.4</v>
      </c>
      <c r="F103" t="s">
        <v>587</v>
      </c>
      <c r="G103" t="s">
        <v>24</v>
      </c>
      <c r="H103" t="s">
        <v>24</v>
      </c>
      <c r="I103">
        <v>7.99</v>
      </c>
      <c r="J103">
        <v>11.01</v>
      </c>
    </row>
    <row r="104" spans="1:10" x14ac:dyDescent="0.25">
      <c r="A104">
        <v>867</v>
      </c>
      <c r="B104" t="s">
        <v>661</v>
      </c>
      <c r="C104" t="s">
        <v>688</v>
      </c>
      <c r="D104" t="s">
        <v>582</v>
      </c>
      <c r="E104">
        <v>0.4</v>
      </c>
      <c r="F104" t="s">
        <v>590</v>
      </c>
      <c r="G104" t="s">
        <v>31</v>
      </c>
      <c r="H104" t="s">
        <v>24</v>
      </c>
      <c r="I104">
        <v>7.99</v>
      </c>
      <c r="J104">
        <v>11.1</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503"/>
  <sheetViews>
    <sheetView workbookViewId="0">
      <selection activeCell="A4" sqref="A4:E2503"/>
    </sheetView>
  </sheetViews>
  <sheetFormatPr defaultRowHeight="15" x14ac:dyDescent="0.25"/>
  <cols>
    <col min="1" max="1" width="8.85546875" customWidth="1"/>
    <col min="2" max="2" width="9.140625" customWidth="1"/>
    <col min="3" max="3" width="12.42578125" customWidth="1"/>
    <col min="4" max="4" width="14.85546875" customWidth="1"/>
    <col min="5" max="5" width="11.42578125" customWidth="1"/>
  </cols>
  <sheetData>
    <row r="1" spans="1:5" x14ac:dyDescent="0.25">
      <c r="A1" s="2" t="s">
        <v>2</v>
      </c>
    </row>
    <row r="3" spans="1:5" x14ac:dyDescent="0.25">
      <c r="A3" t="s">
        <v>3</v>
      </c>
      <c r="B3" t="s">
        <v>570</v>
      </c>
      <c r="C3" t="s">
        <v>711</v>
      </c>
      <c r="D3" t="s">
        <v>712</v>
      </c>
      <c r="E3" t="s">
        <v>713</v>
      </c>
    </row>
    <row r="4" spans="1:5" x14ac:dyDescent="0.25">
      <c r="A4">
        <v>42</v>
      </c>
      <c r="B4">
        <v>747</v>
      </c>
      <c r="C4" s="3">
        <v>44562</v>
      </c>
      <c r="D4" s="3">
        <v>44568</v>
      </c>
      <c r="E4">
        <v>6</v>
      </c>
    </row>
    <row r="5" spans="1:5" x14ac:dyDescent="0.25">
      <c r="A5">
        <v>42</v>
      </c>
      <c r="B5">
        <v>758</v>
      </c>
      <c r="C5" s="3">
        <v>44562</v>
      </c>
      <c r="D5" s="3">
        <v>44564</v>
      </c>
      <c r="E5">
        <v>6</v>
      </c>
    </row>
    <row r="6" spans="1:5" x14ac:dyDescent="0.25">
      <c r="A6">
        <v>66</v>
      </c>
      <c r="B6">
        <v>757</v>
      </c>
      <c r="C6" s="3">
        <v>44562</v>
      </c>
      <c r="D6" s="3">
        <v>44599</v>
      </c>
      <c r="E6">
        <v>8</v>
      </c>
    </row>
    <row r="7" spans="1:5" x14ac:dyDescent="0.25">
      <c r="A7">
        <v>180</v>
      </c>
      <c r="B7">
        <v>782</v>
      </c>
      <c r="C7" s="3">
        <v>44562</v>
      </c>
      <c r="D7" s="3">
        <v>44578</v>
      </c>
      <c r="E7">
        <v>9</v>
      </c>
    </row>
    <row r="8" spans="1:5" x14ac:dyDescent="0.25">
      <c r="A8">
        <v>190</v>
      </c>
      <c r="B8">
        <v>374</v>
      </c>
      <c r="C8" s="3">
        <v>44562</v>
      </c>
      <c r="D8" s="3">
        <v>44569</v>
      </c>
      <c r="E8">
        <v>3</v>
      </c>
    </row>
    <row r="9" spans="1:5" x14ac:dyDescent="0.25">
      <c r="A9">
        <v>296</v>
      </c>
      <c r="B9">
        <v>436</v>
      </c>
      <c r="C9" s="3">
        <v>44562</v>
      </c>
      <c r="D9" s="3">
        <v>44571</v>
      </c>
      <c r="E9">
        <v>10</v>
      </c>
    </row>
    <row r="10" spans="1:5" x14ac:dyDescent="0.25">
      <c r="A10">
        <v>308</v>
      </c>
      <c r="B10">
        <v>801</v>
      </c>
      <c r="C10" s="3">
        <v>44562</v>
      </c>
      <c r="D10" s="3">
        <v>44569</v>
      </c>
      <c r="E10">
        <v>4</v>
      </c>
    </row>
    <row r="11" spans="1:5" x14ac:dyDescent="0.25">
      <c r="A11">
        <v>328</v>
      </c>
      <c r="B11">
        <v>685</v>
      </c>
      <c r="C11" s="3">
        <v>44562</v>
      </c>
      <c r="D11" s="3">
        <v>44582</v>
      </c>
      <c r="E11">
        <v>9</v>
      </c>
    </row>
    <row r="12" spans="1:5" x14ac:dyDescent="0.25">
      <c r="A12">
        <v>448</v>
      </c>
      <c r="B12">
        <v>711</v>
      </c>
      <c r="C12" s="3">
        <v>44562</v>
      </c>
      <c r="D12" s="3">
        <v>44576</v>
      </c>
      <c r="E12">
        <v>7</v>
      </c>
    </row>
    <row r="13" spans="1:5" x14ac:dyDescent="0.25">
      <c r="A13">
        <v>730</v>
      </c>
      <c r="B13">
        <v>852</v>
      </c>
      <c r="C13" s="3">
        <v>44562</v>
      </c>
      <c r="D13" s="3">
        <v>44564</v>
      </c>
      <c r="E13">
        <v>4</v>
      </c>
    </row>
    <row r="14" spans="1:5" x14ac:dyDescent="0.25">
      <c r="A14">
        <v>758</v>
      </c>
      <c r="B14">
        <v>479</v>
      </c>
      <c r="C14" s="3">
        <v>44562</v>
      </c>
      <c r="D14" s="3">
        <v>44593</v>
      </c>
      <c r="E14">
        <v>2</v>
      </c>
    </row>
    <row r="15" spans="1:5" x14ac:dyDescent="0.25">
      <c r="A15">
        <v>784</v>
      </c>
      <c r="B15">
        <v>580</v>
      </c>
      <c r="C15" s="3">
        <v>44562</v>
      </c>
      <c r="D15" s="3">
        <v>44581</v>
      </c>
      <c r="E15">
        <v>5</v>
      </c>
    </row>
    <row r="16" spans="1:5" x14ac:dyDescent="0.25">
      <c r="A16">
        <v>784</v>
      </c>
      <c r="B16">
        <v>585</v>
      </c>
      <c r="C16" s="3">
        <v>44562</v>
      </c>
      <c r="D16" s="3">
        <v>44591</v>
      </c>
      <c r="E16">
        <v>6</v>
      </c>
    </row>
    <row r="17" spans="1:5" x14ac:dyDescent="0.25">
      <c r="A17">
        <v>112</v>
      </c>
      <c r="B17">
        <v>398</v>
      </c>
      <c r="C17" s="3">
        <v>44563</v>
      </c>
      <c r="D17" s="3">
        <v>44569</v>
      </c>
      <c r="E17">
        <v>10</v>
      </c>
    </row>
    <row r="18" spans="1:5" x14ac:dyDescent="0.25">
      <c r="A18">
        <v>142</v>
      </c>
      <c r="B18">
        <v>177</v>
      </c>
      <c r="C18" s="3">
        <v>44563</v>
      </c>
      <c r="D18" s="3">
        <v>44570</v>
      </c>
      <c r="E18">
        <v>4</v>
      </c>
    </row>
    <row r="19" spans="1:5" x14ac:dyDescent="0.25">
      <c r="A19">
        <v>224</v>
      </c>
      <c r="B19">
        <v>725</v>
      </c>
      <c r="C19" s="3">
        <v>44563</v>
      </c>
      <c r="D19" s="3">
        <v>44566</v>
      </c>
      <c r="E19">
        <v>8</v>
      </c>
    </row>
    <row r="20" spans="1:5" x14ac:dyDescent="0.25">
      <c r="A20">
        <v>323</v>
      </c>
      <c r="B20">
        <v>792</v>
      </c>
      <c r="C20" s="3">
        <v>44563</v>
      </c>
      <c r="D20" s="3">
        <v>44578</v>
      </c>
      <c r="E20">
        <v>7</v>
      </c>
    </row>
    <row r="21" spans="1:5" x14ac:dyDescent="0.25">
      <c r="A21">
        <v>501</v>
      </c>
      <c r="B21">
        <v>580</v>
      </c>
      <c r="C21" s="3">
        <v>44563</v>
      </c>
      <c r="D21" s="3">
        <v>44582</v>
      </c>
      <c r="E21">
        <v>10</v>
      </c>
    </row>
    <row r="22" spans="1:5" x14ac:dyDescent="0.25">
      <c r="A22">
        <v>526</v>
      </c>
      <c r="B22">
        <v>719</v>
      </c>
      <c r="C22" s="3">
        <v>44563</v>
      </c>
      <c r="D22" s="3">
        <v>44580</v>
      </c>
      <c r="E22">
        <v>7</v>
      </c>
    </row>
    <row r="23" spans="1:5" x14ac:dyDescent="0.25">
      <c r="A23">
        <v>586</v>
      </c>
      <c r="B23">
        <v>834</v>
      </c>
      <c r="C23" s="3">
        <v>44563</v>
      </c>
      <c r="D23" s="3">
        <v>44576</v>
      </c>
      <c r="E23">
        <v>3</v>
      </c>
    </row>
    <row r="24" spans="1:5" x14ac:dyDescent="0.25">
      <c r="A24">
        <v>602</v>
      </c>
      <c r="B24">
        <v>543</v>
      </c>
      <c r="C24" s="3">
        <v>44563</v>
      </c>
      <c r="D24" s="3">
        <v>44593</v>
      </c>
      <c r="E24">
        <v>8</v>
      </c>
    </row>
    <row r="25" spans="1:5" x14ac:dyDescent="0.25">
      <c r="A25">
        <v>602</v>
      </c>
      <c r="B25">
        <v>840</v>
      </c>
      <c r="C25" s="3">
        <v>44563</v>
      </c>
      <c r="D25" s="3">
        <v>44578</v>
      </c>
      <c r="E25">
        <v>10</v>
      </c>
    </row>
    <row r="26" spans="1:5" x14ac:dyDescent="0.25">
      <c r="A26">
        <v>634</v>
      </c>
      <c r="B26">
        <v>752</v>
      </c>
      <c r="C26" s="3">
        <v>44563</v>
      </c>
      <c r="D26" s="3">
        <v>44569</v>
      </c>
      <c r="E26">
        <v>7</v>
      </c>
    </row>
    <row r="27" spans="1:5" x14ac:dyDescent="0.25">
      <c r="A27">
        <v>651</v>
      </c>
      <c r="B27">
        <v>685</v>
      </c>
      <c r="C27" s="3">
        <v>44563</v>
      </c>
      <c r="D27" s="3">
        <v>44604</v>
      </c>
      <c r="E27">
        <v>1</v>
      </c>
    </row>
    <row r="28" spans="1:5" x14ac:dyDescent="0.25">
      <c r="A28">
        <v>669</v>
      </c>
      <c r="B28">
        <v>812</v>
      </c>
      <c r="C28" s="3">
        <v>44563</v>
      </c>
      <c r="D28" s="3">
        <v>44576</v>
      </c>
      <c r="E28">
        <v>2</v>
      </c>
    </row>
    <row r="29" spans="1:5" x14ac:dyDescent="0.25">
      <c r="A29">
        <v>923</v>
      </c>
      <c r="B29">
        <v>780</v>
      </c>
      <c r="C29" s="3">
        <v>44563</v>
      </c>
      <c r="D29" s="3">
        <v>44586</v>
      </c>
      <c r="E29">
        <v>1</v>
      </c>
    </row>
    <row r="30" spans="1:5" x14ac:dyDescent="0.25">
      <c r="A30">
        <v>923</v>
      </c>
      <c r="B30">
        <v>840</v>
      </c>
      <c r="C30" s="3">
        <v>44563</v>
      </c>
      <c r="D30" s="3">
        <v>44597</v>
      </c>
      <c r="E30">
        <v>3</v>
      </c>
    </row>
    <row r="31" spans="1:5" x14ac:dyDescent="0.25">
      <c r="A31">
        <v>47</v>
      </c>
      <c r="B31">
        <v>436</v>
      </c>
      <c r="C31" s="3">
        <v>44564</v>
      </c>
      <c r="D31" s="3">
        <v>44585</v>
      </c>
      <c r="E31">
        <v>4</v>
      </c>
    </row>
    <row r="32" spans="1:5" x14ac:dyDescent="0.25">
      <c r="A32">
        <v>142</v>
      </c>
      <c r="B32">
        <v>701</v>
      </c>
      <c r="C32" s="3">
        <v>44564</v>
      </c>
      <c r="D32" s="3">
        <v>44571</v>
      </c>
      <c r="E32">
        <v>10</v>
      </c>
    </row>
    <row r="33" spans="1:5" x14ac:dyDescent="0.25">
      <c r="A33">
        <v>323</v>
      </c>
      <c r="B33">
        <v>710</v>
      </c>
      <c r="C33" s="3">
        <v>44564</v>
      </c>
      <c r="D33" s="3">
        <v>44574</v>
      </c>
      <c r="E33">
        <v>3</v>
      </c>
    </row>
    <row r="34" spans="1:5" x14ac:dyDescent="0.25">
      <c r="A34">
        <v>328</v>
      </c>
      <c r="B34">
        <v>145</v>
      </c>
      <c r="C34" s="3">
        <v>44564</v>
      </c>
      <c r="D34" s="3">
        <v>44579</v>
      </c>
      <c r="E34">
        <v>7</v>
      </c>
    </row>
    <row r="35" spans="1:5" x14ac:dyDescent="0.25">
      <c r="A35">
        <v>331</v>
      </c>
      <c r="B35">
        <v>834</v>
      </c>
      <c r="C35" s="3">
        <v>44564</v>
      </c>
      <c r="D35" s="3">
        <v>44568</v>
      </c>
      <c r="E35">
        <v>4</v>
      </c>
    </row>
    <row r="36" spans="1:5" x14ac:dyDescent="0.25">
      <c r="A36">
        <v>334</v>
      </c>
      <c r="B36">
        <v>668</v>
      </c>
      <c r="C36" s="3">
        <v>44564</v>
      </c>
      <c r="D36" s="3">
        <v>44566</v>
      </c>
      <c r="E36">
        <v>1</v>
      </c>
    </row>
    <row r="37" spans="1:5" x14ac:dyDescent="0.25">
      <c r="A37">
        <v>501</v>
      </c>
      <c r="B37">
        <v>464</v>
      </c>
      <c r="C37" s="3">
        <v>44564</v>
      </c>
      <c r="D37" s="3">
        <v>44594</v>
      </c>
      <c r="E37">
        <v>6</v>
      </c>
    </row>
    <row r="38" spans="1:5" x14ac:dyDescent="0.25">
      <c r="A38">
        <v>501</v>
      </c>
      <c r="B38">
        <v>762</v>
      </c>
      <c r="C38" s="3">
        <v>44564</v>
      </c>
      <c r="D38" s="3">
        <v>44580</v>
      </c>
      <c r="E38">
        <v>1</v>
      </c>
    </row>
    <row r="39" spans="1:5" x14ac:dyDescent="0.25">
      <c r="A39">
        <v>540</v>
      </c>
      <c r="B39">
        <v>707</v>
      </c>
      <c r="C39" s="3">
        <v>44564</v>
      </c>
      <c r="D39" s="3">
        <v>44602</v>
      </c>
      <c r="E39">
        <v>10</v>
      </c>
    </row>
    <row r="40" spans="1:5" x14ac:dyDescent="0.25">
      <c r="A40">
        <v>651</v>
      </c>
      <c r="B40">
        <v>843</v>
      </c>
      <c r="C40" s="3">
        <v>44564</v>
      </c>
      <c r="D40" s="3">
        <v>44607</v>
      </c>
      <c r="E40">
        <v>9</v>
      </c>
    </row>
    <row r="41" spans="1:5" x14ac:dyDescent="0.25">
      <c r="A41">
        <v>771</v>
      </c>
      <c r="B41">
        <v>374</v>
      </c>
      <c r="C41" s="3">
        <v>44564</v>
      </c>
      <c r="D41" s="3">
        <v>44580</v>
      </c>
      <c r="E41">
        <v>4</v>
      </c>
    </row>
    <row r="42" spans="1:5" x14ac:dyDescent="0.25">
      <c r="A42">
        <v>784</v>
      </c>
      <c r="B42">
        <v>830</v>
      </c>
      <c r="C42" s="3">
        <v>44564</v>
      </c>
      <c r="D42" s="3">
        <v>44577</v>
      </c>
      <c r="E42">
        <v>6</v>
      </c>
    </row>
    <row r="43" spans="1:5" x14ac:dyDescent="0.25">
      <c r="A43">
        <v>961</v>
      </c>
      <c r="B43">
        <v>787</v>
      </c>
      <c r="C43" s="3">
        <v>44564</v>
      </c>
      <c r="D43" s="3">
        <v>44570</v>
      </c>
      <c r="E43">
        <v>6</v>
      </c>
    </row>
    <row r="44" spans="1:5" x14ac:dyDescent="0.25">
      <c r="A44">
        <v>983</v>
      </c>
      <c r="B44">
        <v>671</v>
      </c>
      <c r="C44" s="3">
        <v>44564</v>
      </c>
      <c r="D44" s="3">
        <v>44603</v>
      </c>
      <c r="E44">
        <v>3</v>
      </c>
    </row>
    <row r="45" spans="1:5" x14ac:dyDescent="0.25">
      <c r="A45">
        <v>55</v>
      </c>
      <c r="B45">
        <v>699</v>
      </c>
      <c r="C45" s="3">
        <v>44565</v>
      </c>
      <c r="D45" s="3">
        <v>44570</v>
      </c>
      <c r="E45">
        <v>2</v>
      </c>
    </row>
    <row r="46" spans="1:5" x14ac:dyDescent="0.25">
      <c r="A46">
        <v>158</v>
      </c>
      <c r="B46">
        <v>792</v>
      </c>
      <c r="C46" s="3">
        <v>44565</v>
      </c>
      <c r="D46" s="3">
        <v>44575</v>
      </c>
      <c r="E46">
        <v>7</v>
      </c>
    </row>
    <row r="47" spans="1:5" x14ac:dyDescent="0.25">
      <c r="A47">
        <v>249</v>
      </c>
      <c r="B47">
        <v>418</v>
      </c>
      <c r="C47" s="3">
        <v>44565</v>
      </c>
      <c r="D47" s="3">
        <v>44580</v>
      </c>
      <c r="E47">
        <v>9</v>
      </c>
    </row>
    <row r="48" spans="1:5" x14ac:dyDescent="0.25">
      <c r="A48">
        <v>333</v>
      </c>
      <c r="B48">
        <v>652</v>
      </c>
      <c r="C48" s="3">
        <v>44565</v>
      </c>
      <c r="D48" s="3">
        <v>44603</v>
      </c>
      <c r="E48">
        <v>5</v>
      </c>
    </row>
    <row r="49" spans="1:5" x14ac:dyDescent="0.25">
      <c r="A49">
        <v>334</v>
      </c>
      <c r="B49">
        <v>479</v>
      </c>
      <c r="C49" s="3">
        <v>44565</v>
      </c>
      <c r="D49" s="3">
        <v>44592</v>
      </c>
      <c r="E49">
        <v>3</v>
      </c>
    </row>
    <row r="50" spans="1:5" x14ac:dyDescent="0.25">
      <c r="A50">
        <v>370</v>
      </c>
      <c r="B50">
        <v>762</v>
      </c>
      <c r="C50" s="3">
        <v>44565</v>
      </c>
      <c r="D50" s="3">
        <v>44595</v>
      </c>
      <c r="E50">
        <v>7</v>
      </c>
    </row>
    <row r="51" spans="1:5" x14ac:dyDescent="0.25">
      <c r="A51">
        <v>416</v>
      </c>
      <c r="B51">
        <v>331</v>
      </c>
      <c r="C51" s="3">
        <v>44565</v>
      </c>
      <c r="D51" s="3">
        <v>44604</v>
      </c>
      <c r="E51">
        <v>9</v>
      </c>
    </row>
    <row r="52" spans="1:5" x14ac:dyDescent="0.25">
      <c r="A52">
        <v>546</v>
      </c>
      <c r="B52">
        <v>813</v>
      </c>
      <c r="C52" s="3">
        <v>44565</v>
      </c>
      <c r="D52" s="3">
        <v>44600</v>
      </c>
      <c r="E52">
        <v>1</v>
      </c>
    </row>
    <row r="53" spans="1:5" x14ac:dyDescent="0.25">
      <c r="A53">
        <v>570</v>
      </c>
      <c r="B53">
        <v>177</v>
      </c>
      <c r="C53" s="3">
        <v>44565</v>
      </c>
      <c r="D53" s="3">
        <v>44592</v>
      </c>
      <c r="E53">
        <v>1</v>
      </c>
    </row>
    <row r="54" spans="1:5" x14ac:dyDescent="0.25">
      <c r="A54">
        <v>146</v>
      </c>
      <c r="B54">
        <v>694</v>
      </c>
      <c r="C54" s="3">
        <v>44566</v>
      </c>
      <c r="D54" s="3">
        <v>44574</v>
      </c>
      <c r="E54">
        <v>1</v>
      </c>
    </row>
    <row r="55" spans="1:5" x14ac:dyDescent="0.25">
      <c r="A55">
        <v>331</v>
      </c>
      <c r="B55">
        <v>515</v>
      </c>
      <c r="C55" s="3">
        <v>44566</v>
      </c>
      <c r="D55" s="3">
        <v>44608</v>
      </c>
      <c r="E55">
        <v>5</v>
      </c>
    </row>
    <row r="56" spans="1:5" x14ac:dyDescent="0.25">
      <c r="A56">
        <v>334</v>
      </c>
      <c r="B56">
        <v>810</v>
      </c>
      <c r="C56" s="3">
        <v>44566</v>
      </c>
      <c r="D56" s="3">
        <v>44594</v>
      </c>
      <c r="E56">
        <v>7</v>
      </c>
    </row>
    <row r="57" spans="1:5" x14ac:dyDescent="0.25">
      <c r="A57">
        <v>390</v>
      </c>
      <c r="B57">
        <v>745</v>
      </c>
      <c r="C57" s="3">
        <v>44566</v>
      </c>
      <c r="D57" s="3">
        <v>44592</v>
      </c>
      <c r="E57">
        <v>2</v>
      </c>
    </row>
    <row r="58" spans="1:5" x14ac:dyDescent="0.25">
      <c r="A58">
        <v>416</v>
      </c>
      <c r="B58">
        <v>780</v>
      </c>
      <c r="C58" s="3">
        <v>44566</v>
      </c>
      <c r="D58" s="3">
        <v>44606</v>
      </c>
      <c r="E58">
        <v>9</v>
      </c>
    </row>
    <row r="59" spans="1:5" x14ac:dyDescent="0.25">
      <c r="A59">
        <v>448</v>
      </c>
      <c r="B59">
        <v>330</v>
      </c>
      <c r="C59" s="3">
        <v>44566</v>
      </c>
      <c r="D59" s="3">
        <v>44576</v>
      </c>
      <c r="E59">
        <v>3</v>
      </c>
    </row>
    <row r="60" spans="1:5" x14ac:dyDescent="0.25">
      <c r="A60">
        <v>474</v>
      </c>
      <c r="B60">
        <v>541</v>
      </c>
      <c r="C60" s="3">
        <v>44566</v>
      </c>
      <c r="D60" s="3">
        <v>44587</v>
      </c>
      <c r="E60">
        <v>3</v>
      </c>
    </row>
    <row r="61" spans="1:5" x14ac:dyDescent="0.25">
      <c r="A61">
        <v>515</v>
      </c>
      <c r="B61">
        <v>692</v>
      </c>
      <c r="C61" s="3">
        <v>44566</v>
      </c>
      <c r="D61" s="3">
        <v>44607</v>
      </c>
      <c r="E61">
        <v>2</v>
      </c>
    </row>
    <row r="62" spans="1:5" x14ac:dyDescent="0.25">
      <c r="A62">
        <v>544</v>
      </c>
      <c r="B62">
        <v>580</v>
      </c>
      <c r="C62" s="3">
        <v>44566</v>
      </c>
      <c r="D62" s="3">
        <v>44570</v>
      </c>
      <c r="E62">
        <v>7</v>
      </c>
    </row>
    <row r="63" spans="1:5" x14ac:dyDescent="0.25">
      <c r="A63">
        <v>585</v>
      </c>
      <c r="B63">
        <v>778</v>
      </c>
      <c r="C63" s="3">
        <v>44566</v>
      </c>
      <c r="D63" s="3">
        <v>44607</v>
      </c>
      <c r="E63">
        <v>5</v>
      </c>
    </row>
    <row r="64" spans="1:5" x14ac:dyDescent="0.25">
      <c r="A64">
        <v>594</v>
      </c>
      <c r="B64">
        <v>543</v>
      </c>
      <c r="C64" s="3">
        <v>44566</v>
      </c>
      <c r="D64" s="3">
        <v>44601</v>
      </c>
      <c r="E64">
        <v>6</v>
      </c>
    </row>
    <row r="65" spans="1:5" x14ac:dyDescent="0.25">
      <c r="A65">
        <v>594</v>
      </c>
      <c r="B65">
        <v>726</v>
      </c>
      <c r="C65" s="3">
        <v>44566</v>
      </c>
      <c r="D65" s="3">
        <v>44594</v>
      </c>
      <c r="E65">
        <v>1</v>
      </c>
    </row>
    <row r="66" spans="1:5" x14ac:dyDescent="0.25">
      <c r="A66">
        <v>634</v>
      </c>
      <c r="B66">
        <v>769</v>
      </c>
      <c r="C66" s="3">
        <v>44566</v>
      </c>
      <c r="D66" s="3">
        <v>44601</v>
      </c>
      <c r="E66">
        <v>2</v>
      </c>
    </row>
    <row r="67" spans="1:5" x14ac:dyDescent="0.25">
      <c r="A67">
        <v>659</v>
      </c>
      <c r="B67">
        <v>673</v>
      </c>
      <c r="C67" s="3">
        <v>44566</v>
      </c>
      <c r="D67" s="3">
        <v>44593</v>
      </c>
      <c r="E67">
        <v>1</v>
      </c>
    </row>
    <row r="68" spans="1:5" x14ac:dyDescent="0.25">
      <c r="A68">
        <v>669</v>
      </c>
      <c r="B68">
        <v>196</v>
      </c>
      <c r="C68" s="3">
        <v>44566</v>
      </c>
      <c r="D68" s="3">
        <v>44606</v>
      </c>
      <c r="E68">
        <v>3</v>
      </c>
    </row>
    <row r="69" spans="1:5" x14ac:dyDescent="0.25">
      <c r="A69">
        <v>669</v>
      </c>
      <c r="B69">
        <v>826</v>
      </c>
      <c r="C69" s="3">
        <v>44566</v>
      </c>
      <c r="D69" s="3">
        <v>44590</v>
      </c>
      <c r="E69">
        <v>9</v>
      </c>
    </row>
    <row r="70" spans="1:5" x14ac:dyDescent="0.25">
      <c r="A70">
        <v>827</v>
      </c>
      <c r="B70">
        <v>762</v>
      </c>
      <c r="C70" s="3">
        <v>44566</v>
      </c>
      <c r="D70" s="3">
        <v>44581</v>
      </c>
      <c r="E70">
        <v>3</v>
      </c>
    </row>
    <row r="71" spans="1:5" x14ac:dyDescent="0.25">
      <c r="A71">
        <v>843</v>
      </c>
      <c r="B71">
        <v>834</v>
      </c>
      <c r="C71" s="3">
        <v>44566</v>
      </c>
      <c r="D71" s="3">
        <v>44602</v>
      </c>
      <c r="E71">
        <v>3</v>
      </c>
    </row>
    <row r="72" spans="1:5" x14ac:dyDescent="0.25">
      <c r="A72">
        <v>81</v>
      </c>
      <c r="B72">
        <v>341</v>
      </c>
      <c r="C72" s="3">
        <v>44567</v>
      </c>
      <c r="D72" s="3">
        <v>44592</v>
      </c>
      <c r="E72">
        <v>1</v>
      </c>
    </row>
    <row r="73" spans="1:5" x14ac:dyDescent="0.25">
      <c r="A73">
        <v>81</v>
      </c>
      <c r="B73">
        <v>701</v>
      </c>
      <c r="C73" s="3">
        <v>44567</v>
      </c>
      <c r="D73" s="3">
        <v>44586</v>
      </c>
      <c r="E73">
        <v>6</v>
      </c>
    </row>
    <row r="74" spans="1:5" x14ac:dyDescent="0.25">
      <c r="A74">
        <v>150</v>
      </c>
      <c r="B74">
        <v>358</v>
      </c>
      <c r="C74" s="3">
        <v>44567</v>
      </c>
      <c r="D74" s="3">
        <v>44597</v>
      </c>
      <c r="E74">
        <v>6</v>
      </c>
    </row>
    <row r="75" spans="1:5" x14ac:dyDescent="0.25">
      <c r="A75">
        <v>285</v>
      </c>
      <c r="B75">
        <v>817</v>
      </c>
      <c r="C75" s="3">
        <v>44567</v>
      </c>
      <c r="D75" s="3">
        <v>44597</v>
      </c>
      <c r="E75">
        <v>10</v>
      </c>
    </row>
    <row r="76" spans="1:5" x14ac:dyDescent="0.25">
      <c r="A76">
        <v>331</v>
      </c>
      <c r="B76">
        <v>219</v>
      </c>
      <c r="C76" s="3">
        <v>44567</v>
      </c>
      <c r="D76" s="3">
        <v>44595</v>
      </c>
      <c r="E76">
        <v>6</v>
      </c>
    </row>
    <row r="77" spans="1:5" x14ac:dyDescent="0.25">
      <c r="A77">
        <v>333</v>
      </c>
      <c r="B77">
        <v>782</v>
      </c>
      <c r="C77" s="3">
        <v>44567</v>
      </c>
      <c r="D77" s="3">
        <v>44593</v>
      </c>
      <c r="E77">
        <v>7</v>
      </c>
    </row>
    <row r="78" spans="1:5" x14ac:dyDescent="0.25">
      <c r="A78">
        <v>526</v>
      </c>
      <c r="B78">
        <v>757</v>
      </c>
      <c r="C78" s="3">
        <v>44567</v>
      </c>
      <c r="D78" s="3">
        <v>44573</v>
      </c>
      <c r="E78">
        <v>5</v>
      </c>
    </row>
    <row r="79" spans="1:5" x14ac:dyDescent="0.25">
      <c r="A79">
        <v>544</v>
      </c>
      <c r="B79">
        <v>585</v>
      </c>
      <c r="C79" s="3">
        <v>44567</v>
      </c>
      <c r="D79" s="3">
        <v>44597</v>
      </c>
      <c r="E79">
        <v>5</v>
      </c>
    </row>
    <row r="80" spans="1:5" x14ac:dyDescent="0.25">
      <c r="A80">
        <v>561</v>
      </c>
      <c r="B80">
        <v>607</v>
      </c>
      <c r="C80" s="3">
        <v>44567</v>
      </c>
      <c r="D80" s="3">
        <v>44588</v>
      </c>
      <c r="E80">
        <v>2</v>
      </c>
    </row>
    <row r="81" spans="1:5" x14ac:dyDescent="0.25">
      <c r="A81">
        <v>669</v>
      </c>
      <c r="B81">
        <v>710</v>
      </c>
      <c r="C81" s="3">
        <v>44567</v>
      </c>
      <c r="D81" s="3">
        <v>44573</v>
      </c>
      <c r="E81">
        <v>8</v>
      </c>
    </row>
    <row r="82" spans="1:5" x14ac:dyDescent="0.25">
      <c r="A82">
        <v>802</v>
      </c>
      <c r="B82">
        <v>692</v>
      </c>
      <c r="C82" s="3">
        <v>44567</v>
      </c>
      <c r="D82" s="3">
        <v>44585</v>
      </c>
      <c r="E82">
        <v>10</v>
      </c>
    </row>
    <row r="83" spans="1:5" x14ac:dyDescent="0.25">
      <c r="A83">
        <v>802</v>
      </c>
      <c r="B83">
        <v>752</v>
      </c>
      <c r="C83" s="3">
        <v>44567</v>
      </c>
      <c r="D83" s="3">
        <v>44581</v>
      </c>
      <c r="E83">
        <v>1</v>
      </c>
    </row>
    <row r="84" spans="1:5" x14ac:dyDescent="0.25">
      <c r="A84">
        <v>830</v>
      </c>
      <c r="B84">
        <v>710</v>
      </c>
      <c r="C84" s="3">
        <v>44567</v>
      </c>
      <c r="D84" s="3">
        <v>44582</v>
      </c>
      <c r="E84">
        <v>7</v>
      </c>
    </row>
    <row r="85" spans="1:5" x14ac:dyDescent="0.25">
      <c r="A85">
        <v>141</v>
      </c>
      <c r="B85">
        <v>692</v>
      </c>
      <c r="C85" s="3">
        <v>44568</v>
      </c>
      <c r="D85" s="3">
        <v>44571</v>
      </c>
      <c r="E85">
        <v>1</v>
      </c>
    </row>
    <row r="86" spans="1:5" x14ac:dyDescent="0.25">
      <c r="A86">
        <v>142</v>
      </c>
      <c r="B86">
        <v>464</v>
      </c>
      <c r="C86" s="3">
        <v>44568</v>
      </c>
      <c r="D86" s="3">
        <v>44573</v>
      </c>
      <c r="E86">
        <v>3</v>
      </c>
    </row>
    <row r="87" spans="1:5" x14ac:dyDescent="0.25">
      <c r="A87">
        <v>308</v>
      </c>
      <c r="B87">
        <v>219</v>
      </c>
      <c r="C87" s="3">
        <v>44568</v>
      </c>
      <c r="D87" s="3">
        <v>44576</v>
      </c>
      <c r="E87">
        <v>10</v>
      </c>
    </row>
    <row r="88" spans="1:5" x14ac:dyDescent="0.25">
      <c r="A88">
        <v>332</v>
      </c>
      <c r="B88">
        <v>826</v>
      </c>
      <c r="C88" s="3">
        <v>44568</v>
      </c>
      <c r="D88" s="3">
        <v>44572</v>
      </c>
      <c r="E88">
        <v>7</v>
      </c>
    </row>
    <row r="89" spans="1:5" x14ac:dyDescent="0.25">
      <c r="A89">
        <v>364</v>
      </c>
      <c r="B89">
        <v>668</v>
      </c>
      <c r="C89" s="3">
        <v>44568</v>
      </c>
      <c r="D89" s="3">
        <v>44579</v>
      </c>
      <c r="E89">
        <v>5</v>
      </c>
    </row>
    <row r="90" spans="1:5" x14ac:dyDescent="0.25">
      <c r="A90">
        <v>448</v>
      </c>
      <c r="B90">
        <v>358</v>
      </c>
      <c r="C90" s="3">
        <v>44568</v>
      </c>
      <c r="D90" s="3">
        <v>44574</v>
      </c>
      <c r="E90">
        <v>9</v>
      </c>
    </row>
    <row r="91" spans="1:5" x14ac:dyDescent="0.25">
      <c r="A91">
        <v>580</v>
      </c>
      <c r="B91">
        <v>373</v>
      </c>
      <c r="C91" s="3">
        <v>44568</v>
      </c>
      <c r="D91" s="3">
        <v>44580</v>
      </c>
      <c r="E91">
        <v>4</v>
      </c>
    </row>
    <row r="92" spans="1:5" x14ac:dyDescent="0.25">
      <c r="A92">
        <v>600</v>
      </c>
      <c r="B92">
        <v>583</v>
      </c>
      <c r="C92" s="3">
        <v>44568</v>
      </c>
      <c r="D92" s="3">
        <v>44571</v>
      </c>
      <c r="E92">
        <v>3</v>
      </c>
    </row>
    <row r="93" spans="1:5" x14ac:dyDescent="0.25">
      <c r="A93">
        <v>600</v>
      </c>
      <c r="B93">
        <v>726</v>
      </c>
      <c r="C93" s="3">
        <v>44568</v>
      </c>
      <c r="D93" s="3">
        <v>44591</v>
      </c>
      <c r="E93">
        <v>5</v>
      </c>
    </row>
    <row r="94" spans="1:5" x14ac:dyDescent="0.25">
      <c r="A94">
        <v>657</v>
      </c>
      <c r="B94">
        <v>643</v>
      </c>
      <c r="C94" s="3">
        <v>44568</v>
      </c>
      <c r="D94" s="3">
        <v>44570</v>
      </c>
      <c r="E94">
        <v>5</v>
      </c>
    </row>
    <row r="95" spans="1:5" x14ac:dyDescent="0.25">
      <c r="A95">
        <v>771</v>
      </c>
      <c r="B95">
        <v>681</v>
      </c>
      <c r="C95" s="3">
        <v>44568</v>
      </c>
      <c r="D95" s="3">
        <v>44587</v>
      </c>
      <c r="E95">
        <v>6</v>
      </c>
    </row>
    <row r="96" spans="1:5" x14ac:dyDescent="0.25">
      <c r="A96">
        <v>827</v>
      </c>
      <c r="B96">
        <v>374</v>
      </c>
      <c r="C96" s="3">
        <v>44568</v>
      </c>
      <c r="D96" s="3">
        <v>44595</v>
      </c>
      <c r="E96">
        <v>4</v>
      </c>
    </row>
    <row r="97" spans="1:5" x14ac:dyDescent="0.25">
      <c r="A97">
        <v>830</v>
      </c>
      <c r="B97">
        <v>810</v>
      </c>
      <c r="C97" s="3">
        <v>44568</v>
      </c>
      <c r="D97" s="3">
        <v>44585</v>
      </c>
      <c r="E97">
        <v>2</v>
      </c>
    </row>
    <row r="98" spans="1:5" x14ac:dyDescent="0.25">
      <c r="A98">
        <v>843</v>
      </c>
      <c r="B98">
        <v>515</v>
      </c>
      <c r="C98" s="3">
        <v>44568</v>
      </c>
      <c r="D98" s="3">
        <v>44569</v>
      </c>
      <c r="E98">
        <v>3</v>
      </c>
    </row>
    <row r="99" spans="1:5" x14ac:dyDescent="0.25">
      <c r="A99">
        <v>983</v>
      </c>
      <c r="B99">
        <v>145</v>
      </c>
      <c r="C99" s="3">
        <v>44568</v>
      </c>
      <c r="D99" s="3">
        <v>44585</v>
      </c>
      <c r="E99">
        <v>10</v>
      </c>
    </row>
    <row r="100" spans="1:5" x14ac:dyDescent="0.25">
      <c r="A100">
        <v>47</v>
      </c>
      <c r="B100">
        <v>453</v>
      </c>
      <c r="C100" s="3">
        <v>44569</v>
      </c>
      <c r="D100" s="3">
        <v>44577</v>
      </c>
      <c r="E100">
        <v>10</v>
      </c>
    </row>
    <row r="101" spans="1:5" x14ac:dyDescent="0.25">
      <c r="A101">
        <v>66</v>
      </c>
      <c r="B101">
        <v>331</v>
      </c>
      <c r="C101" s="3">
        <v>44569</v>
      </c>
      <c r="D101" s="3">
        <v>44596</v>
      </c>
      <c r="E101">
        <v>2</v>
      </c>
    </row>
    <row r="102" spans="1:5" x14ac:dyDescent="0.25">
      <c r="A102">
        <v>190</v>
      </c>
      <c r="B102">
        <v>282</v>
      </c>
      <c r="C102" s="3">
        <v>44569</v>
      </c>
      <c r="D102" s="3">
        <v>44593</v>
      </c>
      <c r="E102">
        <v>3</v>
      </c>
    </row>
    <row r="103" spans="1:5" x14ac:dyDescent="0.25">
      <c r="A103">
        <v>296</v>
      </c>
      <c r="B103">
        <v>745</v>
      </c>
      <c r="C103" s="3">
        <v>44569</v>
      </c>
      <c r="D103" s="3">
        <v>44588</v>
      </c>
      <c r="E103">
        <v>9</v>
      </c>
    </row>
    <row r="104" spans="1:5" x14ac:dyDescent="0.25">
      <c r="A104">
        <v>302</v>
      </c>
      <c r="B104">
        <v>331</v>
      </c>
      <c r="C104" s="3">
        <v>44569</v>
      </c>
      <c r="D104" s="3">
        <v>44571</v>
      </c>
      <c r="E104">
        <v>1</v>
      </c>
    </row>
    <row r="105" spans="1:5" x14ac:dyDescent="0.25">
      <c r="A105">
        <v>331</v>
      </c>
      <c r="B105">
        <v>849</v>
      </c>
      <c r="C105" s="3">
        <v>44569</v>
      </c>
      <c r="D105" s="3">
        <v>44592</v>
      </c>
      <c r="E105">
        <v>8</v>
      </c>
    </row>
    <row r="106" spans="1:5" x14ac:dyDescent="0.25">
      <c r="A106">
        <v>332</v>
      </c>
      <c r="B106">
        <v>701</v>
      </c>
      <c r="C106" s="3">
        <v>44569</v>
      </c>
      <c r="D106" s="3">
        <v>44613</v>
      </c>
      <c r="E106">
        <v>4</v>
      </c>
    </row>
    <row r="107" spans="1:5" x14ac:dyDescent="0.25">
      <c r="A107">
        <v>491</v>
      </c>
      <c r="B107">
        <v>692</v>
      </c>
      <c r="C107" s="3">
        <v>44569</v>
      </c>
      <c r="D107" s="3">
        <v>44604</v>
      </c>
      <c r="E107">
        <v>2</v>
      </c>
    </row>
    <row r="108" spans="1:5" x14ac:dyDescent="0.25">
      <c r="A108">
        <v>491</v>
      </c>
      <c r="B108">
        <v>757</v>
      </c>
      <c r="C108" s="3">
        <v>44569</v>
      </c>
      <c r="D108" s="3">
        <v>44593</v>
      </c>
      <c r="E108">
        <v>7</v>
      </c>
    </row>
    <row r="109" spans="1:5" x14ac:dyDescent="0.25">
      <c r="A109">
        <v>515</v>
      </c>
      <c r="B109">
        <v>679</v>
      </c>
      <c r="C109" s="3">
        <v>44569</v>
      </c>
      <c r="D109" s="3">
        <v>44585</v>
      </c>
      <c r="E109">
        <v>1</v>
      </c>
    </row>
    <row r="110" spans="1:5" x14ac:dyDescent="0.25">
      <c r="A110">
        <v>540</v>
      </c>
      <c r="B110">
        <v>707</v>
      </c>
      <c r="C110" s="3">
        <v>44569</v>
      </c>
      <c r="D110" s="3">
        <v>44596</v>
      </c>
      <c r="E110">
        <v>7</v>
      </c>
    </row>
    <row r="111" spans="1:5" x14ac:dyDescent="0.25">
      <c r="A111">
        <v>544</v>
      </c>
      <c r="B111">
        <v>643</v>
      </c>
      <c r="C111" s="3">
        <v>44569</v>
      </c>
      <c r="D111" s="3">
        <v>44598</v>
      </c>
      <c r="E111">
        <v>2</v>
      </c>
    </row>
    <row r="112" spans="1:5" x14ac:dyDescent="0.25">
      <c r="A112">
        <v>544</v>
      </c>
      <c r="B112">
        <v>671</v>
      </c>
      <c r="C112" s="3">
        <v>44569</v>
      </c>
      <c r="D112" s="3">
        <v>44579</v>
      </c>
      <c r="E112">
        <v>7</v>
      </c>
    </row>
    <row r="113" spans="1:5" x14ac:dyDescent="0.25">
      <c r="A113">
        <v>570</v>
      </c>
      <c r="B113">
        <v>853</v>
      </c>
      <c r="C113" s="3">
        <v>44569</v>
      </c>
      <c r="D113" s="3">
        <v>44609</v>
      </c>
      <c r="E113">
        <v>6</v>
      </c>
    </row>
    <row r="114" spans="1:5" x14ac:dyDescent="0.25">
      <c r="A114">
        <v>586</v>
      </c>
      <c r="B114">
        <v>719</v>
      </c>
      <c r="C114" s="3">
        <v>44569</v>
      </c>
      <c r="D114" s="3">
        <v>44606</v>
      </c>
      <c r="E114">
        <v>5</v>
      </c>
    </row>
    <row r="115" spans="1:5" x14ac:dyDescent="0.25">
      <c r="A115">
        <v>594</v>
      </c>
      <c r="B115">
        <v>418</v>
      </c>
      <c r="C115" s="3">
        <v>44569</v>
      </c>
      <c r="D115" s="3">
        <v>44608</v>
      </c>
      <c r="E115">
        <v>10</v>
      </c>
    </row>
    <row r="116" spans="1:5" x14ac:dyDescent="0.25">
      <c r="A116">
        <v>600</v>
      </c>
      <c r="B116">
        <v>436</v>
      </c>
      <c r="C116" s="3">
        <v>44569</v>
      </c>
      <c r="D116" s="3">
        <v>44590</v>
      </c>
      <c r="E116">
        <v>9</v>
      </c>
    </row>
    <row r="117" spans="1:5" x14ac:dyDescent="0.25">
      <c r="A117">
        <v>750</v>
      </c>
      <c r="B117">
        <v>177</v>
      </c>
      <c r="C117" s="3">
        <v>44569</v>
      </c>
      <c r="D117" s="3">
        <v>44586</v>
      </c>
      <c r="E117">
        <v>10</v>
      </c>
    </row>
    <row r="118" spans="1:5" x14ac:dyDescent="0.25">
      <c r="A118">
        <v>47</v>
      </c>
      <c r="B118">
        <v>694</v>
      </c>
      <c r="C118" s="3">
        <v>44570</v>
      </c>
      <c r="D118" s="3">
        <v>44601</v>
      </c>
      <c r="E118">
        <v>1</v>
      </c>
    </row>
    <row r="119" spans="1:5" x14ac:dyDescent="0.25">
      <c r="A119">
        <v>142</v>
      </c>
      <c r="B119">
        <v>582</v>
      </c>
      <c r="C119" s="3">
        <v>44570</v>
      </c>
      <c r="D119" s="3">
        <v>44596</v>
      </c>
      <c r="E119">
        <v>10</v>
      </c>
    </row>
    <row r="120" spans="1:5" x14ac:dyDescent="0.25">
      <c r="A120">
        <v>254</v>
      </c>
      <c r="B120">
        <v>694</v>
      </c>
      <c r="C120" s="3">
        <v>44570</v>
      </c>
      <c r="D120" s="3">
        <v>44608</v>
      </c>
      <c r="E120">
        <v>5</v>
      </c>
    </row>
    <row r="121" spans="1:5" x14ac:dyDescent="0.25">
      <c r="A121">
        <v>254</v>
      </c>
      <c r="B121">
        <v>805</v>
      </c>
      <c r="C121" s="3">
        <v>44570</v>
      </c>
      <c r="D121" s="3">
        <v>44614</v>
      </c>
      <c r="E121">
        <v>4</v>
      </c>
    </row>
    <row r="122" spans="1:5" x14ac:dyDescent="0.25">
      <c r="A122">
        <v>328</v>
      </c>
      <c r="B122">
        <v>358</v>
      </c>
      <c r="C122" s="3">
        <v>44570</v>
      </c>
      <c r="D122" s="3">
        <v>44583</v>
      </c>
      <c r="E122">
        <v>6</v>
      </c>
    </row>
    <row r="123" spans="1:5" x14ac:dyDescent="0.25">
      <c r="A123">
        <v>370</v>
      </c>
      <c r="B123">
        <v>213</v>
      </c>
      <c r="C123" s="3">
        <v>44570</v>
      </c>
      <c r="D123" s="3">
        <v>44607</v>
      </c>
      <c r="E123">
        <v>2</v>
      </c>
    </row>
    <row r="124" spans="1:5" x14ac:dyDescent="0.25">
      <c r="A124">
        <v>544</v>
      </c>
      <c r="B124">
        <v>725</v>
      </c>
      <c r="C124" s="3">
        <v>44570</v>
      </c>
      <c r="D124" s="3">
        <v>44607</v>
      </c>
      <c r="E124">
        <v>6</v>
      </c>
    </row>
    <row r="125" spans="1:5" x14ac:dyDescent="0.25">
      <c r="A125">
        <v>561</v>
      </c>
      <c r="B125">
        <v>778</v>
      </c>
      <c r="C125" s="3">
        <v>44570</v>
      </c>
      <c r="D125" s="3">
        <v>44604</v>
      </c>
      <c r="E125">
        <v>6</v>
      </c>
    </row>
    <row r="126" spans="1:5" x14ac:dyDescent="0.25">
      <c r="A126">
        <v>750</v>
      </c>
      <c r="B126">
        <v>479</v>
      </c>
      <c r="C126" s="3">
        <v>44570</v>
      </c>
      <c r="D126" s="3">
        <v>44604</v>
      </c>
      <c r="E126">
        <v>10</v>
      </c>
    </row>
    <row r="127" spans="1:5" x14ac:dyDescent="0.25">
      <c r="A127">
        <v>771</v>
      </c>
      <c r="B127">
        <v>145</v>
      </c>
      <c r="C127" s="3">
        <v>44570</v>
      </c>
      <c r="D127" s="3">
        <v>44577</v>
      </c>
      <c r="E127">
        <v>3</v>
      </c>
    </row>
    <row r="128" spans="1:5" x14ac:dyDescent="0.25">
      <c r="A128">
        <v>771</v>
      </c>
      <c r="B128">
        <v>747</v>
      </c>
      <c r="C128" s="3">
        <v>44570</v>
      </c>
      <c r="D128" s="3">
        <v>44607</v>
      </c>
      <c r="E128">
        <v>4</v>
      </c>
    </row>
    <row r="129" spans="1:5" x14ac:dyDescent="0.25">
      <c r="A129">
        <v>784</v>
      </c>
      <c r="B129">
        <v>580</v>
      </c>
      <c r="C129" s="3">
        <v>44570</v>
      </c>
      <c r="D129" s="3">
        <v>44609</v>
      </c>
      <c r="E129">
        <v>4</v>
      </c>
    </row>
    <row r="130" spans="1:5" x14ac:dyDescent="0.25">
      <c r="A130">
        <v>830</v>
      </c>
      <c r="B130">
        <v>709</v>
      </c>
      <c r="C130" s="3">
        <v>44570</v>
      </c>
      <c r="D130" s="3">
        <v>44592</v>
      </c>
      <c r="E130">
        <v>10</v>
      </c>
    </row>
    <row r="131" spans="1:5" x14ac:dyDescent="0.25">
      <c r="A131">
        <v>849</v>
      </c>
      <c r="B131">
        <v>668</v>
      </c>
      <c r="C131" s="3">
        <v>44570</v>
      </c>
      <c r="D131" s="3">
        <v>44580</v>
      </c>
      <c r="E131">
        <v>10</v>
      </c>
    </row>
    <row r="132" spans="1:5" x14ac:dyDescent="0.25">
      <c r="A132">
        <v>923</v>
      </c>
      <c r="B132">
        <v>585</v>
      </c>
      <c r="C132" s="3">
        <v>44570</v>
      </c>
      <c r="D132" s="3">
        <v>44591</v>
      </c>
      <c r="E132">
        <v>3</v>
      </c>
    </row>
    <row r="133" spans="1:5" x14ac:dyDescent="0.25">
      <c r="A133">
        <v>989</v>
      </c>
      <c r="B133">
        <v>689</v>
      </c>
      <c r="C133" s="3">
        <v>44570</v>
      </c>
      <c r="D133" s="3">
        <v>44586</v>
      </c>
      <c r="E133">
        <v>9</v>
      </c>
    </row>
    <row r="134" spans="1:5" x14ac:dyDescent="0.25">
      <c r="A134">
        <v>81</v>
      </c>
      <c r="B134">
        <v>843</v>
      </c>
      <c r="C134" s="3">
        <v>44571</v>
      </c>
      <c r="D134" s="3">
        <v>44586</v>
      </c>
      <c r="E134">
        <v>9</v>
      </c>
    </row>
    <row r="135" spans="1:5" x14ac:dyDescent="0.25">
      <c r="A135">
        <v>142</v>
      </c>
      <c r="B135">
        <v>769</v>
      </c>
      <c r="C135" s="3">
        <v>44571</v>
      </c>
      <c r="D135" s="3">
        <v>44582</v>
      </c>
      <c r="E135">
        <v>10</v>
      </c>
    </row>
    <row r="136" spans="1:5" x14ac:dyDescent="0.25">
      <c r="A136">
        <v>146</v>
      </c>
      <c r="B136">
        <v>541</v>
      </c>
      <c r="C136" s="3">
        <v>44571</v>
      </c>
      <c r="D136" s="3">
        <v>44613</v>
      </c>
      <c r="E136">
        <v>6</v>
      </c>
    </row>
    <row r="137" spans="1:5" x14ac:dyDescent="0.25">
      <c r="A137">
        <v>200</v>
      </c>
      <c r="B137">
        <v>778</v>
      </c>
      <c r="C137" s="3">
        <v>44571</v>
      </c>
      <c r="D137" s="3">
        <v>44605</v>
      </c>
      <c r="E137">
        <v>2</v>
      </c>
    </row>
    <row r="138" spans="1:5" x14ac:dyDescent="0.25">
      <c r="A138">
        <v>254</v>
      </c>
      <c r="B138">
        <v>376</v>
      </c>
      <c r="C138" s="3">
        <v>44571</v>
      </c>
      <c r="D138" s="3">
        <v>44579</v>
      </c>
      <c r="E138">
        <v>10</v>
      </c>
    </row>
    <row r="139" spans="1:5" x14ac:dyDescent="0.25">
      <c r="A139">
        <v>282</v>
      </c>
      <c r="B139">
        <v>752</v>
      </c>
      <c r="C139" s="3">
        <v>44571</v>
      </c>
      <c r="D139" s="3">
        <v>44594</v>
      </c>
      <c r="E139">
        <v>4</v>
      </c>
    </row>
    <row r="140" spans="1:5" x14ac:dyDescent="0.25">
      <c r="A140">
        <v>323</v>
      </c>
      <c r="B140">
        <v>698</v>
      </c>
      <c r="C140" s="3">
        <v>44571</v>
      </c>
      <c r="D140" s="3">
        <v>44592</v>
      </c>
      <c r="E140">
        <v>7</v>
      </c>
    </row>
    <row r="141" spans="1:5" x14ac:dyDescent="0.25">
      <c r="A141">
        <v>330</v>
      </c>
      <c r="B141">
        <v>702</v>
      </c>
      <c r="C141" s="3">
        <v>44571</v>
      </c>
      <c r="D141" s="3">
        <v>44581</v>
      </c>
      <c r="E141">
        <v>6</v>
      </c>
    </row>
    <row r="142" spans="1:5" x14ac:dyDescent="0.25">
      <c r="A142">
        <v>546</v>
      </c>
      <c r="B142">
        <v>398</v>
      </c>
      <c r="C142" s="3">
        <v>44571</v>
      </c>
      <c r="D142" s="3">
        <v>44593</v>
      </c>
      <c r="E142">
        <v>2</v>
      </c>
    </row>
    <row r="143" spans="1:5" x14ac:dyDescent="0.25">
      <c r="A143">
        <v>573</v>
      </c>
      <c r="B143">
        <v>177</v>
      </c>
      <c r="C143" s="3">
        <v>44571</v>
      </c>
      <c r="D143" s="3">
        <v>44572</v>
      </c>
      <c r="E143">
        <v>4</v>
      </c>
    </row>
    <row r="144" spans="1:5" x14ac:dyDescent="0.25">
      <c r="A144">
        <v>602</v>
      </c>
      <c r="B144">
        <v>840</v>
      </c>
      <c r="C144" s="3">
        <v>44571</v>
      </c>
      <c r="D144" s="3">
        <v>44605</v>
      </c>
      <c r="E144">
        <v>7</v>
      </c>
    </row>
    <row r="145" spans="1:5" x14ac:dyDescent="0.25">
      <c r="A145">
        <v>657</v>
      </c>
      <c r="B145">
        <v>852</v>
      </c>
      <c r="C145" s="3">
        <v>44571</v>
      </c>
      <c r="D145" s="3">
        <v>44601</v>
      </c>
      <c r="E145">
        <v>5</v>
      </c>
    </row>
    <row r="146" spans="1:5" x14ac:dyDescent="0.25">
      <c r="A146">
        <v>923</v>
      </c>
      <c r="B146">
        <v>376</v>
      </c>
      <c r="C146" s="3">
        <v>44571</v>
      </c>
      <c r="D146" s="3">
        <v>44576</v>
      </c>
      <c r="E146">
        <v>7</v>
      </c>
    </row>
    <row r="147" spans="1:5" x14ac:dyDescent="0.25">
      <c r="A147">
        <v>989</v>
      </c>
      <c r="B147">
        <v>683</v>
      </c>
      <c r="C147" s="3">
        <v>44571</v>
      </c>
      <c r="D147" s="3">
        <v>44587</v>
      </c>
      <c r="E147">
        <v>8</v>
      </c>
    </row>
    <row r="148" spans="1:5" x14ac:dyDescent="0.25">
      <c r="A148">
        <v>158</v>
      </c>
      <c r="B148">
        <v>418</v>
      </c>
      <c r="C148" s="3">
        <v>44572</v>
      </c>
      <c r="D148" s="3">
        <v>44582</v>
      </c>
      <c r="E148">
        <v>9</v>
      </c>
    </row>
    <row r="149" spans="1:5" x14ac:dyDescent="0.25">
      <c r="A149">
        <v>200</v>
      </c>
      <c r="B149">
        <v>341</v>
      </c>
      <c r="C149" s="3">
        <v>44572</v>
      </c>
      <c r="D149" s="3">
        <v>44597</v>
      </c>
      <c r="E149">
        <v>3</v>
      </c>
    </row>
    <row r="150" spans="1:5" x14ac:dyDescent="0.25">
      <c r="A150">
        <v>200</v>
      </c>
      <c r="B150">
        <v>373</v>
      </c>
      <c r="C150" s="3">
        <v>44572</v>
      </c>
      <c r="D150" s="3">
        <v>44590</v>
      </c>
      <c r="E150">
        <v>5</v>
      </c>
    </row>
    <row r="151" spans="1:5" x14ac:dyDescent="0.25">
      <c r="A151">
        <v>448</v>
      </c>
      <c r="B151">
        <v>201</v>
      </c>
      <c r="C151" s="3">
        <v>44572</v>
      </c>
      <c r="D151" s="3">
        <v>44598</v>
      </c>
      <c r="E151">
        <v>6</v>
      </c>
    </row>
    <row r="152" spans="1:5" x14ac:dyDescent="0.25">
      <c r="A152">
        <v>448</v>
      </c>
      <c r="B152">
        <v>719</v>
      </c>
      <c r="C152" s="3">
        <v>44572</v>
      </c>
      <c r="D152" s="3">
        <v>44575</v>
      </c>
      <c r="E152">
        <v>4</v>
      </c>
    </row>
    <row r="153" spans="1:5" x14ac:dyDescent="0.25">
      <c r="A153">
        <v>468</v>
      </c>
      <c r="B153">
        <v>590</v>
      </c>
      <c r="C153" s="3">
        <v>44572</v>
      </c>
      <c r="D153" s="3">
        <v>44601</v>
      </c>
      <c r="E153">
        <v>9</v>
      </c>
    </row>
    <row r="154" spans="1:5" x14ac:dyDescent="0.25">
      <c r="A154">
        <v>468</v>
      </c>
      <c r="B154">
        <v>679</v>
      </c>
      <c r="C154" s="3">
        <v>44572</v>
      </c>
      <c r="D154" s="3">
        <v>44575</v>
      </c>
      <c r="E154">
        <v>5</v>
      </c>
    </row>
    <row r="155" spans="1:5" x14ac:dyDescent="0.25">
      <c r="A155">
        <v>570</v>
      </c>
      <c r="B155">
        <v>590</v>
      </c>
      <c r="C155" s="3">
        <v>44572</v>
      </c>
      <c r="D155" s="3">
        <v>44602</v>
      </c>
      <c r="E155">
        <v>6</v>
      </c>
    </row>
    <row r="156" spans="1:5" x14ac:dyDescent="0.25">
      <c r="A156">
        <v>586</v>
      </c>
      <c r="B156">
        <v>330</v>
      </c>
      <c r="C156" s="3">
        <v>44572</v>
      </c>
      <c r="D156" s="3">
        <v>44596</v>
      </c>
      <c r="E156">
        <v>5</v>
      </c>
    </row>
    <row r="157" spans="1:5" x14ac:dyDescent="0.25">
      <c r="A157">
        <v>594</v>
      </c>
      <c r="B157">
        <v>747</v>
      </c>
      <c r="C157" s="3">
        <v>44572</v>
      </c>
      <c r="D157" s="3">
        <v>44616</v>
      </c>
      <c r="E157">
        <v>1</v>
      </c>
    </row>
    <row r="158" spans="1:5" x14ac:dyDescent="0.25">
      <c r="A158">
        <v>784</v>
      </c>
      <c r="B158">
        <v>330</v>
      </c>
      <c r="C158" s="3">
        <v>44572</v>
      </c>
      <c r="D158" s="3">
        <v>44587</v>
      </c>
      <c r="E158">
        <v>1</v>
      </c>
    </row>
    <row r="159" spans="1:5" x14ac:dyDescent="0.25">
      <c r="A159">
        <v>823</v>
      </c>
      <c r="B159">
        <v>826</v>
      </c>
      <c r="C159" s="3">
        <v>44572</v>
      </c>
      <c r="D159" s="3">
        <v>44584</v>
      </c>
      <c r="E159">
        <v>9</v>
      </c>
    </row>
    <row r="160" spans="1:5" x14ac:dyDescent="0.25">
      <c r="A160">
        <v>989</v>
      </c>
      <c r="B160">
        <v>769</v>
      </c>
      <c r="C160" s="3">
        <v>44572</v>
      </c>
      <c r="D160" s="3">
        <v>44586</v>
      </c>
      <c r="E160">
        <v>7</v>
      </c>
    </row>
    <row r="161" spans="1:5" x14ac:dyDescent="0.25">
      <c r="A161">
        <v>22</v>
      </c>
      <c r="B161">
        <v>530</v>
      </c>
      <c r="C161" s="3">
        <v>44573</v>
      </c>
      <c r="D161" s="3">
        <v>44614</v>
      </c>
      <c r="E161">
        <v>3</v>
      </c>
    </row>
    <row r="162" spans="1:5" x14ac:dyDescent="0.25">
      <c r="A162">
        <v>139</v>
      </c>
      <c r="B162">
        <v>719</v>
      </c>
      <c r="C162" s="3">
        <v>44573</v>
      </c>
      <c r="D162" s="3">
        <v>44590</v>
      </c>
      <c r="E162">
        <v>8</v>
      </c>
    </row>
    <row r="163" spans="1:5" x14ac:dyDescent="0.25">
      <c r="A163">
        <v>146</v>
      </c>
      <c r="B163">
        <v>724</v>
      </c>
      <c r="C163" s="3">
        <v>44573</v>
      </c>
      <c r="D163" s="3">
        <v>44609</v>
      </c>
      <c r="E163">
        <v>6</v>
      </c>
    </row>
    <row r="164" spans="1:5" x14ac:dyDescent="0.25">
      <c r="A164">
        <v>200</v>
      </c>
      <c r="B164">
        <v>201</v>
      </c>
      <c r="C164" s="3">
        <v>44573</v>
      </c>
      <c r="D164" s="3">
        <v>44590</v>
      </c>
      <c r="E164">
        <v>1</v>
      </c>
    </row>
    <row r="165" spans="1:5" x14ac:dyDescent="0.25">
      <c r="A165">
        <v>496</v>
      </c>
      <c r="B165">
        <v>704</v>
      </c>
      <c r="C165" s="3">
        <v>44573</v>
      </c>
      <c r="D165" s="3">
        <v>44594</v>
      </c>
      <c r="E165">
        <v>2</v>
      </c>
    </row>
    <row r="166" spans="1:5" x14ac:dyDescent="0.25">
      <c r="A166">
        <v>526</v>
      </c>
      <c r="B166">
        <v>852</v>
      </c>
      <c r="C166" s="3">
        <v>44573</v>
      </c>
      <c r="D166" s="3">
        <v>44596</v>
      </c>
      <c r="E166">
        <v>6</v>
      </c>
    </row>
    <row r="167" spans="1:5" x14ac:dyDescent="0.25">
      <c r="A167">
        <v>643</v>
      </c>
      <c r="B167">
        <v>707</v>
      </c>
      <c r="C167" s="3">
        <v>44573</v>
      </c>
      <c r="D167" s="3">
        <v>44589</v>
      </c>
      <c r="E167">
        <v>3</v>
      </c>
    </row>
    <row r="168" spans="1:5" x14ac:dyDescent="0.25">
      <c r="A168">
        <v>657</v>
      </c>
      <c r="B168">
        <v>341</v>
      </c>
      <c r="C168" s="3">
        <v>44573</v>
      </c>
      <c r="D168" s="3">
        <v>44617</v>
      </c>
      <c r="E168">
        <v>3</v>
      </c>
    </row>
    <row r="169" spans="1:5" x14ac:dyDescent="0.25">
      <c r="A169">
        <v>659</v>
      </c>
      <c r="B169">
        <v>805</v>
      </c>
      <c r="C169" s="3">
        <v>44573</v>
      </c>
      <c r="D169" s="3">
        <v>44612</v>
      </c>
      <c r="E169">
        <v>8</v>
      </c>
    </row>
    <row r="170" spans="1:5" x14ac:dyDescent="0.25">
      <c r="A170">
        <v>669</v>
      </c>
      <c r="B170">
        <v>810</v>
      </c>
      <c r="C170" s="3">
        <v>44573</v>
      </c>
      <c r="D170" s="3">
        <v>44587</v>
      </c>
      <c r="E170">
        <v>4</v>
      </c>
    </row>
    <row r="171" spans="1:5" x14ac:dyDescent="0.25">
      <c r="A171">
        <v>771</v>
      </c>
      <c r="B171">
        <v>259</v>
      </c>
      <c r="C171" s="3">
        <v>44573</v>
      </c>
      <c r="D171" s="3">
        <v>44610</v>
      </c>
      <c r="E171">
        <v>1</v>
      </c>
    </row>
    <row r="172" spans="1:5" x14ac:dyDescent="0.25">
      <c r="A172">
        <v>47</v>
      </c>
      <c r="B172">
        <v>376</v>
      </c>
      <c r="C172" s="3">
        <v>44574</v>
      </c>
      <c r="D172" s="3">
        <v>44606</v>
      </c>
      <c r="E172">
        <v>9</v>
      </c>
    </row>
    <row r="173" spans="1:5" x14ac:dyDescent="0.25">
      <c r="A173">
        <v>55</v>
      </c>
      <c r="B173">
        <v>398</v>
      </c>
      <c r="C173" s="3">
        <v>44574</v>
      </c>
      <c r="D173" s="3">
        <v>44580</v>
      </c>
      <c r="E173">
        <v>5</v>
      </c>
    </row>
    <row r="174" spans="1:5" x14ac:dyDescent="0.25">
      <c r="A174">
        <v>180</v>
      </c>
      <c r="B174">
        <v>607</v>
      </c>
      <c r="C174" s="3">
        <v>44574</v>
      </c>
      <c r="D174" s="3">
        <v>44590</v>
      </c>
      <c r="E174">
        <v>5</v>
      </c>
    </row>
    <row r="175" spans="1:5" x14ac:dyDescent="0.25">
      <c r="A175">
        <v>232</v>
      </c>
      <c r="B175">
        <v>702</v>
      </c>
      <c r="C175" s="3">
        <v>44574</v>
      </c>
      <c r="D175" s="3">
        <v>44590</v>
      </c>
      <c r="E175">
        <v>4</v>
      </c>
    </row>
    <row r="176" spans="1:5" x14ac:dyDescent="0.25">
      <c r="A176">
        <v>282</v>
      </c>
      <c r="B176">
        <v>701</v>
      </c>
      <c r="C176" s="3">
        <v>44574</v>
      </c>
      <c r="D176" s="3">
        <v>44612</v>
      </c>
      <c r="E176">
        <v>9</v>
      </c>
    </row>
    <row r="177" spans="1:5" x14ac:dyDescent="0.25">
      <c r="A177">
        <v>302</v>
      </c>
      <c r="B177">
        <v>374</v>
      </c>
      <c r="C177" s="3">
        <v>44574</v>
      </c>
      <c r="D177" s="3">
        <v>44576</v>
      </c>
      <c r="E177">
        <v>7</v>
      </c>
    </row>
    <row r="178" spans="1:5" x14ac:dyDescent="0.25">
      <c r="A178">
        <v>328</v>
      </c>
      <c r="B178">
        <v>852</v>
      </c>
      <c r="C178" s="3">
        <v>44574</v>
      </c>
      <c r="D178" s="3">
        <v>44575</v>
      </c>
      <c r="E178">
        <v>1</v>
      </c>
    </row>
    <row r="179" spans="1:5" x14ac:dyDescent="0.25">
      <c r="A179">
        <v>531</v>
      </c>
      <c r="B179">
        <v>724</v>
      </c>
      <c r="C179" s="3">
        <v>44574</v>
      </c>
      <c r="D179" s="3">
        <v>44598</v>
      </c>
      <c r="E179">
        <v>1</v>
      </c>
    </row>
    <row r="180" spans="1:5" x14ac:dyDescent="0.25">
      <c r="A180">
        <v>580</v>
      </c>
      <c r="B180">
        <v>239</v>
      </c>
      <c r="C180" s="3">
        <v>44574</v>
      </c>
      <c r="D180" s="3">
        <v>44581</v>
      </c>
      <c r="E180">
        <v>4</v>
      </c>
    </row>
    <row r="181" spans="1:5" x14ac:dyDescent="0.25">
      <c r="A181">
        <v>585</v>
      </c>
      <c r="B181">
        <v>740</v>
      </c>
      <c r="C181" s="3">
        <v>44574</v>
      </c>
      <c r="D181" s="3">
        <v>44618</v>
      </c>
      <c r="E181">
        <v>8</v>
      </c>
    </row>
    <row r="182" spans="1:5" x14ac:dyDescent="0.25">
      <c r="A182">
        <v>600</v>
      </c>
      <c r="B182">
        <v>769</v>
      </c>
      <c r="C182" s="3">
        <v>44574</v>
      </c>
      <c r="D182" s="3">
        <v>44612</v>
      </c>
      <c r="E182">
        <v>8</v>
      </c>
    </row>
    <row r="183" spans="1:5" x14ac:dyDescent="0.25">
      <c r="A183">
        <v>730</v>
      </c>
      <c r="B183">
        <v>834</v>
      </c>
      <c r="C183" s="3">
        <v>44574</v>
      </c>
      <c r="D183" s="3">
        <v>44591</v>
      </c>
      <c r="E183">
        <v>9</v>
      </c>
    </row>
    <row r="184" spans="1:5" x14ac:dyDescent="0.25">
      <c r="A184">
        <v>750</v>
      </c>
      <c r="B184">
        <v>810</v>
      </c>
      <c r="C184" s="3">
        <v>44574</v>
      </c>
      <c r="D184" s="3">
        <v>44600</v>
      </c>
      <c r="E184">
        <v>10</v>
      </c>
    </row>
    <row r="185" spans="1:5" x14ac:dyDescent="0.25">
      <c r="A185">
        <v>771</v>
      </c>
      <c r="B185">
        <v>436</v>
      </c>
      <c r="C185" s="3">
        <v>44574</v>
      </c>
      <c r="D185" s="3">
        <v>44612</v>
      </c>
      <c r="E185">
        <v>2</v>
      </c>
    </row>
    <row r="186" spans="1:5" x14ac:dyDescent="0.25">
      <c r="A186">
        <v>849</v>
      </c>
      <c r="B186">
        <v>801</v>
      </c>
      <c r="C186" s="3">
        <v>44574</v>
      </c>
      <c r="D186" s="3">
        <v>44584</v>
      </c>
      <c r="E186">
        <v>2</v>
      </c>
    </row>
    <row r="187" spans="1:5" x14ac:dyDescent="0.25">
      <c r="A187">
        <v>22</v>
      </c>
      <c r="B187">
        <v>711</v>
      </c>
      <c r="C187" s="3">
        <v>44575</v>
      </c>
      <c r="D187" s="3">
        <v>44591</v>
      </c>
      <c r="E187">
        <v>5</v>
      </c>
    </row>
    <row r="188" spans="1:5" x14ac:dyDescent="0.25">
      <c r="A188">
        <v>142</v>
      </c>
      <c r="B188">
        <v>316</v>
      </c>
      <c r="C188" s="3">
        <v>44575</v>
      </c>
      <c r="D188" s="3">
        <v>44616</v>
      </c>
      <c r="E188">
        <v>9</v>
      </c>
    </row>
    <row r="189" spans="1:5" x14ac:dyDescent="0.25">
      <c r="A189">
        <v>146</v>
      </c>
      <c r="B189">
        <v>707</v>
      </c>
      <c r="C189" s="3">
        <v>44575</v>
      </c>
      <c r="D189" s="3">
        <v>44606</v>
      </c>
      <c r="E189">
        <v>1</v>
      </c>
    </row>
    <row r="190" spans="1:5" x14ac:dyDescent="0.25">
      <c r="A190">
        <v>328</v>
      </c>
      <c r="B190">
        <v>607</v>
      </c>
      <c r="C190" s="3">
        <v>44575</v>
      </c>
      <c r="D190" s="3">
        <v>44595</v>
      </c>
      <c r="E190">
        <v>3</v>
      </c>
    </row>
    <row r="191" spans="1:5" x14ac:dyDescent="0.25">
      <c r="A191">
        <v>330</v>
      </c>
      <c r="B191">
        <v>128</v>
      </c>
      <c r="C191" s="3">
        <v>44575</v>
      </c>
      <c r="D191" s="3">
        <v>44610</v>
      </c>
      <c r="E191">
        <v>10</v>
      </c>
    </row>
    <row r="192" spans="1:5" x14ac:dyDescent="0.25">
      <c r="A192">
        <v>333</v>
      </c>
      <c r="B192">
        <v>696</v>
      </c>
      <c r="C192" s="3">
        <v>44575</v>
      </c>
      <c r="D192" s="3">
        <v>44608</v>
      </c>
      <c r="E192">
        <v>3</v>
      </c>
    </row>
    <row r="193" spans="1:5" x14ac:dyDescent="0.25">
      <c r="A193">
        <v>544</v>
      </c>
      <c r="B193">
        <v>830</v>
      </c>
      <c r="C193" s="3">
        <v>44575</v>
      </c>
      <c r="D193" s="3">
        <v>44609</v>
      </c>
      <c r="E193">
        <v>7</v>
      </c>
    </row>
    <row r="194" spans="1:5" x14ac:dyDescent="0.25">
      <c r="A194">
        <v>557</v>
      </c>
      <c r="B194">
        <v>724</v>
      </c>
      <c r="C194" s="3">
        <v>44575</v>
      </c>
      <c r="D194" s="3">
        <v>44601</v>
      </c>
      <c r="E194">
        <v>1</v>
      </c>
    </row>
    <row r="195" spans="1:5" x14ac:dyDescent="0.25">
      <c r="A195">
        <v>557</v>
      </c>
      <c r="B195">
        <v>849</v>
      </c>
      <c r="C195" s="3">
        <v>44575</v>
      </c>
      <c r="D195" s="3">
        <v>44616</v>
      </c>
      <c r="E195">
        <v>9</v>
      </c>
    </row>
    <row r="196" spans="1:5" x14ac:dyDescent="0.25">
      <c r="A196">
        <v>585</v>
      </c>
      <c r="B196">
        <v>696</v>
      </c>
      <c r="C196" s="3">
        <v>44575</v>
      </c>
      <c r="D196" s="3">
        <v>44607</v>
      </c>
      <c r="E196">
        <v>8</v>
      </c>
    </row>
    <row r="197" spans="1:5" x14ac:dyDescent="0.25">
      <c r="A197">
        <v>610</v>
      </c>
      <c r="B197">
        <v>213</v>
      </c>
      <c r="C197" s="3">
        <v>44575</v>
      </c>
      <c r="D197" s="3">
        <v>44617</v>
      </c>
      <c r="E197">
        <v>8</v>
      </c>
    </row>
    <row r="198" spans="1:5" x14ac:dyDescent="0.25">
      <c r="A198">
        <v>750</v>
      </c>
      <c r="B198">
        <v>810</v>
      </c>
      <c r="C198" s="3">
        <v>44575</v>
      </c>
      <c r="D198" s="3">
        <v>44618</v>
      </c>
      <c r="E198">
        <v>6</v>
      </c>
    </row>
    <row r="199" spans="1:5" x14ac:dyDescent="0.25">
      <c r="A199">
        <v>42</v>
      </c>
      <c r="B199">
        <v>853</v>
      </c>
      <c r="C199" s="3">
        <v>44576</v>
      </c>
      <c r="D199" s="3">
        <v>44605</v>
      </c>
      <c r="E199">
        <v>1</v>
      </c>
    </row>
    <row r="200" spans="1:5" x14ac:dyDescent="0.25">
      <c r="A200">
        <v>146</v>
      </c>
      <c r="B200">
        <v>817</v>
      </c>
      <c r="C200" s="3">
        <v>44576</v>
      </c>
      <c r="D200" s="3">
        <v>44580</v>
      </c>
      <c r="E200">
        <v>7</v>
      </c>
    </row>
    <row r="201" spans="1:5" x14ac:dyDescent="0.25">
      <c r="A201">
        <v>282</v>
      </c>
      <c r="B201">
        <v>740</v>
      </c>
      <c r="C201" s="3">
        <v>44576</v>
      </c>
      <c r="D201" s="3">
        <v>44594</v>
      </c>
      <c r="E201">
        <v>6</v>
      </c>
    </row>
    <row r="202" spans="1:5" x14ac:dyDescent="0.25">
      <c r="A202">
        <v>323</v>
      </c>
      <c r="B202">
        <v>128</v>
      </c>
      <c r="C202" s="3">
        <v>44576</v>
      </c>
      <c r="D202" s="3">
        <v>44584</v>
      </c>
      <c r="E202">
        <v>9</v>
      </c>
    </row>
    <row r="203" spans="1:5" x14ac:dyDescent="0.25">
      <c r="A203">
        <v>323</v>
      </c>
      <c r="B203">
        <v>341</v>
      </c>
      <c r="C203" s="3">
        <v>44576</v>
      </c>
      <c r="D203" s="3">
        <v>44584</v>
      </c>
      <c r="E203">
        <v>1</v>
      </c>
    </row>
    <row r="204" spans="1:5" x14ac:dyDescent="0.25">
      <c r="A204">
        <v>330</v>
      </c>
      <c r="B204">
        <v>376</v>
      </c>
      <c r="C204" s="3">
        <v>44576</v>
      </c>
      <c r="D204" s="3">
        <v>44613</v>
      </c>
      <c r="E204">
        <v>1</v>
      </c>
    </row>
    <row r="205" spans="1:5" x14ac:dyDescent="0.25">
      <c r="A205">
        <v>491</v>
      </c>
      <c r="B205">
        <v>583</v>
      </c>
      <c r="C205" s="3">
        <v>44576</v>
      </c>
      <c r="D205" s="3">
        <v>44607</v>
      </c>
      <c r="E205">
        <v>8</v>
      </c>
    </row>
    <row r="206" spans="1:5" x14ac:dyDescent="0.25">
      <c r="A206">
        <v>544</v>
      </c>
      <c r="B206">
        <v>316</v>
      </c>
      <c r="C206" s="3">
        <v>44576</v>
      </c>
      <c r="D206" s="3">
        <v>44591</v>
      </c>
      <c r="E206">
        <v>8</v>
      </c>
    </row>
    <row r="207" spans="1:5" x14ac:dyDescent="0.25">
      <c r="A207">
        <v>557</v>
      </c>
      <c r="B207">
        <v>745</v>
      </c>
      <c r="C207" s="3">
        <v>44576</v>
      </c>
      <c r="D207" s="3">
        <v>44619</v>
      </c>
      <c r="E207">
        <v>2</v>
      </c>
    </row>
    <row r="208" spans="1:5" x14ac:dyDescent="0.25">
      <c r="A208">
        <v>573</v>
      </c>
      <c r="B208">
        <v>239</v>
      </c>
      <c r="C208" s="3">
        <v>44576</v>
      </c>
      <c r="D208" s="3">
        <v>44588</v>
      </c>
      <c r="E208">
        <v>2</v>
      </c>
    </row>
    <row r="209" spans="1:5" x14ac:dyDescent="0.25">
      <c r="A209">
        <v>651</v>
      </c>
      <c r="B209">
        <v>698</v>
      </c>
      <c r="C209" s="3">
        <v>44576</v>
      </c>
      <c r="D209" s="3">
        <v>44613</v>
      </c>
      <c r="E209">
        <v>8</v>
      </c>
    </row>
    <row r="210" spans="1:5" x14ac:dyDescent="0.25">
      <c r="A210">
        <v>961</v>
      </c>
      <c r="B210">
        <v>643</v>
      </c>
      <c r="C210" s="3">
        <v>44576</v>
      </c>
      <c r="D210" s="3">
        <v>44615</v>
      </c>
      <c r="E210">
        <v>10</v>
      </c>
    </row>
    <row r="211" spans="1:5" x14ac:dyDescent="0.25">
      <c r="A211">
        <v>972</v>
      </c>
      <c r="B211">
        <v>583</v>
      </c>
      <c r="C211" s="3">
        <v>44576</v>
      </c>
      <c r="D211" s="3">
        <v>44609</v>
      </c>
      <c r="E211">
        <v>3</v>
      </c>
    </row>
    <row r="212" spans="1:5" x14ac:dyDescent="0.25">
      <c r="A212">
        <v>983</v>
      </c>
      <c r="B212">
        <v>620</v>
      </c>
      <c r="C212" s="3">
        <v>44576</v>
      </c>
      <c r="D212" s="3">
        <v>44600</v>
      </c>
      <c r="E212">
        <v>9</v>
      </c>
    </row>
    <row r="213" spans="1:5" x14ac:dyDescent="0.25">
      <c r="A213">
        <v>46</v>
      </c>
      <c r="B213">
        <v>732</v>
      </c>
      <c r="C213" s="3">
        <v>44577</v>
      </c>
      <c r="D213" s="3">
        <v>44604</v>
      </c>
      <c r="E213">
        <v>8</v>
      </c>
    </row>
    <row r="214" spans="1:5" x14ac:dyDescent="0.25">
      <c r="A214">
        <v>142</v>
      </c>
      <c r="B214">
        <v>724</v>
      </c>
      <c r="C214" s="3">
        <v>44577</v>
      </c>
      <c r="D214" s="3">
        <v>44586</v>
      </c>
      <c r="E214">
        <v>6</v>
      </c>
    </row>
    <row r="215" spans="1:5" x14ac:dyDescent="0.25">
      <c r="A215">
        <v>226</v>
      </c>
      <c r="B215">
        <v>867</v>
      </c>
      <c r="C215" s="3">
        <v>44577</v>
      </c>
      <c r="D215" s="3">
        <v>44604</v>
      </c>
      <c r="E215">
        <v>3</v>
      </c>
    </row>
    <row r="216" spans="1:5" x14ac:dyDescent="0.25">
      <c r="A216">
        <v>328</v>
      </c>
      <c r="B216">
        <v>862</v>
      </c>
      <c r="C216" s="3">
        <v>44577</v>
      </c>
      <c r="D216" s="3">
        <v>44614</v>
      </c>
      <c r="E216">
        <v>9</v>
      </c>
    </row>
    <row r="217" spans="1:5" x14ac:dyDescent="0.25">
      <c r="A217">
        <v>332</v>
      </c>
      <c r="B217">
        <v>436</v>
      </c>
      <c r="C217" s="3">
        <v>44577</v>
      </c>
      <c r="D217" s="3">
        <v>44595</v>
      </c>
      <c r="E217">
        <v>1</v>
      </c>
    </row>
    <row r="218" spans="1:5" x14ac:dyDescent="0.25">
      <c r="A218">
        <v>489</v>
      </c>
      <c r="B218">
        <v>792</v>
      </c>
      <c r="C218" s="3">
        <v>44577</v>
      </c>
      <c r="D218" s="3">
        <v>44610</v>
      </c>
      <c r="E218">
        <v>9</v>
      </c>
    </row>
    <row r="219" spans="1:5" x14ac:dyDescent="0.25">
      <c r="A219">
        <v>501</v>
      </c>
      <c r="B219">
        <v>259</v>
      </c>
      <c r="C219" s="3">
        <v>44577</v>
      </c>
      <c r="D219" s="3">
        <v>44598</v>
      </c>
      <c r="E219">
        <v>10</v>
      </c>
    </row>
    <row r="220" spans="1:5" x14ac:dyDescent="0.25">
      <c r="A220">
        <v>531</v>
      </c>
      <c r="B220">
        <v>676</v>
      </c>
      <c r="C220" s="3">
        <v>44577</v>
      </c>
      <c r="D220" s="3">
        <v>44620</v>
      </c>
      <c r="E220">
        <v>9</v>
      </c>
    </row>
    <row r="221" spans="1:5" x14ac:dyDescent="0.25">
      <c r="A221">
        <v>540</v>
      </c>
      <c r="B221">
        <v>725</v>
      </c>
      <c r="C221" s="3">
        <v>44577</v>
      </c>
      <c r="D221" s="3">
        <v>44614</v>
      </c>
      <c r="E221">
        <v>6</v>
      </c>
    </row>
    <row r="222" spans="1:5" x14ac:dyDescent="0.25">
      <c r="A222">
        <v>543</v>
      </c>
      <c r="B222">
        <v>830</v>
      </c>
      <c r="C222" s="3">
        <v>44577</v>
      </c>
      <c r="D222" s="3">
        <v>44597</v>
      </c>
      <c r="E222">
        <v>10</v>
      </c>
    </row>
    <row r="223" spans="1:5" x14ac:dyDescent="0.25">
      <c r="A223">
        <v>557</v>
      </c>
      <c r="B223">
        <v>778</v>
      </c>
      <c r="C223" s="3">
        <v>44577</v>
      </c>
      <c r="D223" s="3">
        <v>44585</v>
      </c>
      <c r="E223">
        <v>6</v>
      </c>
    </row>
    <row r="224" spans="1:5" x14ac:dyDescent="0.25">
      <c r="A224">
        <v>567</v>
      </c>
      <c r="B224">
        <v>196</v>
      </c>
      <c r="C224" s="3">
        <v>44577</v>
      </c>
      <c r="D224" s="3">
        <v>44620</v>
      </c>
      <c r="E224">
        <v>7</v>
      </c>
    </row>
    <row r="225" spans="1:5" x14ac:dyDescent="0.25">
      <c r="A225">
        <v>600</v>
      </c>
      <c r="B225">
        <v>196</v>
      </c>
      <c r="C225" s="3">
        <v>44577</v>
      </c>
      <c r="D225" s="3">
        <v>44586</v>
      </c>
      <c r="E225">
        <v>2</v>
      </c>
    </row>
    <row r="226" spans="1:5" x14ac:dyDescent="0.25">
      <c r="A226">
        <v>609</v>
      </c>
      <c r="B226">
        <v>515</v>
      </c>
      <c r="C226" s="3">
        <v>44577</v>
      </c>
      <c r="D226" s="3">
        <v>44587</v>
      </c>
      <c r="E226">
        <v>5</v>
      </c>
    </row>
    <row r="227" spans="1:5" x14ac:dyDescent="0.25">
      <c r="A227">
        <v>611</v>
      </c>
      <c r="B227">
        <v>582</v>
      </c>
      <c r="C227" s="3">
        <v>44577</v>
      </c>
      <c r="D227" s="3">
        <v>44618</v>
      </c>
      <c r="E227">
        <v>9</v>
      </c>
    </row>
    <row r="228" spans="1:5" x14ac:dyDescent="0.25">
      <c r="A228">
        <v>802</v>
      </c>
      <c r="B228">
        <v>696</v>
      </c>
      <c r="C228" s="3">
        <v>44577</v>
      </c>
      <c r="D228" s="3">
        <v>44607</v>
      </c>
      <c r="E228">
        <v>9</v>
      </c>
    </row>
    <row r="229" spans="1:5" x14ac:dyDescent="0.25">
      <c r="A229">
        <v>141</v>
      </c>
      <c r="B229">
        <v>709</v>
      </c>
      <c r="C229" s="3">
        <v>44578</v>
      </c>
      <c r="D229" s="3">
        <v>44608</v>
      </c>
      <c r="E229">
        <v>4</v>
      </c>
    </row>
    <row r="230" spans="1:5" x14ac:dyDescent="0.25">
      <c r="A230">
        <v>190</v>
      </c>
      <c r="B230">
        <v>580</v>
      </c>
      <c r="C230" s="3">
        <v>44578</v>
      </c>
      <c r="D230" s="3">
        <v>44581</v>
      </c>
      <c r="E230">
        <v>5</v>
      </c>
    </row>
    <row r="231" spans="1:5" x14ac:dyDescent="0.25">
      <c r="A231">
        <v>200</v>
      </c>
      <c r="B231">
        <v>541</v>
      </c>
      <c r="C231" s="3">
        <v>44578</v>
      </c>
      <c r="D231" s="3">
        <v>44583</v>
      </c>
      <c r="E231">
        <v>10</v>
      </c>
    </row>
    <row r="232" spans="1:5" x14ac:dyDescent="0.25">
      <c r="A232">
        <v>284</v>
      </c>
      <c r="B232">
        <v>840</v>
      </c>
      <c r="C232" s="3">
        <v>44578</v>
      </c>
      <c r="D232" s="3">
        <v>44582</v>
      </c>
      <c r="E232">
        <v>4</v>
      </c>
    </row>
    <row r="233" spans="1:5" x14ac:dyDescent="0.25">
      <c r="A233">
        <v>302</v>
      </c>
      <c r="B233">
        <v>698</v>
      </c>
      <c r="C233" s="3">
        <v>44578</v>
      </c>
      <c r="D233" s="3">
        <v>44606</v>
      </c>
      <c r="E233">
        <v>9</v>
      </c>
    </row>
    <row r="234" spans="1:5" x14ac:dyDescent="0.25">
      <c r="A234">
        <v>329</v>
      </c>
      <c r="B234">
        <v>590</v>
      </c>
      <c r="C234" s="3">
        <v>44578</v>
      </c>
      <c r="D234" s="3">
        <v>44610</v>
      </c>
      <c r="E234">
        <v>10</v>
      </c>
    </row>
    <row r="235" spans="1:5" x14ac:dyDescent="0.25">
      <c r="A235">
        <v>657</v>
      </c>
      <c r="B235">
        <v>464</v>
      </c>
      <c r="C235" s="3">
        <v>44578</v>
      </c>
      <c r="D235" s="3">
        <v>44589</v>
      </c>
      <c r="E235">
        <v>10</v>
      </c>
    </row>
    <row r="236" spans="1:5" x14ac:dyDescent="0.25">
      <c r="A236">
        <v>657</v>
      </c>
      <c r="B236">
        <v>724</v>
      </c>
      <c r="C236" s="3">
        <v>44578</v>
      </c>
      <c r="D236" s="3">
        <v>44612</v>
      </c>
      <c r="E236">
        <v>9</v>
      </c>
    </row>
    <row r="237" spans="1:5" x14ac:dyDescent="0.25">
      <c r="A237">
        <v>669</v>
      </c>
      <c r="B237">
        <v>652</v>
      </c>
      <c r="C237" s="3">
        <v>44578</v>
      </c>
      <c r="D237" s="3">
        <v>44608</v>
      </c>
      <c r="E237">
        <v>5</v>
      </c>
    </row>
    <row r="238" spans="1:5" x14ac:dyDescent="0.25">
      <c r="A238">
        <v>750</v>
      </c>
      <c r="B238">
        <v>201</v>
      </c>
      <c r="C238" s="3">
        <v>44578</v>
      </c>
      <c r="D238" s="3">
        <v>44612</v>
      </c>
      <c r="E238">
        <v>7</v>
      </c>
    </row>
    <row r="239" spans="1:5" x14ac:dyDescent="0.25">
      <c r="A239">
        <v>784</v>
      </c>
      <c r="B239">
        <v>719</v>
      </c>
      <c r="C239" s="3">
        <v>44578</v>
      </c>
      <c r="D239" s="3">
        <v>44583</v>
      </c>
      <c r="E239">
        <v>10</v>
      </c>
    </row>
    <row r="240" spans="1:5" x14ac:dyDescent="0.25">
      <c r="A240">
        <v>802</v>
      </c>
      <c r="B240">
        <v>201</v>
      </c>
      <c r="C240" s="3">
        <v>44578</v>
      </c>
      <c r="D240" s="3">
        <v>44620</v>
      </c>
      <c r="E240">
        <v>3</v>
      </c>
    </row>
    <row r="241" spans="1:5" x14ac:dyDescent="0.25">
      <c r="A241">
        <v>66</v>
      </c>
      <c r="B241">
        <v>853</v>
      </c>
      <c r="C241" s="3">
        <v>44579</v>
      </c>
      <c r="D241" s="3">
        <v>44587</v>
      </c>
      <c r="E241">
        <v>9</v>
      </c>
    </row>
    <row r="242" spans="1:5" x14ac:dyDescent="0.25">
      <c r="A242">
        <v>139</v>
      </c>
      <c r="B242">
        <v>583</v>
      </c>
      <c r="C242" s="3">
        <v>44579</v>
      </c>
      <c r="D242" s="3">
        <v>44620</v>
      </c>
      <c r="E242">
        <v>9</v>
      </c>
    </row>
    <row r="243" spans="1:5" x14ac:dyDescent="0.25">
      <c r="A243">
        <v>526</v>
      </c>
      <c r="B243">
        <v>813</v>
      </c>
      <c r="C243" s="3">
        <v>44579</v>
      </c>
      <c r="D243" s="3">
        <v>44619</v>
      </c>
      <c r="E243">
        <v>5</v>
      </c>
    </row>
    <row r="244" spans="1:5" x14ac:dyDescent="0.25">
      <c r="A244">
        <v>544</v>
      </c>
      <c r="B244">
        <v>780</v>
      </c>
      <c r="C244" s="3">
        <v>44579</v>
      </c>
      <c r="D244" s="3">
        <v>44595</v>
      </c>
      <c r="E244">
        <v>6</v>
      </c>
    </row>
    <row r="245" spans="1:5" x14ac:dyDescent="0.25">
      <c r="A245">
        <v>557</v>
      </c>
      <c r="B245">
        <v>759</v>
      </c>
      <c r="C245" s="3">
        <v>44579</v>
      </c>
      <c r="D245" s="3">
        <v>44596</v>
      </c>
      <c r="E245">
        <v>10</v>
      </c>
    </row>
    <row r="246" spans="1:5" x14ac:dyDescent="0.25">
      <c r="A246">
        <v>570</v>
      </c>
      <c r="B246">
        <v>145</v>
      </c>
      <c r="C246" s="3">
        <v>44579</v>
      </c>
      <c r="D246" s="3">
        <v>44620</v>
      </c>
      <c r="E246">
        <v>4</v>
      </c>
    </row>
    <row r="247" spans="1:5" x14ac:dyDescent="0.25">
      <c r="A247">
        <v>730</v>
      </c>
      <c r="B247">
        <v>725</v>
      </c>
      <c r="C247" s="3">
        <v>44579</v>
      </c>
      <c r="D247" s="3">
        <v>44594</v>
      </c>
      <c r="E247">
        <v>9</v>
      </c>
    </row>
    <row r="248" spans="1:5" x14ac:dyDescent="0.25">
      <c r="A248">
        <v>758</v>
      </c>
      <c r="B248">
        <v>812</v>
      </c>
      <c r="C248" s="3">
        <v>44579</v>
      </c>
      <c r="D248" s="3">
        <v>44590</v>
      </c>
      <c r="E248">
        <v>10</v>
      </c>
    </row>
    <row r="249" spans="1:5" x14ac:dyDescent="0.25">
      <c r="A249">
        <v>823</v>
      </c>
      <c r="B249">
        <v>689</v>
      </c>
      <c r="C249" s="3">
        <v>44579</v>
      </c>
      <c r="D249" s="3">
        <v>44583</v>
      </c>
      <c r="E249">
        <v>4</v>
      </c>
    </row>
    <row r="250" spans="1:5" x14ac:dyDescent="0.25">
      <c r="A250">
        <v>906</v>
      </c>
      <c r="B250">
        <v>164</v>
      </c>
      <c r="C250" s="3">
        <v>44579</v>
      </c>
      <c r="D250" s="3">
        <v>44622</v>
      </c>
      <c r="E250">
        <v>4</v>
      </c>
    </row>
    <row r="251" spans="1:5" x14ac:dyDescent="0.25">
      <c r="A251">
        <v>158</v>
      </c>
      <c r="B251">
        <v>778</v>
      </c>
      <c r="C251" s="3">
        <v>44580</v>
      </c>
      <c r="D251" s="3">
        <v>44590</v>
      </c>
      <c r="E251">
        <v>1</v>
      </c>
    </row>
    <row r="252" spans="1:5" x14ac:dyDescent="0.25">
      <c r="A252">
        <v>282</v>
      </c>
      <c r="B252">
        <v>681</v>
      </c>
      <c r="C252" s="3">
        <v>44580</v>
      </c>
      <c r="D252" s="3">
        <v>44608</v>
      </c>
      <c r="E252">
        <v>6</v>
      </c>
    </row>
    <row r="253" spans="1:5" x14ac:dyDescent="0.25">
      <c r="A253">
        <v>312</v>
      </c>
      <c r="B253">
        <v>213</v>
      </c>
      <c r="C253" s="3">
        <v>44580</v>
      </c>
      <c r="D253" s="3">
        <v>44587</v>
      </c>
      <c r="E253">
        <v>8</v>
      </c>
    </row>
    <row r="254" spans="1:5" x14ac:dyDescent="0.25">
      <c r="A254">
        <v>333</v>
      </c>
      <c r="B254">
        <v>239</v>
      </c>
      <c r="C254" s="3">
        <v>44580</v>
      </c>
      <c r="D254" s="3">
        <v>44584</v>
      </c>
      <c r="E254">
        <v>7</v>
      </c>
    </row>
    <row r="255" spans="1:5" x14ac:dyDescent="0.25">
      <c r="A255">
        <v>334</v>
      </c>
      <c r="B255">
        <v>692</v>
      </c>
      <c r="C255" s="3">
        <v>44580</v>
      </c>
      <c r="D255" s="3">
        <v>44603</v>
      </c>
      <c r="E255">
        <v>10</v>
      </c>
    </row>
    <row r="256" spans="1:5" x14ac:dyDescent="0.25">
      <c r="A256">
        <v>360</v>
      </c>
      <c r="B256">
        <v>683</v>
      </c>
      <c r="C256" s="3">
        <v>44580</v>
      </c>
      <c r="D256" s="3">
        <v>44612</v>
      </c>
      <c r="E256">
        <v>5</v>
      </c>
    </row>
    <row r="257" spans="1:5" x14ac:dyDescent="0.25">
      <c r="A257">
        <v>501</v>
      </c>
      <c r="B257">
        <v>652</v>
      </c>
      <c r="C257" s="3">
        <v>44580</v>
      </c>
      <c r="D257" s="3">
        <v>44614</v>
      </c>
      <c r="E257">
        <v>8</v>
      </c>
    </row>
    <row r="258" spans="1:5" x14ac:dyDescent="0.25">
      <c r="A258">
        <v>544</v>
      </c>
      <c r="B258">
        <v>453</v>
      </c>
      <c r="C258" s="3">
        <v>44580</v>
      </c>
      <c r="D258" s="3">
        <v>44617</v>
      </c>
      <c r="E258">
        <v>6</v>
      </c>
    </row>
    <row r="259" spans="1:5" x14ac:dyDescent="0.25">
      <c r="A259">
        <v>544</v>
      </c>
      <c r="B259">
        <v>679</v>
      </c>
      <c r="C259" s="3">
        <v>44580</v>
      </c>
      <c r="D259" s="3">
        <v>44605</v>
      </c>
      <c r="E259">
        <v>9</v>
      </c>
    </row>
    <row r="260" spans="1:5" x14ac:dyDescent="0.25">
      <c r="A260">
        <v>568</v>
      </c>
      <c r="B260">
        <v>395</v>
      </c>
      <c r="C260" s="3">
        <v>44580</v>
      </c>
      <c r="D260" s="3">
        <v>44601</v>
      </c>
      <c r="E260">
        <v>8</v>
      </c>
    </row>
    <row r="261" spans="1:5" x14ac:dyDescent="0.25">
      <c r="A261">
        <v>771</v>
      </c>
      <c r="B261">
        <v>282</v>
      </c>
      <c r="C261" s="3">
        <v>44580</v>
      </c>
      <c r="D261" s="3">
        <v>44615</v>
      </c>
      <c r="E261">
        <v>3</v>
      </c>
    </row>
    <row r="262" spans="1:5" x14ac:dyDescent="0.25">
      <c r="A262">
        <v>226</v>
      </c>
      <c r="B262">
        <v>331</v>
      </c>
      <c r="C262" s="3">
        <v>44581</v>
      </c>
      <c r="D262" s="3">
        <v>44601</v>
      </c>
      <c r="E262">
        <v>10</v>
      </c>
    </row>
    <row r="263" spans="1:5" x14ac:dyDescent="0.25">
      <c r="A263">
        <v>284</v>
      </c>
      <c r="B263">
        <v>541</v>
      </c>
      <c r="C263" s="3">
        <v>44581</v>
      </c>
      <c r="D263" s="3">
        <v>44582</v>
      </c>
      <c r="E263">
        <v>2</v>
      </c>
    </row>
    <row r="264" spans="1:5" x14ac:dyDescent="0.25">
      <c r="A264">
        <v>296</v>
      </c>
      <c r="B264">
        <v>709</v>
      </c>
      <c r="C264" s="3">
        <v>44581</v>
      </c>
      <c r="D264" s="3">
        <v>44592</v>
      </c>
      <c r="E264">
        <v>9</v>
      </c>
    </row>
    <row r="265" spans="1:5" x14ac:dyDescent="0.25">
      <c r="A265">
        <v>338</v>
      </c>
      <c r="B265">
        <v>316</v>
      </c>
      <c r="C265" s="3">
        <v>44581</v>
      </c>
      <c r="D265" s="3">
        <v>44604</v>
      </c>
      <c r="E265">
        <v>10</v>
      </c>
    </row>
    <row r="266" spans="1:5" x14ac:dyDescent="0.25">
      <c r="A266">
        <v>390</v>
      </c>
      <c r="B266">
        <v>769</v>
      </c>
      <c r="C266" s="3">
        <v>44581</v>
      </c>
      <c r="D266" s="3">
        <v>44588</v>
      </c>
      <c r="E266">
        <v>1</v>
      </c>
    </row>
    <row r="267" spans="1:5" x14ac:dyDescent="0.25">
      <c r="A267">
        <v>412</v>
      </c>
      <c r="B267">
        <v>782</v>
      </c>
      <c r="C267" s="3">
        <v>44581</v>
      </c>
      <c r="D267" s="3">
        <v>44618</v>
      </c>
      <c r="E267">
        <v>6</v>
      </c>
    </row>
    <row r="268" spans="1:5" x14ac:dyDescent="0.25">
      <c r="A268">
        <v>501</v>
      </c>
      <c r="B268">
        <v>358</v>
      </c>
      <c r="C268" s="3">
        <v>44581</v>
      </c>
      <c r="D268" s="3">
        <v>44587</v>
      </c>
      <c r="E268">
        <v>3</v>
      </c>
    </row>
    <row r="269" spans="1:5" x14ac:dyDescent="0.25">
      <c r="A269">
        <v>526</v>
      </c>
      <c r="B269">
        <v>316</v>
      </c>
      <c r="C269" s="3">
        <v>44581</v>
      </c>
      <c r="D269" s="3">
        <v>44623</v>
      </c>
      <c r="E269">
        <v>10</v>
      </c>
    </row>
    <row r="270" spans="1:5" x14ac:dyDescent="0.25">
      <c r="A270">
        <v>568</v>
      </c>
      <c r="B270">
        <v>679</v>
      </c>
      <c r="C270" s="3">
        <v>44581</v>
      </c>
      <c r="D270" s="3">
        <v>44589</v>
      </c>
      <c r="E270">
        <v>1</v>
      </c>
    </row>
    <row r="271" spans="1:5" x14ac:dyDescent="0.25">
      <c r="A271">
        <v>669</v>
      </c>
      <c r="B271">
        <v>826</v>
      </c>
      <c r="C271" s="3">
        <v>44581</v>
      </c>
      <c r="D271" s="3">
        <v>44614</v>
      </c>
      <c r="E271">
        <v>8</v>
      </c>
    </row>
    <row r="272" spans="1:5" x14ac:dyDescent="0.25">
      <c r="A272">
        <v>730</v>
      </c>
      <c r="B272">
        <v>620</v>
      </c>
      <c r="C272" s="3">
        <v>44581</v>
      </c>
      <c r="D272" s="3">
        <v>44614</v>
      </c>
      <c r="E272">
        <v>2</v>
      </c>
    </row>
    <row r="273" spans="1:5" x14ac:dyDescent="0.25">
      <c r="A273">
        <v>823</v>
      </c>
      <c r="B273">
        <v>813</v>
      </c>
      <c r="C273" s="3">
        <v>44581</v>
      </c>
      <c r="D273" s="3">
        <v>44610</v>
      </c>
      <c r="E273">
        <v>8</v>
      </c>
    </row>
    <row r="274" spans="1:5" x14ac:dyDescent="0.25">
      <c r="A274">
        <v>112</v>
      </c>
      <c r="B274">
        <v>694</v>
      </c>
      <c r="C274" s="3">
        <v>44582</v>
      </c>
      <c r="D274" s="3">
        <v>44587</v>
      </c>
      <c r="E274">
        <v>3</v>
      </c>
    </row>
    <row r="275" spans="1:5" x14ac:dyDescent="0.25">
      <c r="A275">
        <v>139</v>
      </c>
      <c r="B275">
        <v>607</v>
      </c>
      <c r="C275" s="3">
        <v>44582</v>
      </c>
      <c r="D275" s="3">
        <v>44613</v>
      </c>
      <c r="E275">
        <v>4</v>
      </c>
    </row>
    <row r="276" spans="1:5" x14ac:dyDescent="0.25">
      <c r="A276">
        <v>142</v>
      </c>
      <c r="B276">
        <v>186</v>
      </c>
      <c r="C276" s="3">
        <v>44582</v>
      </c>
      <c r="D276" s="3">
        <v>44585</v>
      </c>
      <c r="E276">
        <v>8</v>
      </c>
    </row>
    <row r="277" spans="1:5" x14ac:dyDescent="0.25">
      <c r="A277">
        <v>146</v>
      </c>
      <c r="B277">
        <v>745</v>
      </c>
      <c r="C277" s="3">
        <v>44582</v>
      </c>
      <c r="D277" s="3">
        <v>44620</v>
      </c>
      <c r="E277">
        <v>10</v>
      </c>
    </row>
    <row r="278" spans="1:5" x14ac:dyDescent="0.25">
      <c r="A278">
        <v>224</v>
      </c>
      <c r="B278">
        <v>758</v>
      </c>
      <c r="C278" s="3">
        <v>44582</v>
      </c>
      <c r="D278" s="3">
        <v>44583</v>
      </c>
      <c r="E278">
        <v>7</v>
      </c>
    </row>
    <row r="279" spans="1:5" x14ac:dyDescent="0.25">
      <c r="A279">
        <v>226</v>
      </c>
      <c r="B279">
        <v>358</v>
      </c>
      <c r="C279" s="3">
        <v>44582</v>
      </c>
      <c r="D279" s="3">
        <v>44613</v>
      </c>
      <c r="E279">
        <v>2</v>
      </c>
    </row>
    <row r="280" spans="1:5" x14ac:dyDescent="0.25">
      <c r="A280">
        <v>360</v>
      </c>
      <c r="B280">
        <v>759</v>
      </c>
      <c r="C280" s="3">
        <v>44582</v>
      </c>
      <c r="D280" s="3">
        <v>44586</v>
      </c>
      <c r="E280">
        <v>8</v>
      </c>
    </row>
    <row r="281" spans="1:5" x14ac:dyDescent="0.25">
      <c r="A281">
        <v>370</v>
      </c>
      <c r="B281">
        <v>867</v>
      </c>
      <c r="C281" s="3">
        <v>44582</v>
      </c>
      <c r="D281" s="3">
        <v>44605</v>
      </c>
      <c r="E281">
        <v>1</v>
      </c>
    </row>
    <row r="282" spans="1:5" x14ac:dyDescent="0.25">
      <c r="A282">
        <v>390</v>
      </c>
      <c r="B282">
        <v>696</v>
      </c>
      <c r="C282" s="3">
        <v>44582</v>
      </c>
      <c r="D282" s="3">
        <v>44615</v>
      </c>
      <c r="E282">
        <v>3</v>
      </c>
    </row>
    <row r="283" spans="1:5" x14ac:dyDescent="0.25">
      <c r="A283">
        <v>568</v>
      </c>
      <c r="B283">
        <v>164</v>
      </c>
      <c r="C283" s="3">
        <v>44582</v>
      </c>
      <c r="D283" s="3">
        <v>44587</v>
      </c>
      <c r="E283">
        <v>3</v>
      </c>
    </row>
    <row r="284" spans="1:5" x14ac:dyDescent="0.25">
      <c r="A284">
        <v>573</v>
      </c>
      <c r="B284">
        <v>817</v>
      </c>
      <c r="C284" s="3">
        <v>44582</v>
      </c>
      <c r="D284" s="3">
        <v>44589</v>
      </c>
      <c r="E284">
        <v>6</v>
      </c>
    </row>
    <row r="285" spans="1:5" x14ac:dyDescent="0.25">
      <c r="A285">
        <v>580</v>
      </c>
      <c r="B285">
        <v>710</v>
      </c>
      <c r="C285" s="3">
        <v>44582</v>
      </c>
      <c r="D285" s="3">
        <v>44600</v>
      </c>
      <c r="E285">
        <v>9</v>
      </c>
    </row>
    <row r="286" spans="1:5" x14ac:dyDescent="0.25">
      <c r="A286">
        <v>594</v>
      </c>
      <c r="B286">
        <v>805</v>
      </c>
      <c r="C286" s="3">
        <v>44582</v>
      </c>
      <c r="D286" s="3">
        <v>44620</v>
      </c>
      <c r="E286">
        <v>7</v>
      </c>
    </row>
    <row r="287" spans="1:5" x14ac:dyDescent="0.25">
      <c r="A287">
        <v>849</v>
      </c>
      <c r="B287">
        <v>692</v>
      </c>
      <c r="C287" s="3">
        <v>44582</v>
      </c>
      <c r="D287" s="3">
        <v>44621</v>
      </c>
      <c r="E287">
        <v>6</v>
      </c>
    </row>
    <row r="288" spans="1:5" x14ac:dyDescent="0.25">
      <c r="A288">
        <v>989</v>
      </c>
      <c r="B288">
        <v>583</v>
      </c>
      <c r="C288" s="3">
        <v>44582</v>
      </c>
      <c r="D288" s="3">
        <v>44595</v>
      </c>
      <c r="E288">
        <v>9</v>
      </c>
    </row>
    <row r="289" spans="1:5" x14ac:dyDescent="0.25">
      <c r="A289">
        <v>232</v>
      </c>
      <c r="B289">
        <v>709</v>
      </c>
      <c r="C289" s="3">
        <v>44583</v>
      </c>
      <c r="D289" s="3">
        <v>44619</v>
      </c>
      <c r="E289">
        <v>10</v>
      </c>
    </row>
    <row r="290" spans="1:5" x14ac:dyDescent="0.25">
      <c r="A290">
        <v>333</v>
      </c>
      <c r="B290">
        <v>780</v>
      </c>
      <c r="C290" s="3">
        <v>44583</v>
      </c>
      <c r="D290" s="3">
        <v>44594</v>
      </c>
      <c r="E290">
        <v>5</v>
      </c>
    </row>
    <row r="291" spans="1:5" x14ac:dyDescent="0.25">
      <c r="A291">
        <v>360</v>
      </c>
      <c r="B291">
        <v>374</v>
      </c>
      <c r="C291" s="3">
        <v>44583</v>
      </c>
      <c r="D291" s="3">
        <v>44606</v>
      </c>
      <c r="E291">
        <v>1</v>
      </c>
    </row>
    <row r="292" spans="1:5" x14ac:dyDescent="0.25">
      <c r="A292">
        <v>390</v>
      </c>
      <c r="B292">
        <v>853</v>
      </c>
      <c r="C292" s="3">
        <v>44583</v>
      </c>
      <c r="D292" s="3">
        <v>44626</v>
      </c>
      <c r="E292">
        <v>3</v>
      </c>
    </row>
    <row r="293" spans="1:5" x14ac:dyDescent="0.25">
      <c r="A293">
        <v>527</v>
      </c>
      <c r="B293">
        <v>709</v>
      </c>
      <c r="C293" s="3">
        <v>44583</v>
      </c>
      <c r="D293" s="3">
        <v>44608</v>
      </c>
      <c r="E293">
        <v>10</v>
      </c>
    </row>
    <row r="294" spans="1:5" x14ac:dyDescent="0.25">
      <c r="A294">
        <v>611</v>
      </c>
      <c r="B294">
        <v>530</v>
      </c>
      <c r="C294" s="3">
        <v>44583</v>
      </c>
      <c r="D294" s="3">
        <v>44601</v>
      </c>
      <c r="E294">
        <v>7</v>
      </c>
    </row>
    <row r="295" spans="1:5" x14ac:dyDescent="0.25">
      <c r="A295">
        <v>634</v>
      </c>
      <c r="B295">
        <v>358</v>
      </c>
      <c r="C295" s="3">
        <v>44583</v>
      </c>
      <c r="D295" s="3">
        <v>44607</v>
      </c>
      <c r="E295">
        <v>2</v>
      </c>
    </row>
    <row r="296" spans="1:5" x14ac:dyDescent="0.25">
      <c r="A296">
        <v>730</v>
      </c>
      <c r="B296">
        <v>801</v>
      </c>
      <c r="C296" s="3">
        <v>44583</v>
      </c>
      <c r="D296" s="3">
        <v>44595</v>
      </c>
      <c r="E296">
        <v>3</v>
      </c>
    </row>
    <row r="297" spans="1:5" x14ac:dyDescent="0.25">
      <c r="A297">
        <v>758</v>
      </c>
      <c r="B297">
        <v>787</v>
      </c>
      <c r="C297" s="3">
        <v>44583</v>
      </c>
      <c r="D297" s="3">
        <v>44604</v>
      </c>
      <c r="E297">
        <v>8</v>
      </c>
    </row>
    <row r="298" spans="1:5" x14ac:dyDescent="0.25">
      <c r="A298">
        <v>771</v>
      </c>
      <c r="B298">
        <v>843</v>
      </c>
      <c r="C298" s="3">
        <v>44583</v>
      </c>
      <c r="D298" s="3">
        <v>44598</v>
      </c>
      <c r="E298">
        <v>6</v>
      </c>
    </row>
    <row r="299" spans="1:5" x14ac:dyDescent="0.25">
      <c r="A299">
        <v>802</v>
      </c>
      <c r="B299">
        <v>543</v>
      </c>
      <c r="C299" s="3">
        <v>44583</v>
      </c>
      <c r="D299" s="3">
        <v>44620</v>
      </c>
      <c r="E299">
        <v>8</v>
      </c>
    </row>
    <row r="300" spans="1:5" x14ac:dyDescent="0.25">
      <c r="A300">
        <v>830</v>
      </c>
      <c r="B300">
        <v>259</v>
      </c>
      <c r="C300" s="3">
        <v>44583</v>
      </c>
      <c r="D300" s="3">
        <v>44591</v>
      </c>
      <c r="E300">
        <v>7</v>
      </c>
    </row>
    <row r="301" spans="1:5" x14ac:dyDescent="0.25">
      <c r="A301">
        <v>830</v>
      </c>
      <c r="B301">
        <v>585</v>
      </c>
      <c r="C301" s="3">
        <v>44583</v>
      </c>
      <c r="D301" s="3">
        <v>44609</v>
      </c>
      <c r="E301">
        <v>6</v>
      </c>
    </row>
    <row r="302" spans="1:5" x14ac:dyDescent="0.25">
      <c r="A302">
        <v>849</v>
      </c>
      <c r="B302">
        <v>676</v>
      </c>
      <c r="C302" s="3">
        <v>44583</v>
      </c>
      <c r="D302" s="3">
        <v>44586</v>
      </c>
      <c r="E302">
        <v>2</v>
      </c>
    </row>
    <row r="303" spans="1:5" x14ac:dyDescent="0.25">
      <c r="A303">
        <v>232</v>
      </c>
      <c r="B303">
        <v>752</v>
      </c>
      <c r="C303" s="3">
        <v>44584</v>
      </c>
      <c r="D303" s="3">
        <v>44620</v>
      </c>
      <c r="E303">
        <v>1</v>
      </c>
    </row>
    <row r="304" spans="1:5" x14ac:dyDescent="0.25">
      <c r="A304">
        <v>282</v>
      </c>
      <c r="B304">
        <v>395</v>
      </c>
      <c r="C304" s="3">
        <v>44584</v>
      </c>
      <c r="D304" s="3">
        <v>44596</v>
      </c>
      <c r="E304">
        <v>2</v>
      </c>
    </row>
    <row r="305" spans="1:5" x14ac:dyDescent="0.25">
      <c r="A305">
        <v>328</v>
      </c>
      <c r="B305">
        <v>453</v>
      </c>
      <c r="C305" s="3">
        <v>44584</v>
      </c>
      <c r="D305" s="3">
        <v>44609</v>
      </c>
      <c r="E305">
        <v>4</v>
      </c>
    </row>
    <row r="306" spans="1:5" x14ac:dyDescent="0.25">
      <c r="A306">
        <v>329</v>
      </c>
      <c r="B306">
        <v>213</v>
      </c>
      <c r="C306" s="3">
        <v>44584</v>
      </c>
      <c r="D306" s="3">
        <v>44587</v>
      </c>
      <c r="E306">
        <v>9</v>
      </c>
    </row>
    <row r="307" spans="1:5" x14ac:dyDescent="0.25">
      <c r="A307">
        <v>390</v>
      </c>
      <c r="B307">
        <v>709</v>
      </c>
      <c r="C307" s="3">
        <v>44584</v>
      </c>
      <c r="D307" s="3">
        <v>44621</v>
      </c>
      <c r="E307">
        <v>6</v>
      </c>
    </row>
    <row r="308" spans="1:5" x14ac:dyDescent="0.25">
      <c r="A308">
        <v>515</v>
      </c>
      <c r="B308">
        <v>530</v>
      </c>
      <c r="C308" s="3">
        <v>44584</v>
      </c>
      <c r="D308" s="3">
        <v>44624</v>
      </c>
      <c r="E308">
        <v>7</v>
      </c>
    </row>
    <row r="309" spans="1:5" x14ac:dyDescent="0.25">
      <c r="A309">
        <v>546</v>
      </c>
      <c r="B309">
        <v>453</v>
      </c>
      <c r="C309" s="3">
        <v>44584</v>
      </c>
      <c r="D309" s="3">
        <v>44592</v>
      </c>
      <c r="E309">
        <v>4</v>
      </c>
    </row>
    <row r="310" spans="1:5" x14ac:dyDescent="0.25">
      <c r="A310">
        <v>557</v>
      </c>
      <c r="B310">
        <v>780</v>
      </c>
      <c r="C310" s="3">
        <v>44584</v>
      </c>
      <c r="D310" s="3">
        <v>44600</v>
      </c>
      <c r="E310">
        <v>6</v>
      </c>
    </row>
    <row r="311" spans="1:5" x14ac:dyDescent="0.25">
      <c r="A311">
        <v>567</v>
      </c>
      <c r="B311">
        <v>219</v>
      </c>
      <c r="C311" s="3">
        <v>44584</v>
      </c>
      <c r="D311" s="3">
        <v>44603</v>
      </c>
      <c r="E311">
        <v>6</v>
      </c>
    </row>
    <row r="312" spans="1:5" x14ac:dyDescent="0.25">
      <c r="A312">
        <v>602</v>
      </c>
      <c r="B312">
        <v>652</v>
      </c>
      <c r="C312" s="3">
        <v>44584</v>
      </c>
      <c r="D312" s="3">
        <v>44599</v>
      </c>
      <c r="E312">
        <v>2</v>
      </c>
    </row>
    <row r="313" spans="1:5" x14ac:dyDescent="0.25">
      <c r="A313">
        <v>611</v>
      </c>
      <c r="B313">
        <v>810</v>
      </c>
      <c r="C313" s="3">
        <v>44584</v>
      </c>
      <c r="D313" s="3">
        <v>44615</v>
      </c>
      <c r="E313">
        <v>4</v>
      </c>
    </row>
    <row r="314" spans="1:5" x14ac:dyDescent="0.25">
      <c r="A314">
        <v>747</v>
      </c>
      <c r="B314">
        <v>668</v>
      </c>
      <c r="C314" s="3">
        <v>44584</v>
      </c>
      <c r="D314" s="3">
        <v>44625</v>
      </c>
      <c r="E314">
        <v>1</v>
      </c>
    </row>
    <row r="315" spans="1:5" x14ac:dyDescent="0.25">
      <c r="A315">
        <v>249</v>
      </c>
      <c r="B315">
        <v>219</v>
      </c>
      <c r="C315" s="3">
        <v>44585</v>
      </c>
      <c r="D315" s="3">
        <v>44615</v>
      </c>
      <c r="E315">
        <v>9</v>
      </c>
    </row>
    <row r="316" spans="1:5" x14ac:dyDescent="0.25">
      <c r="A316">
        <v>284</v>
      </c>
      <c r="B316">
        <v>464</v>
      </c>
      <c r="C316" s="3">
        <v>44585</v>
      </c>
      <c r="D316" s="3">
        <v>44615</v>
      </c>
      <c r="E316">
        <v>5</v>
      </c>
    </row>
    <row r="317" spans="1:5" x14ac:dyDescent="0.25">
      <c r="A317">
        <v>296</v>
      </c>
      <c r="B317">
        <v>330</v>
      </c>
      <c r="C317" s="3">
        <v>44585</v>
      </c>
      <c r="D317" s="3">
        <v>44613</v>
      </c>
      <c r="E317">
        <v>5</v>
      </c>
    </row>
    <row r="318" spans="1:5" x14ac:dyDescent="0.25">
      <c r="A318">
        <v>328</v>
      </c>
      <c r="B318">
        <v>853</v>
      </c>
      <c r="C318" s="3">
        <v>44585</v>
      </c>
      <c r="D318" s="3">
        <v>44596</v>
      </c>
      <c r="E318">
        <v>8</v>
      </c>
    </row>
    <row r="319" spans="1:5" x14ac:dyDescent="0.25">
      <c r="A319">
        <v>467</v>
      </c>
      <c r="B319">
        <v>541</v>
      </c>
      <c r="C319" s="3">
        <v>44585</v>
      </c>
      <c r="D319" s="3">
        <v>44618</v>
      </c>
      <c r="E319">
        <v>1</v>
      </c>
    </row>
    <row r="320" spans="1:5" x14ac:dyDescent="0.25">
      <c r="A320">
        <v>500</v>
      </c>
      <c r="B320">
        <v>145</v>
      </c>
      <c r="C320" s="3">
        <v>44585</v>
      </c>
      <c r="D320" s="3">
        <v>44621</v>
      </c>
      <c r="E320">
        <v>9</v>
      </c>
    </row>
    <row r="321" spans="1:5" x14ac:dyDescent="0.25">
      <c r="A321">
        <v>526</v>
      </c>
      <c r="B321">
        <v>692</v>
      </c>
      <c r="C321" s="3">
        <v>44585</v>
      </c>
      <c r="D321" s="3">
        <v>44597</v>
      </c>
      <c r="E321">
        <v>5</v>
      </c>
    </row>
    <row r="322" spans="1:5" x14ac:dyDescent="0.25">
      <c r="A322">
        <v>527</v>
      </c>
      <c r="B322">
        <v>812</v>
      </c>
      <c r="C322" s="3">
        <v>44585</v>
      </c>
      <c r="D322" s="3">
        <v>44616</v>
      </c>
      <c r="E322">
        <v>9</v>
      </c>
    </row>
    <row r="323" spans="1:5" x14ac:dyDescent="0.25">
      <c r="A323">
        <v>531</v>
      </c>
      <c r="B323">
        <v>590</v>
      </c>
      <c r="C323" s="3">
        <v>44585</v>
      </c>
      <c r="D323" s="3">
        <v>44623</v>
      </c>
      <c r="E323">
        <v>2</v>
      </c>
    </row>
    <row r="324" spans="1:5" x14ac:dyDescent="0.25">
      <c r="A324">
        <v>538</v>
      </c>
      <c r="B324">
        <v>862</v>
      </c>
      <c r="C324" s="3">
        <v>44585</v>
      </c>
      <c r="D324" s="3">
        <v>44605</v>
      </c>
      <c r="E324">
        <v>6</v>
      </c>
    </row>
    <row r="325" spans="1:5" x14ac:dyDescent="0.25">
      <c r="A325">
        <v>561</v>
      </c>
      <c r="B325">
        <v>826</v>
      </c>
      <c r="C325" s="3">
        <v>44585</v>
      </c>
      <c r="D325" s="3">
        <v>44627</v>
      </c>
      <c r="E325">
        <v>8</v>
      </c>
    </row>
    <row r="326" spans="1:5" x14ac:dyDescent="0.25">
      <c r="A326">
        <v>609</v>
      </c>
      <c r="B326">
        <v>541</v>
      </c>
      <c r="C326" s="3">
        <v>44585</v>
      </c>
      <c r="D326" s="3">
        <v>44626</v>
      </c>
      <c r="E326">
        <v>4</v>
      </c>
    </row>
    <row r="327" spans="1:5" x14ac:dyDescent="0.25">
      <c r="A327">
        <v>659</v>
      </c>
      <c r="B327">
        <v>239</v>
      </c>
      <c r="C327" s="3">
        <v>44585</v>
      </c>
      <c r="D327" s="3">
        <v>44623</v>
      </c>
      <c r="E327">
        <v>6</v>
      </c>
    </row>
    <row r="328" spans="1:5" x14ac:dyDescent="0.25">
      <c r="A328">
        <v>669</v>
      </c>
      <c r="B328">
        <v>436</v>
      </c>
      <c r="C328" s="3">
        <v>44585</v>
      </c>
      <c r="D328" s="3">
        <v>44618</v>
      </c>
      <c r="E328">
        <v>2</v>
      </c>
    </row>
    <row r="329" spans="1:5" x14ac:dyDescent="0.25">
      <c r="A329">
        <v>841</v>
      </c>
      <c r="B329">
        <v>464</v>
      </c>
      <c r="C329" s="3">
        <v>44585</v>
      </c>
      <c r="D329" s="3">
        <v>44593</v>
      </c>
      <c r="E329">
        <v>4</v>
      </c>
    </row>
    <row r="330" spans="1:5" x14ac:dyDescent="0.25">
      <c r="A330">
        <v>923</v>
      </c>
      <c r="B330">
        <v>259</v>
      </c>
      <c r="C330" s="3">
        <v>44585</v>
      </c>
      <c r="D330" s="3">
        <v>44599</v>
      </c>
      <c r="E330">
        <v>10</v>
      </c>
    </row>
    <row r="331" spans="1:5" x14ac:dyDescent="0.25">
      <c r="A331">
        <v>42</v>
      </c>
      <c r="B331">
        <v>186</v>
      </c>
      <c r="C331" s="3">
        <v>44586</v>
      </c>
      <c r="D331" s="3">
        <v>44588</v>
      </c>
      <c r="E331">
        <v>3</v>
      </c>
    </row>
    <row r="332" spans="1:5" x14ac:dyDescent="0.25">
      <c r="A332">
        <v>42</v>
      </c>
      <c r="B332">
        <v>692</v>
      </c>
      <c r="C332" s="3">
        <v>44586</v>
      </c>
      <c r="D332" s="3">
        <v>44622</v>
      </c>
      <c r="E332">
        <v>6</v>
      </c>
    </row>
    <row r="333" spans="1:5" x14ac:dyDescent="0.25">
      <c r="A333">
        <v>46</v>
      </c>
      <c r="B333">
        <v>813</v>
      </c>
      <c r="C333" s="3">
        <v>44586</v>
      </c>
      <c r="D333" s="3">
        <v>44614</v>
      </c>
      <c r="E333">
        <v>6</v>
      </c>
    </row>
    <row r="334" spans="1:5" x14ac:dyDescent="0.25">
      <c r="A334">
        <v>142</v>
      </c>
      <c r="B334">
        <v>679</v>
      </c>
      <c r="C334" s="3">
        <v>44586</v>
      </c>
      <c r="D334" s="3">
        <v>44628</v>
      </c>
      <c r="E334">
        <v>4</v>
      </c>
    </row>
    <row r="335" spans="1:5" x14ac:dyDescent="0.25">
      <c r="A335">
        <v>146</v>
      </c>
      <c r="B335">
        <v>830</v>
      </c>
      <c r="C335" s="3">
        <v>44586</v>
      </c>
      <c r="D335" s="3">
        <v>44619</v>
      </c>
      <c r="E335">
        <v>7</v>
      </c>
    </row>
    <row r="336" spans="1:5" x14ac:dyDescent="0.25">
      <c r="A336">
        <v>158</v>
      </c>
      <c r="B336">
        <v>580</v>
      </c>
      <c r="C336" s="3">
        <v>44586</v>
      </c>
      <c r="D336" s="3">
        <v>44624</v>
      </c>
      <c r="E336">
        <v>5</v>
      </c>
    </row>
    <row r="337" spans="1:5" x14ac:dyDescent="0.25">
      <c r="A337">
        <v>200</v>
      </c>
      <c r="B337">
        <v>377</v>
      </c>
      <c r="C337" s="3">
        <v>44586</v>
      </c>
      <c r="D337" s="3">
        <v>44591</v>
      </c>
      <c r="E337">
        <v>2</v>
      </c>
    </row>
    <row r="338" spans="1:5" x14ac:dyDescent="0.25">
      <c r="A338">
        <v>232</v>
      </c>
      <c r="B338">
        <v>692</v>
      </c>
      <c r="C338" s="3">
        <v>44586</v>
      </c>
      <c r="D338" s="3">
        <v>44594</v>
      </c>
      <c r="E338">
        <v>7</v>
      </c>
    </row>
    <row r="339" spans="1:5" x14ac:dyDescent="0.25">
      <c r="A339">
        <v>302</v>
      </c>
      <c r="B339">
        <v>709</v>
      </c>
      <c r="C339" s="3">
        <v>44586</v>
      </c>
      <c r="D339" s="3">
        <v>44612</v>
      </c>
      <c r="E339">
        <v>9</v>
      </c>
    </row>
    <row r="340" spans="1:5" x14ac:dyDescent="0.25">
      <c r="A340">
        <v>323</v>
      </c>
      <c r="B340">
        <v>762</v>
      </c>
      <c r="C340" s="3">
        <v>44586</v>
      </c>
      <c r="D340" s="3">
        <v>44605</v>
      </c>
      <c r="E340">
        <v>1</v>
      </c>
    </row>
    <row r="341" spans="1:5" x14ac:dyDescent="0.25">
      <c r="A341">
        <v>567</v>
      </c>
      <c r="B341">
        <v>436</v>
      </c>
      <c r="C341" s="3">
        <v>44586</v>
      </c>
      <c r="D341" s="3">
        <v>44620</v>
      </c>
      <c r="E341">
        <v>2</v>
      </c>
    </row>
    <row r="342" spans="1:5" x14ac:dyDescent="0.25">
      <c r="A342">
        <v>802</v>
      </c>
      <c r="B342">
        <v>709</v>
      </c>
      <c r="C342" s="3">
        <v>44586</v>
      </c>
      <c r="D342" s="3">
        <v>44621</v>
      </c>
      <c r="E342">
        <v>5</v>
      </c>
    </row>
    <row r="343" spans="1:5" x14ac:dyDescent="0.25">
      <c r="A343">
        <v>843</v>
      </c>
      <c r="B343">
        <v>316</v>
      </c>
      <c r="C343" s="3">
        <v>44586</v>
      </c>
      <c r="D343" s="3">
        <v>44596</v>
      </c>
      <c r="E343">
        <v>9</v>
      </c>
    </row>
    <row r="344" spans="1:5" x14ac:dyDescent="0.25">
      <c r="A344">
        <v>983</v>
      </c>
      <c r="B344">
        <v>701</v>
      </c>
      <c r="C344" s="3">
        <v>44586</v>
      </c>
      <c r="D344" s="3">
        <v>44605</v>
      </c>
      <c r="E344">
        <v>4</v>
      </c>
    </row>
    <row r="345" spans="1:5" x14ac:dyDescent="0.25">
      <c r="A345">
        <v>232</v>
      </c>
      <c r="B345">
        <v>801</v>
      </c>
      <c r="C345" s="3">
        <v>44587</v>
      </c>
      <c r="D345" s="3">
        <v>44611</v>
      </c>
      <c r="E345">
        <v>8</v>
      </c>
    </row>
    <row r="346" spans="1:5" x14ac:dyDescent="0.25">
      <c r="A346">
        <v>302</v>
      </c>
      <c r="B346">
        <v>757</v>
      </c>
      <c r="C346" s="3">
        <v>44587</v>
      </c>
      <c r="D346" s="3">
        <v>44608</v>
      </c>
      <c r="E346">
        <v>5</v>
      </c>
    </row>
    <row r="347" spans="1:5" x14ac:dyDescent="0.25">
      <c r="A347">
        <v>331</v>
      </c>
      <c r="B347">
        <v>436</v>
      </c>
      <c r="C347" s="3">
        <v>44587</v>
      </c>
      <c r="D347" s="3">
        <v>44598</v>
      </c>
      <c r="E347">
        <v>2</v>
      </c>
    </row>
    <row r="348" spans="1:5" x14ac:dyDescent="0.25">
      <c r="A348">
        <v>333</v>
      </c>
      <c r="B348">
        <v>436</v>
      </c>
      <c r="C348" s="3">
        <v>44587</v>
      </c>
      <c r="D348" s="3">
        <v>44601</v>
      </c>
      <c r="E348">
        <v>3</v>
      </c>
    </row>
    <row r="349" spans="1:5" x14ac:dyDescent="0.25">
      <c r="A349">
        <v>416</v>
      </c>
      <c r="B349">
        <v>805</v>
      </c>
      <c r="C349" s="3">
        <v>44587</v>
      </c>
      <c r="D349" s="3">
        <v>44623</v>
      </c>
      <c r="E349">
        <v>1</v>
      </c>
    </row>
    <row r="350" spans="1:5" x14ac:dyDescent="0.25">
      <c r="A350">
        <v>500</v>
      </c>
      <c r="B350">
        <v>667</v>
      </c>
      <c r="C350" s="3">
        <v>44587</v>
      </c>
      <c r="D350" s="3">
        <v>44591</v>
      </c>
      <c r="E350">
        <v>2</v>
      </c>
    </row>
    <row r="351" spans="1:5" x14ac:dyDescent="0.25">
      <c r="A351">
        <v>501</v>
      </c>
      <c r="B351">
        <v>239</v>
      </c>
      <c r="C351" s="3">
        <v>44587</v>
      </c>
      <c r="D351" s="3">
        <v>44618</v>
      </c>
      <c r="E351">
        <v>9</v>
      </c>
    </row>
    <row r="352" spans="1:5" x14ac:dyDescent="0.25">
      <c r="A352">
        <v>538</v>
      </c>
      <c r="B352">
        <v>436</v>
      </c>
      <c r="C352" s="3">
        <v>44587</v>
      </c>
      <c r="D352" s="3">
        <v>44595</v>
      </c>
      <c r="E352">
        <v>8</v>
      </c>
    </row>
    <row r="353" spans="1:5" x14ac:dyDescent="0.25">
      <c r="A353">
        <v>546</v>
      </c>
      <c r="B353">
        <v>759</v>
      </c>
      <c r="C353" s="3">
        <v>44587</v>
      </c>
      <c r="D353" s="3">
        <v>44610</v>
      </c>
      <c r="E353">
        <v>10</v>
      </c>
    </row>
    <row r="354" spans="1:5" x14ac:dyDescent="0.25">
      <c r="A354">
        <v>602</v>
      </c>
      <c r="B354">
        <v>377</v>
      </c>
      <c r="C354" s="3">
        <v>44587</v>
      </c>
      <c r="D354" s="3">
        <v>44618</v>
      </c>
      <c r="E354">
        <v>5</v>
      </c>
    </row>
    <row r="355" spans="1:5" x14ac:dyDescent="0.25">
      <c r="A355">
        <v>651</v>
      </c>
      <c r="B355">
        <v>745</v>
      </c>
      <c r="C355" s="3">
        <v>44587</v>
      </c>
      <c r="D355" s="3">
        <v>44627</v>
      </c>
      <c r="E355">
        <v>3</v>
      </c>
    </row>
    <row r="356" spans="1:5" x14ac:dyDescent="0.25">
      <c r="A356">
        <v>758</v>
      </c>
      <c r="B356">
        <v>840</v>
      </c>
      <c r="C356" s="3">
        <v>44587</v>
      </c>
      <c r="D356" s="3">
        <v>44627</v>
      </c>
      <c r="E356">
        <v>5</v>
      </c>
    </row>
    <row r="357" spans="1:5" x14ac:dyDescent="0.25">
      <c r="A357">
        <v>46</v>
      </c>
      <c r="B357">
        <v>685</v>
      </c>
      <c r="C357" s="3">
        <v>44588</v>
      </c>
      <c r="D357" s="3">
        <v>44612</v>
      </c>
      <c r="E357">
        <v>4</v>
      </c>
    </row>
    <row r="358" spans="1:5" x14ac:dyDescent="0.25">
      <c r="A358">
        <v>112</v>
      </c>
      <c r="B358">
        <v>652</v>
      </c>
      <c r="C358" s="3">
        <v>44588</v>
      </c>
      <c r="D358" s="3">
        <v>44613</v>
      </c>
      <c r="E358">
        <v>5</v>
      </c>
    </row>
    <row r="359" spans="1:5" x14ac:dyDescent="0.25">
      <c r="A359">
        <v>200</v>
      </c>
      <c r="B359">
        <v>707</v>
      </c>
      <c r="C359" s="3">
        <v>44588</v>
      </c>
      <c r="D359" s="3">
        <v>44621</v>
      </c>
      <c r="E359">
        <v>2</v>
      </c>
    </row>
    <row r="360" spans="1:5" x14ac:dyDescent="0.25">
      <c r="A360">
        <v>249</v>
      </c>
      <c r="B360">
        <v>725</v>
      </c>
      <c r="C360" s="3">
        <v>44588</v>
      </c>
      <c r="D360" s="3">
        <v>44595</v>
      </c>
      <c r="E360">
        <v>8</v>
      </c>
    </row>
    <row r="361" spans="1:5" x14ac:dyDescent="0.25">
      <c r="A361">
        <v>331</v>
      </c>
      <c r="B361">
        <v>213</v>
      </c>
      <c r="C361" s="3">
        <v>44588</v>
      </c>
      <c r="D361" s="3">
        <v>44619</v>
      </c>
      <c r="E361">
        <v>7</v>
      </c>
    </row>
    <row r="362" spans="1:5" x14ac:dyDescent="0.25">
      <c r="A362">
        <v>364</v>
      </c>
      <c r="B362">
        <v>710</v>
      </c>
      <c r="C362" s="3">
        <v>44588</v>
      </c>
      <c r="D362" s="3">
        <v>44601</v>
      </c>
      <c r="E362">
        <v>3</v>
      </c>
    </row>
    <row r="363" spans="1:5" x14ac:dyDescent="0.25">
      <c r="A363">
        <v>448</v>
      </c>
      <c r="B363">
        <v>395</v>
      </c>
      <c r="C363" s="3">
        <v>44588</v>
      </c>
      <c r="D363" s="3">
        <v>44594</v>
      </c>
      <c r="E363">
        <v>7</v>
      </c>
    </row>
    <row r="364" spans="1:5" x14ac:dyDescent="0.25">
      <c r="A364">
        <v>527</v>
      </c>
      <c r="B364">
        <v>725</v>
      </c>
      <c r="C364" s="3">
        <v>44588</v>
      </c>
      <c r="D364" s="3">
        <v>44609</v>
      </c>
      <c r="E364">
        <v>3</v>
      </c>
    </row>
    <row r="365" spans="1:5" x14ac:dyDescent="0.25">
      <c r="A365">
        <v>540</v>
      </c>
      <c r="B365">
        <v>177</v>
      </c>
      <c r="C365" s="3">
        <v>44588</v>
      </c>
      <c r="D365" s="3">
        <v>44610</v>
      </c>
      <c r="E365">
        <v>7</v>
      </c>
    </row>
    <row r="366" spans="1:5" x14ac:dyDescent="0.25">
      <c r="A366">
        <v>561</v>
      </c>
      <c r="B366">
        <v>813</v>
      </c>
      <c r="C366" s="3">
        <v>44588</v>
      </c>
      <c r="D366" s="3">
        <v>44607</v>
      </c>
      <c r="E366">
        <v>4</v>
      </c>
    </row>
    <row r="367" spans="1:5" x14ac:dyDescent="0.25">
      <c r="A367">
        <v>570</v>
      </c>
      <c r="B367">
        <v>702</v>
      </c>
      <c r="C367" s="3">
        <v>44588</v>
      </c>
      <c r="D367" s="3">
        <v>44603</v>
      </c>
      <c r="E367">
        <v>3</v>
      </c>
    </row>
    <row r="368" spans="1:5" x14ac:dyDescent="0.25">
      <c r="A368">
        <v>841</v>
      </c>
      <c r="B368">
        <v>620</v>
      </c>
      <c r="C368" s="3">
        <v>44588</v>
      </c>
      <c r="D368" s="3">
        <v>44618</v>
      </c>
      <c r="E368">
        <v>2</v>
      </c>
    </row>
    <row r="369" spans="1:5" x14ac:dyDescent="0.25">
      <c r="A369">
        <v>46</v>
      </c>
      <c r="B369">
        <v>607</v>
      </c>
      <c r="C369" s="3">
        <v>44589</v>
      </c>
      <c r="D369" s="3">
        <v>44620</v>
      </c>
      <c r="E369">
        <v>8</v>
      </c>
    </row>
    <row r="370" spans="1:5" x14ac:dyDescent="0.25">
      <c r="A370">
        <v>150</v>
      </c>
      <c r="B370">
        <v>620</v>
      </c>
      <c r="C370" s="3">
        <v>44589</v>
      </c>
      <c r="D370" s="3">
        <v>44597</v>
      </c>
      <c r="E370">
        <v>8</v>
      </c>
    </row>
    <row r="371" spans="1:5" x14ac:dyDescent="0.25">
      <c r="A371">
        <v>308</v>
      </c>
      <c r="B371">
        <v>681</v>
      </c>
      <c r="C371" s="3">
        <v>44589</v>
      </c>
      <c r="D371" s="3">
        <v>44592</v>
      </c>
      <c r="E371">
        <v>4</v>
      </c>
    </row>
    <row r="372" spans="1:5" x14ac:dyDescent="0.25">
      <c r="A372">
        <v>360</v>
      </c>
      <c r="B372">
        <v>862</v>
      </c>
      <c r="C372" s="3">
        <v>44589</v>
      </c>
      <c r="D372" s="3">
        <v>44590</v>
      </c>
      <c r="E372">
        <v>1</v>
      </c>
    </row>
    <row r="373" spans="1:5" x14ac:dyDescent="0.25">
      <c r="A373">
        <v>515</v>
      </c>
      <c r="B373">
        <v>709</v>
      </c>
      <c r="C373" s="3">
        <v>44589</v>
      </c>
      <c r="D373" s="3">
        <v>44630</v>
      </c>
      <c r="E373">
        <v>9</v>
      </c>
    </row>
    <row r="374" spans="1:5" x14ac:dyDescent="0.25">
      <c r="A374">
        <v>568</v>
      </c>
      <c r="B374">
        <v>667</v>
      </c>
      <c r="C374" s="3">
        <v>44589</v>
      </c>
      <c r="D374" s="3">
        <v>44616</v>
      </c>
      <c r="E374">
        <v>7</v>
      </c>
    </row>
    <row r="375" spans="1:5" x14ac:dyDescent="0.25">
      <c r="A375">
        <v>594</v>
      </c>
      <c r="B375">
        <v>726</v>
      </c>
      <c r="C375" s="3">
        <v>44589</v>
      </c>
      <c r="D375" s="3">
        <v>44619</v>
      </c>
      <c r="E375">
        <v>5</v>
      </c>
    </row>
    <row r="376" spans="1:5" x14ac:dyDescent="0.25">
      <c r="A376">
        <v>600</v>
      </c>
      <c r="B376">
        <v>826</v>
      </c>
      <c r="C376" s="3">
        <v>44589</v>
      </c>
      <c r="D376" s="3">
        <v>44627</v>
      </c>
      <c r="E376">
        <v>3</v>
      </c>
    </row>
    <row r="377" spans="1:5" x14ac:dyDescent="0.25">
      <c r="A377">
        <v>634</v>
      </c>
      <c r="B377">
        <v>219</v>
      </c>
      <c r="C377" s="3">
        <v>44589</v>
      </c>
      <c r="D377" s="3">
        <v>44631</v>
      </c>
      <c r="E377">
        <v>10</v>
      </c>
    </row>
    <row r="378" spans="1:5" x14ac:dyDescent="0.25">
      <c r="A378">
        <v>730</v>
      </c>
      <c r="B378">
        <v>724</v>
      </c>
      <c r="C378" s="3">
        <v>44589</v>
      </c>
      <c r="D378" s="3">
        <v>44623</v>
      </c>
      <c r="E378">
        <v>6</v>
      </c>
    </row>
    <row r="379" spans="1:5" x14ac:dyDescent="0.25">
      <c r="A379">
        <v>758</v>
      </c>
      <c r="B379">
        <v>453</v>
      </c>
      <c r="C379" s="3">
        <v>44589</v>
      </c>
      <c r="D379" s="3">
        <v>44612</v>
      </c>
      <c r="E379">
        <v>7</v>
      </c>
    </row>
    <row r="380" spans="1:5" x14ac:dyDescent="0.25">
      <c r="A380">
        <v>761</v>
      </c>
      <c r="B380">
        <v>128</v>
      </c>
      <c r="C380" s="3">
        <v>44589</v>
      </c>
      <c r="D380" s="3">
        <v>44595</v>
      </c>
      <c r="E380">
        <v>8</v>
      </c>
    </row>
    <row r="381" spans="1:5" x14ac:dyDescent="0.25">
      <c r="A381">
        <v>784</v>
      </c>
      <c r="B381">
        <v>418</v>
      </c>
      <c r="C381" s="3">
        <v>44589</v>
      </c>
      <c r="D381" s="3">
        <v>44608</v>
      </c>
      <c r="E381">
        <v>5</v>
      </c>
    </row>
    <row r="382" spans="1:5" x14ac:dyDescent="0.25">
      <c r="A382">
        <v>784</v>
      </c>
      <c r="B382">
        <v>652</v>
      </c>
      <c r="C382" s="3">
        <v>44589</v>
      </c>
      <c r="D382" s="3">
        <v>44619</v>
      </c>
      <c r="E382">
        <v>9</v>
      </c>
    </row>
    <row r="383" spans="1:5" x14ac:dyDescent="0.25">
      <c r="A383">
        <v>841</v>
      </c>
      <c r="B383">
        <v>826</v>
      </c>
      <c r="C383" s="3">
        <v>44589</v>
      </c>
      <c r="D383" s="3">
        <v>44616</v>
      </c>
      <c r="E383">
        <v>2</v>
      </c>
    </row>
    <row r="384" spans="1:5" x14ac:dyDescent="0.25">
      <c r="A384">
        <v>81</v>
      </c>
      <c r="B384">
        <v>201</v>
      </c>
      <c r="C384" s="3">
        <v>44590</v>
      </c>
      <c r="D384" s="3">
        <v>44620</v>
      </c>
      <c r="E384">
        <v>9</v>
      </c>
    </row>
    <row r="385" spans="1:5" x14ac:dyDescent="0.25">
      <c r="A385">
        <v>112</v>
      </c>
      <c r="B385">
        <v>812</v>
      </c>
      <c r="C385" s="3">
        <v>44590</v>
      </c>
      <c r="D385" s="3">
        <v>44612</v>
      </c>
      <c r="E385">
        <v>9</v>
      </c>
    </row>
    <row r="386" spans="1:5" x14ac:dyDescent="0.25">
      <c r="A386">
        <v>180</v>
      </c>
      <c r="B386">
        <v>701</v>
      </c>
      <c r="C386" s="3">
        <v>44590</v>
      </c>
      <c r="D386" s="3">
        <v>44616</v>
      </c>
      <c r="E386">
        <v>2</v>
      </c>
    </row>
    <row r="387" spans="1:5" x14ac:dyDescent="0.25">
      <c r="A387">
        <v>224</v>
      </c>
      <c r="B387">
        <v>681</v>
      </c>
      <c r="C387" s="3">
        <v>44590</v>
      </c>
      <c r="D387" s="3">
        <v>44605</v>
      </c>
      <c r="E387">
        <v>8</v>
      </c>
    </row>
    <row r="388" spans="1:5" x14ac:dyDescent="0.25">
      <c r="A388">
        <v>226</v>
      </c>
      <c r="B388">
        <v>758</v>
      </c>
      <c r="C388" s="3">
        <v>44590</v>
      </c>
      <c r="D388" s="3">
        <v>44602</v>
      </c>
      <c r="E388">
        <v>5</v>
      </c>
    </row>
    <row r="389" spans="1:5" x14ac:dyDescent="0.25">
      <c r="A389">
        <v>226</v>
      </c>
      <c r="B389">
        <v>813</v>
      </c>
      <c r="C389" s="3">
        <v>44590</v>
      </c>
      <c r="D389" s="3">
        <v>44602</v>
      </c>
      <c r="E389">
        <v>7</v>
      </c>
    </row>
    <row r="390" spans="1:5" x14ac:dyDescent="0.25">
      <c r="A390">
        <v>302</v>
      </c>
      <c r="B390">
        <v>703</v>
      </c>
      <c r="C390" s="3">
        <v>44590</v>
      </c>
      <c r="D390" s="3">
        <v>44619</v>
      </c>
      <c r="E390">
        <v>4</v>
      </c>
    </row>
    <row r="391" spans="1:5" x14ac:dyDescent="0.25">
      <c r="A391">
        <v>333</v>
      </c>
      <c r="B391">
        <v>732</v>
      </c>
      <c r="C391" s="3">
        <v>44590</v>
      </c>
      <c r="D391" s="3">
        <v>44623</v>
      </c>
      <c r="E391">
        <v>2</v>
      </c>
    </row>
    <row r="392" spans="1:5" x14ac:dyDescent="0.25">
      <c r="A392">
        <v>360</v>
      </c>
      <c r="B392">
        <v>702</v>
      </c>
      <c r="C392" s="3">
        <v>44590</v>
      </c>
      <c r="D392" s="3">
        <v>44619</v>
      </c>
      <c r="E392">
        <v>2</v>
      </c>
    </row>
    <row r="393" spans="1:5" x14ac:dyDescent="0.25">
      <c r="A393">
        <v>360</v>
      </c>
      <c r="B393">
        <v>812</v>
      </c>
      <c r="C393" s="3">
        <v>44590</v>
      </c>
      <c r="D393" s="3">
        <v>44630</v>
      </c>
      <c r="E393">
        <v>1</v>
      </c>
    </row>
    <row r="394" spans="1:5" x14ac:dyDescent="0.25">
      <c r="A394">
        <v>468</v>
      </c>
      <c r="B394">
        <v>834</v>
      </c>
      <c r="C394" s="3">
        <v>44590</v>
      </c>
      <c r="D394" s="3">
        <v>44623</v>
      </c>
      <c r="E394">
        <v>8</v>
      </c>
    </row>
    <row r="395" spans="1:5" x14ac:dyDescent="0.25">
      <c r="A395">
        <v>491</v>
      </c>
      <c r="B395">
        <v>530</v>
      </c>
      <c r="C395" s="3">
        <v>44590</v>
      </c>
      <c r="D395" s="3">
        <v>44623</v>
      </c>
      <c r="E395">
        <v>10</v>
      </c>
    </row>
    <row r="396" spans="1:5" x14ac:dyDescent="0.25">
      <c r="A396">
        <v>500</v>
      </c>
      <c r="B396">
        <v>671</v>
      </c>
      <c r="C396" s="3">
        <v>44590</v>
      </c>
      <c r="D396" s="3">
        <v>44607</v>
      </c>
      <c r="E396">
        <v>1</v>
      </c>
    </row>
    <row r="397" spans="1:5" x14ac:dyDescent="0.25">
      <c r="A397">
        <v>573</v>
      </c>
      <c r="B397">
        <v>782</v>
      </c>
      <c r="C397" s="3">
        <v>44590</v>
      </c>
      <c r="D397" s="3">
        <v>44605</v>
      </c>
      <c r="E397">
        <v>5</v>
      </c>
    </row>
    <row r="398" spans="1:5" x14ac:dyDescent="0.25">
      <c r="A398">
        <v>602</v>
      </c>
      <c r="B398">
        <v>813</v>
      </c>
      <c r="C398" s="3">
        <v>44590</v>
      </c>
      <c r="D398" s="3">
        <v>44593</v>
      </c>
      <c r="E398">
        <v>9</v>
      </c>
    </row>
    <row r="399" spans="1:5" x14ac:dyDescent="0.25">
      <c r="A399">
        <v>884</v>
      </c>
      <c r="B399">
        <v>679</v>
      </c>
      <c r="C399" s="3">
        <v>44590</v>
      </c>
      <c r="D399" s="3">
        <v>44608</v>
      </c>
      <c r="E399">
        <v>4</v>
      </c>
    </row>
    <row r="400" spans="1:5" x14ac:dyDescent="0.25">
      <c r="A400">
        <v>972</v>
      </c>
      <c r="B400">
        <v>745</v>
      </c>
      <c r="C400" s="3">
        <v>44590</v>
      </c>
      <c r="D400" s="3">
        <v>44594</v>
      </c>
      <c r="E400">
        <v>9</v>
      </c>
    </row>
    <row r="401" spans="1:5" x14ac:dyDescent="0.25">
      <c r="A401">
        <v>983</v>
      </c>
      <c r="B401">
        <v>710</v>
      </c>
      <c r="C401" s="3">
        <v>44590</v>
      </c>
      <c r="D401" s="3">
        <v>44622</v>
      </c>
      <c r="E401">
        <v>7</v>
      </c>
    </row>
    <row r="402" spans="1:5" x14ac:dyDescent="0.25">
      <c r="A402">
        <v>180</v>
      </c>
      <c r="B402">
        <v>701</v>
      </c>
      <c r="C402" s="3">
        <v>44591</v>
      </c>
      <c r="D402" s="3">
        <v>44632</v>
      </c>
      <c r="E402">
        <v>7</v>
      </c>
    </row>
    <row r="403" spans="1:5" x14ac:dyDescent="0.25">
      <c r="A403">
        <v>232</v>
      </c>
      <c r="B403">
        <v>128</v>
      </c>
      <c r="C403" s="3">
        <v>44591</v>
      </c>
      <c r="D403" s="3">
        <v>44614</v>
      </c>
      <c r="E403">
        <v>1</v>
      </c>
    </row>
    <row r="404" spans="1:5" x14ac:dyDescent="0.25">
      <c r="A404">
        <v>232</v>
      </c>
      <c r="B404">
        <v>398</v>
      </c>
      <c r="C404" s="3">
        <v>44591</v>
      </c>
      <c r="D404" s="3">
        <v>44611</v>
      </c>
      <c r="E404">
        <v>3</v>
      </c>
    </row>
    <row r="405" spans="1:5" x14ac:dyDescent="0.25">
      <c r="A405">
        <v>285</v>
      </c>
      <c r="B405">
        <v>747</v>
      </c>
      <c r="C405" s="3">
        <v>44591</v>
      </c>
      <c r="D405" s="3">
        <v>44617</v>
      </c>
      <c r="E405">
        <v>2</v>
      </c>
    </row>
    <row r="406" spans="1:5" x14ac:dyDescent="0.25">
      <c r="A406">
        <v>296</v>
      </c>
      <c r="B406">
        <v>590</v>
      </c>
      <c r="C406" s="3">
        <v>44591</v>
      </c>
      <c r="D406" s="3">
        <v>44611</v>
      </c>
      <c r="E406">
        <v>3</v>
      </c>
    </row>
    <row r="407" spans="1:5" x14ac:dyDescent="0.25">
      <c r="A407">
        <v>296</v>
      </c>
      <c r="B407">
        <v>726</v>
      </c>
      <c r="C407" s="3">
        <v>44591</v>
      </c>
      <c r="D407" s="3">
        <v>44601</v>
      </c>
      <c r="E407">
        <v>1</v>
      </c>
    </row>
    <row r="408" spans="1:5" x14ac:dyDescent="0.25">
      <c r="A408">
        <v>308</v>
      </c>
      <c r="B408">
        <v>341</v>
      </c>
      <c r="C408" s="3">
        <v>44591</v>
      </c>
      <c r="D408" s="3">
        <v>44597</v>
      </c>
      <c r="E408">
        <v>3</v>
      </c>
    </row>
    <row r="409" spans="1:5" x14ac:dyDescent="0.25">
      <c r="A409">
        <v>331</v>
      </c>
      <c r="B409">
        <v>479</v>
      </c>
      <c r="C409" s="3">
        <v>44591</v>
      </c>
      <c r="D409" s="3">
        <v>44600</v>
      </c>
      <c r="E409">
        <v>10</v>
      </c>
    </row>
    <row r="410" spans="1:5" x14ac:dyDescent="0.25">
      <c r="A410">
        <v>501</v>
      </c>
      <c r="B410">
        <v>812</v>
      </c>
      <c r="C410" s="3">
        <v>44591</v>
      </c>
      <c r="D410" s="3">
        <v>44630</v>
      </c>
      <c r="E410">
        <v>10</v>
      </c>
    </row>
    <row r="411" spans="1:5" x14ac:dyDescent="0.25">
      <c r="A411">
        <v>515</v>
      </c>
      <c r="B411">
        <v>683</v>
      </c>
      <c r="C411" s="3">
        <v>44591</v>
      </c>
      <c r="D411" s="3">
        <v>44600</v>
      </c>
      <c r="E411">
        <v>5</v>
      </c>
    </row>
    <row r="412" spans="1:5" x14ac:dyDescent="0.25">
      <c r="A412">
        <v>544</v>
      </c>
      <c r="B412">
        <v>330</v>
      </c>
      <c r="C412" s="3">
        <v>44591</v>
      </c>
      <c r="D412" s="3">
        <v>44595</v>
      </c>
      <c r="E412">
        <v>7</v>
      </c>
    </row>
    <row r="413" spans="1:5" x14ac:dyDescent="0.25">
      <c r="A413">
        <v>594</v>
      </c>
      <c r="B413">
        <v>778</v>
      </c>
      <c r="C413" s="3">
        <v>44591</v>
      </c>
      <c r="D413" s="3">
        <v>44632</v>
      </c>
      <c r="E413">
        <v>10</v>
      </c>
    </row>
    <row r="414" spans="1:5" x14ac:dyDescent="0.25">
      <c r="A414">
        <v>849</v>
      </c>
      <c r="B414">
        <v>515</v>
      </c>
      <c r="C414" s="3">
        <v>44591</v>
      </c>
      <c r="D414" s="3">
        <v>44633</v>
      </c>
      <c r="E414">
        <v>6</v>
      </c>
    </row>
    <row r="415" spans="1:5" x14ac:dyDescent="0.25">
      <c r="A415">
        <v>150</v>
      </c>
      <c r="B415">
        <v>780</v>
      </c>
      <c r="C415" s="3">
        <v>44592</v>
      </c>
      <c r="D415" s="3">
        <v>44635</v>
      </c>
      <c r="E415">
        <v>9</v>
      </c>
    </row>
    <row r="416" spans="1:5" x14ac:dyDescent="0.25">
      <c r="A416">
        <v>180</v>
      </c>
      <c r="B416">
        <v>128</v>
      </c>
      <c r="C416" s="3">
        <v>44592</v>
      </c>
      <c r="D416" s="3">
        <v>44628</v>
      </c>
      <c r="E416">
        <v>6</v>
      </c>
    </row>
    <row r="417" spans="1:5" x14ac:dyDescent="0.25">
      <c r="A417">
        <v>249</v>
      </c>
      <c r="B417">
        <v>812</v>
      </c>
      <c r="C417" s="3">
        <v>44592</v>
      </c>
      <c r="D417" s="3">
        <v>44620</v>
      </c>
      <c r="E417">
        <v>6</v>
      </c>
    </row>
    <row r="418" spans="1:5" x14ac:dyDescent="0.25">
      <c r="A418">
        <v>282</v>
      </c>
      <c r="B418">
        <v>679</v>
      </c>
      <c r="C418" s="3">
        <v>44592</v>
      </c>
      <c r="D418" s="3">
        <v>44619</v>
      </c>
      <c r="E418">
        <v>1</v>
      </c>
    </row>
    <row r="419" spans="1:5" x14ac:dyDescent="0.25">
      <c r="A419">
        <v>338</v>
      </c>
      <c r="B419">
        <v>681</v>
      </c>
      <c r="C419" s="3">
        <v>44592</v>
      </c>
      <c r="D419" s="3">
        <v>44611</v>
      </c>
      <c r="E419">
        <v>9</v>
      </c>
    </row>
    <row r="420" spans="1:5" x14ac:dyDescent="0.25">
      <c r="A420">
        <v>412</v>
      </c>
      <c r="B420">
        <v>683</v>
      </c>
      <c r="C420" s="3">
        <v>44592</v>
      </c>
      <c r="D420" s="3">
        <v>44628</v>
      </c>
      <c r="E420">
        <v>10</v>
      </c>
    </row>
    <row r="421" spans="1:5" x14ac:dyDescent="0.25">
      <c r="A421">
        <v>527</v>
      </c>
      <c r="B421">
        <v>710</v>
      </c>
      <c r="C421" s="3">
        <v>44592</v>
      </c>
      <c r="D421" s="3">
        <v>44594</v>
      </c>
      <c r="E421">
        <v>3</v>
      </c>
    </row>
    <row r="422" spans="1:5" x14ac:dyDescent="0.25">
      <c r="A422">
        <v>567</v>
      </c>
      <c r="B422">
        <v>563</v>
      </c>
      <c r="C422" s="3">
        <v>44592</v>
      </c>
      <c r="D422" s="3">
        <v>44593</v>
      </c>
      <c r="E422">
        <v>8</v>
      </c>
    </row>
    <row r="423" spans="1:5" x14ac:dyDescent="0.25">
      <c r="A423">
        <v>568</v>
      </c>
      <c r="B423">
        <v>652</v>
      </c>
      <c r="C423" s="3">
        <v>44592</v>
      </c>
      <c r="D423" s="3">
        <v>44612</v>
      </c>
      <c r="E423">
        <v>7</v>
      </c>
    </row>
    <row r="424" spans="1:5" x14ac:dyDescent="0.25">
      <c r="A424">
        <v>585</v>
      </c>
      <c r="B424">
        <v>668</v>
      </c>
      <c r="C424" s="3">
        <v>44592</v>
      </c>
      <c r="D424" s="3">
        <v>44620</v>
      </c>
      <c r="E424">
        <v>9</v>
      </c>
    </row>
    <row r="425" spans="1:5" x14ac:dyDescent="0.25">
      <c r="A425">
        <v>585</v>
      </c>
      <c r="B425">
        <v>747</v>
      </c>
      <c r="C425" s="3">
        <v>44592</v>
      </c>
      <c r="D425" s="3">
        <v>44598</v>
      </c>
      <c r="E425">
        <v>1</v>
      </c>
    </row>
    <row r="426" spans="1:5" x14ac:dyDescent="0.25">
      <c r="A426">
        <v>657</v>
      </c>
      <c r="B426">
        <v>620</v>
      </c>
      <c r="C426" s="3">
        <v>44592</v>
      </c>
      <c r="D426" s="3">
        <v>44617</v>
      </c>
      <c r="E426">
        <v>10</v>
      </c>
    </row>
    <row r="427" spans="1:5" x14ac:dyDescent="0.25">
      <c r="A427">
        <v>830</v>
      </c>
      <c r="B427">
        <v>580</v>
      </c>
      <c r="C427" s="3">
        <v>44592</v>
      </c>
      <c r="D427" s="3">
        <v>44606</v>
      </c>
      <c r="E427">
        <v>3</v>
      </c>
    </row>
    <row r="428" spans="1:5" x14ac:dyDescent="0.25">
      <c r="A428">
        <v>843</v>
      </c>
      <c r="B428">
        <v>745</v>
      </c>
      <c r="C428" s="3">
        <v>44592</v>
      </c>
      <c r="D428" s="3">
        <v>44617</v>
      </c>
      <c r="E428">
        <v>10</v>
      </c>
    </row>
    <row r="429" spans="1:5" x14ac:dyDescent="0.25">
      <c r="A429">
        <v>923</v>
      </c>
      <c r="B429">
        <v>671</v>
      </c>
      <c r="C429" s="3">
        <v>44592</v>
      </c>
      <c r="D429" s="3">
        <v>44610</v>
      </c>
      <c r="E429">
        <v>9</v>
      </c>
    </row>
    <row r="430" spans="1:5" x14ac:dyDescent="0.25">
      <c r="A430">
        <v>150</v>
      </c>
      <c r="B430">
        <v>724</v>
      </c>
      <c r="C430" s="3">
        <v>44593</v>
      </c>
      <c r="D430" s="3">
        <v>44605</v>
      </c>
      <c r="E430">
        <v>5</v>
      </c>
    </row>
    <row r="431" spans="1:5" x14ac:dyDescent="0.25">
      <c r="A431">
        <v>302</v>
      </c>
      <c r="B431">
        <v>696</v>
      </c>
      <c r="C431" s="3">
        <v>44593</v>
      </c>
      <c r="D431" s="3">
        <v>44625</v>
      </c>
      <c r="E431">
        <v>4</v>
      </c>
    </row>
    <row r="432" spans="1:5" x14ac:dyDescent="0.25">
      <c r="A432">
        <v>334</v>
      </c>
      <c r="B432">
        <v>679</v>
      </c>
      <c r="C432" s="3">
        <v>44593</v>
      </c>
      <c r="D432" s="3">
        <v>44615</v>
      </c>
      <c r="E432">
        <v>7</v>
      </c>
    </row>
    <row r="433" spans="1:5" x14ac:dyDescent="0.25">
      <c r="A433">
        <v>334</v>
      </c>
      <c r="B433">
        <v>810</v>
      </c>
      <c r="C433" s="3">
        <v>44593</v>
      </c>
      <c r="D433" s="3">
        <v>44599</v>
      </c>
      <c r="E433">
        <v>10</v>
      </c>
    </row>
    <row r="434" spans="1:5" x14ac:dyDescent="0.25">
      <c r="A434">
        <v>364</v>
      </c>
      <c r="B434">
        <v>259</v>
      </c>
      <c r="C434" s="3">
        <v>44593</v>
      </c>
      <c r="D434" s="3">
        <v>44617</v>
      </c>
      <c r="E434">
        <v>9</v>
      </c>
    </row>
    <row r="435" spans="1:5" x14ac:dyDescent="0.25">
      <c r="A435">
        <v>543</v>
      </c>
      <c r="B435">
        <v>331</v>
      </c>
      <c r="C435" s="3">
        <v>44593</v>
      </c>
      <c r="D435" s="3">
        <v>44620</v>
      </c>
      <c r="E435">
        <v>2</v>
      </c>
    </row>
    <row r="436" spans="1:5" x14ac:dyDescent="0.25">
      <c r="A436">
        <v>543</v>
      </c>
      <c r="B436">
        <v>810</v>
      </c>
      <c r="C436" s="3">
        <v>44593</v>
      </c>
      <c r="D436" s="3">
        <v>44604</v>
      </c>
      <c r="E436">
        <v>1</v>
      </c>
    </row>
    <row r="437" spans="1:5" x14ac:dyDescent="0.25">
      <c r="A437">
        <v>585</v>
      </c>
      <c r="B437">
        <v>668</v>
      </c>
      <c r="C437" s="3">
        <v>44593</v>
      </c>
      <c r="D437" s="3">
        <v>44603</v>
      </c>
      <c r="E437">
        <v>10</v>
      </c>
    </row>
    <row r="438" spans="1:5" x14ac:dyDescent="0.25">
      <c r="A438">
        <v>611</v>
      </c>
      <c r="B438">
        <v>418</v>
      </c>
      <c r="C438" s="3">
        <v>44593</v>
      </c>
      <c r="D438" s="3">
        <v>44635</v>
      </c>
      <c r="E438">
        <v>8</v>
      </c>
    </row>
    <row r="439" spans="1:5" x14ac:dyDescent="0.25">
      <c r="A439">
        <v>750</v>
      </c>
      <c r="B439">
        <v>810</v>
      </c>
      <c r="C439" s="3">
        <v>44593</v>
      </c>
      <c r="D439" s="3">
        <v>44607</v>
      </c>
      <c r="E439">
        <v>5</v>
      </c>
    </row>
    <row r="440" spans="1:5" x14ac:dyDescent="0.25">
      <c r="A440">
        <v>282</v>
      </c>
      <c r="B440">
        <v>585</v>
      </c>
      <c r="C440" s="3">
        <v>44594</v>
      </c>
      <c r="D440" s="3">
        <v>44632</v>
      </c>
      <c r="E440">
        <v>4</v>
      </c>
    </row>
    <row r="441" spans="1:5" x14ac:dyDescent="0.25">
      <c r="A441">
        <v>308</v>
      </c>
      <c r="B441">
        <v>668</v>
      </c>
      <c r="C441" s="3">
        <v>44594</v>
      </c>
      <c r="D441" s="3">
        <v>44607</v>
      </c>
      <c r="E441">
        <v>4</v>
      </c>
    </row>
    <row r="442" spans="1:5" x14ac:dyDescent="0.25">
      <c r="A442">
        <v>312</v>
      </c>
      <c r="B442">
        <v>752</v>
      </c>
      <c r="C442" s="3">
        <v>44594</v>
      </c>
      <c r="D442" s="3">
        <v>44610</v>
      </c>
      <c r="E442">
        <v>5</v>
      </c>
    </row>
    <row r="443" spans="1:5" x14ac:dyDescent="0.25">
      <c r="A443">
        <v>329</v>
      </c>
      <c r="B443">
        <v>316</v>
      </c>
      <c r="C443" s="3">
        <v>44594</v>
      </c>
      <c r="D443" s="3">
        <v>44597</v>
      </c>
      <c r="E443">
        <v>8</v>
      </c>
    </row>
    <row r="444" spans="1:5" x14ac:dyDescent="0.25">
      <c r="A444">
        <v>370</v>
      </c>
      <c r="B444">
        <v>780</v>
      </c>
      <c r="C444" s="3">
        <v>44594</v>
      </c>
      <c r="D444" s="3">
        <v>44634</v>
      </c>
      <c r="E444">
        <v>10</v>
      </c>
    </row>
    <row r="445" spans="1:5" x14ac:dyDescent="0.25">
      <c r="A445">
        <v>467</v>
      </c>
      <c r="B445">
        <v>701</v>
      </c>
      <c r="C445" s="3">
        <v>44594</v>
      </c>
      <c r="D445" s="3">
        <v>44619</v>
      </c>
      <c r="E445">
        <v>10</v>
      </c>
    </row>
    <row r="446" spans="1:5" x14ac:dyDescent="0.25">
      <c r="A446">
        <v>634</v>
      </c>
      <c r="B446">
        <v>580</v>
      </c>
      <c r="C446" s="3">
        <v>44594</v>
      </c>
      <c r="D446" s="3">
        <v>44630</v>
      </c>
      <c r="E446">
        <v>7</v>
      </c>
    </row>
    <row r="447" spans="1:5" x14ac:dyDescent="0.25">
      <c r="A447">
        <v>747</v>
      </c>
      <c r="B447">
        <v>164</v>
      </c>
      <c r="C447" s="3">
        <v>44594</v>
      </c>
      <c r="D447" s="3">
        <v>44599</v>
      </c>
      <c r="E447">
        <v>9</v>
      </c>
    </row>
    <row r="448" spans="1:5" x14ac:dyDescent="0.25">
      <c r="A448">
        <v>747</v>
      </c>
      <c r="B448">
        <v>792</v>
      </c>
      <c r="C448" s="3">
        <v>44594</v>
      </c>
      <c r="D448" s="3">
        <v>44617</v>
      </c>
      <c r="E448">
        <v>6</v>
      </c>
    </row>
    <row r="449" spans="1:5" x14ac:dyDescent="0.25">
      <c r="A449">
        <v>802</v>
      </c>
      <c r="B449">
        <v>762</v>
      </c>
      <c r="C449" s="3">
        <v>44594</v>
      </c>
      <c r="D449" s="3">
        <v>44601</v>
      </c>
      <c r="E449">
        <v>5</v>
      </c>
    </row>
    <row r="450" spans="1:5" x14ac:dyDescent="0.25">
      <c r="A450">
        <v>972</v>
      </c>
      <c r="B450">
        <v>594</v>
      </c>
      <c r="C450" s="3">
        <v>44594</v>
      </c>
      <c r="D450" s="3">
        <v>44623</v>
      </c>
      <c r="E450">
        <v>1</v>
      </c>
    </row>
    <row r="451" spans="1:5" x14ac:dyDescent="0.25">
      <c r="A451">
        <v>983</v>
      </c>
      <c r="B451">
        <v>676</v>
      </c>
      <c r="C451" s="3">
        <v>44594</v>
      </c>
      <c r="D451" s="3">
        <v>44620</v>
      </c>
      <c r="E451">
        <v>5</v>
      </c>
    </row>
    <row r="452" spans="1:5" x14ac:dyDescent="0.25">
      <c r="A452">
        <v>983</v>
      </c>
      <c r="B452">
        <v>752</v>
      </c>
      <c r="C452" s="3">
        <v>44594</v>
      </c>
      <c r="D452" s="3">
        <v>44629</v>
      </c>
      <c r="E452">
        <v>7</v>
      </c>
    </row>
    <row r="453" spans="1:5" x14ac:dyDescent="0.25">
      <c r="A453">
        <v>22</v>
      </c>
      <c r="B453">
        <v>702</v>
      </c>
      <c r="C453" s="3">
        <v>44595</v>
      </c>
      <c r="D453" s="3">
        <v>44597</v>
      </c>
      <c r="E453">
        <v>4</v>
      </c>
    </row>
    <row r="454" spans="1:5" x14ac:dyDescent="0.25">
      <c r="A454">
        <v>112</v>
      </c>
      <c r="B454">
        <v>239</v>
      </c>
      <c r="C454" s="3">
        <v>44595</v>
      </c>
      <c r="D454" s="3">
        <v>44602</v>
      </c>
      <c r="E454">
        <v>3</v>
      </c>
    </row>
    <row r="455" spans="1:5" x14ac:dyDescent="0.25">
      <c r="A455">
        <v>224</v>
      </c>
      <c r="B455">
        <v>694</v>
      </c>
      <c r="C455" s="3">
        <v>44595</v>
      </c>
      <c r="D455" s="3">
        <v>44624</v>
      </c>
      <c r="E455">
        <v>9</v>
      </c>
    </row>
    <row r="456" spans="1:5" x14ac:dyDescent="0.25">
      <c r="A456">
        <v>282</v>
      </c>
      <c r="B456">
        <v>852</v>
      </c>
      <c r="C456" s="3">
        <v>44595</v>
      </c>
      <c r="D456" s="3">
        <v>44607</v>
      </c>
      <c r="E456">
        <v>8</v>
      </c>
    </row>
    <row r="457" spans="1:5" x14ac:dyDescent="0.25">
      <c r="A457">
        <v>364</v>
      </c>
      <c r="B457">
        <v>671</v>
      </c>
      <c r="C457" s="3">
        <v>44595</v>
      </c>
      <c r="D457" s="3">
        <v>44623</v>
      </c>
      <c r="E457">
        <v>9</v>
      </c>
    </row>
    <row r="458" spans="1:5" x14ac:dyDescent="0.25">
      <c r="A458">
        <v>364</v>
      </c>
      <c r="B458">
        <v>703</v>
      </c>
      <c r="C458" s="3">
        <v>44595</v>
      </c>
      <c r="D458" s="3">
        <v>44597</v>
      </c>
      <c r="E458">
        <v>8</v>
      </c>
    </row>
    <row r="459" spans="1:5" x14ac:dyDescent="0.25">
      <c r="A459">
        <v>515</v>
      </c>
      <c r="B459">
        <v>862</v>
      </c>
      <c r="C459" s="3">
        <v>44595</v>
      </c>
      <c r="D459" s="3">
        <v>44617</v>
      </c>
      <c r="E459">
        <v>6</v>
      </c>
    </row>
    <row r="460" spans="1:5" x14ac:dyDescent="0.25">
      <c r="A460">
        <v>611</v>
      </c>
      <c r="B460">
        <v>479</v>
      </c>
      <c r="C460" s="3">
        <v>44595</v>
      </c>
      <c r="D460" s="3">
        <v>44608</v>
      </c>
      <c r="E460">
        <v>9</v>
      </c>
    </row>
    <row r="461" spans="1:5" x14ac:dyDescent="0.25">
      <c r="A461">
        <v>651</v>
      </c>
      <c r="B461">
        <v>259</v>
      </c>
      <c r="C461" s="3">
        <v>44595</v>
      </c>
      <c r="D461" s="3">
        <v>44632</v>
      </c>
      <c r="E461">
        <v>3</v>
      </c>
    </row>
    <row r="462" spans="1:5" x14ac:dyDescent="0.25">
      <c r="A462">
        <v>651</v>
      </c>
      <c r="B462">
        <v>585</v>
      </c>
      <c r="C462" s="3">
        <v>44595</v>
      </c>
      <c r="D462" s="3">
        <v>44623</v>
      </c>
      <c r="E462">
        <v>6</v>
      </c>
    </row>
    <row r="463" spans="1:5" x14ac:dyDescent="0.25">
      <c r="A463">
        <v>651</v>
      </c>
      <c r="B463">
        <v>782</v>
      </c>
      <c r="C463" s="3">
        <v>44595</v>
      </c>
      <c r="D463" s="3">
        <v>44630</v>
      </c>
      <c r="E463">
        <v>1</v>
      </c>
    </row>
    <row r="464" spans="1:5" x14ac:dyDescent="0.25">
      <c r="A464">
        <v>659</v>
      </c>
      <c r="B464">
        <v>710</v>
      </c>
      <c r="C464" s="3">
        <v>44595</v>
      </c>
      <c r="D464" s="3">
        <v>44601</v>
      </c>
      <c r="E464">
        <v>7</v>
      </c>
    </row>
    <row r="465" spans="1:5" x14ac:dyDescent="0.25">
      <c r="A465">
        <v>827</v>
      </c>
      <c r="B465">
        <v>805</v>
      </c>
      <c r="C465" s="3">
        <v>44595</v>
      </c>
      <c r="D465" s="3">
        <v>44623</v>
      </c>
      <c r="E465">
        <v>3</v>
      </c>
    </row>
    <row r="466" spans="1:5" x14ac:dyDescent="0.25">
      <c r="A466">
        <v>961</v>
      </c>
      <c r="B466">
        <v>699</v>
      </c>
      <c r="C466" s="3">
        <v>44595</v>
      </c>
      <c r="D466" s="3">
        <v>44628</v>
      </c>
      <c r="E466">
        <v>7</v>
      </c>
    </row>
    <row r="467" spans="1:5" x14ac:dyDescent="0.25">
      <c r="A467">
        <v>46</v>
      </c>
      <c r="B467">
        <v>792</v>
      </c>
      <c r="C467" s="3">
        <v>44596</v>
      </c>
      <c r="D467" s="3">
        <v>44628</v>
      </c>
      <c r="E467">
        <v>7</v>
      </c>
    </row>
    <row r="468" spans="1:5" x14ac:dyDescent="0.25">
      <c r="A468">
        <v>46</v>
      </c>
      <c r="B468">
        <v>805</v>
      </c>
      <c r="C468" s="3">
        <v>44596</v>
      </c>
      <c r="D468" s="3">
        <v>44604</v>
      </c>
      <c r="E468">
        <v>10</v>
      </c>
    </row>
    <row r="469" spans="1:5" x14ac:dyDescent="0.25">
      <c r="A469">
        <v>190</v>
      </c>
      <c r="B469">
        <v>590</v>
      </c>
      <c r="C469" s="3">
        <v>44596</v>
      </c>
      <c r="D469" s="3">
        <v>44621</v>
      </c>
      <c r="E469">
        <v>4</v>
      </c>
    </row>
    <row r="470" spans="1:5" x14ac:dyDescent="0.25">
      <c r="A470">
        <v>312</v>
      </c>
      <c r="B470">
        <v>707</v>
      </c>
      <c r="C470" s="3">
        <v>44596</v>
      </c>
      <c r="D470" s="3">
        <v>44637</v>
      </c>
      <c r="E470">
        <v>3</v>
      </c>
    </row>
    <row r="471" spans="1:5" x14ac:dyDescent="0.25">
      <c r="A471">
        <v>332</v>
      </c>
      <c r="B471">
        <v>341</v>
      </c>
      <c r="C471" s="3">
        <v>44596</v>
      </c>
      <c r="D471" s="3">
        <v>44599</v>
      </c>
      <c r="E471">
        <v>8</v>
      </c>
    </row>
    <row r="472" spans="1:5" x14ac:dyDescent="0.25">
      <c r="A472">
        <v>362</v>
      </c>
      <c r="B472">
        <v>453</v>
      </c>
      <c r="C472" s="3">
        <v>44596</v>
      </c>
      <c r="D472" s="3">
        <v>44608</v>
      </c>
      <c r="E472">
        <v>4</v>
      </c>
    </row>
    <row r="473" spans="1:5" x14ac:dyDescent="0.25">
      <c r="A473">
        <v>390</v>
      </c>
      <c r="B473">
        <v>787</v>
      </c>
      <c r="C473" s="3">
        <v>44596</v>
      </c>
      <c r="D473" s="3">
        <v>44617</v>
      </c>
      <c r="E473">
        <v>7</v>
      </c>
    </row>
    <row r="474" spans="1:5" x14ac:dyDescent="0.25">
      <c r="A474">
        <v>496</v>
      </c>
      <c r="B474">
        <v>530</v>
      </c>
      <c r="C474" s="3">
        <v>44596</v>
      </c>
      <c r="D474" s="3">
        <v>44617</v>
      </c>
      <c r="E474">
        <v>2</v>
      </c>
    </row>
    <row r="475" spans="1:5" x14ac:dyDescent="0.25">
      <c r="A475">
        <v>515</v>
      </c>
      <c r="B475">
        <v>834</v>
      </c>
      <c r="C475" s="3">
        <v>44596</v>
      </c>
      <c r="D475" s="3">
        <v>44632</v>
      </c>
      <c r="E475">
        <v>2</v>
      </c>
    </row>
    <row r="476" spans="1:5" x14ac:dyDescent="0.25">
      <c r="A476">
        <v>526</v>
      </c>
      <c r="B476">
        <v>762</v>
      </c>
      <c r="C476" s="3">
        <v>44596</v>
      </c>
      <c r="D476" s="3">
        <v>44639</v>
      </c>
      <c r="E476">
        <v>4</v>
      </c>
    </row>
    <row r="477" spans="1:5" x14ac:dyDescent="0.25">
      <c r="A477">
        <v>543</v>
      </c>
      <c r="B477">
        <v>515</v>
      </c>
      <c r="C477" s="3">
        <v>44596</v>
      </c>
      <c r="D477" s="3">
        <v>44626</v>
      </c>
      <c r="E477">
        <v>7</v>
      </c>
    </row>
    <row r="478" spans="1:5" x14ac:dyDescent="0.25">
      <c r="A478">
        <v>557</v>
      </c>
      <c r="B478">
        <v>374</v>
      </c>
      <c r="C478" s="3">
        <v>44596</v>
      </c>
      <c r="D478" s="3">
        <v>44612</v>
      </c>
      <c r="E478">
        <v>5</v>
      </c>
    </row>
    <row r="479" spans="1:5" x14ac:dyDescent="0.25">
      <c r="A479">
        <v>561</v>
      </c>
      <c r="B479">
        <v>594</v>
      </c>
      <c r="C479" s="3">
        <v>44596</v>
      </c>
      <c r="D479" s="3">
        <v>44601</v>
      </c>
      <c r="E479">
        <v>4</v>
      </c>
    </row>
    <row r="480" spans="1:5" x14ac:dyDescent="0.25">
      <c r="A480">
        <v>923</v>
      </c>
      <c r="B480">
        <v>196</v>
      </c>
      <c r="C480" s="3">
        <v>44596</v>
      </c>
      <c r="D480" s="3">
        <v>44638</v>
      </c>
      <c r="E480">
        <v>3</v>
      </c>
    </row>
    <row r="481" spans="1:5" x14ac:dyDescent="0.25">
      <c r="A481">
        <v>139</v>
      </c>
      <c r="B481">
        <v>374</v>
      </c>
      <c r="C481" s="3">
        <v>44597</v>
      </c>
      <c r="D481" s="3">
        <v>44639</v>
      </c>
      <c r="E481">
        <v>5</v>
      </c>
    </row>
    <row r="482" spans="1:5" x14ac:dyDescent="0.25">
      <c r="A482">
        <v>146</v>
      </c>
      <c r="B482">
        <v>792</v>
      </c>
      <c r="C482" s="3">
        <v>44597</v>
      </c>
      <c r="D482" s="3">
        <v>44602</v>
      </c>
      <c r="E482">
        <v>7</v>
      </c>
    </row>
    <row r="483" spans="1:5" x14ac:dyDescent="0.25">
      <c r="A483">
        <v>150</v>
      </c>
      <c r="B483">
        <v>583</v>
      </c>
      <c r="C483" s="3">
        <v>44597</v>
      </c>
      <c r="D483" s="3">
        <v>44609</v>
      </c>
      <c r="E483">
        <v>1</v>
      </c>
    </row>
    <row r="484" spans="1:5" x14ac:dyDescent="0.25">
      <c r="A484">
        <v>150</v>
      </c>
      <c r="B484">
        <v>724</v>
      </c>
      <c r="C484" s="3">
        <v>44597</v>
      </c>
      <c r="D484" s="3">
        <v>44611</v>
      </c>
      <c r="E484">
        <v>3</v>
      </c>
    </row>
    <row r="485" spans="1:5" x14ac:dyDescent="0.25">
      <c r="A485">
        <v>323</v>
      </c>
      <c r="B485">
        <v>331</v>
      </c>
      <c r="C485" s="3">
        <v>44597</v>
      </c>
      <c r="D485" s="3">
        <v>44640</v>
      </c>
      <c r="E485">
        <v>1</v>
      </c>
    </row>
    <row r="486" spans="1:5" x14ac:dyDescent="0.25">
      <c r="A486">
        <v>323</v>
      </c>
      <c r="B486">
        <v>377</v>
      </c>
      <c r="C486" s="3">
        <v>44597</v>
      </c>
      <c r="D486" s="3">
        <v>44609</v>
      </c>
      <c r="E486">
        <v>3</v>
      </c>
    </row>
    <row r="487" spans="1:5" x14ac:dyDescent="0.25">
      <c r="A487">
        <v>323</v>
      </c>
      <c r="B487">
        <v>701</v>
      </c>
      <c r="C487" s="3">
        <v>44597</v>
      </c>
      <c r="D487" s="3">
        <v>44621</v>
      </c>
      <c r="E487">
        <v>2</v>
      </c>
    </row>
    <row r="488" spans="1:5" x14ac:dyDescent="0.25">
      <c r="A488">
        <v>323</v>
      </c>
      <c r="B488">
        <v>747</v>
      </c>
      <c r="C488" s="3">
        <v>44597</v>
      </c>
      <c r="D488" s="3">
        <v>44623</v>
      </c>
      <c r="E488">
        <v>7</v>
      </c>
    </row>
    <row r="489" spans="1:5" x14ac:dyDescent="0.25">
      <c r="A489">
        <v>360</v>
      </c>
      <c r="B489">
        <v>186</v>
      </c>
      <c r="C489" s="3">
        <v>44597</v>
      </c>
      <c r="D489" s="3">
        <v>44634</v>
      </c>
      <c r="E489">
        <v>9</v>
      </c>
    </row>
    <row r="490" spans="1:5" x14ac:dyDescent="0.25">
      <c r="A490">
        <v>500</v>
      </c>
      <c r="B490">
        <v>582</v>
      </c>
      <c r="C490" s="3">
        <v>44597</v>
      </c>
      <c r="D490" s="3">
        <v>44635</v>
      </c>
      <c r="E490">
        <v>2</v>
      </c>
    </row>
    <row r="491" spans="1:5" x14ac:dyDescent="0.25">
      <c r="A491">
        <v>515</v>
      </c>
      <c r="B491">
        <v>580</v>
      </c>
      <c r="C491" s="3">
        <v>44597</v>
      </c>
      <c r="D491" s="3">
        <v>44622</v>
      </c>
      <c r="E491">
        <v>10</v>
      </c>
    </row>
    <row r="492" spans="1:5" x14ac:dyDescent="0.25">
      <c r="A492">
        <v>573</v>
      </c>
      <c r="B492">
        <v>583</v>
      </c>
      <c r="C492" s="3">
        <v>44597</v>
      </c>
      <c r="D492" s="3">
        <v>44635</v>
      </c>
      <c r="E492">
        <v>10</v>
      </c>
    </row>
    <row r="493" spans="1:5" x14ac:dyDescent="0.25">
      <c r="A493">
        <v>659</v>
      </c>
      <c r="B493">
        <v>583</v>
      </c>
      <c r="C493" s="3">
        <v>44597</v>
      </c>
      <c r="D493" s="3">
        <v>44637</v>
      </c>
      <c r="E493">
        <v>4</v>
      </c>
    </row>
    <row r="494" spans="1:5" x14ac:dyDescent="0.25">
      <c r="A494">
        <v>46</v>
      </c>
      <c r="B494">
        <v>590</v>
      </c>
      <c r="C494" s="3">
        <v>44598</v>
      </c>
      <c r="D494" s="3">
        <v>44631</v>
      </c>
      <c r="E494">
        <v>6</v>
      </c>
    </row>
    <row r="495" spans="1:5" x14ac:dyDescent="0.25">
      <c r="A495">
        <v>47</v>
      </c>
      <c r="B495">
        <v>812</v>
      </c>
      <c r="C495" s="3">
        <v>44598</v>
      </c>
      <c r="D495" s="3">
        <v>44641</v>
      </c>
      <c r="E495">
        <v>10</v>
      </c>
    </row>
    <row r="496" spans="1:5" x14ac:dyDescent="0.25">
      <c r="A496">
        <v>302</v>
      </c>
      <c r="B496">
        <v>582</v>
      </c>
      <c r="C496" s="3">
        <v>44598</v>
      </c>
      <c r="D496" s="3">
        <v>44624</v>
      </c>
      <c r="E496">
        <v>10</v>
      </c>
    </row>
    <row r="497" spans="1:5" x14ac:dyDescent="0.25">
      <c r="A497">
        <v>333</v>
      </c>
      <c r="B497">
        <v>724</v>
      </c>
      <c r="C497" s="3">
        <v>44598</v>
      </c>
      <c r="D497" s="3">
        <v>44616</v>
      </c>
      <c r="E497">
        <v>6</v>
      </c>
    </row>
    <row r="498" spans="1:5" x14ac:dyDescent="0.25">
      <c r="A498">
        <v>364</v>
      </c>
      <c r="B498">
        <v>594</v>
      </c>
      <c r="C498" s="3">
        <v>44598</v>
      </c>
      <c r="D498" s="3">
        <v>44631</v>
      </c>
      <c r="E498">
        <v>8</v>
      </c>
    </row>
    <row r="499" spans="1:5" x14ac:dyDescent="0.25">
      <c r="A499">
        <v>448</v>
      </c>
      <c r="B499">
        <v>759</v>
      </c>
      <c r="C499" s="3">
        <v>44598</v>
      </c>
      <c r="D499" s="3">
        <v>44628</v>
      </c>
      <c r="E499">
        <v>9</v>
      </c>
    </row>
    <row r="500" spans="1:5" x14ac:dyDescent="0.25">
      <c r="A500">
        <v>543</v>
      </c>
      <c r="B500">
        <v>840</v>
      </c>
      <c r="C500" s="3">
        <v>44598</v>
      </c>
      <c r="D500" s="3">
        <v>44626</v>
      </c>
      <c r="E500">
        <v>3</v>
      </c>
    </row>
    <row r="501" spans="1:5" x14ac:dyDescent="0.25">
      <c r="A501">
        <v>567</v>
      </c>
      <c r="B501">
        <v>724</v>
      </c>
      <c r="C501" s="3">
        <v>44598</v>
      </c>
      <c r="D501" s="3">
        <v>44604</v>
      </c>
      <c r="E501">
        <v>8</v>
      </c>
    </row>
    <row r="502" spans="1:5" x14ac:dyDescent="0.25">
      <c r="A502">
        <v>568</v>
      </c>
      <c r="B502">
        <v>704</v>
      </c>
      <c r="C502" s="3">
        <v>44598</v>
      </c>
      <c r="D502" s="3">
        <v>44608</v>
      </c>
      <c r="E502">
        <v>9</v>
      </c>
    </row>
    <row r="503" spans="1:5" x14ac:dyDescent="0.25">
      <c r="A503">
        <v>594</v>
      </c>
      <c r="B503">
        <v>711</v>
      </c>
      <c r="C503" s="3">
        <v>44598</v>
      </c>
      <c r="D503" s="3">
        <v>44620</v>
      </c>
      <c r="E503">
        <v>6</v>
      </c>
    </row>
    <row r="504" spans="1:5" x14ac:dyDescent="0.25">
      <c r="A504">
        <v>643</v>
      </c>
      <c r="B504">
        <v>725</v>
      </c>
      <c r="C504" s="3">
        <v>44598</v>
      </c>
      <c r="D504" s="3">
        <v>44626</v>
      </c>
      <c r="E504">
        <v>5</v>
      </c>
    </row>
    <row r="505" spans="1:5" x14ac:dyDescent="0.25">
      <c r="A505">
        <v>972</v>
      </c>
      <c r="B505">
        <v>699</v>
      </c>
      <c r="C505" s="3">
        <v>44598</v>
      </c>
      <c r="D505" s="3">
        <v>44622</v>
      </c>
      <c r="E505">
        <v>6</v>
      </c>
    </row>
    <row r="506" spans="1:5" x14ac:dyDescent="0.25">
      <c r="A506">
        <v>55</v>
      </c>
      <c r="B506">
        <v>758</v>
      </c>
      <c r="C506" s="3">
        <v>44599</v>
      </c>
      <c r="D506" s="3">
        <v>44632</v>
      </c>
      <c r="E506">
        <v>1</v>
      </c>
    </row>
    <row r="507" spans="1:5" x14ac:dyDescent="0.25">
      <c r="A507">
        <v>66</v>
      </c>
      <c r="B507">
        <v>374</v>
      </c>
      <c r="C507" s="3">
        <v>44599</v>
      </c>
      <c r="D507" s="3">
        <v>44632</v>
      </c>
      <c r="E507">
        <v>1</v>
      </c>
    </row>
    <row r="508" spans="1:5" x14ac:dyDescent="0.25">
      <c r="A508">
        <v>81</v>
      </c>
      <c r="B508">
        <v>758</v>
      </c>
      <c r="C508" s="3">
        <v>44599</v>
      </c>
      <c r="D508" s="3">
        <v>44630</v>
      </c>
      <c r="E508">
        <v>5</v>
      </c>
    </row>
    <row r="509" spans="1:5" x14ac:dyDescent="0.25">
      <c r="A509">
        <v>112</v>
      </c>
      <c r="B509">
        <v>834</v>
      </c>
      <c r="C509" s="3">
        <v>44599</v>
      </c>
      <c r="D509" s="3">
        <v>44615</v>
      </c>
      <c r="E509">
        <v>2</v>
      </c>
    </row>
    <row r="510" spans="1:5" x14ac:dyDescent="0.25">
      <c r="A510">
        <v>141</v>
      </c>
      <c r="B510">
        <v>177</v>
      </c>
      <c r="C510" s="3">
        <v>44599</v>
      </c>
      <c r="D510" s="3">
        <v>44614</v>
      </c>
      <c r="E510">
        <v>1</v>
      </c>
    </row>
    <row r="511" spans="1:5" x14ac:dyDescent="0.25">
      <c r="A511">
        <v>141</v>
      </c>
      <c r="B511">
        <v>331</v>
      </c>
      <c r="C511" s="3">
        <v>44599</v>
      </c>
      <c r="D511" s="3">
        <v>44614</v>
      </c>
      <c r="E511">
        <v>10</v>
      </c>
    </row>
    <row r="512" spans="1:5" x14ac:dyDescent="0.25">
      <c r="A512">
        <v>333</v>
      </c>
      <c r="B512">
        <v>583</v>
      </c>
      <c r="C512" s="3">
        <v>44599</v>
      </c>
      <c r="D512" s="3">
        <v>44633</v>
      </c>
      <c r="E512">
        <v>9</v>
      </c>
    </row>
    <row r="513" spans="1:5" x14ac:dyDescent="0.25">
      <c r="A513">
        <v>338</v>
      </c>
      <c r="B513">
        <v>201</v>
      </c>
      <c r="C513" s="3">
        <v>44599</v>
      </c>
      <c r="D513" s="3">
        <v>44628</v>
      </c>
      <c r="E513">
        <v>4</v>
      </c>
    </row>
    <row r="514" spans="1:5" x14ac:dyDescent="0.25">
      <c r="A514">
        <v>416</v>
      </c>
      <c r="B514">
        <v>673</v>
      </c>
      <c r="C514" s="3">
        <v>44599</v>
      </c>
      <c r="D514" s="3">
        <v>44641</v>
      </c>
      <c r="E514">
        <v>7</v>
      </c>
    </row>
    <row r="515" spans="1:5" x14ac:dyDescent="0.25">
      <c r="A515">
        <v>416</v>
      </c>
      <c r="B515">
        <v>817</v>
      </c>
      <c r="C515" s="3">
        <v>44599</v>
      </c>
      <c r="D515" s="3">
        <v>44620</v>
      </c>
      <c r="E515">
        <v>5</v>
      </c>
    </row>
    <row r="516" spans="1:5" x14ac:dyDescent="0.25">
      <c r="A516">
        <v>515</v>
      </c>
      <c r="B516">
        <v>583</v>
      </c>
      <c r="C516" s="3">
        <v>44599</v>
      </c>
      <c r="D516" s="3">
        <v>44609</v>
      </c>
      <c r="E516">
        <v>2</v>
      </c>
    </row>
    <row r="517" spans="1:5" x14ac:dyDescent="0.25">
      <c r="A517">
        <v>546</v>
      </c>
      <c r="B517">
        <v>681</v>
      </c>
      <c r="C517" s="3">
        <v>44599</v>
      </c>
      <c r="D517" s="3">
        <v>44606</v>
      </c>
      <c r="E517">
        <v>3</v>
      </c>
    </row>
    <row r="518" spans="1:5" x14ac:dyDescent="0.25">
      <c r="A518">
        <v>561</v>
      </c>
      <c r="B518">
        <v>259</v>
      </c>
      <c r="C518" s="3">
        <v>44599</v>
      </c>
      <c r="D518" s="3">
        <v>44623</v>
      </c>
      <c r="E518">
        <v>3</v>
      </c>
    </row>
    <row r="519" spans="1:5" x14ac:dyDescent="0.25">
      <c r="A519">
        <v>802</v>
      </c>
      <c r="B519">
        <v>719</v>
      </c>
      <c r="C519" s="3">
        <v>44599</v>
      </c>
      <c r="D519" s="3">
        <v>44609</v>
      </c>
      <c r="E519">
        <v>10</v>
      </c>
    </row>
    <row r="520" spans="1:5" x14ac:dyDescent="0.25">
      <c r="A520">
        <v>802</v>
      </c>
      <c r="B520">
        <v>745</v>
      </c>
      <c r="C520" s="3">
        <v>44599</v>
      </c>
      <c r="D520" s="3">
        <v>44631</v>
      </c>
      <c r="E520">
        <v>9</v>
      </c>
    </row>
    <row r="521" spans="1:5" x14ac:dyDescent="0.25">
      <c r="A521">
        <v>972</v>
      </c>
      <c r="B521">
        <v>801</v>
      </c>
      <c r="C521" s="3">
        <v>44599</v>
      </c>
      <c r="D521" s="3">
        <v>44638</v>
      </c>
      <c r="E521">
        <v>10</v>
      </c>
    </row>
    <row r="522" spans="1:5" x14ac:dyDescent="0.25">
      <c r="A522">
        <v>989</v>
      </c>
      <c r="B522">
        <v>724</v>
      </c>
      <c r="C522" s="3">
        <v>44599</v>
      </c>
      <c r="D522" s="3">
        <v>44614</v>
      </c>
      <c r="E522">
        <v>9</v>
      </c>
    </row>
    <row r="523" spans="1:5" x14ac:dyDescent="0.25">
      <c r="A523">
        <v>81</v>
      </c>
      <c r="B523">
        <v>668</v>
      </c>
      <c r="C523" s="3">
        <v>44600</v>
      </c>
      <c r="D523" s="3">
        <v>44604</v>
      </c>
      <c r="E523">
        <v>3</v>
      </c>
    </row>
    <row r="524" spans="1:5" x14ac:dyDescent="0.25">
      <c r="A524">
        <v>150</v>
      </c>
      <c r="B524">
        <v>810</v>
      </c>
      <c r="C524" s="3">
        <v>44600</v>
      </c>
      <c r="D524" s="3">
        <v>44627</v>
      </c>
      <c r="E524">
        <v>4</v>
      </c>
    </row>
    <row r="525" spans="1:5" x14ac:dyDescent="0.25">
      <c r="A525">
        <v>200</v>
      </c>
      <c r="B525">
        <v>358</v>
      </c>
      <c r="C525" s="3">
        <v>44600</v>
      </c>
      <c r="D525" s="3">
        <v>44629</v>
      </c>
      <c r="E525">
        <v>3</v>
      </c>
    </row>
    <row r="526" spans="1:5" x14ac:dyDescent="0.25">
      <c r="A526">
        <v>200</v>
      </c>
      <c r="B526">
        <v>862</v>
      </c>
      <c r="C526" s="3">
        <v>44600</v>
      </c>
      <c r="D526" s="3">
        <v>44620</v>
      </c>
      <c r="E526">
        <v>5</v>
      </c>
    </row>
    <row r="527" spans="1:5" x14ac:dyDescent="0.25">
      <c r="A527">
        <v>302</v>
      </c>
      <c r="B527">
        <v>792</v>
      </c>
      <c r="C527" s="3">
        <v>44600</v>
      </c>
      <c r="D527" s="3">
        <v>44613</v>
      </c>
      <c r="E527">
        <v>3</v>
      </c>
    </row>
    <row r="528" spans="1:5" x14ac:dyDescent="0.25">
      <c r="A528">
        <v>302</v>
      </c>
      <c r="B528">
        <v>834</v>
      </c>
      <c r="C528" s="3">
        <v>44600</v>
      </c>
      <c r="D528" s="3">
        <v>44631</v>
      </c>
      <c r="E528">
        <v>5</v>
      </c>
    </row>
    <row r="529" spans="1:5" x14ac:dyDescent="0.25">
      <c r="A529">
        <v>330</v>
      </c>
      <c r="B529">
        <v>541</v>
      </c>
      <c r="C529" s="3">
        <v>44600</v>
      </c>
      <c r="D529" s="3">
        <v>44614</v>
      </c>
      <c r="E529">
        <v>1</v>
      </c>
    </row>
    <row r="530" spans="1:5" x14ac:dyDescent="0.25">
      <c r="A530">
        <v>330</v>
      </c>
      <c r="B530">
        <v>810</v>
      </c>
      <c r="C530" s="3">
        <v>44600</v>
      </c>
      <c r="D530" s="3">
        <v>44619</v>
      </c>
      <c r="E530">
        <v>6</v>
      </c>
    </row>
    <row r="531" spans="1:5" x14ac:dyDescent="0.25">
      <c r="A531">
        <v>362</v>
      </c>
      <c r="B531">
        <v>725</v>
      </c>
      <c r="C531" s="3">
        <v>44600</v>
      </c>
      <c r="D531" s="3">
        <v>44623</v>
      </c>
      <c r="E531">
        <v>7</v>
      </c>
    </row>
    <row r="532" spans="1:5" x14ac:dyDescent="0.25">
      <c r="A532">
        <v>467</v>
      </c>
      <c r="B532">
        <v>358</v>
      </c>
      <c r="C532" s="3">
        <v>44600</v>
      </c>
      <c r="D532" s="3">
        <v>44615</v>
      </c>
      <c r="E532">
        <v>2</v>
      </c>
    </row>
    <row r="533" spans="1:5" x14ac:dyDescent="0.25">
      <c r="A533">
        <v>544</v>
      </c>
      <c r="B533">
        <v>853</v>
      </c>
      <c r="C533" s="3">
        <v>44600</v>
      </c>
      <c r="D533" s="3">
        <v>44643</v>
      </c>
      <c r="E533">
        <v>4</v>
      </c>
    </row>
    <row r="534" spans="1:5" x14ac:dyDescent="0.25">
      <c r="A534">
        <v>567</v>
      </c>
      <c r="B534">
        <v>849</v>
      </c>
      <c r="C534" s="3">
        <v>44600</v>
      </c>
      <c r="D534" s="3">
        <v>44625</v>
      </c>
      <c r="E534">
        <v>9</v>
      </c>
    </row>
    <row r="535" spans="1:5" x14ac:dyDescent="0.25">
      <c r="A535">
        <v>600</v>
      </c>
      <c r="B535">
        <v>374</v>
      </c>
      <c r="C535" s="3">
        <v>44600</v>
      </c>
      <c r="D535" s="3">
        <v>44624</v>
      </c>
      <c r="E535">
        <v>1</v>
      </c>
    </row>
    <row r="536" spans="1:5" x14ac:dyDescent="0.25">
      <c r="A536">
        <v>609</v>
      </c>
      <c r="B536">
        <v>196</v>
      </c>
      <c r="C536" s="3">
        <v>44600</v>
      </c>
      <c r="D536" s="3">
        <v>44606</v>
      </c>
      <c r="E536">
        <v>2</v>
      </c>
    </row>
    <row r="537" spans="1:5" x14ac:dyDescent="0.25">
      <c r="A537">
        <v>611</v>
      </c>
      <c r="B537">
        <v>331</v>
      </c>
      <c r="C537" s="3">
        <v>44600</v>
      </c>
      <c r="D537" s="3">
        <v>44625</v>
      </c>
      <c r="E537">
        <v>8</v>
      </c>
    </row>
    <row r="538" spans="1:5" x14ac:dyDescent="0.25">
      <c r="A538">
        <v>643</v>
      </c>
      <c r="B538">
        <v>671</v>
      </c>
      <c r="C538" s="3">
        <v>44600</v>
      </c>
      <c r="D538" s="3">
        <v>44609</v>
      </c>
      <c r="E538">
        <v>5</v>
      </c>
    </row>
    <row r="539" spans="1:5" x14ac:dyDescent="0.25">
      <c r="A539">
        <v>843</v>
      </c>
      <c r="B539">
        <v>585</v>
      </c>
      <c r="C539" s="3">
        <v>44600</v>
      </c>
      <c r="D539" s="3">
        <v>44625</v>
      </c>
      <c r="E539">
        <v>3</v>
      </c>
    </row>
    <row r="540" spans="1:5" x14ac:dyDescent="0.25">
      <c r="A540">
        <v>22</v>
      </c>
      <c r="B540">
        <v>643</v>
      </c>
      <c r="C540" s="3">
        <v>44601</v>
      </c>
      <c r="D540" s="3">
        <v>44618</v>
      </c>
      <c r="E540">
        <v>2</v>
      </c>
    </row>
    <row r="541" spans="1:5" x14ac:dyDescent="0.25">
      <c r="A541">
        <v>139</v>
      </c>
      <c r="B541">
        <v>692</v>
      </c>
      <c r="C541" s="3">
        <v>44601</v>
      </c>
      <c r="D541" s="3">
        <v>44643</v>
      </c>
      <c r="E541">
        <v>5</v>
      </c>
    </row>
    <row r="542" spans="1:5" x14ac:dyDescent="0.25">
      <c r="A542">
        <v>180</v>
      </c>
      <c r="B542">
        <v>732</v>
      </c>
      <c r="C542" s="3">
        <v>44601</v>
      </c>
      <c r="D542" s="3">
        <v>44605</v>
      </c>
      <c r="E542">
        <v>6</v>
      </c>
    </row>
    <row r="543" spans="1:5" x14ac:dyDescent="0.25">
      <c r="A543">
        <v>302</v>
      </c>
      <c r="B543">
        <v>681</v>
      </c>
      <c r="C543" s="3">
        <v>44601</v>
      </c>
      <c r="D543" s="3">
        <v>44611</v>
      </c>
      <c r="E543">
        <v>8</v>
      </c>
    </row>
    <row r="544" spans="1:5" x14ac:dyDescent="0.25">
      <c r="A544">
        <v>308</v>
      </c>
      <c r="B544">
        <v>436</v>
      </c>
      <c r="C544" s="3">
        <v>44601</v>
      </c>
      <c r="D544" s="3">
        <v>44632</v>
      </c>
      <c r="E544">
        <v>2</v>
      </c>
    </row>
    <row r="545" spans="1:5" x14ac:dyDescent="0.25">
      <c r="A545">
        <v>331</v>
      </c>
      <c r="B545">
        <v>692</v>
      </c>
      <c r="C545" s="3">
        <v>44601</v>
      </c>
      <c r="D545" s="3">
        <v>44639</v>
      </c>
      <c r="E545">
        <v>5</v>
      </c>
    </row>
    <row r="546" spans="1:5" x14ac:dyDescent="0.25">
      <c r="A546">
        <v>362</v>
      </c>
      <c r="B546">
        <v>436</v>
      </c>
      <c r="C546" s="3">
        <v>44601</v>
      </c>
      <c r="D546" s="3">
        <v>44605</v>
      </c>
      <c r="E546">
        <v>7</v>
      </c>
    </row>
    <row r="547" spans="1:5" x14ac:dyDescent="0.25">
      <c r="A547">
        <v>489</v>
      </c>
      <c r="B547">
        <v>689</v>
      </c>
      <c r="C547" s="3">
        <v>44601</v>
      </c>
      <c r="D547" s="3">
        <v>44616</v>
      </c>
      <c r="E547">
        <v>8</v>
      </c>
    </row>
    <row r="548" spans="1:5" x14ac:dyDescent="0.25">
      <c r="A548">
        <v>501</v>
      </c>
      <c r="B548">
        <v>787</v>
      </c>
      <c r="C548" s="3">
        <v>44601</v>
      </c>
      <c r="D548" s="3">
        <v>44620</v>
      </c>
      <c r="E548">
        <v>6</v>
      </c>
    </row>
    <row r="549" spans="1:5" x14ac:dyDescent="0.25">
      <c r="A549">
        <v>544</v>
      </c>
      <c r="B549">
        <v>330</v>
      </c>
      <c r="C549" s="3">
        <v>44601</v>
      </c>
      <c r="D549" s="3">
        <v>44607</v>
      </c>
      <c r="E549">
        <v>6</v>
      </c>
    </row>
    <row r="550" spans="1:5" x14ac:dyDescent="0.25">
      <c r="A550">
        <v>657</v>
      </c>
      <c r="B550">
        <v>801</v>
      </c>
      <c r="C550" s="3">
        <v>44601</v>
      </c>
      <c r="D550" s="3">
        <v>44608</v>
      </c>
      <c r="E550">
        <v>3</v>
      </c>
    </row>
    <row r="551" spans="1:5" x14ac:dyDescent="0.25">
      <c r="A551">
        <v>659</v>
      </c>
      <c r="B551">
        <v>282</v>
      </c>
      <c r="C551" s="3">
        <v>44601</v>
      </c>
      <c r="D551" s="3">
        <v>44615</v>
      </c>
      <c r="E551">
        <v>9</v>
      </c>
    </row>
    <row r="552" spans="1:5" x14ac:dyDescent="0.25">
      <c r="A552">
        <v>823</v>
      </c>
      <c r="B552">
        <v>787</v>
      </c>
      <c r="C552" s="3">
        <v>44601</v>
      </c>
      <c r="D552" s="3">
        <v>44604</v>
      </c>
      <c r="E552">
        <v>5</v>
      </c>
    </row>
    <row r="553" spans="1:5" x14ac:dyDescent="0.25">
      <c r="A553">
        <v>983</v>
      </c>
      <c r="B553">
        <v>453</v>
      </c>
      <c r="C553" s="3">
        <v>44601</v>
      </c>
      <c r="D553" s="3">
        <v>44643</v>
      </c>
      <c r="E553">
        <v>8</v>
      </c>
    </row>
    <row r="554" spans="1:5" x14ac:dyDescent="0.25">
      <c r="A554">
        <v>66</v>
      </c>
      <c r="B554">
        <v>585</v>
      </c>
      <c r="C554" s="3">
        <v>44602</v>
      </c>
      <c r="D554" s="3">
        <v>44638</v>
      </c>
      <c r="E554">
        <v>3</v>
      </c>
    </row>
    <row r="555" spans="1:5" x14ac:dyDescent="0.25">
      <c r="A555">
        <v>66</v>
      </c>
      <c r="B555">
        <v>762</v>
      </c>
      <c r="C555" s="3">
        <v>44602</v>
      </c>
      <c r="D555" s="3">
        <v>44608</v>
      </c>
      <c r="E555">
        <v>1</v>
      </c>
    </row>
    <row r="556" spans="1:5" x14ac:dyDescent="0.25">
      <c r="A556">
        <v>139</v>
      </c>
      <c r="B556">
        <v>701</v>
      </c>
      <c r="C556" s="3">
        <v>44602</v>
      </c>
      <c r="D556" s="3">
        <v>44620</v>
      </c>
      <c r="E556">
        <v>10</v>
      </c>
    </row>
    <row r="557" spans="1:5" x14ac:dyDescent="0.25">
      <c r="A557">
        <v>232</v>
      </c>
      <c r="B557">
        <v>692</v>
      </c>
      <c r="C557" s="3">
        <v>44602</v>
      </c>
      <c r="D557" s="3">
        <v>44633</v>
      </c>
      <c r="E557">
        <v>2</v>
      </c>
    </row>
    <row r="558" spans="1:5" x14ac:dyDescent="0.25">
      <c r="A558">
        <v>284</v>
      </c>
      <c r="B558">
        <v>376</v>
      </c>
      <c r="C558" s="3">
        <v>44602</v>
      </c>
      <c r="D558" s="3">
        <v>44618</v>
      </c>
      <c r="E558">
        <v>1</v>
      </c>
    </row>
    <row r="559" spans="1:5" x14ac:dyDescent="0.25">
      <c r="A559">
        <v>285</v>
      </c>
      <c r="B559">
        <v>395</v>
      </c>
      <c r="C559" s="3">
        <v>44602</v>
      </c>
      <c r="D559" s="3">
        <v>44625</v>
      </c>
      <c r="E559">
        <v>7</v>
      </c>
    </row>
    <row r="560" spans="1:5" x14ac:dyDescent="0.25">
      <c r="A560">
        <v>332</v>
      </c>
      <c r="B560">
        <v>769</v>
      </c>
      <c r="C560" s="3">
        <v>44602</v>
      </c>
      <c r="D560" s="3">
        <v>44641</v>
      </c>
      <c r="E560">
        <v>3</v>
      </c>
    </row>
    <row r="561" spans="1:5" x14ac:dyDescent="0.25">
      <c r="A561">
        <v>496</v>
      </c>
      <c r="B561">
        <v>668</v>
      </c>
      <c r="C561" s="3">
        <v>44602</v>
      </c>
      <c r="D561" s="3">
        <v>44624</v>
      </c>
      <c r="E561">
        <v>8</v>
      </c>
    </row>
    <row r="562" spans="1:5" x14ac:dyDescent="0.25">
      <c r="A562">
        <v>496</v>
      </c>
      <c r="B562">
        <v>692</v>
      </c>
      <c r="C562" s="3">
        <v>44602</v>
      </c>
      <c r="D562" s="3">
        <v>44622</v>
      </c>
      <c r="E562">
        <v>2</v>
      </c>
    </row>
    <row r="563" spans="1:5" x14ac:dyDescent="0.25">
      <c r="A563">
        <v>501</v>
      </c>
      <c r="B563">
        <v>563</v>
      </c>
      <c r="C563" s="3">
        <v>44602</v>
      </c>
      <c r="D563" s="3">
        <v>44624</v>
      </c>
      <c r="E563">
        <v>7</v>
      </c>
    </row>
    <row r="564" spans="1:5" x14ac:dyDescent="0.25">
      <c r="A564">
        <v>570</v>
      </c>
      <c r="B564">
        <v>395</v>
      </c>
      <c r="C564" s="3">
        <v>44602</v>
      </c>
      <c r="D564" s="3">
        <v>44627</v>
      </c>
      <c r="E564">
        <v>9</v>
      </c>
    </row>
    <row r="565" spans="1:5" x14ac:dyDescent="0.25">
      <c r="A565">
        <v>580</v>
      </c>
      <c r="B565">
        <v>358</v>
      </c>
      <c r="C565" s="3">
        <v>44602</v>
      </c>
      <c r="D565" s="3">
        <v>44643</v>
      </c>
      <c r="E565">
        <v>2</v>
      </c>
    </row>
    <row r="566" spans="1:5" x14ac:dyDescent="0.25">
      <c r="A566">
        <v>784</v>
      </c>
      <c r="B566">
        <v>685</v>
      </c>
      <c r="C566" s="3">
        <v>44602</v>
      </c>
      <c r="D566" s="3">
        <v>44611</v>
      </c>
      <c r="E566">
        <v>3</v>
      </c>
    </row>
    <row r="567" spans="1:5" x14ac:dyDescent="0.25">
      <c r="A567">
        <v>884</v>
      </c>
      <c r="B567">
        <v>395</v>
      </c>
      <c r="C567" s="3">
        <v>44602</v>
      </c>
      <c r="D567" s="3">
        <v>44635</v>
      </c>
      <c r="E567">
        <v>2</v>
      </c>
    </row>
    <row r="568" spans="1:5" x14ac:dyDescent="0.25">
      <c r="A568">
        <v>923</v>
      </c>
      <c r="B568">
        <v>398</v>
      </c>
      <c r="C568" s="3">
        <v>44602</v>
      </c>
      <c r="D568" s="3">
        <v>44640</v>
      </c>
      <c r="E568">
        <v>7</v>
      </c>
    </row>
    <row r="569" spans="1:5" x14ac:dyDescent="0.25">
      <c r="A569">
        <v>983</v>
      </c>
      <c r="B569">
        <v>563</v>
      </c>
      <c r="C569" s="3">
        <v>44602</v>
      </c>
      <c r="D569" s="3">
        <v>44605</v>
      </c>
      <c r="E569">
        <v>10</v>
      </c>
    </row>
    <row r="570" spans="1:5" x14ac:dyDescent="0.25">
      <c r="A570">
        <v>112</v>
      </c>
      <c r="B570">
        <v>541</v>
      </c>
      <c r="C570" s="3">
        <v>44603</v>
      </c>
      <c r="D570" s="3">
        <v>44619</v>
      </c>
      <c r="E570">
        <v>9</v>
      </c>
    </row>
    <row r="571" spans="1:5" x14ac:dyDescent="0.25">
      <c r="A571">
        <v>146</v>
      </c>
      <c r="B571">
        <v>652</v>
      </c>
      <c r="C571" s="3">
        <v>44603</v>
      </c>
      <c r="D571" s="3">
        <v>44619</v>
      </c>
      <c r="E571">
        <v>6</v>
      </c>
    </row>
    <row r="572" spans="1:5" x14ac:dyDescent="0.25">
      <c r="A572">
        <v>249</v>
      </c>
      <c r="B572">
        <v>696</v>
      </c>
      <c r="C572" s="3">
        <v>44603</v>
      </c>
      <c r="D572" s="3">
        <v>44628</v>
      </c>
      <c r="E572">
        <v>5</v>
      </c>
    </row>
    <row r="573" spans="1:5" x14ac:dyDescent="0.25">
      <c r="A573">
        <v>370</v>
      </c>
      <c r="B573">
        <v>689</v>
      </c>
      <c r="C573" s="3">
        <v>44603</v>
      </c>
      <c r="D573" s="3">
        <v>44641</v>
      </c>
      <c r="E573">
        <v>5</v>
      </c>
    </row>
    <row r="574" spans="1:5" x14ac:dyDescent="0.25">
      <c r="A574">
        <v>412</v>
      </c>
      <c r="B574">
        <v>453</v>
      </c>
      <c r="C574" s="3">
        <v>44603</v>
      </c>
      <c r="D574" s="3">
        <v>44633</v>
      </c>
      <c r="E574">
        <v>9</v>
      </c>
    </row>
    <row r="575" spans="1:5" x14ac:dyDescent="0.25">
      <c r="A575">
        <v>489</v>
      </c>
      <c r="B575">
        <v>213</v>
      </c>
      <c r="C575" s="3">
        <v>44603</v>
      </c>
      <c r="D575" s="3">
        <v>44620</v>
      </c>
      <c r="E575">
        <v>1</v>
      </c>
    </row>
    <row r="576" spans="1:5" x14ac:dyDescent="0.25">
      <c r="A576">
        <v>500</v>
      </c>
      <c r="B576">
        <v>213</v>
      </c>
      <c r="C576" s="3">
        <v>44603</v>
      </c>
      <c r="D576" s="3">
        <v>44639</v>
      </c>
      <c r="E576">
        <v>7</v>
      </c>
    </row>
    <row r="577" spans="1:5" x14ac:dyDescent="0.25">
      <c r="A577">
        <v>526</v>
      </c>
      <c r="B577">
        <v>698</v>
      </c>
      <c r="C577" s="3">
        <v>44603</v>
      </c>
      <c r="D577" s="3">
        <v>44641</v>
      </c>
      <c r="E577">
        <v>5</v>
      </c>
    </row>
    <row r="578" spans="1:5" x14ac:dyDescent="0.25">
      <c r="A578">
        <v>540</v>
      </c>
      <c r="B578">
        <v>585</v>
      </c>
      <c r="C578" s="3">
        <v>44603</v>
      </c>
      <c r="D578" s="3">
        <v>44634</v>
      </c>
      <c r="E578">
        <v>4</v>
      </c>
    </row>
    <row r="579" spans="1:5" x14ac:dyDescent="0.25">
      <c r="A579">
        <v>585</v>
      </c>
      <c r="B579">
        <v>620</v>
      </c>
      <c r="C579" s="3">
        <v>44603</v>
      </c>
      <c r="D579" s="3">
        <v>44635</v>
      </c>
      <c r="E579">
        <v>10</v>
      </c>
    </row>
    <row r="580" spans="1:5" x14ac:dyDescent="0.25">
      <c r="A580">
        <v>594</v>
      </c>
      <c r="B580">
        <v>757</v>
      </c>
      <c r="C580" s="3">
        <v>44603</v>
      </c>
      <c r="D580" s="3">
        <v>44624</v>
      </c>
      <c r="E580">
        <v>3</v>
      </c>
    </row>
    <row r="581" spans="1:5" x14ac:dyDescent="0.25">
      <c r="A581">
        <v>827</v>
      </c>
      <c r="B581">
        <v>164</v>
      </c>
      <c r="C581" s="3">
        <v>44603</v>
      </c>
      <c r="D581" s="3">
        <v>44616</v>
      </c>
      <c r="E581">
        <v>7</v>
      </c>
    </row>
    <row r="582" spans="1:5" x14ac:dyDescent="0.25">
      <c r="A582">
        <v>989</v>
      </c>
      <c r="B582">
        <v>685</v>
      </c>
      <c r="C582" s="3">
        <v>44603</v>
      </c>
      <c r="D582" s="3">
        <v>44639</v>
      </c>
      <c r="E582">
        <v>9</v>
      </c>
    </row>
    <row r="583" spans="1:5" x14ac:dyDescent="0.25">
      <c r="A583">
        <v>142</v>
      </c>
      <c r="B583">
        <v>594</v>
      </c>
      <c r="C583" s="3">
        <v>44604</v>
      </c>
      <c r="D583" s="3">
        <v>44619</v>
      </c>
      <c r="E583">
        <v>9</v>
      </c>
    </row>
    <row r="584" spans="1:5" x14ac:dyDescent="0.25">
      <c r="A584">
        <v>249</v>
      </c>
      <c r="B584">
        <v>689</v>
      </c>
      <c r="C584" s="3">
        <v>44604</v>
      </c>
      <c r="D584" s="3">
        <v>44608</v>
      </c>
      <c r="E584">
        <v>7</v>
      </c>
    </row>
    <row r="585" spans="1:5" x14ac:dyDescent="0.25">
      <c r="A585">
        <v>296</v>
      </c>
      <c r="B585">
        <v>692</v>
      </c>
      <c r="C585" s="3">
        <v>44604</v>
      </c>
      <c r="D585" s="3">
        <v>44645</v>
      </c>
      <c r="E585">
        <v>10</v>
      </c>
    </row>
    <row r="586" spans="1:5" x14ac:dyDescent="0.25">
      <c r="A586">
        <v>364</v>
      </c>
      <c r="B586">
        <v>699</v>
      </c>
      <c r="C586" s="3">
        <v>44604</v>
      </c>
      <c r="D586" s="3">
        <v>44632</v>
      </c>
      <c r="E586">
        <v>5</v>
      </c>
    </row>
    <row r="587" spans="1:5" x14ac:dyDescent="0.25">
      <c r="A587">
        <v>489</v>
      </c>
      <c r="B587">
        <v>853</v>
      </c>
      <c r="C587" s="3">
        <v>44604</v>
      </c>
      <c r="D587" s="3">
        <v>44642</v>
      </c>
      <c r="E587">
        <v>4</v>
      </c>
    </row>
    <row r="588" spans="1:5" x14ac:dyDescent="0.25">
      <c r="A588">
        <v>496</v>
      </c>
      <c r="B588">
        <v>395</v>
      </c>
      <c r="C588" s="3">
        <v>44604</v>
      </c>
      <c r="D588" s="3">
        <v>44635</v>
      </c>
      <c r="E588">
        <v>7</v>
      </c>
    </row>
    <row r="589" spans="1:5" x14ac:dyDescent="0.25">
      <c r="A589">
        <v>501</v>
      </c>
      <c r="B589">
        <v>759</v>
      </c>
      <c r="C589" s="3">
        <v>44604</v>
      </c>
      <c r="D589" s="3">
        <v>44620</v>
      </c>
      <c r="E589">
        <v>8</v>
      </c>
    </row>
    <row r="590" spans="1:5" x14ac:dyDescent="0.25">
      <c r="A590">
        <v>531</v>
      </c>
      <c r="B590">
        <v>752</v>
      </c>
      <c r="C590" s="3">
        <v>44604</v>
      </c>
      <c r="D590" s="3">
        <v>44633</v>
      </c>
      <c r="E590">
        <v>1</v>
      </c>
    </row>
    <row r="591" spans="1:5" x14ac:dyDescent="0.25">
      <c r="A591">
        <v>573</v>
      </c>
      <c r="B591">
        <v>849</v>
      </c>
      <c r="C591" s="3">
        <v>44604</v>
      </c>
      <c r="D591" s="3">
        <v>44612</v>
      </c>
      <c r="E591">
        <v>4</v>
      </c>
    </row>
    <row r="592" spans="1:5" x14ac:dyDescent="0.25">
      <c r="A592">
        <v>580</v>
      </c>
      <c r="B592">
        <v>652</v>
      </c>
      <c r="C592" s="3">
        <v>44604</v>
      </c>
      <c r="D592" s="3">
        <v>44623</v>
      </c>
      <c r="E592">
        <v>8</v>
      </c>
    </row>
    <row r="593" spans="1:5" x14ac:dyDescent="0.25">
      <c r="A593">
        <v>747</v>
      </c>
      <c r="B593">
        <v>711</v>
      </c>
      <c r="C593" s="3">
        <v>44604</v>
      </c>
      <c r="D593" s="3">
        <v>44636</v>
      </c>
      <c r="E593">
        <v>1</v>
      </c>
    </row>
    <row r="594" spans="1:5" x14ac:dyDescent="0.25">
      <c r="A594">
        <v>758</v>
      </c>
      <c r="B594">
        <v>464</v>
      </c>
      <c r="C594" s="3">
        <v>44604</v>
      </c>
      <c r="D594" s="3">
        <v>44619</v>
      </c>
      <c r="E594">
        <v>7</v>
      </c>
    </row>
    <row r="595" spans="1:5" x14ac:dyDescent="0.25">
      <c r="A595">
        <v>823</v>
      </c>
      <c r="B595">
        <v>259</v>
      </c>
      <c r="C595" s="3">
        <v>44604</v>
      </c>
      <c r="D595" s="3">
        <v>44620</v>
      </c>
      <c r="E595">
        <v>3</v>
      </c>
    </row>
    <row r="596" spans="1:5" x14ac:dyDescent="0.25">
      <c r="A596">
        <v>55</v>
      </c>
      <c r="B596">
        <v>543</v>
      </c>
      <c r="C596" s="3">
        <v>44605</v>
      </c>
      <c r="D596" s="3">
        <v>44613</v>
      </c>
      <c r="E596">
        <v>10</v>
      </c>
    </row>
    <row r="597" spans="1:5" x14ac:dyDescent="0.25">
      <c r="A597">
        <v>81</v>
      </c>
      <c r="B597">
        <v>667</v>
      </c>
      <c r="C597" s="3">
        <v>44605</v>
      </c>
      <c r="D597" s="3">
        <v>44608</v>
      </c>
      <c r="E597">
        <v>8</v>
      </c>
    </row>
    <row r="598" spans="1:5" x14ac:dyDescent="0.25">
      <c r="A598">
        <v>139</v>
      </c>
      <c r="B598">
        <v>667</v>
      </c>
      <c r="C598" s="3">
        <v>44605</v>
      </c>
      <c r="D598" s="3">
        <v>44608</v>
      </c>
      <c r="E598">
        <v>4</v>
      </c>
    </row>
    <row r="599" spans="1:5" x14ac:dyDescent="0.25">
      <c r="A599">
        <v>226</v>
      </c>
      <c r="B599">
        <v>696</v>
      </c>
      <c r="C599" s="3">
        <v>44605</v>
      </c>
      <c r="D599" s="3">
        <v>44616</v>
      </c>
      <c r="E599">
        <v>10</v>
      </c>
    </row>
    <row r="600" spans="1:5" x14ac:dyDescent="0.25">
      <c r="A600">
        <v>328</v>
      </c>
      <c r="B600">
        <v>849</v>
      </c>
      <c r="C600" s="3">
        <v>44605</v>
      </c>
      <c r="D600" s="3">
        <v>44631</v>
      </c>
      <c r="E600">
        <v>6</v>
      </c>
    </row>
    <row r="601" spans="1:5" x14ac:dyDescent="0.25">
      <c r="A601">
        <v>331</v>
      </c>
      <c r="B601">
        <v>707</v>
      </c>
      <c r="C601" s="3">
        <v>44605</v>
      </c>
      <c r="D601" s="3">
        <v>44631</v>
      </c>
      <c r="E601">
        <v>10</v>
      </c>
    </row>
    <row r="602" spans="1:5" x14ac:dyDescent="0.25">
      <c r="A602">
        <v>338</v>
      </c>
      <c r="B602">
        <v>418</v>
      </c>
      <c r="C602" s="3">
        <v>44605</v>
      </c>
      <c r="D602" s="3">
        <v>44625</v>
      </c>
      <c r="E602">
        <v>6</v>
      </c>
    </row>
    <row r="603" spans="1:5" x14ac:dyDescent="0.25">
      <c r="A603">
        <v>544</v>
      </c>
      <c r="B603">
        <v>330</v>
      </c>
      <c r="C603" s="3">
        <v>44605</v>
      </c>
      <c r="D603" s="3">
        <v>44618</v>
      </c>
      <c r="E603">
        <v>1</v>
      </c>
    </row>
    <row r="604" spans="1:5" x14ac:dyDescent="0.25">
      <c r="A604">
        <v>634</v>
      </c>
      <c r="B604">
        <v>862</v>
      </c>
      <c r="C604" s="3">
        <v>44605</v>
      </c>
      <c r="D604" s="3">
        <v>44635</v>
      </c>
      <c r="E604">
        <v>7</v>
      </c>
    </row>
    <row r="605" spans="1:5" x14ac:dyDescent="0.25">
      <c r="A605">
        <v>669</v>
      </c>
      <c r="B605">
        <v>376</v>
      </c>
      <c r="C605" s="3">
        <v>44605</v>
      </c>
      <c r="D605" s="3">
        <v>44613</v>
      </c>
      <c r="E605">
        <v>7</v>
      </c>
    </row>
    <row r="606" spans="1:5" x14ac:dyDescent="0.25">
      <c r="A606">
        <v>669</v>
      </c>
      <c r="B606">
        <v>698</v>
      </c>
      <c r="C606" s="3">
        <v>44605</v>
      </c>
      <c r="D606" s="3">
        <v>44620</v>
      </c>
      <c r="E606">
        <v>6</v>
      </c>
    </row>
    <row r="607" spans="1:5" x14ac:dyDescent="0.25">
      <c r="A607">
        <v>771</v>
      </c>
      <c r="B607">
        <v>358</v>
      </c>
      <c r="C607" s="3">
        <v>44605</v>
      </c>
      <c r="D607" s="3">
        <v>44619</v>
      </c>
      <c r="E607">
        <v>10</v>
      </c>
    </row>
    <row r="608" spans="1:5" x14ac:dyDescent="0.25">
      <c r="A608">
        <v>823</v>
      </c>
      <c r="B608">
        <v>817</v>
      </c>
      <c r="C608" s="3">
        <v>44605</v>
      </c>
      <c r="D608" s="3">
        <v>44635</v>
      </c>
      <c r="E608">
        <v>3</v>
      </c>
    </row>
    <row r="609" spans="1:5" x14ac:dyDescent="0.25">
      <c r="A609">
        <v>42</v>
      </c>
      <c r="B609">
        <v>330</v>
      </c>
      <c r="C609" s="3">
        <v>44606</v>
      </c>
      <c r="D609" s="3">
        <v>44646</v>
      </c>
      <c r="E609">
        <v>5</v>
      </c>
    </row>
    <row r="610" spans="1:5" x14ac:dyDescent="0.25">
      <c r="A610">
        <v>46</v>
      </c>
      <c r="B610">
        <v>710</v>
      </c>
      <c r="C610" s="3">
        <v>44606</v>
      </c>
      <c r="D610" s="3">
        <v>44622</v>
      </c>
      <c r="E610">
        <v>2</v>
      </c>
    </row>
    <row r="611" spans="1:5" x14ac:dyDescent="0.25">
      <c r="A611">
        <v>296</v>
      </c>
      <c r="B611">
        <v>543</v>
      </c>
      <c r="C611" s="3">
        <v>44606</v>
      </c>
      <c r="D611" s="3">
        <v>44624</v>
      </c>
      <c r="E611">
        <v>5</v>
      </c>
    </row>
    <row r="612" spans="1:5" x14ac:dyDescent="0.25">
      <c r="A612">
        <v>329</v>
      </c>
      <c r="B612">
        <v>826</v>
      </c>
      <c r="C612" s="3">
        <v>44606</v>
      </c>
      <c r="D612" s="3">
        <v>44612</v>
      </c>
      <c r="E612">
        <v>1</v>
      </c>
    </row>
    <row r="613" spans="1:5" x14ac:dyDescent="0.25">
      <c r="A613">
        <v>332</v>
      </c>
      <c r="B613">
        <v>607</v>
      </c>
      <c r="C613" s="3">
        <v>44606</v>
      </c>
      <c r="D613" s="3">
        <v>44638</v>
      </c>
      <c r="E613">
        <v>10</v>
      </c>
    </row>
    <row r="614" spans="1:5" x14ac:dyDescent="0.25">
      <c r="A614">
        <v>334</v>
      </c>
      <c r="B614">
        <v>418</v>
      </c>
      <c r="C614" s="3">
        <v>44606</v>
      </c>
      <c r="D614" s="3">
        <v>44635</v>
      </c>
      <c r="E614">
        <v>6</v>
      </c>
    </row>
    <row r="615" spans="1:5" x14ac:dyDescent="0.25">
      <c r="A615">
        <v>448</v>
      </c>
      <c r="B615">
        <v>843</v>
      </c>
      <c r="C615" s="3">
        <v>44606</v>
      </c>
      <c r="D615" s="3">
        <v>44623</v>
      </c>
      <c r="E615">
        <v>5</v>
      </c>
    </row>
    <row r="616" spans="1:5" x14ac:dyDescent="0.25">
      <c r="A616">
        <v>489</v>
      </c>
      <c r="B616">
        <v>757</v>
      </c>
      <c r="C616" s="3">
        <v>44606</v>
      </c>
      <c r="D616" s="3">
        <v>44613</v>
      </c>
      <c r="E616">
        <v>10</v>
      </c>
    </row>
    <row r="617" spans="1:5" x14ac:dyDescent="0.25">
      <c r="A617">
        <v>496</v>
      </c>
      <c r="B617">
        <v>668</v>
      </c>
      <c r="C617" s="3">
        <v>44606</v>
      </c>
      <c r="D617" s="3">
        <v>44622</v>
      </c>
      <c r="E617">
        <v>8</v>
      </c>
    </row>
    <row r="618" spans="1:5" x14ac:dyDescent="0.25">
      <c r="A618">
        <v>568</v>
      </c>
      <c r="B618">
        <v>259</v>
      </c>
      <c r="C618" s="3">
        <v>44606</v>
      </c>
      <c r="D618" s="3">
        <v>44617</v>
      </c>
      <c r="E618">
        <v>8</v>
      </c>
    </row>
    <row r="619" spans="1:5" x14ac:dyDescent="0.25">
      <c r="A619">
        <v>730</v>
      </c>
      <c r="B619">
        <v>758</v>
      </c>
      <c r="C619" s="3">
        <v>44606</v>
      </c>
      <c r="D619" s="3">
        <v>44625</v>
      </c>
      <c r="E619">
        <v>7</v>
      </c>
    </row>
    <row r="620" spans="1:5" x14ac:dyDescent="0.25">
      <c r="A620">
        <v>841</v>
      </c>
      <c r="B620">
        <v>164</v>
      </c>
      <c r="C620" s="3">
        <v>44606</v>
      </c>
      <c r="D620" s="3">
        <v>44623</v>
      </c>
      <c r="E620">
        <v>5</v>
      </c>
    </row>
    <row r="621" spans="1:5" x14ac:dyDescent="0.25">
      <c r="A621">
        <v>923</v>
      </c>
      <c r="B621">
        <v>213</v>
      </c>
      <c r="C621" s="3">
        <v>44606</v>
      </c>
      <c r="D621" s="3">
        <v>44642</v>
      </c>
      <c r="E621">
        <v>1</v>
      </c>
    </row>
    <row r="622" spans="1:5" x14ac:dyDescent="0.25">
      <c r="A622">
        <v>224</v>
      </c>
      <c r="B622">
        <v>196</v>
      </c>
      <c r="C622" s="3">
        <v>44607</v>
      </c>
      <c r="D622" s="3">
        <v>44630</v>
      </c>
      <c r="E622">
        <v>8</v>
      </c>
    </row>
    <row r="623" spans="1:5" x14ac:dyDescent="0.25">
      <c r="A623">
        <v>226</v>
      </c>
      <c r="B623">
        <v>762</v>
      </c>
      <c r="C623" s="3">
        <v>44607</v>
      </c>
      <c r="D623" s="3">
        <v>44643</v>
      </c>
      <c r="E623">
        <v>5</v>
      </c>
    </row>
    <row r="624" spans="1:5" x14ac:dyDescent="0.25">
      <c r="A624">
        <v>308</v>
      </c>
      <c r="B624">
        <v>867</v>
      </c>
      <c r="C624" s="3">
        <v>44607</v>
      </c>
      <c r="D624" s="3">
        <v>44623</v>
      </c>
      <c r="E624">
        <v>6</v>
      </c>
    </row>
    <row r="625" spans="1:5" x14ac:dyDescent="0.25">
      <c r="A625">
        <v>312</v>
      </c>
      <c r="B625">
        <v>213</v>
      </c>
      <c r="C625" s="3">
        <v>44607</v>
      </c>
      <c r="D625" s="3">
        <v>44632</v>
      </c>
      <c r="E625">
        <v>9</v>
      </c>
    </row>
    <row r="626" spans="1:5" x14ac:dyDescent="0.25">
      <c r="A626">
        <v>312</v>
      </c>
      <c r="B626">
        <v>580</v>
      </c>
      <c r="C626" s="3">
        <v>44607</v>
      </c>
      <c r="D626" s="3">
        <v>44643</v>
      </c>
      <c r="E626">
        <v>2</v>
      </c>
    </row>
    <row r="627" spans="1:5" x14ac:dyDescent="0.25">
      <c r="A627">
        <v>360</v>
      </c>
      <c r="B627">
        <v>710</v>
      </c>
      <c r="C627" s="3">
        <v>44607</v>
      </c>
      <c r="D627" s="3">
        <v>44616</v>
      </c>
      <c r="E627">
        <v>3</v>
      </c>
    </row>
    <row r="628" spans="1:5" x14ac:dyDescent="0.25">
      <c r="A628">
        <v>362</v>
      </c>
      <c r="B628">
        <v>704</v>
      </c>
      <c r="C628" s="3">
        <v>44607</v>
      </c>
      <c r="D628" s="3">
        <v>44621</v>
      </c>
      <c r="E628">
        <v>9</v>
      </c>
    </row>
    <row r="629" spans="1:5" x14ac:dyDescent="0.25">
      <c r="A629">
        <v>412</v>
      </c>
      <c r="B629">
        <v>813</v>
      </c>
      <c r="C629" s="3">
        <v>44607</v>
      </c>
      <c r="D629" s="3">
        <v>44610</v>
      </c>
      <c r="E629">
        <v>9</v>
      </c>
    </row>
    <row r="630" spans="1:5" x14ac:dyDescent="0.25">
      <c r="A630">
        <v>468</v>
      </c>
      <c r="B630">
        <v>673</v>
      </c>
      <c r="C630" s="3">
        <v>44607</v>
      </c>
      <c r="D630" s="3">
        <v>44639</v>
      </c>
      <c r="E630">
        <v>2</v>
      </c>
    </row>
    <row r="631" spans="1:5" x14ac:dyDescent="0.25">
      <c r="A631">
        <v>468</v>
      </c>
      <c r="B631">
        <v>834</v>
      </c>
      <c r="C631" s="3">
        <v>44607</v>
      </c>
      <c r="D631" s="3">
        <v>44639</v>
      </c>
      <c r="E631">
        <v>4</v>
      </c>
    </row>
    <row r="632" spans="1:5" x14ac:dyDescent="0.25">
      <c r="A632">
        <v>538</v>
      </c>
      <c r="B632">
        <v>164</v>
      </c>
      <c r="C632" s="3">
        <v>44607</v>
      </c>
      <c r="D632" s="3">
        <v>44647</v>
      </c>
      <c r="E632">
        <v>10</v>
      </c>
    </row>
    <row r="633" spans="1:5" x14ac:dyDescent="0.25">
      <c r="A633">
        <v>538</v>
      </c>
      <c r="B633">
        <v>782</v>
      </c>
      <c r="C633" s="3">
        <v>44607</v>
      </c>
      <c r="D633" s="3">
        <v>44635</v>
      </c>
      <c r="E633">
        <v>7</v>
      </c>
    </row>
    <row r="634" spans="1:5" x14ac:dyDescent="0.25">
      <c r="A634">
        <v>561</v>
      </c>
      <c r="B634">
        <v>563</v>
      </c>
      <c r="C634" s="3">
        <v>44607</v>
      </c>
      <c r="D634" s="3">
        <v>44625</v>
      </c>
      <c r="E634">
        <v>3</v>
      </c>
    </row>
    <row r="635" spans="1:5" x14ac:dyDescent="0.25">
      <c r="A635">
        <v>580</v>
      </c>
      <c r="B635">
        <v>374</v>
      </c>
      <c r="C635" s="3">
        <v>44607</v>
      </c>
      <c r="D635" s="3">
        <v>44622</v>
      </c>
      <c r="E635">
        <v>7</v>
      </c>
    </row>
    <row r="636" spans="1:5" x14ac:dyDescent="0.25">
      <c r="A636">
        <v>580</v>
      </c>
      <c r="B636">
        <v>689</v>
      </c>
      <c r="C636" s="3">
        <v>44607</v>
      </c>
      <c r="D636" s="3">
        <v>44632</v>
      </c>
      <c r="E636">
        <v>7</v>
      </c>
    </row>
    <row r="637" spans="1:5" x14ac:dyDescent="0.25">
      <c r="A637">
        <v>611</v>
      </c>
      <c r="B637">
        <v>778</v>
      </c>
      <c r="C637" s="3">
        <v>44607</v>
      </c>
      <c r="D637" s="3">
        <v>44612</v>
      </c>
      <c r="E637">
        <v>4</v>
      </c>
    </row>
    <row r="638" spans="1:5" x14ac:dyDescent="0.25">
      <c r="A638">
        <v>643</v>
      </c>
      <c r="B638">
        <v>453</v>
      </c>
      <c r="C638" s="3">
        <v>44607</v>
      </c>
      <c r="D638" s="3">
        <v>44610</v>
      </c>
      <c r="E638">
        <v>1</v>
      </c>
    </row>
    <row r="639" spans="1:5" x14ac:dyDescent="0.25">
      <c r="A639">
        <v>669</v>
      </c>
      <c r="B639">
        <v>757</v>
      </c>
      <c r="C639" s="3">
        <v>44607</v>
      </c>
      <c r="D639" s="3">
        <v>44617</v>
      </c>
      <c r="E639">
        <v>6</v>
      </c>
    </row>
    <row r="640" spans="1:5" x14ac:dyDescent="0.25">
      <c r="A640">
        <v>989</v>
      </c>
      <c r="B640">
        <v>563</v>
      </c>
      <c r="C640" s="3">
        <v>44607</v>
      </c>
      <c r="D640" s="3">
        <v>44614</v>
      </c>
      <c r="E640">
        <v>10</v>
      </c>
    </row>
    <row r="641" spans="1:5" x14ac:dyDescent="0.25">
      <c r="A641">
        <v>224</v>
      </c>
      <c r="B641">
        <v>685</v>
      </c>
      <c r="C641" s="3">
        <v>44608</v>
      </c>
      <c r="D641" s="3">
        <v>44643</v>
      </c>
      <c r="E641">
        <v>6</v>
      </c>
    </row>
    <row r="642" spans="1:5" x14ac:dyDescent="0.25">
      <c r="A642">
        <v>296</v>
      </c>
      <c r="B642">
        <v>671</v>
      </c>
      <c r="C642" s="3">
        <v>44608</v>
      </c>
      <c r="D642" s="3">
        <v>44624</v>
      </c>
      <c r="E642">
        <v>3</v>
      </c>
    </row>
    <row r="643" spans="1:5" x14ac:dyDescent="0.25">
      <c r="A643">
        <v>302</v>
      </c>
      <c r="B643">
        <v>219</v>
      </c>
      <c r="C643" s="3">
        <v>44608</v>
      </c>
      <c r="D643" s="3">
        <v>44615</v>
      </c>
      <c r="E643">
        <v>8</v>
      </c>
    </row>
    <row r="644" spans="1:5" x14ac:dyDescent="0.25">
      <c r="A644">
        <v>328</v>
      </c>
      <c r="B644">
        <v>330</v>
      </c>
      <c r="C644" s="3">
        <v>44608</v>
      </c>
      <c r="D644" s="3">
        <v>44615</v>
      </c>
      <c r="E644">
        <v>5</v>
      </c>
    </row>
    <row r="645" spans="1:5" x14ac:dyDescent="0.25">
      <c r="A645">
        <v>333</v>
      </c>
      <c r="B645">
        <v>862</v>
      </c>
      <c r="C645" s="3">
        <v>44608</v>
      </c>
      <c r="D645" s="3">
        <v>44628</v>
      </c>
      <c r="E645">
        <v>1</v>
      </c>
    </row>
    <row r="646" spans="1:5" x14ac:dyDescent="0.25">
      <c r="A646">
        <v>338</v>
      </c>
      <c r="B646">
        <v>620</v>
      </c>
      <c r="C646" s="3">
        <v>44608</v>
      </c>
      <c r="D646" s="3">
        <v>44629</v>
      </c>
      <c r="E646">
        <v>10</v>
      </c>
    </row>
    <row r="647" spans="1:5" x14ac:dyDescent="0.25">
      <c r="A647">
        <v>526</v>
      </c>
      <c r="B647">
        <v>316</v>
      </c>
      <c r="C647" s="3">
        <v>44608</v>
      </c>
      <c r="D647" s="3">
        <v>44640</v>
      </c>
      <c r="E647">
        <v>8</v>
      </c>
    </row>
    <row r="648" spans="1:5" x14ac:dyDescent="0.25">
      <c r="A648">
        <v>538</v>
      </c>
      <c r="B648">
        <v>694</v>
      </c>
      <c r="C648" s="3">
        <v>44608</v>
      </c>
      <c r="D648" s="3">
        <v>44620</v>
      </c>
      <c r="E648">
        <v>2</v>
      </c>
    </row>
    <row r="649" spans="1:5" x14ac:dyDescent="0.25">
      <c r="A649">
        <v>586</v>
      </c>
      <c r="B649">
        <v>667</v>
      </c>
      <c r="C649" s="3">
        <v>44608</v>
      </c>
      <c r="D649" s="3">
        <v>44642</v>
      </c>
      <c r="E649">
        <v>5</v>
      </c>
    </row>
    <row r="650" spans="1:5" x14ac:dyDescent="0.25">
      <c r="A650">
        <v>600</v>
      </c>
      <c r="B650">
        <v>652</v>
      </c>
      <c r="C650" s="3">
        <v>44608</v>
      </c>
      <c r="D650" s="3">
        <v>44633</v>
      </c>
      <c r="E650">
        <v>8</v>
      </c>
    </row>
    <row r="651" spans="1:5" x14ac:dyDescent="0.25">
      <c r="A651">
        <v>602</v>
      </c>
      <c r="B651">
        <v>757</v>
      </c>
      <c r="C651" s="3">
        <v>44608</v>
      </c>
      <c r="D651" s="3">
        <v>44648</v>
      </c>
      <c r="E651">
        <v>10</v>
      </c>
    </row>
    <row r="652" spans="1:5" x14ac:dyDescent="0.25">
      <c r="A652">
        <v>634</v>
      </c>
      <c r="B652">
        <v>689</v>
      </c>
      <c r="C652" s="3">
        <v>44608</v>
      </c>
      <c r="D652" s="3">
        <v>44649</v>
      </c>
      <c r="E652">
        <v>2</v>
      </c>
    </row>
    <row r="653" spans="1:5" x14ac:dyDescent="0.25">
      <c r="A653">
        <v>983</v>
      </c>
      <c r="B653">
        <v>373</v>
      </c>
      <c r="C653" s="3">
        <v>44608</v>
      </c>
      <c r="D653" s="3">
        <v>44629</v>
      </c>
      <c r="E653">
        <v>5</v>
      </c>
    </row>
    <row r="654" spans="1:5" x14ac:dyDescent="0.25">
      <c r="A654">
        <v>282</v>
      </c>
      <c r="B654">
        <v>699</v>
      </c>
      <c r="C654" s="3">
        <v>44609</v>
      </c>
      <c r="D654" s="3">
        <v>44611</v>
      </c>
      <c r="E654">
        <v>9</v>
      </c>
    </row>
    <row r="655" spans="1:5" x14ac:dyDescent="0.25">
      <c r="A655">
        <v>285</v>
      </c>
      <c r="B655">
        <v>585</v>
      </c>
      <c r="C655" s="3">
        <v>44609</v>
      </c>
      <c r="D655" s="3">
        <v>44644</v>
      </c>
      <c r="E655">
        <v>6</v>
      </c>
    </row>
    <row r="656" spans="1:5" x14ac:dyDescent="0.25">
      <c r="A656">
        <v>285</v>
      </c>
      <c r="B656">
        <v>701</v>
      </c>
      <c r="C656" s="3">
        <v>44609</v>
      </c>
      <c r="D656" s="3">
        <v>44629</v>
      </c>
      <c r="E656">
        <v>2</v>
      </c>
    </row>
    <row r="657" spans="1:5" x14ac:dyDescent="0.25">
      <c r="A657">
        <v>285</v>
      </c>
      <c r="B657">
        <v>740</v>
      </c>
      <c r="C657" s="3">
        <v>44609</v>
      </c>
      <c r="D657" s="3">
        <v>44650</v>
      </c>
      <c r="E657">
        <v>10</v>
      </c>
    </row>
    <row r="658" spans="1:5" x14ac:dyDescent="0.25">
      <c r="A658">
        <v>333</v>
      </c>
      <c r="B658">
        <v>867</v>
      </c>
      <c r="C658" s="3">
        <v>44609</v>
      </c>
      <c r="D658" s="3">
        <v>44631</v>
      </c>
      <c r="E658">
        <v>9</v>
      </c>
    </row>
    <row r="659" spans="1:5" x14ac:dyDescent="0.25">
      <c r="A659">
        <v>416</v>
      </c>
      <c r="B659">
        <v>834</v>
      </c>
      <c r="C659" s="3">
        <v>44609</v>
      </c>
      <c r="D659" s="3">
        <v>44643</v>
      </c>
      <c r="E659">
        <v>7</v>
      </c>
    </row>
    <row r="660" spans="1:5" x14ac:dyDescent="0.25">
      <c r="A660">
        <v>491</v>
      </c>
      <c r="B660">
        <v>725</v>
      </c>
      <c r="C660" s="3">
        <v>44609</v>
      </c>
      <c r="D660" s="3">
        <v>44615</v>
      </c>
      <c r="E660">
        <v>10</v>
      </c>
    </row>
    <row r="661" spans="1:5" x14ac:dyDescent="0.25">
      <c r="A661">
        <v>531</v>
      </c>
      <c r="B661">
        <v>395</v>
      </c>
      <c r="C661" s="3">
        <v>44609</v>
      </c>
      <c r="D661" s="3">
        <v>44620</v>
      </c>
      <c r="E661">
        <v>3</v>
      </c>
    </row>
    <row r="662" spans="1:5" x14ac:dyDescent="0.25">
      <c r="A662">
        <v>611</v>
      </c>
      <c r="B662">
        <v>239</v>
      </c>
      <c r="C662" s="3">
        <v>44609</v>
      </c>
      <c r="D662" s="3">
        <v>44641</v>
      </c>
      <c r="E662">
        <v>9</v>
      </c>
    </row>
    <row r="663" spans="1:5" x14ac:dyDescent="0.25">
      <c r="A663">
        <v>750</v>
      </c>
      <c r="B663">
        <v>704</v>
      </c>
      <c r="C663" s="3">
        <v>44609</v>
      </c>
      <c r="D663" s="3">
        <v>44644</v>
      </c>
      <c r="E663">
        <v>7</v>
      </c>
    </row>
    <row r="664" spans="1:5" x14ac:dyDescent="0.25">
      <c r="A664">
        <v>841</v>
      </c>
      <c r="B664">
        <v>164</v>
      </c>
      <c r="C664" s="3">
        <v>44609</v>
      </c>
      <c r="D664" s="3">
        <v>44623</v>
      </c>
      <c r="E664">
        <v>2</v>
      </c>
    </row>
    <row r="665" spans="1:5" x14ac:dyDescent="0.25">
      <c r="A665">
        <v>843</v>
      </c>
      <c r="B665">
        <v>709</v>
      </c>
      <c r="C665" s="3">
        <v>44609</v>
      </c>
      <c r="D665" s="3">
        <v>44638</v>
      </c>
      <c r="E665">
        <v>10</v>
      </c>
    </row>
    <row r="666" spans="1:5" x14ac:dyDescent="0.25">
      <c r="A666">
        <v>55</v>
      </c>
      <c r="B666">
        <v>725</v>
      </c>
      <c r="C666" s="3">
        <v>44610</v>
      </c>
      <c r="D666" s="3">
        <v>44647</v>
      </c>
      <c r="E666">
        <v>6</v>
      </c>
    </row>
    <row r="667" spans="1:5" x14ac:dyDescent="0.25">
      <c r="A667">
        <v>112</v>
      </c>
      <c r="B667">
        <v>787</v>
      </c>
      <c r="C667" s="3">
        <v>44610</v>
      </c>
      <c r="D667" s="3">
        <v>44652</v>
      </c>
      <c r="E667">
        <v>2</v>
      </c>
    </row>
    <row r="668" spans="1:5" x14ac:dyDescent="0.25">
      <c r="A668">
        <v>312</v>
      </c>
      <c r="B668">
        <v>725</v>
      </c>
      <c r="C668" s="3">
        <v>44610</v>
      </c>
      <c r="D668" s="3">
        <v>44636</v>
      </c>
      <c r="E668">
        <v>9</v>
      </c>
    </row>
    <row r="669" spans="1:5" x14ac:dyDescent="0.25">
      <c r="A669">
        <v>328</v>
      </c>
      <c r="B669">
        <v>724</v>
      </c>
      <c r="C669" s="3">
        <v>44610</v>
      </c>
      <c r="D669" s="3">
        <v>44632</v>
      </c>
      <c r="E669">
        <v>8</v>
      </c>
    </row>
    <row r="670" spans="1:5" x14ac:dyDescent="0.25">
      <c r="A670">
        <v>331</v>
      </c>
      <c r="B670">
        <v>698</v>
      </c>
      <c r="C670" s="3">
        <v>44610</v>
      </c>
      <c r="D670" s="3">
        <v>44653</v>
      </c>
      <c r="E670">
        <v>9</v>
      </c>
    </row>
    <row r="671" spans="1:5" x14ac:dyDescent="0.25">
      <c r="A671">
        <v>360</v>
      </c>
      <c r="B671">
        <v>683</v>
      </c>
      <c r="C671" s="3">
        <v>44610</v>
      </c>
      <c r="D671" s="3">
        <v>44651</v>
      </c>
      <c r="E671">
        <v>3</v>
      </c>
    </row>
    <row r="672" spans="1:5" x14ac:dyDescent="0.25">
      <c r="A672">
        <v>360</v>
      </c>
      <c r="B672">
        <v>710</v>
      </c>
      <c r="C672" s="3">
        <v>44610</v>
      </c>
      <c r="D672" s="3">
        <v>44619</v>
      </c>
      <c r="E672">
        <v>3</v>
      </c>
    </row>
    <row r="673" spans="1:5" x14ac:dyDescent="0.25">
      <c r="A673">
        <v>448</v>
      </c>
      <c r="B673">
        <v>583</v>
      </c>
      <c r="C673" s="3">
        <v>44610</v>
      </c>
      <c r="D673" s="3">
        <v>44632</v>
      </c>
      <c r="E673">
        <v>9</v>
      </c>
    </row>
    <row r="674" spans="1:5" x14ac:dyDescent="0.25">
      <c r="A674">
        <v>531</v>
      </c>
      <c r="B674">
        <v>782</v>
      </c>
      <c r="C674" s="3">
        <v>44610</v>
      </c>
      <c r="D674" s="3">
        <v>44627</v>
      </c>
      <c r="E674">
        <v>1</v>
      </c>
    </row>
    <row r="675" spans="1:5" x14ac:dyDescent="0.25">
      <c r="A675">
        <v>561</v>
      </c>
      <c r="B675">
        <v>699</v>
      </c>
      <c r="C675" s="3">
        <v>44610</v>
      </c>
      <c r="D675" s="3">
        <v>44614</v>
      </c>
      <c r="E675">
        <v>7</v>
      </c>
    </row>
    <row r="676" spans="1:5" x14ac:dyDescent="0.25">
      <c r="A676">
        <v>568</v>
      </c>
      <c r="B676">
        <v>583</v>
      </c>
      <c r="C676" s="3">
        <v>44610</v>
      </c>
      <c r="D676" s="3">
        <v>44617</v>
      </c>
      <c r="E676">
        <v>3</v>
      </c>
    </row>
    <row r="677" spans="1:5" x14ac:dyDescent="0.25">
      <c r="A677">
        <v>651</v>
      </c>
      <c r="B677">
        <v>867</v>
      </c>
      <c r="C677" s="3">
        <v>44610</v>
      </c>
      <c r="D677" s="3">
        <v>44653</v>
      </c>
      <c r="E677">
        <v>10</v>
      </c>
    </row>
    <row r="678" spans="1:5" x14ac:dyDescent="0.25">
      <c r="A678">
        <v>659</v>
      </c>
      <c r="B678">
        <v>543</v>
      </c>
      <c r="C678" s="3">
        <v>44610</v>
      </c>
      <c r="D678" s="3">
        <v>44629</v>
      </c>
      <c r="E678">
        <v>7</v>
      </c>
    </row>
    <row r="679" spans="1:5" x14ac:dyDescent="0.25">
      <c r="A679">
        <v>784</v>
      </c>
      <c r="B679">
        <v>186</v>
      </c>
      <c r="C679" s="3">
        <v>44610</v>
      </c>
      <c r="D679" s="3">
        <v>44635</v>
      </c>
      <c r="E679">
        <v>3</v>
      </c>
    </row>
    <row r="680" spans="1:5" x14ac:dyDescent="0.25">
      <c r="A680">
        <v>961</v>
      </c>
      <c r="B680">
        <v>436</v>
      </c>
      <c r="C680" s="3">
        <v>44610</v>
      </c>
      <c r="D680" s="3">
        <v>44641</v>
      </c>
      <c r="E680">
        <v>7</v>
      </c>
    </row>
    <row r="681" spans="1:5" x14ac:dyDescent="0.25">
      <c r="A681">
        <v>141</v>
      </c>
      <c r="B681">
        <v>583</v>
      </c>
      <c r="C681" s="3">
        <v>44611</v>
      </c>
      <c r="D681" s="3">
        <v>44629</v>
      </c>
      <c r="E681">
        <v>9</v>
      </c>
    </row>
    <row r="682" spans="1:5" x14ac:dyDescent="0.25">
      <c r="A682">
        <v>146</v>
      </c>
      <c r="B682">
        <v>701</v>
      </c>
      <c r="C682" s="3">
        <v>44611</v>
      </c>
      <c r="D682" s="3">
        <v>44635</v>
      </c>
      <c r="E682">
        <v>8</v>
      </c>
    </row>
    <row r="683" spans="1:5" x14ac:dyDescent="0.25">
      <c r="A683">
        <v>158</v>
      </c>
      <c r="B683">
        <v>479</v>
      </c>
      <c r="C683" s="3">
        <v>44611</v>
      </c>
      <c r="D683" s="3">
        <v>44620</v>
      </c>
      <c r="E683">
        <v>10</v>
      </c>
    </row>
    <row r="684" spans="1:5" x14ac:dyDescent="0.25">
      <c r="A684">
        <v>390</v>
      </c>
      <c r="B684">
        <v>747</v>
      </c>
      <c r="C684" s="3">
        <v>44611</v>
      </c>
      <c r="D684" s="3">
        <v>44637</v>
      </c>
      <c r="E684">
        <v>3</v>
      </c>
    </row>
    <row r="685" spans="1:5" x14ac:dyDescent="0.25">
      <c r="A685">
        <v>489</v>
      </c>
      <c r="B685">
        <v>673</v>
      </c>
      <c r="C685" s="3">
        <v>44611</v>
      </c>
      <c r="D685" s="3">
        <v>44637</v>
      </c>
      <c r="E685">
        <v>7</v>
      </c>
    </row>
    <row r="686" spans="1:5" x14ac:dyDescent="0.25">
      <c r="A686">
        <v>500</v>
      </c>
      <c r="B686">
        <v>801</v>
      </c>
      <c r="C686" s="3">
        <v>44611</v>
      </c>
      <c r="D686" s="3">
        <v>44639</v>
      </c>
      <c r="E686">
        <v>7</v>
      </c>
    </row>
    <row r="687" spans="1:5" x14ac:dyDescent="0.25">
      <c r="A687">
        <v>515</v>
      </c>
      <c r="B687">
        <v>719</v>
      </c>
      <c r="C687" s="3">
        <v>44611</v>
      </c>
      <c r="D687" s="3">
        <v>44654</v>
      </c>
      <c r="E687">
        <v>8</v>
      </c>
    </row>
    <row r="688" spans="1:5" x14ac:dyDescent="0.25">
      <c r="A688">
        <v>546</v>
      </c>
      <c r="B688">
        <v>620</v>
      </c>
      <c r="C688" s="3">
        <v>44611</v>
      </c>
      <c r="D688" s="3">
        <v>44629</v>
      </c>
      <c r="E688">
        <v>3</v>
      </c>
    </row>
    <row r="689" spans="1:5" x14ac:dyDescent="0.25">
      <c r="A689">
        <v>609</v>
      </c>
      <c r="B689">
        <v>515</v>
      </c>
      <c r="C689" s="3">
        <v>44611</v>
      </c>
      <c r="D689" s="3">
        <v>44621</v>
      </c>
      <c r="E689">
        <v>9</v>
      </c>
    </row>
    <row r="690" spans="1:5" x14ac:dyDescent="0.25">
      <c r="A690">
        <v>609</v>
      </c>
      <c r="B690">
        <v>563</v>
      </c>
      <c r="C690" s="3">
        <v>44611</v>
      </c>
      <c r="D690" s="3">
        <v>44625</v>
      </c>
      <c r="E690">
        <v>6</v>
      </c>
    </row>
    <row r="691" spans="1:5" x14ac:dyDescent="0.25">
      <c r="A691">
        <v>610</v>
      </c>
      <c r="B691">
        <v>812</v>
      </c>
      <c r="C691" s="3">
        <v>44611</v>
      </c>
      <c r="D691" s="3">
        <v>44638</v>
      </c>
      <c r="E691">
        <v>2</v>
      </c>
    </row>
    <row r="692" spans="1:5" x14ac:dyDescent="0.25">
      <c r="A692">
        <v>843</v>
      </c>
      <c r="B692">
        <v>699</v>
      </c>
      <c r="C692" s="3">
        <v>44611</v>
      </c>
      <c r="D692" s="3">
        <v>44632</v>
      </c>
      <c r="E692">
        <v>2</v>
      </c>
    </row>
    <row r="693" spans="1:5" x14ac:dyDescent="0.25">
      <c r="A693">
        <v>989</v>
      </c>
      <c r="B693">
        <v>652</v>
      </c>
      <c r="C693" s="3">
        <v>44611</v>
      </c>
      <c r="D693" s="3">
        <v>44625</v>
      </c>
      <c r="E693">
        <v>1</v>
      </c>
    </row>
    <row r="694" spans="1:5" x14ac:dyDescent="0.25">
      <c r="A694">
        <v>284</v>
      </c>
      <c r="B694">
        <v>676</v>
      </c>
      <c r="C694" s="3">
        <v>44612</v>
      </c>
      <c r="D694" s="3">
        <v>44646</v>
      </c>
      <c r="E694">
        <v>8</v>
      </c>
    </row>
    <row r="695" spans="1:5" x14ac:dyDescent="0.25">
      <c r="A695">
        <v>296</v>
      </c>
      <c r="B695">
        <v>374</v>
      </c>
      <c r="C695" s="3">
        <v>44612</v>
      </c>
      <c r="D695" s="3">
        <v>44639</v>
      </c>
      <c r="E695">
        <v>5</v>
      </c>
    </row>
    <row r="696" spans="1:5" x14ac:dyDescent="0.25">
      <c r="A696">
        <v>329</v>
      </c>
      <c r="B696">
        <v>219</v>
      </c>
      <c r="C696" s="3">
        <v>44612</v>
      </c>
      <c r="D696" s="3">
        <v>44614</v>
      </c>
      <c r="E696">
        <v>7</v>
      </c>
    </row>
    <row r="697" spans="1:5" x14ac:dyDescent="0.25">
      <c r="A697">
        <v>370</v>
      </c>
      <c r="B697">
        <v>780</v>
      </c>
      <c r="C697" s="3">
        <v>44612</v>
      </c>
      <c r="D697" s="3">
        <v>44655</v>
      </c>
      <c r="E697">
        <v>8</v>
      </c>
    </row>
    <row r="698" spans="1:5" x14ac:dyDescent="0.25">
      <c r="A698">
        <v>416</v>
      </c>
      <c r="B698">
        <v>725</v>
      </c>
      <c r="C698" s="3">
        <v>44612</v>
      </c>
      <c r="D698" s="3">
        <v>44643</v>
      </c>
      <c r="E698">
        <v>7</v>
      </c>
    </row>
    <row r="699" spans="1:5" x14ac:dyDescent="0.25">
      <c r="A699">
        <v>448</v>
      </c>
      <c r="B699">
        <v>834</v>
      </c>
      <c r="C699" s="3">
        <v>44612</v>
      </c>
      <c r="D699" s="3">
        <v>44625</v>
      </c>
      <c r="E699">
        <v>5</v>
      </c>
    </row>
    <row r="700" spans="1:5" x14ac:dyDescent="0.25">
      <c r="A700">
        <v>468</v>
      </c>
      <c r="B700">
        <v>395</v>
      </c>
      <c r="C700" s="3">
        <v>44612</v>
      </c>
      <c r="D700" s="3">
        <v>44620</v>
      </c>
      <c r="E700">
        <v>9</v>
      </c>
    </row>
    <row r="701" spans="1:5" x14ac:dyDescent="0.25">
      <c r="A701">
        <v>526</v>
      </c>
      <c r="B701">
        <v>849</v>
      </c>
      <c r="C701" s="3">
        <v>44612</v>
      </c>
      <c r="D701" s="3">
        <v>44640</v>
      </c>
      <c r="E701">
        <v>10</v>
      </c>
    </row>
    <row r="702" spans="1:5" x14ac:dyDescent="0.25">
      <c r="A702">
        <v>546</v>
      </c>
      <c r="B702">
        <v>330</v>
      </c>
      <c r="C702" s="3">
        <v>44612</v>
      </c>
      <c r="D702" s="3">
        <v>44615</v>
      </c>
      <c r="E702">
        <v>1</v>
      </c>
    </row>
    <row r="703" spans="1:5" x14ac:dyDescent="0.25">
      <c r="A703">
        <v>567</v>
      </c>
      <c r="B703">
        <v>213</v>
      </c>
      <c r="C703" s="3">
        <v>44612</v>
      </c>
      <c r="D703" s="3">
        <v>44651</v>
      </c>
      <c r="E703">
        <v>8</v>
      </c>
    </row>
    <row r="704" spans="1:5" x14ac:dyDescent="0.25">
      <c r="A704">
        <v>651</v>
      </c>
      <c r="B704">
        <v>862</v>
      </c>
      <c r="C704" s="3">
        <v>44612</v>
      </c>
      <c r="D704" s="3">
        <v>44644</v>
      </c>
      <c r="E704">
        <v>9</v>
      </c>
    </row>
    <row r="705" spans="1:5" x14ac:dyDescent="0.25">
      <c r="A705">
        <v>747</v>
      </c>
      <c r="B705">
        <v>704</v>
      </c>
      <c r="C705" s="3">
        <v>44612</v>
      </c>
      <c r="D705" s="3">
        <v>44627</v>
      </c>
      <c r="E705">
        <v>4</v>
      </c>
    </row>
    <row r="706" spans="1:5" x14ac:dyDescent="0.25">
      <c r="A706">
        <v>758</v>
      </c>
      <c r="B706">
        <v>747</v>
      </c>
      <c r="C706" s="3">
        <v>44612</v>
      </c>
      <c r="D706" s="3">
        <v>44643</v>
      </c>
      <c r="E706">
        <v>5</v>
      </c>
    </row>
    <row r="707" spans="1:5" x14ac:dyDescent="0.25">
      <c r="A707">
        <v>142</v>
      </c>
      <c r="B707">
        <v>530</v>
      </c>
      <c r="C707" s="3">
        <v>44613</v>
      </c>
      <c r="D707" s="3">
        <v>44619</v>
      </c>
      <c r="E707">
        <v>1</v>
      </c>
    </row>
    <row r="708" spans="1:5" x14ac:dyDescent="0.25">
      <c r="A708">
        <v>200</v>
      </c>
      <c r="B708">
        <v>341</v>
      </c>
      <c r="C708" s="3">
        <v>44613</v>
      </c>
      <c r="D708" s="3">
        <v>44626</v>
      </c>
      <c r="E708">
        <v>3</v>
      </c>
    </row>
    <row r="709" spans="1:5" x14ac:dyDescent="0.25">
      <c r="A709">
        <v>329</v>
      </c>
      <c r="B709">
        <v>840</v>
      </c>
      <c r="C709" s="3">
        <v>44613</v>
      </c>
      <c r="D709" s="3">
        <v>44634</v>
      </c>
      <c r="E709">
        <v>6</v>
      </c>
    </row>
    <row r="710" spans="1:5" x14ac:dyDescent="0.25">
      <c r="A710">
        <v>331</v>
      </c>
      <c r="B710">
        <v>701</v>
      </c>
      <c r="C710" s="3">
        <v>44613</v>
      </c>
      <c r="D710" s="3">
        <v>44615</v>
      </c>
      <c r="E710">
        <v>7</v>
      </c>
    </row>
    <row r="711" spans="1:5" x14ac:dyDescent="0.25">
      <c r="A711">
        <v>333</v>
      </c>
      <c r="B711">
        <v>747</v>
      </c>
      <c r="C711" s="3">
        <v>44613</v>
      </c>
      <c r="D711" s="3">
        <v>44645</v>
      </c>
      <c r="E711">
        <v>1</v>
      </c>
    </row>
    <row r="712" spans="1:5" x14ac:dyDescent="0.25">
      <c r="A712">
        <v>412</v>
      </c>
      <c r="B712">
        <v>667</v>
      </c>
      <c r="C712" s="3">
        <v>44613</v>
      </c>
      <c r="D712" s="3">
        <v>44649</v>
      </c>
      <c r="E712">
        <v>4</v>
      </c>
    </row>
    <row r="713" spans="1:5" x14ac:dyDescent="0.25">
      <c r="A713">
        <v>500</v>
      </c>
      <c r="B713">
        <v>834</v>
      </c>
      <c r="C713" s="3">
        <v>44613</v>
      </c>
      <c r="D713" s="3">
        <v>44615</v>
      </c>
      <c r="E713">
        <v>7</v>
      </c>
    </row>
    <row r="714" spans="1:5" x14ac:dyDescent="0.25">
      <c r="A714">
        <v>527</v>
      </c>
      <c r="B714">
        <v>782</v>
      </c>
      <c r="C714" s="3">
        <v>44613</v>
      </c>
      <c r="D714" s="3">
        <v>44644</v>
      </c>
      <c r="E714">
        <v>9</v>
      </c>
    </row>
    <row r="715" spans="1:5" x14ac:dyDescent="0.25">
      <c r="A715">
        <v>531</v>
      </c>
      <c r="B715">
        <v>543</v>
      </c>
      <c r="C715" s="3">
        <v>44613</v>
      </c>
      <c r="D715" s="3">
        <v>44641</v>
      </c>
      <c r="E715">
        <v>10</v>
      </c>
    </row>
    <row r="716" spans="1:5" x14ac:dyDescent="0.25">
      <c r="A716">
        <v>573</v>
      </c>
      <c r="B716">
        <v>701</v>
      </c>
      <c r="C716" s="3">
        <v>44613</v>
      </c>
      <c r="D716" s="3">
        <v>44622</v>
      </c>
      <c r="E716">
        <v>10</v>
      </c>
    </row>
    <row r="717" spans="1:5" x14ac:dyDescent="0.25">
      <c r="A717">
        <v>651</v>
      </c>
      <c r="B717">
        <v>128</v>
      </c>
      <c r="C717" s="3">
        <v>44613</v>
      </c>
      <c r="D717" s="3">
        <v>44640</v>
      </c>
      <c r="E717">
        <v>7</v>
      </c>
    </row>
    <row r="718" spans="1:5" x14ac:dyDescent="0.25">
      <c r="A718">
        <v>651</v>
      </c>
      <c r="B718">
        <v>177</v>
      </c>
      <c r="C718" s="3">
        <v>44613</v>
      </c>
      <c r="D718" s="3">
        <v>44631</v>
      </c>
      <c r="E718">
        <v>4</v>
      </c>
    </row>
    <row r="719" spans="1:5" x14ac:dyDescent="0.25">
      <c r="A719">
        <v>657</v>
      </c>
      <c r="B719">
        <v>453</v>
      </c>
      <c r="C719" s="3">
        <v>44613</v>
      </c>
      <c r="D719" s="3">
        <v>44642</v>
      </c>
      <c r="E719">
        <v>2</v>
      </c>
    </row>
    <row r="720" spans="1:5" x14ac:dyDescent="0.25">
      <c r="A720">
        <v>747</v>
      </c>
      <c r="B720">
        <v>259</v>
      </c>
      <c r="C720" s="3">
        <v>44613</v>
      </c>
      <c r="D720" s="3">
        <v>44650</v>
      </c>
      <c r="E720">
        <v>8</v>
      </c>
    </row>
    <row r="721" spans="1:5" x14ac:dyDescent="0.25">
      <c r="A721">
        <v>761</v>
      </c>
      <c r="B721">
        <v>418</v>
      </c>
      <c r="C721" s="3">
        <v>44613</v>
      </c>
      <c r="D721" s="3">
        <v>44646</v>
      </c>
      <c r="E721">
        <v>1</v>
      </c>
    </row>
    <row r="722" spans="1:5" x14ac:dyDescent="0.25">
      <c r="A722">
        <v>802</v>
      </c>
      <c r="B722">
        <v>671</v>
      </c>
      <c r="C722" s="3">
        <v>44613</v>
      </c>
      <c r="D722" s="3">
        <v>44614</v>
      </c>
      <c r="E722">
        <v>9</v>
      </c>
    </row>
    <row r="723" spans="1:5" x14ac:dyDescent="0.25">
      <c r="A723">
        <v>827</v>
      </c>
      <c r="B723">
        <v>696</v>
      </c>
      <c r="C723" s="3">
        <v>44613</v>
      </c>
      <c r="D723" s="3">
        <v>44620</v>
      </c>
      <c r="E723">
        <v>10</v>
      </c>
    </row>
    <row r="724" spans="1:5" x14ac:dyDescent="0.25">
      <c r="A724">
        <v>42</v>
      </c>
      <c r="B724">
        <v>849</v>
      </c>
      <c r="C724" s="3">
        <v>44614</v>
      </c>
      <c r="D724" s="3">
        <v>44626</v>
      </c>
      <c r="E724">
        <v>7</v>
      </c>
    </row>
    <row r="725" spans="1:5" x14ac:dyDescent="0.25">
      <c r="A725">
        <v>55</v>
      </c>
      <c r="B725">
        <v>676</v>
      </c>
      <c r="C725" s="3">
        <v>44614</v>
      </c>
      <c r="D725" s="3">
        <v>44637</v>
      </c>
      <c r="E725">
        <v>3</v>
      </c>
    </row>
    <row r="726" spans="1:5" x14ac:dyDescent="0.25">
      <c r="A726">
        <v>232</v>
      </c>
      <c r="B726">
        <v>541</v>
      </c>
      <c r="C726" s="3">
        <v>44614</v>
      </c>
      <c r="D726" s="3">
        <v>44618</v>
      </c>
      <c r="E726">
        <v>7</v>
      </c>
    </row>
    <row r="727" spans="1:5" x14ac:dyDescent="0.25">
      <c r="A727">
        <v>284</v>
      </c>
      <c r="B727">
        <v>213</v>
      </c>
      <c r="C727" s="3">
        <v>44614</v>
      </c>
      <c r="D727" s="3">
        <v>44646</v>
      </c>
      <c r="E727">
        <v>4</v>
      </c>
    </row>
    <row r="728" spans="1:5" x14ac:dyDescent="0.25">
      <c r="A728">
        <v>285</v>
      </c>
      <c r="B728">
        <v>740</v>
      </c>
      <c r="C728" s="3">
        <v>44614</v>
      </c>
      <c r="D728" s="3">
        <v>44651</v>
      </c>
      <c r="E728">
        <v>6</v>
      </c>
    </row>
    <row r="729" spans="1:5" x14ac:dyDescent="0.25">
      <c r="A729">
        <v>531</v>
      </c>
      <c r="B729">
        <v>607</v>
      </c>
      <c r="C729" s="3">
        <v>44614</v>
      </c>
      <c r="D729" s="3">
        <v>44628</v>
      </c>
      <c r="E729">
        <v>2</v>
      </c>
    </row>
    <row r="730" spans="1:5" x14ac:dyDescent="0.25">
      <c r="A730">
        <v>538</v>
      </c>
      <c r="B730">
        <v>673</v>
      </c>
      <c r="C730" s="3">
        <v>44614</v>
      </c>
      <c r="D730" s="3">
        <v>44624</v>
      </c>
      <c r="E730">
        <v>4</v>
      </c>
    </row>
    <row r="731" spans="1:5" x14ac:dyDescent="0.25">
      <c r="A731">
        <v>544</v>
      </c>
      <c r="B731">
        <v>282</v>
      </c>
      <c r="C731" s="3">
        <v>44614</v>
      </c>
      <c r="D731" s="3">
        <v>44624</v>
      </c>
      <c r="E731">
        <v>7</v>
      </c>
    </row>
    <row r="732" spans="1:5" x14ac:dyDescent="0.25">
      <c r="A732">
        <v>586</v>
      </c>
      <c r="B732">
        <v>582</v>
      </c>
      <c r="C732" s="3">
        <v>44614</v>
      </c>
      <c r="D732" s="3">
        <v>44628</v>
      </c>
      <c r="E732">
        <v>1</v>
      </c>
    </row>
    <row r="733" spans="1:5" x14ac:dyDescent="0.25">
      <c r="A733">
        <v>761</v>
      </c>
      <c r="B733">
        <v>692</v>
      </c>
      <c r="C733" s="3">
        <v>44614</v>
      </c>
      <c r="D733" s="3">
        <v>44641</v>
      </c>
      <c r="E733">
        <v>3</v>
      </c>
    </row>
    <row r="734" spans="1:5" x14ac:dyDescent="0.25">
      <c r="A734">
        <v>771</v>
      </c>
      <c r="B734">
        <v>673</v>
      </c>
      <c r="C734" s="3">
        <v>44614</v>
      </c>
      <c r="D734" s="3">
        <v>44639</v>
      </c>
      <c r="E734">
        <v>1</v>
      </c>
    </row>
    <row r="735" spans="1:5" x14ac:dyDescent="0.25">
      <c r="A735">
        <v>784</v>
      </c>
      <c r="B735">
        <v>373</v>
      </c>
      <c r="C735" s="3">
        <v>44614</v>
      </c>
      <c r="D735" s="3">
        <v>44631</v>
      </c>
      <c r="E735">
        <v>6</v>
      </c>
    </row>
    <row r="736" spans="1:5" x14ac:dyDescent="0.25">
      <c r="A736">
        <v>830</v>
      </c>
      <c r="B736">
        <v>683</v>
      </c>
      <c r="C736" s="3">
        <v>44614</v>
      </c>
      <c r="D736" s="3">
        <v>44647</v>
      </c>
      <c r="E736">
        <v>4</v>
      </c>
    </row>
    <row r="737" spans="1:5" x14ac:dyDescent="0.25">
      <c r="A737">
        <v>42</v>
      </c>
      <c r="B737">
        <v>853</v>
      </c>
      <c r="C737" s="3">
        <v>44615</v>
      </c>
      <c r="D737" s="3">
        <v>44639</v>
      </c>
      <c r="E737">
        <v>1</v>
      </c>
    </row>
    <row r="738" spans="1:5" x14ac:dyDescent="0.25">
      <c r="A738">
        <v>46</v>
      </c>
      <c r="B738">
        <v>213</v>
      </c>
      <c r="C738" s="3">
        <v>44615</v>
      </c>
      <c r="D738" s="3">
        <v>44634</v>
      </c>
      <c r="E738">
        <v>6</v>
      </c>
    </row>
    <row r="739" spans="1:5" x14ac:dyDescent="0.25">
      <c r="A739">
        <v>55</v>
      </c>
      <c r="B739">
        <v>699</v>
      </c>
      <c r="C739" s="3">
        <v>44615</v>
      </c>
      <c r="D739" s="3">
        <v>44638</v>
      </c>
      <c r="E739">
        <v>8</v>
      </c>
    </row>
    <row r="740" spans="1:5" x14ac:dyDescent="0.25">
      <c r="A740">
        <v>158</v>
      </c>
      <c r="B740">
        <v>696</v>
      </c>
      <c r="C740" s="3">
        <v>44615</v>
      </c>
      <c r="D740" s="3">
        <v>44627</v>
      </c>
      <c r="E740">
        <v>5</v>
      </c>
    </row>
    <row r="741" spans="1:5" x14ac:dyDescent="0.25">
      <c r="A741">
        <v>285</v>
      </c>
      <c r="B741">
        <v>436</v>
      </c>
      <c r="C741" s="3">
        <v>44615</v>
      </c>
      <c r="D741" s="3">
        <v>44625</v>
      </c>
      <c r="E741">
        <v>8</v>
      </c>
    </row>
    <row r="742" spans="1:5" x14ac:dyDescent="0.25">
      <c r="A742">
        <v>328</v>
      </c>
      <c r="B742">
        <v>679</v>
      </c>
      <c r="C742" s="3">
        <v>44615</v>
      </c>
      <c r="D742" s="3">
        <v>44623</v>
      </c>
      <c r="E742">
        <v>2</v>
      </c>
    </row>
    <row r="743" spans="1:5" x14ac:dyDescent="0.25">
      <c r="A743">
        <v>332</v>
      </c>
      <c r="B743">
        <v>867</v>
      </c>
      <c r="C743" s="3">
        <v>44615</v>
      </c>
      <c r="D743" s="3">
        <v>44646</v>
      </c>
      <c r="E743">
        <v>5</v>
      </c>
    </row>
    <row r="744" spans="1:5" x14ac:dyDescent="0.25">
      <c r="A744">
        <v>338</v>
      </c>
      <c r="B744">
        <v>769</v>
      </c>
      <c r="C744" s="3">
        <v>44615</v>
      </c>
      <c r="D744" s="3">
        <v>44653</v>
      </c>
      <c r="E744">
        <v>10</v>
      </c>
    </row>
    <row r="745" spans="1:5" x14ac:dyDescent="0.25">
      <c r="A745">
        <v>474</v>
      </c>
      <c r="B745">
        <v>840</v>
      </c>
      <c r="C745" s="3">
        <v>44615</v>
      </c>
      <c r="D745" s="3">
        <v>44629</v>
      </c>
      <c r="E745">
        <v>8</v>
      </c>
    </row>
    <row r="746" spans="1:5" x14ac:dyDescent="0.25">
      <c r="A746">
        <v>491</v>
      </c>
      <c r="B746">
        <v>683</v>
      </c>
      <c r="C746" s="3">
        <v>44615</v>
      </c>
      <c r="D746" s="3">
        <v>44630</v>
      </c>
      <c r="E746">
        <v>1</v>
      </c>
    </row>
    <row r="747" spans="1:5" x14ac:dyDescent="0.25">
      <c r="A747">
        <v>500</v>
      </c>
      <c r="B747">
        <v>701</v>
      </c>
      <c r="C747" s="3">
        <v>44615</v>
      </c>
      <c r="D747" s="3">
        <v>44618</v>
      </c>
      <c r="E747">
        <v>6</v>
      </c>
    </row>
    <row r="748" spans="1:5" x14ac:dyDescent="0.25">
      <c r="A748">
        <v>527</v>
      </c>
      <c r="B748">
        <v>698</v>
      </c>
      <c r="C748" s="3">
        <v>44615</v>
      </c>
      <c r="D748" s="3">
        <v>44627</v>
      </c>
      <c r="E748">
        <v>7</v>
      </c>
    </row>
    <row r="749" spans="1:5" x14ac:dyDescent="0.25">
      <c r="A749">
        <v>538</v>
      </c>
      <c r="B749">
        <v>196</v>
      </c>
      <c r="C749" s="3">
        <v>44615</v>
      </c>
      <c r="D749" s="3">
        <v>44649</v>
      </c>
      <c r="E749">
        <v>7</v>
      </c>
    </row>
    <row r="750" spans="1:5" x14ac:dyDescent="0.25">
      <c r="A750">
        <v>546</v>
      </c>
      <c r="B750">
        <v>702</v>
      </c>
      <c r="C750" s="3">
        <v>44615</v>
      </c>
      <c r="D750" s="3">
        <v>44624</v>
      </c>
      <c r="E750">
        <v>6</v>
      </c>
    </row>
    <row r="751" spans="1:5" x14ac:dyDescent="0.25">
      <c r="A751">
        <v>750</v>
      </c>
      <c r="B751">
        <v>813</v>
      </c>
      <c r="C751" s="3">
        <v>44615</v>
      </c>
      <c r="D751" s="3">
        <v>44632</v>
      </c>
      <c r="E751">
        <v>10</v>
      </c>
    </row>
    <row r="752" spans="1:5" x14ac:dyDescent="0.25">
      <c r="A752">
        <v>843</v>
      </c>
      <c r="B752">
        <v>702</v>
      </c>
      <c r="C752" s="3">
        <v>44615</v>
      </c>
      <c r="D752" s="3">
        <v>44632</v>
      </c>
      <c r="E752">
        <v>8</v>
      </c>
    </row>
    <row r="753" spans="1:5" x14ac:dyDescent="0.25">
      <c r="A753">
        <v>923</v>
      </c>
      <c r="B753">
        <v>177</v>
      </c>
      <c r="C753" s="3">
        <v>44615</v>
      </c>
      <c r="D753" s="3">
        <v>44641</v>
      </c>
      <c r="E753">
        <v>7</v>
      </c>
    </row>
    <row r="754" spans="1:5" x14ac:dyDescent="0.25">
      <c r="A754">
        <v>158</v>
      </c>
      <c r="B754">
        <v>164</v>
      </c>
      <c r="C754" s="3">
        <v>44616</v>
      </c>
      <c r="D754" s="3">
        <v>44643</v>
      </c>
      <c r="E754">
        <v>10</v>
      </c>
    </row>
    <row r="755" spans="1:5" x14ac:dyDescent="0.25">
      <c r="A755">
        <v>180</v>
      </c>
      <c r="B755">
        <v>685</v>
      </c>
      <c r="C755" s="3">
        <v>44616</v>
      </c>
      <c r="D755" s="3">
        <v>44644</v>
      </c>
      <c r="E755">
        <v>2</v>
      </c>
    </row>
    <row r="756" spans="1:5" x14ac:dyDescent="0.25">
      <c r="A756">
        <v>249</v>
      </c>
      <c r="B756">
        <v>145</v>
      </c>
      <c r="C756" s="3">
        <v>44616</v>
      </c>
      <c r="D756" s="3">
        <v>44632</v>
      </c>
      <c r="E756">
        <v>3</v>
      </c>
    </row>
    <row r="757" spans="1:5" x14ac:dyDescent="0.25">
      <c r="A757">
        <v>249</v>
      </c>
      <c r="B757">
        <v>726</v>
      </c>
      <c r="C757" s="3">
        <v>44616</v>
      </c>
      <c r="D757" s="3">
        <v>44636</v>
      </c>
      <c r="E757">
        <v>4</v>
      </c>
    </row>
    <row r="758" spans="1:5" x14ac:dyDescent="0.25">
      <c r="A758">
        <v>254</v>
      </c>
      <c r="B758">
        <v>543</v>
      </c>
      <c r="C758" s="3">
        <v>44616</v>
      </c>
      <c r="D758" s="3">
        <v>44648</v>
      </c>
      <c r="E758">
        <v>4</v>
      </c>
    </row>
    <row r="759" spans="1:5" x14ac:dyDescent="0.25">
      <c r="A759">
        <v>302</v>
      </c>
      <c r="B759">
        <v>563</v>
      </c>
      <c r="C759" s="3">
        <v>44616</v>
      </c>
      <c r="D759" s="3">
        <v>44636</v>
      </c>
      <c r="E759">
        <v>10</v>
      </c>
    </row>
    <row r="760" spans="1:5" x14ac:dyDescent="0.25">
      <c r="A760">
        <v>323</v>
      </c>
      <c r="B760">
        <v>692</v>
      </c>
      <c r="C760" s="3">
        <v>44616</v>
      </c>
      <c r="D760" s="3">
        <v>44652</v>
      </c>
      <c r="E760">
        <v>1</v>
      </c>
    </row>
    <row r="761" spans="1:5" x14ac:dyDescent="0.25">
      <c r="A761">
        <v>370</v>
      </c>
      <c r="B761">
        <v>769</v>
      </c>
      <c r="C761" s="3">
        <v>44616</v>
      </c>
      <c r="D761" s="3">
        <v>44628</v>
      </c>
      <c r="E761">
        <v>8</v>
      </c>
    </row>
    <row r="762" spans="1:5" x14ac:dyDescent="0.25">
      <c r="A762">
        <v>501</v>
      </c>
      <c r="B762">
        <v>849</v>
      </c>
      <c r="C762" s="3">
        <v>44616</v>
      </c>
      <c r="D762" s="3">
        <v>44627</v>
      </c>
      <c r="E762">
        <v>7</v>
      </c>
    </row>
    <row r="763" spans="1:5" x14ac:dyDescent="0.25">
      <c r="A763">
        <v>543</v>
      </c>
      <c r="B763">
        <v>594</v>
      </c>
      <c r="C763" s="3">
        <v>44616</v>
      </c>
      <c r="D763" s="3">
        <v>44641</v>
      </c>
      <c r="E763">
        <v>3</v>
      </c>
    </row>
    <row r="764" spans="1:5" x14ac:dyDescent="0.25">
      <c r="A764">
        <v>561</v>
      </c>
      <c r="B764">
        <v>726</v>
      </c>
      <c r="C764" s="3">
        <v>44616</v>
      </c>
      <c r="D764" s="3">
        <v>44656</v>
      </c>
      <c r="E764">
        <v>5</v>
      </c>
    </row>
    <row r="765" spans="1:5" x14ac:dyDescent="0.25">
      <c r="A765">
        <v>784</v>
      </c>
      <c r="B765">
        <v>852</v>
      </c>
      <c r="C765" s="3">
        <v>44616</v>
      </c>
      <c r="D765" s="3">
        <v>44653</v>
      </c>
      <c r="E765">
        <v>4</v>
      </c>
    </row>
    <row r="766" spans="1:5" x14ac:dyDescent="0.25">
      <c r="A766">
        <v>884</v>
      </c>
      <c r="B766">
        <v>843</v>
      </c>
      <c r="C766" s="3">
        <v>44616</v>
      </c>
      <c r="D766" s="3">
        <v>44632</v>
      </c>
      <c r="E766">
        <v>7</v>
      </c>
    </row>
    <row r="767" spans="1:5" x14ac:dyDescent="0.25">
      <c r="A767">
        <v>972</v>
      </c>
      <c r="B767">
        <v>689</v>
      </c>
      <c r="C767" s="3">
        <v>44616</v>
      </c>
      <c r="D767" s="3">
        <v>44645</v>
      </c>
      <c r="E767">
        <v>2</v>
      </c>
    </row>
    <row r="768" spans="1:5" x14ac:dyDescent="0.25">
      <c r="A768">
        <v>989</v>
      </c>
      <c r="B768">
        <v>792</v>
      </c>
      <c r="C768" s="3">
        <v>44616</v>
      </c>
      <c r="D768" s="3">
        <v>44650</v>
      </c>
      <c r="E768">
        <v>3</v>
      </c>
    </row>
    <row r="769" spans="1:5" x14ac:dyDescent="0.25">
      <c r="A769">
        <v>66</v>
      </c>
      <c r="B769">
        <v>812</v>
      </c>
      <c r="C769" s="3">
        <v>44617</v>
      </c>
      <c r="D769" s="3">
        <v>44648</v>
      </c>
      <c r="E769">
        <v>7</v>
      </c>
    </row>
    <row r="770" spans="1:5" x14ac:dyDescent="0.25">
      <c r="A770">
        <v>200</v>
      </c>
      <c r="B770">
        <v>676</v>
      </c>
      <c r="C770" s="3">
        <v>44617</v>
      </c>
      <c r="D770" s="3">
        <v>44619</v>
      </c>
      <c r="E770">
        <v>10</v>
      </c>
    </row>
    <row r="771" spans="1:5" x14ac:dyDescent="0.25">
      <c r="A771">
        <v>302</v>
      </c>
      <c r="B771">
        <v>702</v>
      </c>
      <c r="C771" s="3">
        <v>44617</v>
      </c>
      <c r="D771" s="3">
        <v>44621</v>
      </c>
      <c r="E771">
        <v>4</v>
      </c>
    </row>
    <row r="772" spans="1:5" x14ac:dyDescent="0.25">
      <c r="A772">
        <v>312</v>
      </c>
      <c r="B772">
        <v>607</v>
      </c>
      <c r="C772" s="3">
        <v>44617</v>
      </c>
      <c r="D772" s="3">
        <v>44639</v>
      </c>
      <c r="E772">
        <v>6</v>
      </c>
    </row>
    <row r="773" spans="1:5" x14ac:dyDescent="0.25">
      <c r="A773">
        <v>390</v>
      </c>
      <c r="B773">
        <v>762</v>
      </c>
      <c r="C773" s="3">
        <v>44617</v>
      </c>
      <c r="D773" s="3">
        <v>44638</v>
      </c>
      <c r="E773">
        <v>5</v>
      </c>
    </row>
    <row r="774" spans="1:5" x14ac:dyDescent="0.25">
      <c r="A774">
        <v>474</v>
      </c>
      <c r="B774">
        <v>853</v>
      </c>
      <c r="C774" s="3">
        <v>44617</v>
      </c>
      <c r="D774" s="3">
        <v>44620</v>
      </c>
      <c r="E774">
        <v>8</v>
      </c>
    </row>
    <row r="775" spans="1:5" x14ac:dyDescent="0.25">
      <c r="A775">
        <v>594</v>
      </c>
      <c r="B775">
        <v>341</v>
      </c>
      <c r="C775" s="3">
        <v>44617</v>
      </c>
      <c r="D775" s="3">
        <v>44650</v>
      </c>
      <c r="E775">
        <v>10</v>
      </c>
    </row>
    <row r="776" spans="1:5" x14ac:dyDescent="0.25">
      <c r="A776">
        <v>634</v>
      </c>
      <c r="B776">
        <v>673</v>
      </c>
      <c r="C776" s="3">
        <v>44617</v>
      </c>
      <c r="D776" s="3">
        <v>44623</v>
      </c>
      <c r="E776">
        <v>6</v>
      </c>
    </row>
    <row r="777" spans="1:5" x14ac:dyDescent="0.25">
      <c r="A777">
        <v>747</v>
      </c>
      <c r="B777">
        <v>679</v>
      </c>
      <c r="C777" s="3">
        <v>44617</v>
      </c>
      <c r="D777" s="3">
        <v>44645</v>
      </c>
      <c r="E777">
        <v>10</v>
      </c>
    </row>
    <row r="778" spans="1:5" x14ac:dyDescent="0.25">
      <c r="A778">
        <v>758</v>
      </c>
      <c r="B778">
        <v>679</v>
      </c>
      <c r="C778" s="3">
        <v>44617</v>
      </c>
      <c r="D778" s="3">
        <v>44627</v>
      </c>
      <c r="E778">
        <v>4</v>
      </c>
    </row>
    <row r="779" spans="1:5" x14ac:dyDescent="0.25">
      <c r="A779">
        <v>906</v>
      </c>
      <c r="B779">
        <v>543</v>
      </c>
      <c r="C779" s="3">
        <v>44617</v>
      </c>
      <c r="D779" s="3">
        <v>44650</v>
      </c>
      <c r="E779">
        <v>2</v>
      </c>
    </row>
    <row r="780" spans="1:5" x14ac:dyDescent="0.25">
      <c r="A780">
        <v>961</v>
      </c>
      <c r="B780">
        <v>740</v>
      </c>
      <c r="C780" s="3">
        <v>44617</v>
      </c>
      <c r="D780" s="3">
        <v>44637</v>
      </c>
      <c r="E780">
        <v>4</v>
      </c>
    </row>
    <row r="781" spans="1:5" x14ac:dyDescent="0.25">
      <c r="A781">
        <v>282</v>
      </c>
      <c r="B781">
        <v>358</v>
      </c>
      <c r="C781" s="3">
        <v>44618</v>
      </c>
      <c r="D781" s="3">
        <v>44649</v>
      </c>
      <c r="E781">
        <v>1</v>
      </c>
    </row>
    <row r="782" spans="1:5" x14ac:dyDescent="0.25">
      <c r="A782">
        <v>308</v>
      </c>
      <c r="B782">
        <v>826</v>
      </c>
      <c r="C782" s="3">
        <v>44618</v>
      </c>
      <c r="D782" s="3">
        <v>44657</v>
      </c>
      <c r="E782">
        <v>4</v>
      </c>
    </row>
    <row r="783" spans="1:5" x14ac:dyDescent="0.25">
      <c r="A783">
        <v>312</v>
      </c>
      <c r="B783">
        <v>128</v>
      </c>
      <c r="C783" s="3">
        <v>44618</v>
      </c>
      <c r="D783" s="3">
        <v>44629</v>
      </c>
      <c r="E783">
        <v>5</v>
      </c>
    </row>
    <row r="784" spans="1:5" x14ac:dyDescent="0.25">
      <c r="A784">
        <v>330</v>
      </c>
      <c r="B784">
        <v>849</v>
      </c>
      <c r="C784" s="3">
        <v>44618</v>
      </c>
      <c r="D784" s="3">
        <v>44637</v>
      </c>
      <c r="E784">
        <v>3</v>
      </c>
    </row>
    <row r="785" spans="1:5" x14ac:dyDescent="0.25">
      <c r="A785">
        <v>390</v>
      </c>
      <c r="B785">
        <v>395</v>
      </c>
      <c r="C785" s="3">
        <v>44618</v>
      </c>
      <c r="D785" s="3">
        <v>44652</v>
      </c>
      <c r="E785">
        <v>6</v>
      </c>
    </row>
    <row r="786" spans="1:5" x14ac:dyDescent="0.25">
      <c r="A786">
        <v>416</v>
      </c>
      <c r="B786">
        <v>685</v>
      </c>
      <c r="C786" s="3">
        <v>44618</v>
      </c>
      <c r="D786" s="3">
        <v>44635</v>
      </c>
      <c r="E786">
        <v>2</v>
      </c>
    </row>
    <row r="787" spans="1:5" x14ac:dyDescent="0.25">
      <c r="A787">
        <v>416</v>
      </c>
      <c r="B787">
        <v>780</v>
      </c>
      <c r="C787" s="3">
        <v>44618</v>
      </c>
      <c r="D787" s="3">
        <v>44643</v>
      </c>
      <c r="E787">
        <v>1</v>
      </c>
    </row>
    <row r="788" spans="1:5" x14ac:dyDescent="0.25">
      <c r="A788">
        <v>474</v>
      </c>
      <c r="B788">
        <v>792</v>
      </c>
      <c r="C788" s="3">
        <v>44618</v>
      </c>
      <c r="D788" s="3">
        <v>44620</v>
      </c>
      <c r="E788">
        <v>4</v>
      </c>
    </row>
    <row r="789" spans="1:5" x14ac:dyDescent="0.25">
      <c r="A789">
        <v>491</v>
      </c>
      <c r="B789">
        <v>698</v>
      </c>
      <c r="C789" s="3">
        <v>44618</v>
      </c>
      <c r="D789" s="3">
        <v>44656</v>
      </c>
      <c r="E789">
        <v>9</v>
      </c>
    </row>
    <row r="790" spans="1:5" x14ac:dyDescent="0.25">
      <c r="A790">
        <v>515</v>
      </c>
      <c r="B790">
        <v>840</v>
      </c>
      <c r="C790" s="3">
        <v>44618</v>
      </c>
      <c r="D790" s="3">
        <v>44638</v>
      </c>
      <c r="E790">
        <v>9</v>
      </c>
    </row>
    <row r="791" spans="1:5" x14ac:dyDescent="0.25">
      <c r="A791">
        <v>568</v>
      </c>
      <c r="B791">
        <v>683</v>
      </c>
      <c r="C791" s="3">
        <v>44618</v>
      </c>
      <c r="D791" s="3">
        <v>44621</v>
      </c>
      <c r="E791">
        <v>8</v>
      </c>
    </row>
    <row r="792" spans="1:5" x14ac:dyDescent="0.25">
      <c r="A792">
        <v>651</v>
      </c>
      <c r="B792">
        <v>840</v>
      </c>
      <c r="C792" s="3">
        <v>44618</v>
      </c>
      <c r="D792" s="3">
        <v>44641</v>
      </c>
      <c r="E792">
        <v>10</v>
      </c>
    </row>
    <row r="793" spans="1:5" x14ac:dyDescent="0.25">
      <c r="A793">
        <v>802</v>
      </c>
      <c r="B793">
        <v>515</v>
      </c>
      <c r="C793" s="3">
        <v>44618</v>
      </c>
      <c r="D793" s="3">
        <v>44652</v>
      </c>
      <c r="E793">
        <v>10</v>
      </c>
    </row>
    <row r="794" spans="1:5" x14ac:dyDescent="0.25">
      <c r="A794">
        <v>923</v>
      </c>
      <c r="B794">
        <v>668</v>
      </c>
      <c r="C794" s="3">
        <v>44618</v>
      </c>
      <c r="D794" s="3">
        <v>44647</v>
      </c>
      <c r="E794">
        <v>10</v>
      </c>
    </row>
    <row r="795" spans="1:5" x14ac:dyDescent="0.25">
      <c r="A795">
        <v>112</v>
      </c>
      <c r="B795">
        <v>757</v>
      </c>
      <c r="C795" s="3">
        <v>44619</v>
      </c>
      <c r="D795" s="3">
        <v>44653</v>
      </c>
      <c r="E795">
        <v>1</v>
      </c>
    </row>
    <row r="796" spans="1:5" x14ac:dyDescent="0.25">
      <c r="A796">
        <v>308</v>
      </c>
      <c r="B796">
        <v>676</v>
      </c>
      <c r="C796" s="3">
        <v>44619</v>
      </c>
      <c r="D796" s="3">
        <v>44657</v>
      </c>
      <c r="E796">
        <v>2</v>
      </c>
    </row>
    <row r="797" spans="1:5" x14ac:dyDescent="0.25">
      <c r="A797">
        <v>330</v>
      </c>
      <c r="B797">
        <v>620</v>
      </c>
      <c r="C797" s="3">
        <v>44619</v>
      </c>
      <c r="D797" s="3">
        <v>44630</v>
      </c>
      <c r="E797">
        <v>6</v>
      </c>
    </row>
    <row r="798" spans="1:5" x14ac:dyDescent="0.25">
      <c r="A798">
        <v>390</v>
      </c>
      <c r="B798">
        <v>769</v>
      </c>
      <c r="C798" s="3">
        <v>44619</v>
      </c>
      <c r="D798" s="3">
        <v>44657</v>
      </c>
      <c r="E798">
        <v>2</v>
      </c>
    </row>
    <row r="799" spans="1:5" x14ac:dyDescent="0.25">
      <c r="A799">
        <v>412</v>
      </c>
      <c r="B799">
        <v>341</v>
      </c>
      <c r="C799" s="3">
        <v>44619</v>
      </c>
      <c r="D799" s="3">
        <v>44634</v>
      </c>
      <c r="E799">
        <v>1</v>
      </c>
    </row>
    <row r="800" spans="1:5" x14ac:dyDescent="0.25">
      <c r="A800">
        <v>412</v>
      </c>
      <c r="B800">
        <v>849</v>
      </c>
      <c r="C800" s="3">
        <v>44619</v>
      </c>
      <c r="D800" s="3">
        <v>44625</v>
      </c>
      <c r="E800">
        <v>2</v>
      </c>
    </row>
    <row r="801" spans="1:5" x14ac:dyDescent="0.25">
      <c r="A801">
        <v>489</v>
      </c>
      <c r="B801">
        <v>862</v>
      </c>
      <c r="C801" s="3">
        <v>44619</v>
      </c>
      <c r="D801" s="3">
        <v>44657</v>
      </c>
      <c r="E801">
        <v>3</v>
      </c>
    </row>
    <row r="802" spans="1:5" x14ac:dyDescent="0.25">
      <c r="A802">
        <v>568</v>
      </c>
      <c r="B802">
        <v>685</v>
      </c>
      <c r="C802" s="3">
        <v>44619</v>
      </c>
      <c r="D802" s="3">
        <v>44635</v>
      </c>
      <c r="E802">
        <v>4</v>
      </c>
    </row>
    <row r="803" spans="1:5" x14ac:dyDescent="0.25">
      <c r="A803">
        <v>609</v>
      </c>
      <c r="B803">
        <v>652</v>
      </c>
      <c r="C803" s="3">
        <v>44619</v>
      </c>
      <c r="D803" s="3">
        <v>44661</v>
      </c>
      <c r="E803">
        <v>9</v>
      </c>
    </row>
    <row r="804" spans="1:5" x14ac:dyDescent="0.25">
      <c r="A804">
        <v>657</v>
      </c>
      <c r="B804">
        <v>840</v>
      </c>
      <c r="C804" s="3">
        <v>44619</v>
      </c>
      <c r="D804" s="3">
        <v>44630</v>
      </c>
      <c r="E804">
        <v>4</v>
      </c>
    </row>
    <row r="805" spans="1:5" x14ac:dyDescent="0.25">
      <c r="A805">
        <v>657</v>
      </c>
      <c r="B805">
        <v>867</v>
      </c>
      <c r="C805" s="3">
        <v>44619</v>
      </c>
      <c r="D805" s="3">
        <v>44643</v>
      </c>
      <c r="E805">
        <v>10</v>
      </c>
    </row>
    <row r="806" spans="1:5" x14ac:dyDescent="0.25">
      <c r="A806">
        <v>659</v>
      </c>
      <c r="B806">
        <v>398</v>
      </c>
      <c r="C806" s="3">
        <v>44619</v>
      </c>
      <c r="D806" s="3">
        <v>44628</v>
      </c>
      <c r="E806">
        <v>10</v>
      </c>
    </row>
    <row r="807" spans="1:5" x14ac:dyDescent="0.25">
      <c r="A807">
        <v>747</v>
      </c>
      <c r="B807">
        <v>543</v>
      </c>
      <c r="C807" s="3">
        <v>44619</v>
      </c>
      <c r="D807" s="3">
        <v>44638</v>
      </c>
      <c r="E807">
        <v>6</v>
      </c>
    </row>
    <row r="808" spans="1:5" x14ac:dyDescent="0.25">
      <c r="A808">
        <v>758</v>
      </c>
      <c r="B808">
        <v>726</v>
      </c>
      <c r="C808" s="3">
        <v>44619</v>
      </c>
      <c r="D808" s="3">
        <v>44630</v>
      </c>
      <c r="E808">
        <v>8</v>
      </c>
    </row>
    <row r="809" spans="1:5" x14ac:dyDescent="0.25">
      <c r="A809">
        <v>758</v>
      </c>
      <c r="B809">
        <v>759</v>
      </c>
      <c r="C809" s="3">
        <v>44619</v>
      </c>
      <c r="D809" s="3">
        <v>44656</v>
      </c>
      <c r="E809">
        <v>5</v>
      </c>
    </row>
    <row r="810" spans="1:5" x14ac:dyDescent="0.25">
      <c r="A810">
        <v>784</v>
      </c>
      <c r="B810">
        <v>787</v>
      </c>
      <c r="C810" s="3">
        <v>44619</v>
      </c>
      <c r="D810" s="3">
        <v>44633</v>
      </c>
      <c r="E810">
        <v>7</v>
      </c>
    </row>
    <row r="811" spans="1:5" x14ac:dyDescent="0.25">
      <c r="A811">
        <v>841</v>
      </c>
      <c r="B811">
        <v>145</v>
      </c>
      <c r="C811" s="3">
        <v>44619</v>
      </c>
      <c r="D811" s="3">
        <v>44632</v>
      </c>
      <c r="E811">
        <v>5</v>
      </c>
    </row>
    <row r="812" spans="1:5" x14ac:dyDescent="0.25">
      <c r="A812">
        <v>249</v>
      </c>
      <c r="B812">
        <v>683</v>
      </c>
      <c r="C812" s="3">
        <v>44620</v>
      </c>
      <c r="D812" s="3">
        <v>44638</v>
      </c>
      <c r="E812">
        <v>9</v>
      </c>
    </row>
    <row r="813" spans="1:5" x14ac:dyDescent="0.25">
      <c r="A813">
        <v>308</v>
      </c>
      <c r="B813">
        <v>711</v>
      </c>
      <c r="C813" s="3">
        <v>44620</v>
      </c>
      <c r="D813" s="3">
        <v>44660</v>
      </c>
      <c r="E813">
        <v>6</v>
      </c>
    </row>
    <row r="814" spans="1:5" x14ac:dyDescent="0.25">
      <c r="A814">
        <v>323</v>
      </c>
      <c r="B814">
        <v>840</v>
      </c>
      <c r="C814" s="3">
        <v>44620</v>
      </c>
      <c r="D814" s="3">
        <v>44656</v>
      </c>
      <c r="E814">
        <v>9</v>
      </c>
    </row>
    <row r="815" spans="1:5" x14ac:dyDescent="0.25">
      <c r="A815">
        <v>331</v>
      </c>
      <c r="B815">
        <v>710</v>
      </c>
      <c r="C815" s="3">
        <v>44620</v>
      </c>
      <c r="D815" s="3">
        <v>44642</v>
      </c>
      <c r="E815">
        <v>5</v>
      </c>
    </row>
    <row r="816" spans="1:5" x14ac:dyDescent="0.25">
      <c r="A816">
        <v>416</v>
      </c>
      <c r="B816">
        <v>671</v>
      </c>
      <c r="C816" s="3">
        <v>44620</v>
      </c>
      <c r="D816" s="3">
        <v>44644</v>
      </c>
      <c r="E816">
        <v>5</v>
      </c>
    </row>
    <row r="817" spans="1:5" x14ac:dyDescent="0.25">
      <c r="A817">
        <v>448</v>
      </c>
      <c r="B817">
        <v>541</v>
      </c>
      <c r="C817" s="3">
        <v>44620</v>
      </c>
      <c r="D817" s="3">
        <v>44649</v>
      </c>
      <c r="E817">
        <v>9</v>
      </c>
    </row>
    <row r="818" spans="1:5" x14ac:dyDescent="0.25">
      <c r="A818">
        <v>448</v>
      </c>
      <c r="B818">
        <v>683</v>
      </c>
      <c r="C818" s="3">
        <v>44620</v>
      </c>
      <c r="D818" s="3">
        <v>44621</v>
      </c>
      <c r="E818">
        <v>10</v>
      </c>
    </row>
    <row r="819" spans="1:5" x14ac:dyDescent="0.25">
      <c r="A819">
        <v>467</v>
      </c>
      <c r="B819">
        <v>594</v>
      </c>
      <c r="C819" s="3">
        <v>44620</v>
      </c>
      <c r="D819" s="3">
        <v>44660</v>
      </c>
      <c r="E819">
        <v>1</v>
      </c>
    </row>
    <row r="820" spans="1:5" x14ac:dyDescent="0.25">
      <c r="A820">
        <v>515</v>
      </c>
      <c r="B820">
        <v>752</v>
      </c>
      <c r="C820" s="3">
        <v>44620</v>
      </c>
      <c r="D820" s="3">
        <v>44661</v>
      </c>
      <c r="E820">
        <v>3</v>
      </c>
    </row>
    <row r="821" spans="1:5" x14ac:dyDescent="0.25">
      <c r="A821">
        <v>531</v>
      </c>
      <c r="B821">
        <v>671</v>
      </c>
      <c r="C821" s="3">
        <v>44620</v>
      </c>
      <c r="D821" s="3">
        <v>44654</v>
      </c>
      <c r="E821">
        <v>1</v>
      </c>
    </row>
    <row r="822" spans="1:5" x14ac:dyDescent="0.25">
      <c r="A822">
        <v>531</v>
      </c>
      <c r="B822">
        <v>692</v>
      </c>
      <c r="C822" s="3">
        <v>44620</v>
      </c>
      <c r="D822" s="3">
        <v>44624</v>
      </c>
      <c r="E822">
        <v>10</v>
      </c>
    </row>
    <row r="823" spans="1:5" x14ac:dyDescent="0.25">
      <c r="A823">
        <v>540</v>
      </c>
      <c r="B823">
        <v>673</v>
      </c>
      <c r="C823" s="3">
        <v>44620</v>
      </c>
      <c r="D823" s="3">
        <v>44631</v>
      </c>
      <c r="E823">
        <v>7</v>
      </c>
    </row>
    <row r="824" spans="1:5" x14ac:dyDescent="0.25">
      <c r="A824">
        <v>543</v>
      </c>
      <c r="B824">
        <v>694</v>
      </c>
      <c r="C824" s="3">
        <v>44620</v>
      </c>
      <c r="D824" s="3">
        <v>44633</v>
      </c>
      <c r="E824">
        <v>3</v>
      </c>
    </row>
    <row r="825" spans="1:5" x14ac:dyDescent="0.25">
      <c r="A825">
        <v>602</v>
      </c>
      <c r="B825">
        <v>698</v>
      </c>
      <c r="C825" s="3">
        <v>44620</v>
      </c>
      <c r="D825" s="3">
        <v>44631</v>
      </c>
      <c r="E825">
        <v>3</v>
      </c>
    </row>
    <row r="826" spans="1:5" x14ac:dyDescent="0.25">
      <c r="A826">
        <v>823</v>
      </c>
      <c r="B826">
        <v>239</v>
      </c>
      <c r="C826" s="3">
        <v>44620</v>
      </c>
      <c r="D826" s="3">
        <v>44642</v>
      </c>
      <c r="E826">
        <v>10</v>
      </c>
    </row>
    <row r="827" spans="1:5" x14ac:dyDescent="0.25">
      <c r="A827">
        <v>843</v>
      </c>
      <c r="B827">
        <v>813</v>
      </c>
      <c r="C827" s="3">
        <v>44620</v>
      </c>
      <c r="D827" s="3">
        <v>44624</v>
      </c>
      <c r="E827">
        <v>8</v>
      </c>
    </row>
    <row r="828" spans="1:5" x14ac:dyDescent="0.25">
      <c r="A828">
        <v>42</v>
      </c>
      <c r="B828">
        <v>373</v>
      </c>
      <c r="C828" s="3">
        <v>44620</v>
      </c>
      <c r="D828" s="3">
        <v>44630</v>
      </c>
      <c r="E828">
        <v>7</v>
      </c>
    </row>
    <row r="829" spans="1:5" x14ac:dyDescent="0.25">
      <c r="A829">
        <v>139</v>
      </c>
      <c r="B829">
        <v>698</v>
      </c>
      <c r="C829" s="3">
        <v>44620</v>
      </c>
      <c r="D829" s="3">
        <v>44663</v>
      </c>
      <c r="E829">
        <v>10</v>
      </c>
    </row>
    <row r="830" spans="1:5" x14ac:dyDescent="0.25">
      <c r="A830">
        <v>146</v>
      </c>
      <c r="B830">
        <v>341</v>
      </c>
      <c r="C830" s="3">
        <v>44620</v>
      </c>
      <c r="D830" s="3">
        <v>44655</v>
      </c>
      <c r="E830">
        <v>9</v>
      </c>
    </row>
    <row r="831" spans="1:5" x14ac:dyDescent="0.25">
      <c r="A831">
        <v>323</v>
      </c>
      <c r="B831">
        <v>186</v>
      </c>
      <c r="C831" s="3">
        <v>44620</v>
      </c>
      <c r="D831" s="3">
        <v>44648</v>
      </c>
      <c r="E831">
        <v>1</v>
      </c>
    </row>
    <row r="832" spans="1:5" x14ac:dyDescent="0.25">
      <c r="A832">
        <v>538</v>
      </c>
      <c r="B832">
        <v>812</v>
      </c>
      <c r="C832" s="3">
        <v>44620</v>
      </c>
      <c r="D832" s="3">
        <v>44629</v>
      </c>
      <c r="E832">
        <v>7</v>
      </c>
    </row>
    <row r="833" spans="1:5" x14ac:dyDescent="0.25">
      <c r="A833">
        <v>540</v>
      </c>
      <c r="B833">
        <v>543</v>
      </c>
      <c r="C833" s="3">
        <v>44620</v>
      </c>
      <c r="D833" s="3">
        <v>44640</v>
      </c>
      <c r="E833">
        <v>7</v>
      </c>
    </row>
    <row r="834" spans="1:5" x14ac:dyDescent="0.25">
      <c r="A834">
        <v>567</v>
      </c>
      <c r="B834">
        <v>757</v>
      </c>
      <c r="C834" s="3">
        <v>44620</v>
      </c>
      <c r="D834" s="3">
        <v>44658</v>
      </c>
      <c r="E834">
        <v>8</v>
      </c>
    </row>
    <row r="835" spans="1:5" x14ac:dyDescent="0.25">
      <c r="A835">
        <v>568</v>
      </c>
      <c r="B835">
        <v>580</v>
      </c>
      <c r="C835" s="3">
        <v>44620</v>
      </c>
      <c r="D835" s="3">
        <v>44632</v>
      </c>
      <c r="E835">
        <v>5</v>
      </c>
    </row>
    <row r="836" spans="1:5" x14ac:dyDescent="0.25">
      <c r="A836">
        <v>643</v>
      </c>
      <c r="B836">
        <v>725</v>
      </c>
      <c r="C836" s="3">
        <v>44620</v>
      </c>
      <c r="D836" s="3">
        <v>44623</v>
      </c>
      <c r="E836">
        <v>3</v>
      </c>
    </row>
    <row r="837" spans="1:5" x14ac:dyDescent="0.25">
      <c r="A837">
        <v>830</v>
      </c>
      <c r="B837">
        <v>698</v>
      </c>
      <c r="C837" s="3">
        <v>44620</v>
      </c>
      <c r="D837" s="3">
        <v>44633</v>
      </c>
      <c r="E837">
        <v>7</v>
      </c>
    </row>
    <row r="838" spans="1:5" x14ac:dyDescent="0.25">
      <c r="A838">
        <v>884</v>
      </c>
      <c r="B838">
        <v>849</v>
      </c>
      <c r="C838" s="3">
        <v>44620</v>
      </c>
      <c r="D838" s="3">
        <v>44664</v>
      </c>
      <c r="E838">
        <v>2</v>
      </c>
    </row>
    <row r="839" spans="1:5" x14ac:dyDescent="0.25">
      <c r="A839">
        <v>983</v>
      </c>
      <c r="B839">
        <v>436</v>
      </c>
      <c r="C839" s="3">
        <v>44620</v>
      </c>
      <c r="D839" s="3">
        <v>44640</v>
      </c>
      <c r="E839">
        <v>7</v>
      </c>
    </row>
    <row r="840" spans="1:5" x14ac:dyDescent="0.25">
      <c r="A840">
        <v>46</v>
      </c>
      <c r="B840">
        <v>840</v>
      </c>
      <c r="C840" s="3">
        <v>44621</v>
      </c>
      <c r="D840" s="3">
        <v>44634</v>
      </c>
      <c r="E840">
        <v>1</v>
      </c>
    </row>
    <row r="841" spans="1:5" x14ac:dyDescent="0.25">
      <c r="A841">
        <v>224</v>
      </c>
      <c r="B841">
        <v>762</v>
      </c>
      <c r="C841" s="3">
        <v>44621</v>
      </c>
      <c r="D841" s="3">
        <v>44665</v>
      </c>
      <c r="E841">
        <v>3</v>
      </c>
    </row>
    <row r="842" spans="1:5" x14ac:dyDescent="0.25">
      <c r="A842">
        <v>226</v>
      </c>
      <c r="B842">
        <v>813</v>
      </c>
      <c r="C842" s="3">
        <v>44621</v>
      </c>
      <c r="D842" s="3">
        <v>44645</v>
      </c>
      <c r="E842">
        <v>5</v>
      </c>
    </row>
    <row r="843" spans="1:5" x14ac:dyDescent="0.25">
      <c r="A843">
        <v>232</v>
      </c>
      <c r="B843">
        <v>698</v>
      </c>
      <c r="C843" s="3">
        <v>44621</v>
      </c>
      <c r="D843" s="3">
        <v>44649</v>
      </c>
      <c r="E843">
        <v>6</v>
      </c>
    </row>
    <row r="844" spans="1:5" x14ac:dyDescent="0.25">
      <c r="A844">
        <v>249</v>
      </c>
      <c r="B844">
        <v>563</v>
      </c>
      <c r="C844" s="3">
        <v>44621</v>
      </c>
      <c r="D844" s="3">
        <v>44632</v>
      </c>
      <c r="E844">
        <v>4</v>
      </c>
    </row>
    <row r="845" spans="1:5" x14ac:dyDescent="0.25">
      <c r="A845">
        <v>308</v>
      </c>
      <c r="B845">
        <v>201</v>
      </c>
      <c r="C845" s="3">
        <v>44621</v>
      </c>
      <c r="D845" s="3">
        <v>44631</v>
      </c>
      <c r="E845">
        <v>2</v>
      </c>
    </row>
    <row r="846" spans="1:5" x14ac:dyDescent="0.25">
      <c r="A846">
        <v>573</v>
      </c>
      <c r="B846">
        <v>374</v>
      </c>
      <c r="C846" s="3">
        <v>44621</v>
      </c>
      <c r="D846" s="3">
        <v>44623</v>
      </c>
      <c r="E846">
        <v>1</v>
      </c>
    </row>
    <row r="847" spans="1:5" x14ac:dyDescent="0.25">
      <c r="A847">
        <v>657</v>
      </c>
      <c r="B847">
        <v>563</v>
      </c>
      <c r="C847" s="3">
        <v>44621</v>
      </c>
      <c r="D847" s="3">
        <v>44640</v>
      </c>
      <c r="E847">
        <v>4</v>
      </c>
    </row>
    <row r="848" spans="1:5" x14ac:dyDescent="0.25">
      <c r="A848">
        <v>730</v>
      </c>
      <c r="B848">
        <v>282</v>
      </c>
      <c r="C848" s="3">
        <v>44621</v>
      </c>
      <c r="D848" s="3">
        <v>44648</v>
      </c>
      <c r="E848">
        <v>8</v>
      </c>
    </row>
    <row r="849" spans="1:5" x14ac:dyDescent="0.25">
      <c r="A849">
        <v>747</v>
      </c>
      <c r="B849">
        <v>853</v>
      </c>
      <c r="C849" s="3">
        <v>44621</v>
      </c>
      <c r="D849" s="3">
        <v>44624</v>
      </c>
      <c r="E849">
        <v>6</v>
      </c>
    </row>
    <row r="850" spans="1:5" x14ac:dyDescent="0.25">
      <c r="A850">
        <v>758</v>
      </c>
      <c r="B850">
        <v>826</v>
      </c>
      <c r="C850" s="3">
        <v>44621</v>
      </c>
      <c r="D850" s="3">
        <v>44662</v>
      </c>
      <c r="E850">
        <v>9</v>
      </c>
    </row>
    <row r="851" spans="1:5" x14ac:dyDescent="0.25">
      <c r="A851">
        <v>961</v>
      </c>
      <c r="B851">
        <v>594</v>
      </c>
      <c r="C851" s="3">
        <v>44621</v>
      </c>
      <c r="D851" s="3">
        <v>44638</v>
      </c>
      <c r="E851">
        <v>3</v>
      </c>
    </row>
    <row r="852" spans="1:5" x14ac:dyDescent="0.25">
      <c r="A852">
        <v>983</v>
      </c>
      <c r="B852">
        <v>689</v>
      </c>
      <c r="C852" s="3">
        <v>44621</v>
      </c>
      <c r="D852" s="3">
        <v>44627</v>
      </c>
      <c r="E852">
        <v>5</v>
      </c>
    </row>
    <row r="853" spans="1:5" x14ac:dyDescent="0.25">
      <c r="A853">
        <v>139</v>
      </c>
      <c r="B853">
        <v>652</v>
      </c>
      <c r="C853" s="3">
        <v>44622</v>
      </c>
      <c r="D853" s="3">
        <v>44638</v>
      </c>
      <c r="E853">
        <v>6</v>
      </c>
    </row>
    <row r="854" spans="1:5" x14ac:dyDescent="0.25">
      <c r="A854">
        <v>254</v>
      </c>
      <c r="B854">
        <v>810</v>
      </c>
      <c r="C854" s="3">
        <v>44622</v>
      </c>
      <c r="D854" s="3">
        <v>44630</v>
      </c>
      <c r="E854">
        <v>1</v>
      </c>
    </row>
    <row r="855" spans="1:5" x14ac:dyDescent="0.25">
      <c r="A855">
        <v>323</v>
      </c>
      <c r="B855">
        <v>667</v>
      </c>
      <c r="C855" s="3">
        <v>44622</v>
      </c>
      <c r="D855" s="3">
        <v>44654</v>
      </c>
      <c r="E855">
        <v>1</v>
      </c>
    </row>
    <row r="856" spans="1:5" x14ac:dyDescent="0.25">
      <c r="A856">
        <v>332</v>
      </c>
      <c r="B856">
        <v>330</v>
      </c>
      <c r="C856" s="3">
        <v>44622</v>
      </c>
      <c r="D856" s="3">
        <v>44640</v>
      </c>
      <c r="E856">
        <v>9</v>
      </c>
    </row>
    <row r="857" spans="1:5" x14ac:dyDescent="0.25">
      <c r="A857">
        <v>360</v>
      </c>
      <c r="B857">
        <v>673</v>
      </c>
      <c r="C857" s="3">
        <v>44622</v>
      </c>
      <c r="D857" s="3">
        <v>44644</v>
      </c>
      <c r="E857">
        <v>7</v>
      </c>
    </row>
    <row r="858" spans="1:5" x14ac:dyDescent="0.25">
      <c r="A858">
        <v>489</v>
      </c>
      <c r="B858">
        <v>852</v>
      </c>
      <c r="C858" s="3">
        <v>44622</v>
      </c>
      <c r="D858" s="3">
        <v>44654</v>
      </c>
      <c r="E858">
        <v>4</v>
      </c>
    </row>
    <row r="859" spans="1:5" x14ac:dyDescent="0.25">
      <c r="A859">
        <v>515</v>
      </c>
      <c r="B859">
        <v>726</v>
      </c>
      <c r="C859" s="3">
        <v>44622</v>
      </c>
      <c r="D859" s="3">
        <v>44658</v>
      </c>
      <c r="E859">
        <v>9</v>
      </c>
    </row>
    <row r="860" spans="1:5" x14ac:dyDescent="0.25">
      <c r="A860">
        <v>531</v>
      </c>
      <c r="B860">
        <v>398</v>
      </c>
      <c r="C860" s="3">
        <v>44622</v>
      </c>
      <c r="D860" s="3">
        <v>44666</v>
      </c>
      <c r="E860">
        <v>7</v>
      </c>
    </row>
    <row r="861" spans="1:5" x14ac:dyDescent="0.25">
      <c r="A861">
        <v>557</v>
      </c>
      <c r="B861">
        <v>840</v>
      </c>
      <c r="C861" s="3">
        <v>44622</v>
      </c>
      <c r="D861" s="3">
        <v>44630</v>
      </c>
      <c r="E861">
        <v>6</v>
      </c>
    </row>
    <row r="862" spans="1:5" x14ac:dyDescent="0.25">
      <c r="A862">
        <v>600</v>
      </c>
      <c r="B862">
        <v>213</v>
      </c>
      <c r="C862" s="3">
        <v>44622</v>
      </c>
      <c r="D862" s="3">
        <v>44643</v>
      </c>
      <c r="E862">
        <v>8</v>
      </c>
    </row>
    <row r="863" spans="1:5" x14ac:dyDescent="0.25">
      <c r="A863">
        <v>802</v>
      </c>
      <c r="B863">
        <v>849</v>
      </c>
      <c r="C863" s="3">
        <v>44622</v>
      </c>
      <c r="D863" s="3">
        <v>44656</v>
      </c>
      <c r="E863">
        <v>9</v>
      </c>
    </row>
    <row r="864" spans="1:5" x14ac:dyDescent="0.25">
      <c r="A864">
        <v>849</v>
      </c>
      <c r="B864">
        <v>711</v>
      </c>
      <c r="C864" s="3">
        <v>44622</v>
      </c>
      <c r="D864" s="3">
        <v>44644</v>
      </c>
      <c r="E864">
        <v>2</v>
      </c>
    </row>
    <row r="865" spans="1:5" x14ac:dyDescent="0.25">
      <c r="A865">
        <v>180</v>
      </c>
      <c r="B865">
        <v>840</v>
      </c>
      <c r="C865" s="3">
        <v>44623</v>
      </c>
      <c r="D865" s="3">
        <v>44643</v>
      </c>
      <c r="E865">
        <v>8</v>
      </c>
    </row>
    <row r="866" spans="1:5" x14ac:dyDescent="0.25">
      <c r="A866">
        <v>224</v>
      </c>
      <c r="B866">
        <v>812</v>
      </c>
      <c r="C866" s="3">
        <v>44623</v>
      </c>
      <c r="D866" s="3">
        <v>44649</v>
      </c>
      <c r="E866">
        <v>1</v>
      </c>
    </row>
    <row r="867" spans="1:5" x14ac:dyDescent="0.25">
      <c r="A867">
        <v>285</v>
      </c>
      <c r="B867">
        <v>563</v>
      </c>
      <c r="C867" s="3">
        <v>44623</v>
      </c>
      <c r="D867" s="3">
        <v>44628</v>
      </c>
      <c r="E867">
        <v>3</v>
      </c>
    </row>
    <row r="868" spans="1:5" x14ac:dyDescent="0.25">
      <c r="A868">
        <v>331</v>
      </c>
      <c r="B868">
        <v>219</v>
      </c>
      <c r="C868" s="3">
        <v>44623</v>
      </c>
      <c r="D868" s="3">
        <v>44643</v>
      </c>
      <c r="E868">
        <v>7</v>
      </c>
    </row>
    <row r="869" spans="1:5" x14ac:dyDescent="0.25">
      <c r="A869">
        <v>561</v>
      </c>
      <c r="B869">
        <v>853</v>
      </c>
      <c r="C869" s="3">
        <v>44623</v>
      </c>
      <c r="D869" s="3">
        <v>44659</v>
      </c>
      <c r="E869">
        <v>7</v>
      </c>
    </row>
    <row r="870" spans="1:5" x14ac:dyDescent="0.25">
      <c r="A870">
        <v>567</v>
      </c>
      <c r="B870">
        <v>186</v>
      </c>
      <c r="C870" s="3">
        <v>44623</v>
      </c>
      <c r="D870" s="3">
        <v>44638</v>
      </c>
      <c r="E870">
        <v>10</v>
      </c>
    </row>
    <row r="871" spans="1:5" x14ac:dyDescent="0.25">
      <c r="A871">
        <v>586</v>
      </c>
      <c r="B871">
        <v>681</v>
      </c>
      <c r="C871" s="3">
        <v>44623</v>
      </c>
      <c r="D871" s="3">
        <v>44661</v>
      </c>
      <c r="E871">
        <v>10</v>
      </c>
    </row>
    <row r="872" spans="1:5" x14ac:dyDescent="0.25">
      <c r="A872">
        <v>610</v>
      </c>
      <c r="B872">
        <v>830</v>
      </c>
      <c r="C872" s="3">
        <v>44623</v>
      </c>
      <c r="D872" s="3">
        <v>44655</v>
      </c>
      <c r="E872">
        <v>3</v>
      </c>
    </row>
    <row r="873" spans="1:5" x14ac:dyDescent="0.25">
      <c r="A873">
        <v>611</v>
      </c>
      <c r="B873">
        <v>704</v>
      </c>
      <c r="C873" s="3">
        <v>44623</v>
      </c>
      <c r="D873" s="3">
        <v>44660</v>
      </c>
      <c r="E873">
        <v>5</v>
      </c>
    </row>
    <row r="874" spans="1:5" x14ac:dyDescent="0.25">
      <c r="A874">
        <v>747</v>
      </c>
      <c r="B874">
        <v>282</v>
      </c>
      <c r="C874" s="3">
        <v>44623</v>
      </c>
      <c r="D874" s="3">
        <v>44645</v>
      </c>
      <c r="E874">
        <v>4</v>
      </c>
    </row>
    <row r="875" spans="1:5" x14ac:dyDescent="0.25">
      <c r="A875">
        <v>747</v>
      </c>
      <c r="B875">
        <v>801</v>
      </c>
      <c r="C875" s="3">
        <v>44623</v>
      </c>
      <c r="D875" s="3">
        <v>44650</v>
      </c>
      <c r="E875">
        <v>9</v>
      </c>
    </row>
    <row r="876" spans="1:5" x14ac:dyDescent="0.25">
      <c r="A876">
        <v>923</v>
      </c>
      <c r="B876">
        <v>762</v>
      </c>
      <c r="C876" s="3">
        <v>44623</v>
      </c>
      <c r="D876" s="3">
        <v>44654</v>
      </c>
      <c r="E876">
        <v>10</v>
      </c>
    </row>
    <row r="877" spans="1:5" x14ac:dyDescent="0.25">
      <c r="A877">
        <v>961</v>
      </c>
      <c r="B877">
        <v>840</v>
      </c>
      <c r="C877" s="3">
        <v>44623</v>
      </c>
      <c r="D877" s="3">
        <v>44639</v>
      </c>
      <c r="E877">
        <v>7</v>
      </c>
    </row>
    <row r="878" spans="1:5" x14ac:dyDescent="0.25">
      <c r="A878">
        <v>46</v>
      </c>
      <c r="B878">
        <v>834</v>
      </c>
      <c r="C878" s="3">
        <v>44624</v>
      </c>
      <c r="D878" s="3">
        <v>44652</v>
      </c>
      <c r="E878">
        <v>5</v>
      </c>
    </row>
    <row r="879" spans="1:5" x14ac:dyDescent="0.25">
      <c r="A879">
        <v>66</v>
      </c>
      <c r="B879">
        <v>282</v>
      </c>
      <c r="C879" s="3">
        <v>44624</v>
      </c>
      <c r="D879" s="3">
        <v>44633</v>
      </c>
      <c r="E879">
        <v>4</v>
      </c>
    </row>
    <row r="880" spans="1:5" x14ac:dyDescent="0.25">
      <c r="A880">
        <v>158</v>
      </c>
      <c r="B880">
        <v>732</v>
      </c>
      <c r="C880" s="3">
        <v>44624</v>
      </c>
      <c r="D880" s="3">
        <v>44659</v>
      </c>
      <c r="E880">
        <v>8</v>
      </c>
    </row>
    <row r="881" spans="1:5" x14ac:dyDescent="0.25">
      <c r="A881">
        <v>158</v>
      </c>
      <c r="B881">
        <v>747</v>
      </c>
      <c r="C881" s="3">
        <v>44624</v>
      </c>
      <c r="D881" s="3">
        <v>44661</v>
      </c>
      <c r="E881">
        <v>2</v>
      </c>
    </row>
    <row r="882" spans="1:5" x14ac:dyDescent="0.25">
      <c r="A882">
        <v>334</v>
      </c>
      <c r="B882">
        <v>762</v>
      </c>
      <c r="C882" s="3">
        <v>44624</v>
      </c>
      <c r="D882" s="3">
        <v>44636</v>
      </c>
      <c r="E882">
        <v>7</v>
      </c>
    </row>
    <row r="883" spans="1:5" x14ac:dyDescent="0.25">
      <c r="A883">
        <v>370</v>
      </c>
      <c r="B883">
        <v>543</v>
      </c>
      <c r="C883" s="3">
        <v>44624</v>
      </c>
      <c r="D883" s="3">
        <v>44641</v>
      </c>
      <c r="E883">
        <v>8</v>
      </c>
    </row>
    <row r="884" spans="1:5" x14ac:dyDescent="0.25">
      <c r="A884">
        <v>546</v>
      </c>
      <c r="B884">
        <v>164</v>
      </c>
      <c r="C884" s="3">
        <v>44624</v>
      </c>
      <c r="D884" s="3">
        <v>44664</v>
      </c>
      <c r="E884">
        <v>1</v>
      </c>
    </row>
    <row r="885" spans="1:5" x14ac:dyDescent="0.25">
      <c r="A885">
        <v>557</v>
      </c>
      <c r="B885">
        <v>239</v>
      </c>
      <c r="C885" s="3">
        <v>44624</v>
      </c>
      <c r="D885" s="3">
        <v>44656</v>
      </c>
      <c r="E885">
        <v>1</v>
      </c>
    </row>
    <row r="886" spans="1:5" x14ac:dyDescent="0.25">
      <c r="A886">
        <v>557</v>
      </c>
      <c r="B886">
        <v>759</v>
      </c>
      <c r="C886" s="3">
        <v>44624</v>
      </c>
      <c r="D886" s="3">
        <v>44627</v>
      </c>
      <c r="E886">
        <v>3</v>
      </c>
    </row>
    <row r="887" spans="1:5" x14ac:dyDescent="0.25">
      <c r="A887">
        <v>580</v>
      </c>
      <c r="B887">
        <v>752</v>
      </c>
      <c r="C887" s="3">
        <v>44624</v>
      </c>
      <c r="D887" s="3">
        <v>44668</v>
      </c>
      <c r="E887">
        <v>2</v>
      </c>
    </row>
    <row r="888" spans="1:5" x14ac:dyDescent="0.25">
      <c r="A888">
        <v>609</v>
      </c>
      <c r="B888">
        <v>853</v>
      </c>
      <c r="C888" s="3">
        <v>44624</v>
      </c>
      <c r="D888" s="3">
        <v>44627</v>
      </c>
      <c r="E888">
        <v>1</v>
      </c>
    </row>
    <row r="889" spans="1:5" x14ac:dyDescent="0.25">
      <c r="A889">
        <v>651</v>
      </c>
      <c r="B889">
        <v>694</v>
      </c>
      <c r="C889" s="3">
        <v>44624</v>
      </c>
      <c r="D889" s="3">
        <v>44666</v>
      </c>
      <c r="E889">
        <v>3</v>
      </c>
    </row>
    <row r="890" spans="1:5" x14ac:dyDescent="0.25">
      <c r="A890">
        <v>730</v>
      </c>
      <c r="B890">
        <v>585</v>
      </c>
      <c r="C890" s="3">
        <v>44624</v>
      </c>
      <c r="D890" s="3">
        <v>44659</v>
      </c>
      <c r="E890">
        <v>2</v>
      </c>
    </row>
    <row r="891" spans="1:5" x14ac:dyDescent="0.25">
      <c r="A891">
        <v>730</v>
      </c>
      <c r="B891">
        <v>698</v>
      </c>
      <c r="C891" s="3">
        <v>44624</v>
      </c>
      <c r="D891" s="3">
        <v>44627</v>
      </c>
      <c r="E891">
        <v>7</v>
      </c>
    </row>
    <row r="892" spans="1:5" x14ac:dyDescent="0.25">
      <c r="A892">
        <v>46</v>
      </c>
      <c r="B892">
        <v>701</v>
      </c>
      <c r="C892" s="3">
        <v>44625</v>
      </c>
      <c r="D892" s="3">
        <v>44651</v>
      </c>
      <c r="E892">
        <v>10</v>
      </c>
    </row>
    <row r="893" spans="1:5" x14ac:dyDescent="0.25">
      <c r="A893">
        <v>139</v>
      </c>
      <c r="B893">
        <v>164</v>
      </c>
      <c r="C893" s="3">
        <v>44625</v>
      </c>
      <c r="D893" s="3">
        <v>44663</v>
      </c>
      <c r="E893">
        <v>4</v>
      </c>
    </row>
    <row r="894" spans="1:5" x14ac:dyDescent="0.25">
      <c r="A894">
        <v>180</v>
      </c>
      <c r="B894">
        <v>834</v>
      </c>
      <c r="C894" s="3">
        <v>44625</v>
      </c>
      <c r="D894" s="3">
        <v>44628</v>
      </c>
      <c r="E894">
        <v>7</v>
      </c>
    </row>
    <row r="895" spans="1:5" x14ac:dyDescent="0.25">
      <c r="A895">
        <v>254</v>
      </c>
      <c r="B895">
        <v>813</v>
      </c>
      <c r="C895" s="3">
        <v>44625</v>
      </c>
      <c r="D895" s="3">
        <v>44652</v>
      </c>
      <c r="E895">
        <v>7</v>
      </c>
    </row>
    <row r="896" spans="1:5" x14ac:dyDescent="0.25">
      <c r="A896">
        <v>282</v>
      </c>
      <c r="B896">
        <v>707</v>
      </c>
      <c r="C896" s="3">
        <v>44625</v>
      </c>
      <c r="D896" s="3">
        <v>44664</v>
      </c>
      <c r="E896">
        <v>4</v>
      </c>
    </row>
    <row r="897" spans="1:5" x14ac:dyDescent="0.25">
      <c r="A897">
        <v>282</v>
      </c>
      <c r="B897">
        <v>719</v>
      </c>
      <c r="C897" s="3">
        <v>44625</v>
      </c>
      <c r="D897" s="3">
        <v>44655</v>
      </c>
      <c r="E897">
        <v>2</v>
      </c>
    </row>
    <row r="898" spans="1:5" x14ac:dyDescent="0.25">
      <c r="A898">
        <v>285</v>
      </c>
      <c r="B898">
        <v>703</v>
      </c>
      <c r="C898" s="3">
        <v>44625</v>
      </c>
      <c r="D898" s="3">
        <v>44640</v>
      </c>
      <c r="E898">
        <v>10</v>
      </c>
    </row>
    <row r="899" spans="1:5" x14ac:dyDescent="0.25">
      <c r="A899">
        <v>285</v>
      </c>
      <c r="B899">
        <v>747</v>
      </c>
      <c r="C899" s="3">
        <v>44625</v>
      </c>
      <c r="D899" s="3">
        <v>44633</v>
      </c>
      <c r="E899">
        <v>9</v>
      </c>
    </row>
    <row r="900" spans="1:5" x14ac:dyDescent="0.25">
      <c r="A900">
        <v>360</v>
      </c>
      <c r="B900">
        <v>377</v>
      </c>
      <c r="C900" s="3">
        <v>44625</v>
      </c>
      <c r="D900" s="3">
        <v>44645</v>
      </c>
      <c r="E900">
        <v>8</v>
      </c>
    </row>
    <row r="901" spans="1:5" x14ac:dyDescent="0.25">
      <c r="A901">
        <v>370</v>
      </c>
      <c r="B901">
        <v>782</v>
      </c>
      <c r="C901" s="3">
        <v>44625</v>
      </c>
      <c r="D901" s="3">
        <v>44635</v>
      </c>
      <c r="E901">
        <v>7</v>
      </c>
    </row>
    <row r="902" spans="1:5" x14ac:dyDescent="0.25">
      <c r="A902">
        <v>412</v>
      </c>
      <c r="B902">
        <v>201</v>
      </c>
      <c r="C902" s="3">
        <v>44625</v>
      </c>
      <c r="D902" s="3">
        <v>44643</v>
      </c>
      <c r="E902">
        <v>6</v>
      </c>
    </row>
    <row r="903" spans="1:5" x14ac:dyDescent="0.25">
      <c r="A903">
        <v>448</v>
      </c>
      <c r="B903">
        <v>563</v>
      </c>
      <c r="C903" s="3">
        <v>44625</v>
      </c>
      <c r="D903" s="3">
        <v>44650</v>
      </c>
      <c r="E903">
        <v>9</v>
      </c>
    </row>
    <row r="904" spans="1:5" x14ac:dyDescent="0.25">
      <c r="A904">
        <v>501</v>
      </c>
      <c r="B904">
        <v>373</v>
      </c>
      <c r="C904" s="3">
        <v>44625</v>
      </c>
      <c r="D904" s="3">
        <v>44660</v>
      </c>
      <c r="E904">
        <v>10</v>
      </c>
    </row>
    <row r="905" spans="1:5" x14ac:dyDescent="0.25">
      <c r="A905">
        <v>531</v>
      </c>
      <c r="B905">
        <v>453</v>
      </c>
      <c r="C905" s="3">
        <v>44625</v>
      </c>
      <c r="D905" s="3">
        <v>44667</v>
      </c>
      <c r="E905">
        <v>6</v>
      </c>
    </row>
    <row r="906" spans="1:5" x14ac:dyDescent="0.25">
      <c r="A906">
        <v>540</v>
      </c>
      <c r="B906">
        <v>852</v>
      </c>
      <c r="C906" s="3">
        <v>44625</v>
      </c>
      <c r="D906" s="3">
        <v>44640</v>
      </c>
      <c r="E906">
        <v>7</v>
      </c>
    </row>
    <row r="907" spans="1:5" x14ac:dyDescent="0.25">
      <c r="A907">
        <v>557</v>
      </c>
      <c r="B907">
        <v>810</v>
      </c>
      <c r="C907" s="3">
        <v>44625</v>
      </c>
      <c r="D907" s="3">
        <v>44669</v>
      </c>
      <c r="E907">
        <v>3</v>
      </c>
    </row>
    <row r="908" spans="1:5" x14ac:dyDescent="0.25">
      <c r="A908">
        <v>585</v>
      </c>
      <c r="B908">
        <v>867</v>
      </c>
      <c r="C908" s="3">
        <v>44625</v>
      </c>
      <c r="D908" s="3">
        <v>44633</v>
      </c>
      <c r="E908">
        <v>4</v>
      </c>
    </row>
    <row r="909" spans="1:5" x14ac:dyDescent="0.25">
      <c r="A909">
        <v>602</v>
      </c>
      <c r="B909">
        <v>792</v>
      </c>
      <c r="C909" s="3">
        <v>44625</v>
      </c>
      <c r="D909" s="3">
        <v>44641</v>
      </c>
      <c r="E909">
        <v>4</v>
      </c>
    </row>
    <row r="910" spans="1:5" x14ac:dyDescent="0.25">
      <c r="A910">
        <v>651</v>
      </c>
      <c r="B910">
        <v>699</v>
      </c>
      <c r="C910" s="3">
        <v>44625</v>
      </c>
      <c r="D910" s="3">
        <v>44636</v>
      </c>
      <c r="E910">
        <v>2</v>
      </c>
    </row>
    <row r="911" spans="1:5" x14ac:dyDescent="0.25">
      <c r="A911">
        <v>302</v>
      </c>
      <c r="B911">
        <v>849</v>
      </c>
      <c r="C911" s="3">
        <v>44626</v>
      </c>
      <c r="D911" s="3">
        <v>44641</v>
      </c>
      <c r="E911">
        <v>1</v>
      </c>
    </row>
    <row r="912" spans="1:5" x14ac:dyDescent="0.25">
      <c r="A912">
        <v>328</v>
      </c>
      <c r="B912">
        <v>331</v>
      </c>
      <c r="C912" s="3">
        <v>44626</v>
      </c>
      <c r="D912" s="3">
        <v>44665</v>
      </c>
      <c r="E912">
        <v>2</v>
      </c>
    </row>
    <row r="913" spans="1:5" x14ac:dyDescent="0.25">
      <c r="A913">
        <v>360</v>
      </c>
      <c r="B913">
        <v>543</v>
      </c>
      <c r="C913" s="3">
        <v>44626</v>
      </c>
      <c r="D913" s="3">
        <v>44667</v>
      </c>
      <c r="E913">
        <v>10</v>
      </c>
    </row>
    <row r="914" spans="1:5" x14ac:dyDescent="0.25">
      <c r="A914">
        <v>364</v>
      </c>
      <c r="B914">
        <v>453</v>
      </c>
      <c r="C914" s="3">
        <v>44626</v>
      </c>
      <c r="D914" s="3">
        <v>44644</v>
      </c>
      <c r="E914">
        <v>5</v>
      </c>
    </row>
    <row r="915" spans="1:5" x14ac:dyDescent="0.25">
      <c r="A915">
        <v>412</v>
      </c>
      <c r="B915">
        <v>758</v>
      </c>
      <c r="C915" s="3">
        <v>44626</v>
      </c>
      <c r="D915" s="3">
        <v>44628</v>
      </c>
      <c r="E915">
        <v>8</v>
      </c>
    </row>
    <row r="916" spans="1:5" x14ac:dyDescent="0.25">
      <c r="A916">
        <v>496</v>
      </c>
      <c r="B916">
        <v>780</v>
      </c>
      <c r="C916" s="3">
        <v>44626</v>
      </c>
      <c r="D916" s="3">
        <v>44646</v>
      </c>
      <c r="E916">
        <v>6</v>
      </c>
    </row>
    <row r="917" spans="1:5" x14ac:dyDescent="0.25">
      <c r="A917">
        <v>500</v>
      </c>
      <c r="B917">
        <v>543</v>
      </c>
      <c r="C917" s="3">
        <v>44626</v>
      </c>
      <c r="D917" s="3">
        <v>44652</v>
      </c>
      <c r="E917">
        <v>3</v>
      </c>
    </row>
    <row r="918" spans="1:5" x14ac:dyDescent="0.25">
      <c r="A918">
        <v>586</v>
      </c>
      <c r="B918">
        <v>219</v>
      </c>
      <c r="C918" s="3">
        <v>44626</v>
      </c>
      <c r="D918" s="3">
        <v>44641</v>
      </c>
      <c r="E918">
        <v>10</v>
      </c>
    </row>
    <row r="919" spans="1:5" x14ac:dyDescent="0.25">
      <c r="A919">
        <v>634</v>
      </c>
      <c r="B919">
        <v>543</v>
      </c>
      <c r="C919" s="3">
        <v>44626</v>
      </c>
      <c r="D919" s="3">
        <v>44636</v>
      </c>
      <c r="E919">
        <v>4</v>
      </c>
    </row>
    <row r="920" spans="1:5" x14ac:dyDescent="0.25">
      <c r="A920">
        <v>634</v>
      </c>
      <c r="B920">
        <v>689</v>
      </c>
      <c r="C920" s="3">
        <v>44626</v>
      </c>
      <c r="D920" s="3">
        <v>44632</v>
      </c>
      <c r="E920">
        <v>9</v>
      </c>
    </row>
    <row r="921" spans="1:5" x14ac:dyDescent="0.25">
      <c r="A921">
        <v>657</v>
      </c>
      <c r="B921">
        <v>752</v>
      </c>
      <c r="C921" s="3">
        <v>44626</v>
      </c>
      <c r="D921" s="3">
        <v>44668</v>
      </c>
      <c r="E921">
        <v>2</v>
      </c>
    </row>
    <row r="922" spans="1:5" x14ac:dyDescent="0.25">
      <c r="A922">
        <v>669</v>
      </c>
      <c r="B922">
        <v>316</v>
      </c>
      <c r="C922" s="3">
        <v>44626</v>
      </c>
      <c r="D922" s="3">
        <v>44629</v>
      </c>
      <c r="E922">
        <v>8</v>
      </c>
    </row>
    <row r="923" spans="1:5" x14ac:dyDescent="0.25">
      <c r="A923">
        <v>750</v>
      </c>
      <c r="B923">
        <v>769</v>
      </c>
      <c r="C923" s="3">
        <v>44626</v>
      </c>
      <c r="D923" s="3">
        <v>44649</v>
      </c>
      <c r="E923">
        <v>5</v>
      </c>
    </row>
    <row r="924" spans="1:5" x14ac:dyDescent="0.25">
      <c r="A924">
        <v>761</v>
      </c>
      <c r="B924">
        <v>701</v>
      </c>
      <c r="C924" s="3">
        <v>44626</v>
      </c>
      <c r="D924" s="3">
        <v>44638</v>
      </c>
      <c r="E924">
        <v>10</v>
      </c>
    </row>
    <row r="925" spans="1:5" x14ac:dyDescent="0.25">
      <c r="A925">
        <v>841</v>
      </c>
      <c r="B925">
        <v>778</v>
      </c>
      <c r="C925" s="3">
        <v>44626</v>
      </c>
      <c r="D925" s="3">
        <v>44667</v>
      </c>
      <c r="E925">
        <v>4</v>
      </c>
    </row>
    <row r="926" spans="1:5" x14ac:dyDescent="0.25">
      <c r="A926">
        <v>232</v>
      </c>
      <c r="B926">
        <v>673</v>
      </c>
      <c r="C926" s="3">
        <v>44627</v>
      </c>
      <c r="D926" s="3">
        <v>44653</v>
      </c>
      <c r="E926">
        <v>7</v>
      </c>
    </row>
    <row r="927" spans="1:5" x14ac:dyDescent="0.25">
      <c r="A927">
        <v>328</v>
      </c>
      <c r="B927">
        <v>778</v>
      </c>
      <c r="C927" s="3">
        <v>44627</v>
      </c>
      <c r="D927" s="3">
        <v>44655</v>
      </c>
      <c r="E927">
        <v>10</v>
      </c>
    </row>
    <row r="928" spans="1:5" x14ac:dyDescent="0.25">
      <c r="A928">
        <v>331</v>
      </c>
      <c r="B928">
        <v>395</v>
      </c>
      <c r="C928" s="3">
        <v>44627</v>
      </c>
      <c r="D928" s="3">
        <v>44640</v>
      </c>
      <c r="E928">
        <v>5</v>
      </c>
    </row>
    <row r="929" spans="1:5" x14ac:dyDescent="0.25">
      <c r="A929">
        <v>448</v>
      </c>
      <c r="B929">
        <v>725</v>
      </c>
      <c r="C929" s="3">
        <v>44627</v>
      </c>
      <c r="D929" s="3">
        <v>44664</v>
      </c>
      <c r="E929">
        <v>9</v>
      </c>
    </row>
    <row r="930" spans="1:5" x14ac:dyDescent="0.25">
      <c r="A930">
        <v>468</v>
      </c>
      <c r="B930">
        <v>128</v>
      </c>
      <c r="C930" s="3">
        <v>44627</v>
      </c>
      <c r="D930" s="3">
        <v>44628</v>
      </c>
      <c r="E930">
        <v>6</v>
      </c>
    </row>
    <row r="931" spans="1:5" x14ac:dyDescent="0.25">
      <c r="A931">
        <v>500</v>
      </c>
      <c r="B931">
        <v>801</v>
      </c>
      <c r="C931" s="3">
        <v>44627</v>
      </c>
      <c r="D931" s="3">
        <v>44639</v>
      </c>
      <c r="E931">
        <v>6</v>
      </c>
    </row>
    <row r="932" spans="1:5" x14ac:dyDescent="0.25">
      <c r="A932">
        <v>501</v>
      </c>
      <c r="B932">
        <v>563</v>
      </c>
      <c r="C932" s="3">
        <v>44627</v>
      </c>
      <c r="D932" s="3">
        <v>44643</v>
      </c>
      <c r="E932">
        <v>1</v>
      </c>
    </row>
    <row r="933" spans="1:5" x14ac:dyDescent="0.25">
      <c r="A933">
        <v>543</v>
      </c>
      <c r="B933">
        <v>711</v>
      </c>
      <c r="C933" s="3">
        <v>44627</v>
      </c>
      <c r="D933" s="3">
        <v>44669</v>
      </c>
      <c r="E933">
        <v>7</v>
      </c>
    </row>
    <row r="934" spans="1:5" x14ac:dyDescent="0.25">
      <c r="A934">
        <v>580</v>
      </c>
      <c r="B934">
        <v>668</v>
      </c>
      <c r="C934" s="3">
        <v>44627</v>
      </c>
      <c r="D934" s="3">
        <v>44659</v>
      </c>
      <c r="E934">
        <v>6</v>
      </c>
    </row>
    <row r="935" spans="1:5" x14ac:dyDescent="0.25">
      <c r="A935">
        <v>586</v>
      </c>
      <c r="B935">
        <v>698</v>
      </c>
      <c r="C935" s="3">
        <v>44627</v>
      </c>
      <c r="D935" s="3">
        <v>44646</v>
      </c>
      <c r="E935">
        <v>1</v>
      </c>
    </row>
    <row r="936" spans="1:5" x14ac:dyDescent="0.25">
      <c r="A936">
        <v>634</v>
      </c>
      <c r="B936">
        <v>704</v>
      </c>
      <c r="C936" s="3">
        <v>44627</v>
      </c>
      <c r="D936" s="3">
        <v>44629</v>
      </c>
      <c r="E936">
        <v>7</v>
      </c>
    </row>
    <row r="937" spans="1:5" x14ac:dyDescent="0.25">
      <c r="A937">
        <v>643</v>
      </c>
      <c r="B937">
        <v>707</v>
      </c>
      <c r="C937" s="3">
        <v>44627</v>
      </c>
      <c r="D937" s="3">
        <v>44670</v>
      </c>
      <c r="E937">
        <v>4</v>
      </c>
    </row>
    <row r="938" spans="1:5" x14ac:dyDescent="0.25">
      <c r="A938">
        <v>843</v>
      </c>
      <c r="B938">
        <v>652</v>
      </c>
      <c r="C938" s="3">
        <v>44627</v>
      </c>
      <c r="D938" s="3">
        <v>44659</v>
      </c>
      <c r="E938">
        <v>7</v>
      </c>
    </row>
    <row r="939" spans="1:5" x14ac:dyDescent="0.25">
      <c r="A939">
        <v>923</v>
      </c>
      <c r="B939">
        <v>747</v>
      </c>
      <c r="C939" s="3">
        <v>44627</v>
      </c>
      <c r="D939" s="3">
        <v>44660</v>
      </c>
      <c r="E939">
        <v>1</v>
      </c>
    </row>
    <row r="940" spans="1:5" x14ac:dyDescent="0.25">
      <c r="A940">
        <v>329</v>
      </c>
      <c r="B940">
        <v>543</v>
      </c>
      <c r="C940" s="3">
        <v>44628</v>
      </c>
      <c r="D940" s="3">
        <v>44670</v>
      </c>
      <c r="E940">
        <v>3</v>
      </c>
    </row>
    <row r="941" spans="1:5" x14ac:dyDescent="0.25">
      <c r="A941">
        <v>329</v>
      </c>
      <c r="B941">
        <v>585</v>
      </c>
      <c r="C941" s="3">
        <v>44628</v>
      </c>
      <c r="D941" s="3">
        <v>44660</v>
      </c>
      <c r="E941">
        <v>10</v>
      </c>
    </row>
    <row r="942" spans="1:5" x14ac:dyDescent="0.25">
      <c r="A942">
        <v>491</v>
      </c>
      <c r="B942">
        <v>259</v>
      </c>
      <c r="C942" s="3">
        <v>44628</v>
      </c>
      <c r="D942" s="3">
        <v>44652</v>
      </c>
      <c r="E942">
        <v>6</v>
      </c>
    </row>
    <row r="943" spans="1:5" x14ac:dyDescent="0.25">
      <c r="A943">
        <v>491</v>
      </c>
      <c r="B943">
        <v>867</v>
      </c>
      <c r="C943" s="3">
        <v>44628</v>
      </c>
      <c r="D943" s="3">
        <v>44649</v>
      </c>
      <c r="E943">
        <v>4</v>
      </c>
    </row>
    <row r="944" spans="1:5" x14ac:dyDescent="0.25">
      <c r="A944">
        <v>538</v>
      </c>
      <c r="B944">
        <v>282</v>
      </c>
      <c r="C944" s="3">
        <v>44628</v>
      </c>
      <c r="D944" s="3">
        <v>44667</v>
      </c>
      <c r="E944">
        <v>3</v>
      </c>
    </row>
    <row r="945" spans="1:5" x14ac:dyDescent="0.25">
      <c r="A945">
        <v>557</v>
      </c>
      <c r="B945">
        <v>862</v>
      </c>
      <c r="C945" s="3">
        <v>44628</v>
      </c>
      <c r="D945" s="3">
        <v>44644</v>
      </c>
      <c r="E945">
        <v>2</v>
      </c>
    </row>
    <row r="946" spans="1:5" x14ac:dyDescent="0.25">
      <c r="A946">
        <v>586</v>
      </c>
      <c r="B946">
        <v>341</v>
      </c>
      <c r="C946" s="3">
        <v>44628</v>
      </c>
      <c r="D946" s="3">
        <v>44640</v>
      </c>
      <c r="E946">
        <v>5</v>
      </c>
    </row>
    <row r="947" spans="1:5" x14ac:dyDescent="0.25">
      <c r="A947">
        <v>594</v>
      </c>
      <c r="B947">
        <v>759</v>
      </c>
      <c r="C947" s="3">
        <v>44628</v>
      </c>
      <c r="D947" s="3">
        <v>44640</v>
      </c>
      <c r="E947">
        <v>3</v>
      </c>
    </row>
    <row r="948" spans="1:5" x14ac:dyDescent="0.25">
      <c r="A948">
        <v>600</v>
      </c>
      <c r="B948">
        <v>464</v>
      </c>
      <c r="C948" s="3">
        <v>44628</v>
      </c>
      <c r="D948" s="3">
        <v>44664</v>
      </c>
      <c r="E948">
        <v>3</v>
      </c>
    </row>
    <row r="949" spans="1:5" x14ac:dyDescent="0.25">
      <c r="A949">
        <v>750</v>
      </c>
      <c r="B949">
        <v>376</v>
      </c>
      <c r="C949" s="3">
        <v>44628</v>
      </c>
      <c r="D949" s="3">
        <v>44670</v>
      </c>
      <c r="E949">
        <v>9</v>
      </c>
    </row>
    <row r="950" spans="1:5" x14ac:dyDescent="0.25">
      <c r="A950">
        <v>884</v>
      </c>
      <c r="B950">
        <v>726</v>
      </c>
      <c r="C950" s="3">
        <v>44628</v>
      </c>
      <c r="D950" s="3">
        <v>44634</v>
      </c>
      <c r="E950">
        <v>1</v>
      </c>
    </row>
    <row r="951" spans="1:5" x14ac:dyDescent="0.25">
      <c r="A951">
        <v>55</v>
      </c>
      <c r="B951">
        <v>696</v>
      </c>
      <c r="C951" s="3">
        <v>44629</v>
      </c>
      <c r="D951" s="3">
        <v>44648</v>
      </c>
      <c r="E951">
        <v>8</v>
      </c>
    </row>
    <row r="952" spans="1:5" x14ac:dyDescent="0.25">
      <c r="A952">
        <v>66</v>
      </c>
      <c r="B952">
        <v>453</v>
      </c>
      <c r="C952" s="3">
        <v>44629</v>
      </c>
      <c r="D952" s="3">
        <v>44643</v>
      </c>
      <c r="E952">
        <v>10</v>
      </c>
    </row>
    <row r="953" spans="1:5" x14ac:dyDescent="0.25">
      <c r="A953">
        <v>139</v>
      </c>
      <c r="B953">
        <v>671</v>
      </c>
      <c r="C953" s="3">
        <v>44629</v>
      </c>
      <c r="D953" s="3">
        <v>44667</v>
      </c>
      <c r="E953">
        <v>6</v>
      </c>
    </row>
    <row r="954" spans="1:5" x14ac:dyDescent="0.25">
      <c r="A954">
        <v>200</v>
      </c>
      <c r="B954">
        <v>732</v>
      </c>
      <c r="C954" s="3">
        <v>44629</v>
      </c>
      <c r="D954" s="3">
        <v>44634</v>
      </c>
      <c r="E954">
        <v>6</v>
      </c>
    </row>
    <row r="955" spans="1:5" x14ac:dyDescent="0.25">
      <c r="A955">
        <v>331</v>
      </c>
      <c r="B955">
        <v>316</v>
      </c>
      <c r="C955" s="3">
        <v>44629</v>
      </c>
      <c r="D955" s="3">
        <v>44649</v>
      </c>
      <c r="E955">
        <v>9</v>
      </c>
    </row>
    <row r="956" spans="1:5" x14ac:dyDescent="0.25">
      <c r="A956">
        <v>333</v>
      </c>
      <c r="B956">
        <v>689</v>
      </c>
      <c r="C956" s="3">
        <v>44629</v>
      </c>
      <c r="D956" s="3">
        <v>44645</v>
      </c>
      <c r="E956">
        <v>5</v>
      </c>
    </row>
    <row r="957" spans="1:5" x14ac:dyDescent="0.25">
      <c r="A957">
        <v>360</v>
      </c>
      <c r="B957">
        <v>707</v>
      </c>
      <c r="C957" s="3">
        <v>44629</v>
      </c>
      <c r="D957" s="3">
        <v>44654</v>
      </c>
      <c r="E957">
        <v>4</v>
      </c>
    </row>
    <row r="958" spans="1:5" x14ac:dyDescent="0.25">
      <c r="A958">
        <v>573</v>
      </c>
      <c r="B958">
        <v>376</v>
      </c>
      <c r="C958" s="3">
        <v>44629</v>
      </c>
      <c r="D958" s="3">
        <v>44644</v>
      </c>
      <c r="E958">
        <v>9</v>
      </c>
    </row>
    <row r="959" spans="1:5" x14ac:dyDescent="0.25">
      <c r="A959">
        <v>610</v>
      </c>
      <c r="B959">
        <v>418</v>
      </c>
      <c r="C959" s="3">
        <v>44629</v>
      </c>
      <c r="D959" s="3">
        <v>44655</v>
      </c>
      <c r="E959">
        <v>2</v>
      </c>
    </row>
    <row r="960" spans="1:5" x14ac:dyDescent="0.25">
      <c r="A960">
        <v>611</v>
      </c>
      <c r="B960">
        <v>580</v>
      </c>
      <c r="C960" s="3">
        <v>44629</v>
      </c>
      <c r="D960" s="3">
        <v>44641</v>
      </c>
      <c r="E960">
        <v>8</v>
      </c>
    </row>
    <row r="961" spans="1:5" x14ac:dyDescent="0.25">
      <c r="A961">
        <v>643</v>
      </c>
      <c r="B961">
        <v>694</v>
      </c>
      <c r="C961" s="3">
        <v>44629</v>
      </c>
      <c r="D961" s="3">
        <v>44637</v>
      </c>
      <c r="E961">
        <v>10</v>
      </c>
    </row>
    <row r="962" spans="1:5" x14ac:dyDescent="0.25">
      <c r="A962">
        <v>750</v>
      </c>
      <c r="B962">
        <v>752</v>
      </c>
      <c r="C962" s="3">
        <v>44629</v>
      </c>
      <c r="D962" s="3">
        <v>44640</v>
      </c>
      <c r="E962">
        <v>9</v>
      </c>
    </row>
    <row r="963" spans="1:5" x14ac:dyDescent="0.25">
      <c r="A963">
        <v>830</v>
      </c>
      <c r="B963">
        <v>331</v>
      </c>
      <c r="C963" s="3">
        <v>44629</v>
      </c>
      <c r="D963" s="3">
        <v>44641</v>
      </c>
      <c r="E963">
        <v>5</v>
      </c>
    </row>
    <row r="964" spans="1:5" x14ac:dyDescent="0.25">
      <c r="A964">
        <v>906</v>
      </c>
      <c r="B964">
        <v>701</v>
      </c>
      <c r="C964" s="3">
        <v>44629</v>
      </c>
      <c r="D964" s="3">
        <v>44642</v>
      </c>
      <c r="E964">
        <v>3</v>
      </c>
    </row>
    <row r="965" spans="1:5" x14ac:dyDescent="0.25">
      <c r="A965">
        <v>923</v>
      </c>
      <c r="B965">
        <v>826</v>
      </c>
      <c r="C965" s="3">
        <v>44629</v>
      </c>
      <c r="D965" s="3">
        <v>44630</v>
      </c>
      <c r="E965">
        <v>6</v>
      </c>
    </row>
    <row r="966" spans="1:5" x14ac:dyDescent="0.25">
      <c r="A966">
        <v>42</v>
      </c>
      <c r="B966">
        <v>676</v>
      </c>
      <c r="C966" s="3">
        <v>44630</v>
      </c>
      <c r="D966" s="3">
        <v>44639</v>
      </c>
      <c r="E966">
        <v>10</v>
      </c>
    </row>
    <row r="967" spans="1:5" x14ac:dyDescent="0.25">
      <c r="A967">
        <v>47</v>
      </c>
      <c r="B967">
        <v>239</v>
      </c>
      <c r="C967" s="3">
        <v>44630</v>
      </c>
      <c r="D967" s="3">
        <v>44644</v>
      </c>
      <c r="E967">
        <v>1</v>
      </c>
    </row>
    <row r="968" spans="1:5" x14ac:dyDescent="0.25">
      <c r="A968">
        <v>224</v>
      </c>
      <c r="B968">
        <v>464</v>
      </c>
      <c r="C968" s="3">
        <v>44630</v>
      </c>
      <c r="D968" s="3">
        <v>44646</v>
      </c>
      <c r="E968">
        <v>1</v>
      </c>
    </row>
    <row r="969" spans="1:5" x14ac:dyDescent="0.25">
      <c r="A969">
        <v>284</v>
      </c>
      <c r="B969">
        <v>594</v>
      </c>
      <c r="C969" s="3">
        <v>44630</v>
      </c>
      <c r="D969" s="3">
        <v>44643</v>
      </c>
      <c r="E969">
        <v>10</v>
      </c>
    </row>
    <row r="970" spans="1:5" x14ac:dyDescent="0.25">
      <c r="A970">
        <v>285</v>
      </c>
      <c r="B970">
        <v>747</v>
      </c>
      <c r="C970" s="3">
        <v>44630</v>
      </c>
      <c r="D970" s="3">
        <v>44659</v>
      </c>
      <c r="E970">
        <v>2</v>
      </c>
    </row>
    <row r="971" spans="1:5" x14ac:dyDescent="0.25">
      <c r="A971">
        <v>308</v>
      </c>
      <c r="B971">
        <v>177</v>
      </c>
      <c r="C971" s="3">
        <v>44630</v>
      </c>
      <c r="D971" s="3">
        <v>44652</v>
      </c>
      <c r="E971">
        <v>3</v>
      </c>
    </row>
    <row r="972" spans="1:5" x14ac:dyDescent="0.25">
      <c r="A972">
        <v>328</v>
      </c>
      <c r="B972">
        <v>689</v>
      </c>
      <c r="C972" s="3">
        <v>44630</v>
      </c>
      <c r="D972" s="3">
        <v>44644</v>
      </c>
      <c r="E972">
        <v>2</v>
      </c>
    </row>
    <row r="973" spans="1:5" x14ac:dyDescent="0.25">
      <c r="A973">
        <v>338</v>
      </c>
      <c r="B973">
        <v>395</v>
      </c>
      <c r="C973" s="3">
        <v>44630</v>
      </c>
      <c r="D973" s="3">
        <v>44660</v>
      </c>
      <c r="E973">
        <v>4</v>
      </c>
    </row>
    <row r="974" spans="1:5" x14ac:dyDescent="0.25">
      <c r="A974">
        <v>500</v>
      </c>
      <c r="B974">
        <v>711</v>
      </c>
      <c r="C974" s="3">
        <v>44630</v>
      </c>
      <c r="D974" s="3">
        <v>44671</v>
      </c>
      <c r="E974">
        <v>1</v>
      </c>
    </row>
    <row r="975" spans="1:5" x14ac:dyDescent="0.25">
      <c r="A975">
        <v>501</v>
      </c>
      <c r="B975">
        <v>792</v>
      </c>
      <c r="C975" s="3">
        <v>44630</v>
      </c>
      <c r="D975" s="3">
        <v>44659</v>
      </c>
      <c r="E975">
        <v>8</v>
      </c>
    </row>
    <row r="976" spans="1:5" x14ac:dyDescent="0.25">
      <c r="A976">
        <v>651</v>
      </c>
      <c r="B976">
        <v>377</v>
      </c>
      <c r="C976" s="3">
        <v>44630</v>
      </c>
      <c r="D976" s="3">
        <v>44669</v>
      </c>
      <c r="E976">
        <v>7</v>
      </c>
    </row>
    <row r="977" spans="1:5" x14ac:dyDescent="0.25">
      <c r="A977">
        <v>657</v>
      </c>
      <c r="B977">
        <v>594</v>
      </c>
      <c r="C977" s="3">
        <v>44630</v>
      </c>
      <c r="D977" s="3">
        <v>44651</v>
      </c>
      <c r="E977">
        <v>5</v>
      </c>
    </row>
    <row r="978" spans="1:5" x14ac:dyDescent="0.25">
      <c r="A978">
        <v>771</v>
      </c>
      <c r="B978">
        <v>817</v>
      </c>
      <c r="C978" s="3">
        <v>44630</v>
      </c>
      <c r="D978" s="3">
        <v>44655</v>
      </c>
      <c r="E978">
        <v>6</v>
      </c>
    </row>
    <row r="979" spans="1:5" x14ac:dyDescent="0.25">
      <c r="A979">
        <v>22</v>
      </c>
      <c r="B979">
        <v>719</v>
      </c>
      <c r="C979" s="3">
        <v>44631</v>
      </c>
      <c r="D979" s="3">
        <v>44651</v>
      </c>
      <c r="E979">
        <v>2</v>
      </c>
    </row>
    <row r="980" spans="1:5" x14ac:dyDescent="0.25">
      <c r="A980">
        <v>329</v>
      </c>
      <c r="B980">
        <v>724</v>
      </c>
      <c r="C980" s="3">
        <v>44631</v>
      </c>
      <c r="D980" s="3">
        <v>44664</v>
      </c>
      <c r="E980">
        <v>9</v>
      </c>
    </row>
    <row r="981" spans="1:5" x14ac:dyDescent="0.25">
      <c r="A981">
        <v>360</v>
      </c>
      <c r="B981">
        <v>530</v>
      </c>
      <c r="C981" s="3">
        <v>44631</v>
      </c>
      <c r="D981" s="3">
        <v>44664</v>
      </c>
      <c r="E981">
        <v>9</v>
      </c>
    </row>
    <row r="982" spans="1:5" x14ac:dyDescent="0.25">
      <c r="A982">
        <v>362</v>
      </c>
      <c r="B982">
        <v>709</v>
      </c>
      <c r="C982" s="3">
        <v>44631</v>
      </c>
      <c r="D982" s="3">
        <v>44648</v>
      </c>
      <c r="E982">
        <v>1</v>
      </c>
    </row>
    <row r="983" spans="1:5" x14ac:dyDescent="0.25">
      <c r="A983">
        <v>416</v>
      </c>
      <c r="B983">
        <v>607</v>
      </c>
      <c r="C983" s="3">
        <v>44631</v>
      </c>
      <c r="D983" s="3">
        <v>44661</v>
      </c>
      <c r="E983">
        <v>4</v>
      </c>
    </row>
    <row r="984" spans="1:5" x14ac:dyDescent="0.25">
      <c r="A984">
        <v>448</v>
      </c>
      <c r="B984">
        <v>710</v>
      </c>
      <c r="C984" s="3">
        <v>44631</v>
      </c>
      <c r="D984" s="3">
        <v>44648</v>
      </c>
      <c r="E984">
        <v>3</v>
      </c>
    </row>
    <row r="985" spans="1:5" x14ac:dyDescent="0.25">
      <c r="A985">
        <v>496</v>
      </c>
      <c r="B985">
        <v>590</v>
      </c>
      <c r="C985" s="3">
        <v>44631</v>
      </c>
      <c r="D985" s="3">
        <v>44663</v>
      </c>
      <c r="E985">
        <v>5</v>
      </c>
    </row>
    <row r="986" spans="1:5" x14ac:dyDescent="0.25">
      <c r="A986">
        <v>501</v>
      </c>
      <c r="B986">
        <v>330</v>
      </c>
      <c r="C986" s="3">
        <v>44631</v>
      </c>
      <c r="D986" s="3">
        <v>44657</v>
      </c>
      <c r="E986">
        <v>8</v>
      </c>
    </row>
    <row r="987" spans="1:5" x14ac:dyDescent="0.25">
      <c r="A987">
        <v>526</v>
      </c>
      <c r="B987">
        <v>752</v>
      </c>
      <c r="C987" s="3">
        <v>44631</v>
      </c>
      <c r="D987" s="3">
        <v>44670</v>
      </c>
      <c r="E987">
        <v>3</v>
      </c>
    </row>
    <row r="988" spans="1:5" x14ac:dyDescent="0.25">
      <c r="A988">
        <v>527</v>
      </c>
      <c r="B988">
        <v>543</v>
      </c>
      <c r="C988" s="3">
        <v>44631</v>
      </c>
      <c r="D988" s="3">
        <v>44651</v>
      </c>
      <c r="E988">
        <v>1</v>
      </c>
    </row>
    <row r="989" spans="1:5" x14ac:dyDescent="0.25">
      <c r="A989">
        <v>527</v>
      </c>
      <c r="B989">
        <v>812</v>
      </c>
      <c r="C989" s="3">
        <v>44631</v>
      </c>
      <c r="D989" s="3">
        <v>44646</v>
      </c>
      <c r="E989">
        <v>7</v>
      </c>
    </row>
    <row r="990" spans="1:5" x14ac:dyDescent="0.25">
      <c r="A990">
        <v>568</v>
      </c>
      <c r="B990">
        <v>769</v>
      </c>
      <c r="C990" s="3">
        <v>44631</v>
      </c>
      <c r="D990" s="3">
        <v>44666</v>
      </c>
      <c r="E990">
        <v>9</v>
      </c>
    </row>
    <row r="991" spans="1:5" x14ac:dyDescent="0.25">
      <c r="A991">
        <v>573</v>
      </c>
      <c r="B991">
        <v>213</v>
      </c>
      <c r="C991" s="3">
        <v>44631</v>
      </c>
      <c r="D991" s="3">
        <v>44647</v>
      </c>
      <c r="E991">
        <v>8</v>
      </c>
    </row>
    <row r="992" spans="1:5" x14ac:dyDescent="0.25">
      <c r="A992">
        <v>580</v>
      </c>
      <c r="B992">
        <v>676</v>
      </c>
      <c r="C992" s="3">
        <v>44631</v>
      </c>
      <c r="D992" s="3">
        <v>44642</v>
      </c>
      <c r="E992">
        <v>2</v>
      </c>
    </row>
    <row r="993" spans="1:5" x14ac:dyDescent="0.25">
      <c r="A993">
        <v>112</v>
      </c>
      <c r="B993">
        <v>580</v>
      </c>
      <c r="C993" s="3">
        <v>44632</v>
      </c>
      <c r="D993" s="3">
        <v>44652</v>
      </c>
      <c r="E993">
        <v>4</v>
      </c>
    </row>
    <row r="994" spans="1:5" x14ac:dyDescent="0.25">
      <c r="A994">
        <v>141</v>
      </c>
      <c r="B994">
        <v>703</v>
      </c>
      <c r="C994" s="3">
        <v>44632</v>
      </c>
      <c r="D994" s="3">
        <v>44654</v>
      </c>
      <c r="E994">
        <v>9</v>
      </c>
    </row>
    <row r="995" spans="1:5" x14ac:dyDescent="0.25">
      <c r="A995">
        <v>180</v>
      </c>
      <c r="B995">
        <v>643</v>
      </c>
      <c r="C995" s="3">
        <v>44632</v>
      </c>
      <c r="D995" s="3">
        <v>44667</v>
      </c>
      <c r="E995">
        <v>8</v>
      </c>
    </row>
    <row r="996" spans="1:5" x14ac:dyDescent="0.25">
      <c r="A996">
        <v>249</v>
      </c>
      <c r="B996">
        <v>374</v>
      </c>
      <c r="C996" s="3">
        <v>44632</v>
      </c>
      <c r="D996" s="3">
        <v>44671</v>
      </c>
      <c r="E996">
        <v>1</v>
      </c>
    </row>
    <row r="997" spans="1:5" x14ac:dyDescent="0.25">
      <c r="A997">
        <v>331</v>
      </c>
      <c r="B997">
        <v>826</v>
      </c>
      <c r="C997" s="3">
        <v>44632</v>
      </c>
      <c r="D997" s="3">
        <v>44655</v>
      </c>
      <c r="E997">
        <v>6</v>
      </c>
    </row>
    <row r="998" spans="1:5" x14ac:dyDescent="0.25">
      <c r="A998">
        <v>338</v>
      </c>
      <c r="B998">
        <v>849</v>
      </c>
      <c r="C998" s="3">
        <v>44632</v>
      </c>
      <c r="D998" s="3">
        <v>44654</v>
      </c>
      <c r="E998">
        <v>3</v>
      </c>
    </row>
    <row r="999" spans="1:5" x14ac:dyDescent="0.25">
      <c r="A999">
        <v>362</v>
      </c>
      <c r="B999">
        <v>709</v>
      </c>
      <c r="C999" s="3">
        <v>44632</v>
      </c>
      <c r="D999" s="3">
        <v>44653</v>
      </c>
      <c r="E999">
        <v>10</v>
      </c>
    </row>
    <row r="1000" spans="1:5" x14ac:dyDescent="0.25">
      <c r="A1000">
        <v>370</v>
      </c>
      <c r="B1000">
        <v>316</v>
      </c>
      <c r="C1000" s="3">
        <v>44632</v>
      </c>
      <c r="D1000" s="3">
        <v>44635</v>
      </c>
      <c r="E1000">
        <v>2</v>
      </c>
    </row>
    <row r="1001" spans="1:5" x14ac:dyDescent="0.25">
      <c r="A1001">
        <v>412</v>
      </c>
      <c r="B1001">
        <v>681</v>
      </c>
      <c r="C1001" s="3">
        <v>44632</v>
      </c>
      <c r="D1001" s="3">
        <v>44650</v>
      </c>
      <c r="E1001">
        <v>3</v>
      </c>
    </row>
    <row r="1002" spans="1:5" x14ac:dyDescent="0.25">
      <c r="A1002">
        <v>526</v>
      </c>
      <c r="B1002">
        <v>583</v>
      </c>
      <c r="C1002" s="3">
        <v>44632</v>
      </c>
      <c r="D1002" s="3">
        <v>44671</v>
      </c>
      <c r="E1002">
        <v>1</v>
      </c>
    </row>
    <row r="1003" spans="1:5" x14ac:dyDescent="0.25">
      <c r="A1003">
        <v>544</v>
      </c>
      <c r="B1003">
        <v>607</v>
      </c>
      <c r="C1003" s="3">
        <v>44632</v>
      </c>
      <c r="D1003" s="3">
        <v>44647</v>
      </c>
      <c r="E1003">
        <v>2</v>
      </c>
    </row>
    <row r="1004" spans="1:5" x14ac:dyDescent="0.25">
      <c r="A1004">
        <v>557</v>
      </c>
      <c r="B1004">
        <v>707</v>
      </c>
      <c r="C1004" s="3">
        <v>44632</v>
      </c>
      <c r="D1004" s="3">
        <v>44657</v>
      </c>
      <c r="E1004">
        <v>9</v>
      </c>
    </row>
    <row r="1005" spans="1:5" x14ac:dyDescent="0.25">
      <c r="A1005">
        <v>585</v>
      </c>
      <c r="B1005">
        <v>752</v>
      </c>
      <c r="C1005" s="3">
        <v>44632</v>
      </c>
      <c r="D1005" s="3">
        <v>44639</v>
      </c>
      <c r="E1005">
        <v>4</v>
      </c>
    </row>
    <row r="1006" spans="1:5" x14ac:dyDescent="0.25">
      <c r="A1006">
        <v>585</v>
      </c>
      <c r="B1006">
        <v>792</v>
      </c>
      <c r="C1006" s="3">
        <v>44632</v>
      </c>
      <c r="D1006" s="3">
        <v>44651</v>
      </c>
      <c r="E1006">
        <v>7</v>
      </c>
    </row>
    <row r="1007" spans="1:5" x14ac:dyDescent="0.25">
      <c r="A1007">
        <v>651</v>
      </c>
      <c r="B1007">
        <v>849</v>
      </c>
      <c r="C1007" s="3">
        <v>44632</v>
      </c>
      <c r="D1007" s="3">
        <v>44672</v>
      </c>
      <c r="E1007">
        <v>3</v>
      </c>
    </row>
    <row r="1008" spans="1:5" x14ac:dyDescent="0.25">
      <c r="A1008">
        <v>906</v>
      </c>
      <c r="B1008">
        <v>282</v>
      </c>
      <c r="C1008" s="3">
        <v>44632</v>
      </c>
      <c r="D1008" s="3">
        <v>44647</v>
      </c>
      <c r="E1008">
        <v>5</v>
      </c>
    </row>
    <row r="1009" spans="1:5" x14ac:dyDescent="0.25">
      <c r="A1009">
        <v>906</v>
      </c>
      <c r="B1009">
        <v>826</v>
      </c>
      <c r="C1009" s="3">
        <v>44632</v>
      </c>
      <c r="D1009" s="3">
        <v>44650</v>
      </c>
      <c r="E1009">
        <v>10</v>
      </c>
    </row>
    <row r="1010" spans="1:5" x14ac:dyDescent="0.25">
      <c r="A1010">
        <v>989</v>
      </c>
      <c r="B1010">
        <v>709</v>
      </c>
      <c r="C1010" s="3">
        <v>44632</v>
      </c>
      <c r="D1010" s="3">
        <v>44671</v>
      </c>
      <c r="E1010">
        <v>9</v>
      </c>
    </row>
    <row r="1011" spans="1:5" x14ac:dyDescent="0.25">
      <c r="A1011">
        <v>232</v>
      </c>
      <c r="B1011">
        <v>759</v>
      </c>
      <c r="C1011" s="3">
        <v>44633</v>
      </c>
      <c r="D1011" s="3">
        <v>44660</v>
      </c>
      <c r="E1011">
        <v>4</v>
      </c>
    </row>
    <row r="1012" spans="1:5" x14ac:dyDescent="0.25">
      <c r="A1012">
        <v>249</v>
      </c>
      <c r="B1012">
        <v>679</v>
      </c>
      <c r="C1012" s="3">
        <v>44633</v>
      </c>
      <c r="D1012" s="3">
        <v>44667</v>
      </c>
      <c r="E1012">
        <v>5</v>
      </c>
    </row>
    <row r="1013" spans="1:5" x14ac:dyDescent="0.25">
      <c r="A1013">
        <v>328</v>
      </c>
      <c r="B1013">
        <v>186</v>
      </c>
      <c r="C1013" s="3">
        <v>44633</v>
      </c>
      <c r="D1013" s="3">
        <v>44673</v>
      </c>
      <c r="E1013">
        <v>3</v>
      </c>
    </row>
    <row r="1014" spans="1:5" x14ac:dyDescent="0.25">
      <c r="A1014">
        <v>362</v>
      </c>
      <c r="B1014">
        <v>702</v>
      </c>
      <c r="C1014" s="3">
        <v>44633</v>
      </c>
      <c r="D1014" s="3">
        <v>44675</v>
      </c>
      <c r="E1014">
        <v>9</v>
      </c>
    </row>
    <row r="1015" spans="1:5" x14ac:dyDescent="0.25">
      <c r="A1015">
        <v>390</v>
      </c>
      <c r="B1015">
        <v>541</v>
      </c>
      <c r="C1015" s="3">
        <v>44633</v>
      </c>
      <c r="D1015" s="3">
        <v>44661</v>
      </c>
      <c r="E1015">
        <v>3</v>
      </c>
    </row>
    <row r="1016" spans="1:5" x14ac:dyDescent="0.25">
      <c r="A1016">
        <v>496</v>
      </c>
      <c r="B1016">
        <v>541</v>
      </c>
      <c r="C1016" s="3">
        <v>44633</v>
      </c>
      <c r="D1016" s="3">
        <v>44658</v>
      </c>
      <c r="E1016">
        <v>1</v>
      </c>
    </row>
    <row r="1017" spans="1:5" x14ac:dyDescent="0.25">
      <c r="A1017">
        <v>526</v>
      </c>
      <c r="B1017">
        <v>145</v>
      </c>
      <c r="C1017" s="3">
        <v>44633</v>
      </c>
      <c r="D1017" s="3">
        <v>44660</v>
      </c>
      <c r="E1017">
        <v>8</v>
      </c>
    </row>
    <row r="1018" spans="1:5" x14ac:dyDescent="0.25">
      <c r="A1018">
        <v>527</v>
      </c>
      <c r="B1018">
        <v>418</v>
      </c>
      <c r="C1018" s="3">
        <v>44633</v>
      </c>
      <c r="D1018" s="3">
        <v>44668</v>
      </c>
      <c r="E1018">
        <v>1</v>
      </c>
    </row>
    <row r="1019" spans="1:5" x14ac:dyDescent="0.25">
      <c r="A1019">
        <v>531</v>
      </c>
      <c r="B1019">
        <v>515</v>
      </c>
      <c r="C1019" s="3">
        <v>44633</v>
      </c>
      <c r="D1019" s="3">
        <v>44656</v>
      </c>
      <c r="E1019">
        <v>10</v>
      </c>
    </row>
    <row r="1020" spans="1:5" x14ac:dyDescent="0.25">
      <c r="A1020">
        <v>586</v>
      </c>
      <c r="B1020">
        <v>282</v>
      </c>
      <c r="C1020" s="3">
        <v>44633</v>
      </c>
      <c r="D1020" s="3">
        <v>44667</v>
      </c>
      <c r="E1020">
        <v>10</v>
      </c>
    </row>
    <row r="1021" spans="1:5" x14ac:dyDescent="0.25">
      <c r="A1021">
        <v>761</v>
      </c>
      <c r="B1021">
        <v>643</v>
      </c>
      <c r="C1021" s="3">
        <v>44633</v>
      </c>
      <c r="D1021" s="3">
        <v>44648</v>
      </c>
      <c r="E1021">
        <v>8</v>
      </c>
    </row>
    <row r="1022" spans="1:5" x14ac:dyDescent="0.25">
      <c r="A1022">
        <v>802</v>
      </c>
      <c r="B1022">
        <v>676</v>
      </c>
      <c r="C1022" s="3">
        <v>44633</v>
      </c>
      <c r="D1022" s="3">
        <v>44650</v>
      </c>
      <c r="E1022">
        <v>3</v>
      </c>
    </row>
    <row r="1023" spans="1:5" x14ac:dyDescent="0.25">
      <c r="A1023">
        <v>972</v>
      </c>
      <c r="B1023">
        <v>282</v>
      </c>
      <c r="C1023" s="3">
        <v>44633</v>
      </c>
      <c r="D1023" s="3">
        <v>44649</v>
      </c>
      <c r="E1023">
        <v>3</v>
      </c>
    </row>
    <row r="1024" spans="1:5" x14ac:dyDescent="0.25">
      <c r="A1024">
        <v>42</v>
      </c>
      <c r="B1024">
        <v>745</v>
      </c>
      <c r="C1024" s="3">
        <v>44634</v>
      </c>
      <c r="D1024" s="3">
        <v>44673</v>
      </c>
      <c r="E1024">
        <v>3</v>
      </c>
    </row>
    <row r="1025" spans="1:5" x14ac:dyDescent="0.25">
      <c r="A1025">
        <v>112</v>
      </c>
      <c r="B1025">
        <v>834</v>
      </c>
      <c r="C1025" s="3">
        <v>44634</v>
      </c>
      <c r="D1025" s="3">
        <v>44640</v>
      </c>
      <c r="E1025">
        <v>9</v>
      </c>
    </row>
    <row r="1026" spans="1:5" x14ac:dyDescent="0.25">
      <c r="A1026">
        <v>200</v>
      </c>
      <c r="B1026">
        <v>376</v>
      </c>
      <c r="C1026" s="3">
        <v>44634</v>
      </c>
      <c r="D1026" s="3">
        <v>44675</v>
      </c>
      <c r="E1026">
        <v>8</v>
      </c>
    </row>
    <row r="1027" spans="1:5" x14ac:dyDescent="0.25">
      <c r="A1027">
        <v>200</v>
      </c>
      <c r="B1027">
        <v>745</v>
      </c>
      <c r="C1027" s="3">
        <v>44634</v>
      </c>
      <c r="D1027" s="3">
        <v>44660</v>
      </c>
      <c r="E1027">
        <v>9</v>
      </c>
    </row>
    <row r="1028" spans="1:5" x14ac:dyDescent="0.25">
      <c r="A1028">
        <v>285</v>
      </c>
      <c r="B1028">
        <v>704</v>
      </c>
      <c r="C1028" s="3">
        <v>44634</v>
      </c>
      <c r="D1028" s="3">
        <v>44645</v>
      </c>
      <c r="E1028">
        <v>3</v>
      </c>
    </row>
    <row r="1029" spans="1:5" x14ac:dyDescent="0.25">
      <c r="A1029">
        <v>329</v>
      </c>
      <c r="B1029">
        <v>643</v>
      </c>
      <c r="C1029" s="3">
        <v>44634</v>
      </c>
      <c r="D1029" s="3">
        <v>44645</v>
      </c>
      <c r="E1029">
        <v>4</v>
      </c>
    </row>
    <row r="1030" spans="1:5" x14ac:dyDescent="0.25">
      <c r="A1030">
        <v>360</v>
      </c>
      <c r="B1030">
        <v>196</v>
      </c>
      <c r="C1030" s="3">
        <v>44634</v>
      </c>
      <c r="D1030" s="3">
        <v>44651</v>
      </c>
      <c r="E1030">
        <v>2</v>
      </c>
    </row>
    <row r="1031" spans="1:5" x14ac:dyDescent="0.25">
      <c r="A1031">
        <v>416</v>
      </c>
      <c r="B1031">
        <v>590</v>
      </c>
      <c r="C1031" s="3">
        <v>44634</v>
      </c>
      <c r="D1031" s="3">
        <v>44643</v>
      </c>
      <c r="E1031">
        <v>3</v>
      </c>
    </row>
    <row r="1032" spans="1:5" x14ac:dyDescent="0.25">
      <c r="A1032">
        <v>467</v>
      </c>
      <c r="B1032">
        <v>580</v>
      </c>
      <c r="C1032" s="3">
        <v>44634</v>
      </c>
      <c r="D1032" s="3">
        <v>44650</v>
      </c>
      <c r="E1032">
        <v>9</v>
      </c>
    </row>
    <row r="1033" spans="1:5" x14ac:dyDescent="0.25">
      <c r="A1033">
        <v>557</v>
      </c>
      <c r="B1033">
        <v>725</v>
      </c>
      <c r="C1033" s="3">
        <v>44634</v>
      </c>
      <c r="D1033" s="3">
        <v>44637</v>
      </c>
      <c r="E1033">
        <v>2</v>
      </c>
    </row>
    <row r="1034" spans="1:5" x14ac:dyDescent="0.25">
      <c r="A1034">
        <v>585</v>
      </c>
      <c r="B1034">
        <v>590</v>
      </c>
      <c r="C1034" s="3">
        <v>44634</v>
      </c>
      <c r="D1034" s="3">
        <v>44648</v>
      </c>
      <c r="E1034">
        <v>3</v>
      </c>
    </row>
    <row r="1035" spans="1:5" x14ac:dyDescent="0.25">
      <c r="A1035">
        <v>659</v>
      </c>
      <c r="B1035">
        <v>668</v>
      </c>
      <c r="C1035" s="3">
        <v>44634</v>
      </c>
      <c r="D1035" s="3">
        <v>44653</v>
      </c>
      <c r="E1035">
        <v>4</v>
      </c>
    </row>
    <row r="1036" spans="1:5" x14ac:dyDescent="0.25">
      <c r="A1036">
        <v>42</v>
      </c>
      <c r="B1036">
        <v>620</v>
      </c>
      <c r="C1036" s="3">
        <v>44635</v>
      </c>
      <c r="D1036" s="3">
        <v>44638</v>
      </c>
      <c r="E1036">
        <v>1</v>
      </c>
    </row>
    <row r="1037" spans="1:5" x14ac:dyDescent="0.25">
      <c r="A1037">
        <v>142</v>
      </c>
      <c r="B1037">
        <v>752</v>
      </c>
      <c r="C1037" s="3">
        <v>44635</v>
      </c>
      <c r="D1037" s="3">
        <v>44679</v>
      </c>
      <c r="E1037">
        <v>8</v>
      </c>
    </row>
    <row r="1038" spans="1:5" x14ac:dyDescent="0.25">
      <c r="A1038">
        <v>285</v>
      </c>
      <c r="B1038">
        <v>694</v>
      </c>
      <c r="C1038" s="3">
        <v>44635</v>
      </c>
      <c r="D1038" s="3">
        <v>44638</v>
      </c>
      <c r="E1038">
        <v>2</v>
      </c>
    </row>
    <row r="1039" spans="1:5" x14ac:dyDescent="0.25">
      <c r="A1039">
        <v>328</v>
      </c>
      <c r="B1039">
        <v>620</v>
      </c>
      <c r="C1039" s="3">
        <v>44635</v>
      </c>
      <c r="D1039" s="3">
        <v>44639</v>
      </c>
      <c r="E1039">
        <v>8</v>
      </c>
    </row>
    <row r="1040" spans="1:5" x14ac:dyDescent="0.25">
      <c r="A1040">
        <v>331</v>
      </c>
      <c r="B1040">
        <v>398</v>
      </c>
      <c r="C1040" s="3">
        <v>44635</v>
      </c>
      <c r="D1040" s="3">
        <v>44651</v>
      </c>
      <c r="E1040">
        <v>6</v>
      </c>
    </row>
    <row r="1041" spans="1:5" x14ac:dyDescent="0.25">
      <c r="A1041">
        <v>338</v>
      </c>
      <c r="B1041">
        <v>668</v>
      </c>
      <c r="C1041" s="3">
        <v>44635</v>
      </c>
      <c r="D1041" s="3">
        <v>44648</v>
      </c>
      <c r="E1041">
        <v>6</v>
      </c>
    </row>
    <row r="1042" spans="1:5" x14ac:dyDescent="0.25">
      <c r="A1042">
        <v>364</v>
      </c>
      <c r="B1042">
        <v>398</v>
      </c>
      <c r="C1042" s="3">
        <v>44635</v>
      </c>
      <c r="D1042" s="3">
        <v>44653</v>
      </c>
      <c r="E1042">
        <v>9</v>
      </c>
    </row>
    <row r="1043" spans="1:5" x14ac:dyDescent="0.25">
      <c r="A1043">
        <v>364</v>
      </c>
      <c r="B1043">
        <v>711</v>
      </c>
      <c r="C1043" s="3">
        <v>44635</v>
      </c>
      <c r="D1043" s="3">
        <v>44658</v>
      </c>
      <c r="E1043">
        <v>3</v>
      </c>
    </row>
    <row r="1044" spans="1:5" x14ac:dyDescent="0.25">
      <c r="A1044">
        <v>489</v>
      </c>
      <c r="B1044">
        <v>758</v>
      </c>
      <c r="C1044" s="3">
        <v>44635</v>
      </c>
      <c r="D1044" s="3">
        <v>44668</v>
      </c>
      <c r="E1044">
        <v>7</v>
      </c>
    </row>
    <row r="1045" spans="1:5" x14ac:dyDescent="0.25">
      <c r="A1045">
        <v>531</v>
      </c>
      <c r="B1045">
        <v>852</v>
      </c>
      <c r="C1045" s="3">
        <v>44635</v>
      </c>
      <c r="D1045" s="3">
        <v>44660</v>
      </c>
      <c r="E1045">
        <v>3</v>
      </c>
    </row>
    <row r="1046" spans="1:5" x14ac:dyDescent="0.25">
      <c r="A1046">
        <v>557</v>
      </c>
      <c r="B1046">
        <v>745</v>
      </c>
      <c r="C1046" s="3">
        <v>44635</v>
      </c>
      <c r="D1046" s="3">
        <v>44673</v>
      </c>
      <c r="E1046">
        <v>10</v>
      </c>
    </row>
    <row r="1047" spans="1:5" x14ac:dyDescent="0.25">
      <c r="A1047">
        <v>586</v>
      </c>
      <c r="B1047">
        <v>725</v>
      </c>
      <c r="C1047" s="3">
        <v>44635</v>
      </c>
      <c r="D1047" s="3">
        <v>44639</v>
      </c>
      <c r="E1047">
        <v>3</v>
      </c>
    </row>
    <row r="1048" spans="1:5" x14ac:dyDescent="0.25">
      <c r="A1048">
        <v>747</v>
      </c>
      <c r="B1048">
        <v>699</v>
      </c>
      <c r="C1048" s="3">
        <v>44635</v>
      </c>
      <c r="D1048" s="3">
        <v>44672</v>
      </c>
      <c r="E1048">
        <v>6</v>
      </c>
    </row>
    <row r="1049" spans="1:5" x14ac:dyDescent="0.25">
      <c r="A1049">
        <v>758</v>
      </c>
      <c r="B1049">
        <v>812</v>
      </c>
      <c r="C1049" s="3">
        <v>44635</v>
      </c>
      <c r="D1049" s="3">
        <v>44661</v>
      </c>
      <c r="E1049">
        <v>1</v>
      </c>
    </row>
    <row r="1050" spans="1:5" x14ac:dyDescent="0.25">
      <c r="A1050">
        <v>972</v>
      </c>
      <c r="B1050">
        <v>778</v>
      </c>
      <c r="C1050" s="3">
        <v>44635</v>
      </c>
      <c r="D1050" s="3">
        <v>44659</v>
      </c>
      <c r="E1050">
        <v>1</v>
      </c>
    </row>
    <row r="1051" spans="1:5" x14ac:dyDescent="0.25">
      <c r="A1051">
        <v>47</v>
      </c>
      <c r="B1051">
        <v>826</v>
      </c>
      <c r="C1051" s="3">
        <v>44636</v>
      </c>
      <c r="D1051" s="3">
        <v>44674</v>
      </c>
      <c r="E1051">
        <v>8</v>
      </c>
    </row>
    <row r="1052" spans="1:5" x14ac:dyDescent="0.25">
      <c r="A1052">
        <v>190</v>
      </c>
      <c r="B1052">
        <v>707</v>
      </c>
      <c r="C1052" s="3">
        <v>44636</v>
      </c>
      <c r="D1052" s="3">
        <v>44678</v>
      </c>
      <c r="E1052">
        <v>8</v>
      </c>
    </row>
    <row r="1053" spans="1:5" x14ac:dyDescent="0.25">
      <c r="A1053">
        <v>226</v>
      </c>
      <c r="B1053">
        <v>620</v>
      </c>
      <c r="C1053" s="3">
        <v>44636</v>
      </c>
      <c r="D1053" s="3">
        <v>44651</v>
      </c>
      <c r="E1053">
        <v>3</v>
      </c>
    </row>
    <row r="1054" spans="1:5" x14ac:dyDescent="0.25">
      <c r="A1054">
        <v>249</v>
      </c>
      <c r="B1054">
        <v>652</v>
      </c>
      <c r="C1054" s="3">
        <v>44636</v>
      </c>
      <c r="D1054" s="3">
        <v>44641</v>
      </c>
      <c r="E1054">
        <v>4</v>
      </c>
    </row>
    <row r="1055" spans="1:5" x14ac:dyDescent="0.25">
      <c r="A1055">
        <v>284</v>
      </c>
      <c r="B1055">
        <v>830</v>
      </c>
      <c r="C1055" s="3">
        <v>44636</v>
      </c>
      <c r="D1055" s="3">
        <v>44656</v>
      </c>
      <c r="E1055">
        <v>7</v>
      </c>
    </row>
    <row r="1056" spans="1:5" x14ac:dyDescent="0.25">
      <c r="A1056">
        <v>308</v>
      </c>
      <c r="B1056">
        <v>128</v>
      </c>
      <c r="C1056" s="3">
        <v>44636</v>
      </c>
      <c r="D1056" s="3">
        <v>44665</v>
      </c>
      <c r="E1056">
        <v>5</v>
      </c>
    </row>
    <row r="1057" spans="1:5" x14ac:dyDescent="0.25">
      <c r="A1057">
        <v>496</v>
      </c>
      <c r="B1057">
        <v>341</v>
      </c>
      <c r="C1057" s="3">
        <v>44636</v>
      </c>
      <c r="D1057" s="3">
        <v>44658</v>
      </c>
      <c r="E1057">
        <v>9</v>
      </c>
    </row>
    <row r="1058" spans="1:5" x14ac:dyDescent="0.25">
      <c r="A1058">
        <v>515</v>
      </c>
      <c r="B1058">
        <v>259</v>
      </c>
      <c r="C1058" s="3">
        <v>44636</v>
      </c>
      <c r="D1058" s="3">
        <v>44678</v>
      </c>
      <c r="E1058">
        <v>8</v>
      </c>
    </row>
    <row r="1059" spans="1:5" x14ac:dyDescent="0.25">
      <c r="A1059">
        <v>527</v>
      </c>
      <c r="B1059">
        <v>377</v>
      </c>
      <c r="C1059" s="3">
        <v>44636</v>
      </c>
      <c r="D1059" s="3">
        <v>44667</v>
      </c>
      <c r="E1059">
        <v>3</v>
      </c>
    </row>
    <row r="1060" spans="1:5" x14ac:dyDescent="0.25">
      <c r="A1060">
        <v>158</v>
      </c>
      <c r="B1060">
        <v>398</v>
      </c>
      <c r="C1060" s="3">
        <v>44637</v>
      </c>
      <c r="D1060" s="3">
        <v>44653</v>
      </c>
      <c r="E1060">
        <v>6</v>
      </c>
    </row>
    <row r="1061" spans="1:5" x14ac:dyDescent="0.25">
      <c r="A1061">
        <v>333</v>
      </c>
      <c r="B1061">
        <v>676</v>
      </c>
      <c r="C1061" s="3">
        <v>44637</v>
      </c>
      <c r="D1061" s="3">
        <v>44643</v>
      </c>
      <c r="E1061">
        <v>9</v>
      </c>
    </row>
    <row r="1062" spans="1:5" x14ac:dyDescent="0.25">
      <c r="A1062">
        <v>370</v>
      </c>
      <c r="B1062">
        <v>780</v>
      </c>
      <c r="C1062" s="3">
        <v>44637</v>
      </c>
      <c r="D1062" s="3">
        <v>44662</v>
      </c>
      <c r="E1062">
        <v>7</v>
      </c>
    </row>
    <row r="1063" spans="1:5" x14ac:dyDescent="0.25">
      <c r="A1063">
        <v>390</v>
      </c>
      <c r="B1063">
        <v>239</v>
      </c>
      <c r="C1063" s="3">
        <v>44637</v>
      </c>
      <c r="D1063" s="3">
        <v>44648</v>
      </c>
      <c r="E1063">
        <v>4</v>
      </c>
    </row>
    <row r="1064" spans="1:5" x14ac:dyDescent="0.25">
      <c r="A1064">
        <v>496</v>
      </c>
      <c r="B1064">
        <v>759</v>
      </c>
      <c r="C1064" s="3">
        <v>44637</v>
      </c>
      <c r="D1064" s="3">
        <v>44679</v>
      </c>
      <c r="E1064">
        <v>10</v>
      </c>
    </row>
    <row r="1065" spans="1:5" x14ac:dyDescent="0.25">
      <c r="A1065">
        <v>501</v>
      </c>
      <c r="B1065">
        <v>563</v>
      </c>
      <c r="C1065" s="3">
        <v>44637</v>
      </c>
      <c r="D1065" s="3">
        <v>44665</v>
      </c>
      <c r="E1065">
        <v>2</v>
      </c>
    </row>
    <row r="1066" spans="1:5" x14ac:dyDescent="0.25">
      <c r="A1066">
        <v>526</v>
      </c>
      <c r="B1066">
        <v>671</v>
      </c>
      <c r="C1066" s="3">
        <v>44637</v>
      </c>
      <c r="D1066" s="3">
        <v>44658</v>
      </c>
      <c r="E1066">
        <v>5</v>
      </c>
    </row>
    <row r="1067" spans="1:5" x14ac:dyDescent="0.25">
      <c r="A1067">
        <v>531</v>
      </c>
      <c r="B1067">
        <v>652</v>
      </c>
      <c r="C1067" s="3">
        <v>44637</v>
      </c>
      <c r="D1067" s="3">
        <v>44667</v>
      </c>
      <c r="E1067">
        <v>6</v>
      </c>
    </row>
    <row r="1068" spans="1:5" x14ac:dyDescent="0.25">
      <c r="A1068">
        <v>538</v>
      </c>
      <c r="B1068">
        <v>453</v>
      </c>
      <c r="C1068" s="3">
        <v>44637</v>
      </c>
      <c r="D1068" s="3">
        <v>44651</v>
      </c>
      <c r="E1068">
        <v>10</v>
      </c>
    </row>
    <row r="1069" spans="1:5" x14ac:dyDescent="0.25">
      <c r="A1069">
        <v>538</v>
      </c>
      <c r="B1069">
        <v>867</v>
      </c>
      <c r="C1069" s="3">
        <v>44637</v>
      </c>
      <c r="D1069" s="3">
        <v>44675</v>
      </c>
      <c r="E1069">
        <v>5</v>
      </c>
    </row>
    <row r="1070" spans="1:5" x14ac:dyDescent="0.25">
      <c r="A1070">
        <v>544</v>
      </c>
      <c r="B1070">
        <v>673</v>
      </c>
      <c r="C1070" s="3">
        <v>44637</v>
      </c>
      <c r="D1070" s="3">
        <v>44663</v>
      </c>
      <c r="E1070">
        <v>7</v>
      </c>
    </row>
    <row r="1071" spans="1:5" x14ac:dyDescent="0.25">
      <c r="A1071">
        <v>546</v>
      </c>
      <c r="B1071">
        <v>679</v>
      </c>
      <c r="C1071" s="3">
        <v>44637</v>
      </c>
      <c r="D1071" s="3">
        <v>44654</v>
      </c>
      <c r="E1071">
        <v>1</v>
      </c>
    </row>
    <row r="1072" spans="1:5" x14ac:dyDescent="0.25">
      <c r="A1072">
        <v>611</v>
      </c>
      <c r="B1072">
        <v>377</v>
      </c>
      <c r="C1072" s="3">
        <v>44637</v>
      </c>
      <c r="D1072" s="3">
        <v>44643</v>
      </c>
      <c r="E1072">
        <v>1</v>
      </c>
    </row>
    <row r="1073" spans="1:5" x14ac:dyDescent="0.25">
      <c r="A1073">
        <v>659</v>
      </c>
      <c r="B1073">
        <v>689</v>
      </c>
      <c r="C1073" s="3">
        <v>44637</v>
      </c>
      <c r="D1073" s="3">
        <v>44665</v>
      </c>
      <c r="E1073">
        <v>6</v>
      </c>
    </row>
    <row r="1074" spans="1:5" x14ac:dyDescent="0.25">
      <c r="A1074">
        <v>983</v>
      </c>
      <c r="B1074">
        <v>341</v>
      </c>
      <c r="C1074" s="3">
        <v>44637</v>
      </c>
      <c r="D1074" s="3">
        <v>44645</v>
      </c>
      <c r="E1074">
        <v>4</v>
      </c>
    </row>
    <row r="1075" spans="1:5" x14ac:dyDescent="0.25">
      <c r="A1075">
        <v>22</v>
      </c>
      <c r="B1075">
        <v>787</v>
      </c>
      <c r="C1075" s="3">
        <v>44638</v>
      </c>
      <c r="D1075" s="3">
        <v>44674</v>
      </c>
      <c r="E1075">
        <v>5</v>
      </c>
    </row>
    <row r="1076" spans="1:5" x14ac:dyDescent="0.25">
      <c r="A1076">
        <v>139</v>
      </c>
      <c r="B1076">
        <v>703</v>
      </c>
      <c r="C1076" s="3">
        <v>44638</v>
      </c>
      <c r="D1076" s="3">
        <v>44670</v>
      </c>
      <c r="E1076">
        <v>4</v>
      </c>
    </row>
    <row r="1077" spans="1:5" x14ac:dyDescent="0.25">
      <c r="A1077">
        <v>141</v>
      </c>
      <c r="B1077">
        <v>418</v>
      </c>
      <c r="C1077" s="3">
        <v>44638</v>
      </c>
      <c r="D1077" s="3">
        <v>44660</v>
      </c>
      <c r="E1077">
        <v>2</v>
      </c>
    </row>
    <row r="1078" spans="1:5" x14ac:dyDescent="0.25">
      <c r="A1078">
        <v>200</v>
      </c>
      <c r="B1078">
        <v>259</v>
      </c>
      <c r="C1078" s="3">
        <v>44638</v>
      </c>
      <c r="D1078" s="3">
        <v>44670</v>
      </c>
      <c r="E1078">
        <v>9</v>
      </c>
    </row>
    <row r="1079" spans="1:5" x14ac:dyDescent="0.25">
      <c r="A1079">
        <v>200</v>
      </c>
      <c r="B1079">
        <v>668</v>
      </c>
      <c r="C1079" s="3">
        <v>44638</v>
      </c>
      <c r="D1079" s="3">
        <v>44679</v>
      </c>
      <c r="E1079">
        <v>1</v>
      </c>
    </row>
    <row r="1080" spans="1:5" x14ac:dyDescent="0.25">
      <c r="A1080">
        <v>249</v>
      </c>
      <c r="B1080">
        <v>762</v>
      </c>
      <c r="C1080" s="3">
        <v>44638</v>
      </c>
      <c r="D1080" s="3">
        <v>44657</v>
      </c>
      <c r="E1080">
        <v>8</v>
      </c>
    </row>
    <row r="1081" spans="1:5" x14ac:dyDescent="0.25">
      <c r="A1081">
        <v>328</v>
      </c>
      <c r="B1081">
        <v>374</v>
      </c>
      <c r="C1081" s="3">
        <v>44638</v>
      </c>
      <c r="D1081" s="3">
        <v>44669</v>
      </c>
      <c r="E1081">
        <v>8</v>
      </c>
    </row>
    <row r="1082" spans="1:5" x14ac:dyDescent="0.25">
      <c r="A1082">
        <v>364</v>
      </c>
      <c r="B1082">
        <v>719</v>
      </c>
      <c r="C1082" s="3">
        <v>44638</v>
      </c>
      <c r="D1082" s="3">
        <v>44663</v>
      </c>
      <c r="E1082">
        <v>8</v>
      </c>
    </row>
    <row r="1083" spans="1:5" x14ac:dyDescent="0.25">
      <c r="A1083">
        <v>515</v>
      </c>
      <c r="B1083">
        <v>813</v>
      </c>
      <c r="C1083" s="3">
        <v>44638</v>
      </c>
      <c r="D1083" s="3">
        <v>44668</v>
      </c>
      <c r="E1083">
        <v>2</v>
      </c>
    </row>
    <row r="1084" spans="1:5" x14ac:dyDescent="0.25">
      <c r="A1084">
        <v>580</v>
      </c>
      <c r="B1084">
        <v>373</v>
      </c>
      <c r="C1084" s="3">
        <v>44638</v>
      </c>
      <c r="D1084" s="3">
        <v>44674</v>
      </c>
      <c r="E1084">
        <v>2</v>
      </c>
    </row>
    <row r="1085" spans="1:5" x14ac:dyDescent="0.25">
      <c r="A1085">
        <v>609</v>
      </c>
      <c r="B1085">
        <v>316</v>
      </c>
      <c r="C1085" s="3">
        <v>44638</v>
      </c>
      <c r="D1085" s="3">
        <v>44653</v>
      </c>
      <c r="E1085">
        <v>1</v>
      </c>
    </row>
    <row r="1086" spans="1:5" x14ac:dyDescent="0.25">
      <c r="A1086">
        <v>643</v>
      </c>
      <c r="B1086">
        <v>757</v>
      </c>
      <c r="C1086" s="3">
        <v>44638</v>
      </c>
      <c r="D1086" s="3">
        <v>44661</v>
      </c>
      <c r="E1086">
        <v>5</v>
      </c>
    </row>
    <row r="1087" spans="1:5" x14ac:dyDescent="0.25">
      <c r="A1087">
        <v>784</v>
      </c>
      <c r="B1087">
        <v>671</v>
      </c>
      <c r="C1087" s="3">
        <v>44638</v>
      </c>
      <c r="D1087" s="3">
        <v>44675</v>
      </c>
      <c r="E1087">
        <v>6</v>
      </c>
    </row>
    <row r="1088" spans="1:5" x14ac:dyDescent="0.25">
      <c r="A1088">
        <v>823</v>
      </c>
      <c r="B1088">
        <v>374</v>
      </c>
      <c r="C1088" s="3">
        <v>44638</v>
      </c>
      <c r="D1088" s="3">
        <v>44655</v>
      </c>
      <c r="E1088">
        <v>8</v>
      </c>
    </row>
    <row r="1089" spans="1:5" x14ac:dyDescent="0.25">
      <c r="A1089">
        <v>923</v>
      </c>
      <c r="B1089">
        <v>515</v>
      </c>
      <c r="C1089" s="3">
        <v>44638</v>
      </c>
      <c r="D1089" s="3">
        <v>44663</v>
      </c>
      <c r="E1089">
        <v>2</v>
      </c>
    </row>
    <row r="1090" spans="1:5" x14ac:dyDescent="0.25">
      <c r="A1090">
        <v>42</v>
      </c>
      <c r="B1090">
        <v>689</v>
      </c>
      <c r="C1090" s="3">
        <v>44639</v>
      </c>
      <c r="D1090" s="3">
        <v>44671</v>
      </c>
      <c r="E1090">
        <v>9</v>
      </c>
    </row>
    <row r="1091" spans="1:5" x14ac:dyDescent="0.25">
      <c r="A1091">
        <v>47</v>
      </c>
      <c r="B1091">
        <v>702</v>
      </c>
      <c r="C1091" s="3">
        <v>44639</v>
      </c>
      <c r="D1091" s="3">
        <v>44654</v>
      </c>
      <c r="E1091">
        <v>5</v>
      </c>
    </row>
    <row r="1092" spans="1:5" x14ac:dyDescent="0.25">
      <c r="A1092">
        <v>158</v>
      </c>
      <c r="B1092">
        <v>689</v>
      </c>
      <c r="C1092" s="3">
        <v>44639</v>
      </c>
      <c r="D1092" s="3">
        <v>44654</v>
      </c>
      <c r="E1092">
        <v>3</v>
      </c>
    </row>
    <row r="1093" spans="1:5" x14ac:dyDescent="0.25">
      <c r="A1093">
        <v>232</v>
      </c>
      <c r="B1093">
        <v>813</v>
      </c>
      <c r="C1093" s="3">
        <v>44639</v>
      </c>
      <c r="D1093" s="3">
        <v>44658</v>
      </c>
      <c r="E1093">
        <v>3</v>
      </c>
    </row>
    <row r="1094" spans="1:5" x14ac:dyDescent="0.25">
      <c r="A1094">
        <v>296</v>
      </c>
      <c r="B1094">
        <v>436</v>
      </c>
      <c r="C1094" s="3">
        <v>44639</v>
      </c>
      <c r="D1094" s="3">
        <v>44643</v>
      </c>
      <c r="E1094">
        <v>10</v>
      </c>
    </row>
    <row r="1095" spans="1:5" x14ac:dyDescent="0.25">
      <c r="A1095">
        <v>308</v>
      </c>
      <c r="B1095">
        <v>213</v>
      </c>
      <c r="C1095" s="3">
        <v>44639</v>
      </c>
      <c r="D1095" s="3">
        <v>44658</v>
      </c>
      <c r="E1095">
        <v>6</v>
      </c>
    </row>
    <row r="1096" spans="1:5" x14ac:dyDescent="0.25">
      <c r="A1096">
        <v>328</v>
      </c>
      <c r="B1096">
        <v>813</v>
      </c>
      <c r="C1096" s="3">
        <v>44639</v>
      </c>
      <c r="D1096" s="3">
        <v>44647</v>
      </c>
      <c r="E1096">
        <v>4</v>
      </c>
    </row>
    <row r="1097" spans="1:5" x14ac:dyDescent="0.25">
      <c r="A1097">
        <v>416</v>
      </c>
      <c r="B1097">
        <v>590</v>
      </c>
      <c r="C1097" s="3">
        <v>44639</v>
      </c>
      <c r="D1097" s="3">
        <v>44671</v>
      </c>
      <c r="E1097">
        <v>4</v>
      </c>
    </row>
    <row r="1098" spans="1:5" x14ac:dyDescent="0.25">
      <c r="A1098">
        <v>467</v>
      </c>
      <c r="B1098">
        <v>164</v>
      </c>
      <c r="C1098" s="3">
        <v>44639</v>
      </c>
      <c r="D1098" s="3">
        <v>44660</v>
      </c>
      <c r="E1098">
        <v>10</v>
      </c>
    </row>
    <row r="1099" spans="1:5" x14ac:dyDescent="0.25">
      <c r="A1099">
        <v>468</v>
      </c>
      <c r="B1099">
        <v>780</v>
      </c>
      <c r="C1099" s="3">
        <v>44639</v>
      </c>
      <c r="D1099" s="3">
        <v>44644</v>
      </c>
      <c r="E1099">
        <v>3</v>
      </c>
    </row>
    <row r="1100" spans="1:5" x14ac:dyDescent="0.25">
      <c r="A1100">
        <v>634</v>
      </c>
      <c r="B1100">
        <v>145</v>
      </c>
      <c r="C1100" s="3">
        <v>44639</v>
      </c>
      <c r="D1100" s="3">
        <v>44672</v>
      </c>
      <c r="E1100">
        <v>2</v>
      </c>
    </row>
    <row r="1101" spans="1:5" x14ac:dyDescent="0.25">
      <c r="A1101">
        <v>827</v>
      </c>
      <c r="B1101">
        <v>196</v>
      </c>
      <c r="C1101" s="3">
        <v>44639</v>
      </c>
      <c r="D1101" s="3">
        <v>44680</v>
      </c>
      <c r="E1101">
        <v>7</v>
      </c>
    </row>
    <row r="1102" spans="1:5" x14ac:dyDescent="0.25">
      <c r="A1102">
        <v>843</v>
      </c>
      <c r="B1102">
        <v>805</v>
      </c>
      <c r="C1102" s="3">
        <v>44639</v>
      </c>
      <c r="D1102" s="3">
        <v>44675</v>
      </c>
      <c r="E1102">
        <v>4</v>
      </c>
    </row>
    <row r="1103" spans="1:5" x14ac:dyDescent="0.25">
      <c r="A1103">
        <v>22</v>
      </c>
      <c r="B1103">
        <v>418</v>
      </c>
      <c r="C1103" s="3">
        <v>44640</v>
      </c>
      <c r="D1103" s="3">
        <v>44683</v>
      </c>
      <c r="E1103">
        <v>1</v>
      </c>
    </row>
    <row r="1104" spans="1:5" x14ac:dyDescent="0.25">
      <c r="A1104">
        <v>46</v>
      </c>
      <c r="B1104">
        <v>812</v>
      </c>
      <c r="C1104" s="3">
        <v>44640</v>
      </c>
      <c r="D1104" s="3">
        <v>44647</v>
      </c>
      <c r="E1104">
        <v>5</v>
      </c>
    </row>
    <row r="1105" spans="1:5" x14ac:dyDescent="0.25">
      <c r="A1105">
        <v>55</v>
      </c>
      <c r="B1105">
        <v>747</v>
      </c>
      <c r="C1105" s="3">
        <v>44640</v>
      </c>
      <c r="D1105" s="3">
        <v>44681</v>
      </c>
      <c r="E1105">
        <v>6</v>
      </c>
    </row>
    <row r="1106" spans="1:5" x14ac:dyDescent="0.25">
      <c r="A1106">
        <v>158</v>
      </c>
      <c r="B1106">
        <v>164</v>
      </c>
      <c r="C1106" s="3">
        <v>44640</v>
      </c>
      <c r="D1106" s="3">
        <v>44655</v>
      </c>
      <c r="E1106">
        <v>9</v>
      </c>
    </row>
    <row r="1107" spans="1:5" x14ac:dyDescent="0.25">
      <c r="A1107">
        <v>226</v>
      </c>
      <c r="B1107">
        <v>213</v>
      </c>
      <c r="C1107" s="3">
        <v>44640</v>
      </c>
      <c r="D1107" s="3">
        <v>44649</v>
      </c>
      <c r="E1107">
        <v>10</v>
      </c>
    </row>
    <row r="1108" spans="1:5" x14ac:dyDescent="0.25">
      <c r="A1108">
        <v>296</v>
      </c>
      <c r="B1108">
        <v>583</v>
      </c>
      <c r="C1108" s="3">
        <v>44640</v>
      </c>
      <c r="D1108" s="3">
        <v>44653</v>
      </c>
      <c r="E1108">
        <v>3</v>
      </c>
    </row>
    <row r="1109" spans="1:5" x14ac:dyDescent="0.25">
      <c r="A1109">
        <v>364</v>
      </c>
      <c r="B1109">
        <v>694</v>
      </c>
      <c r="C1109" s="3">
        <v>44640</v>
      </c>
      <c r="D1109" s="3">
        <v>44643</v>
      </c>
      <c r="E1109">
        <v>9</v>
      </c>
    </row>
    <row r="1110" spans="1:5" x14ac:dyDescent="0.25">
      <c r="A1110">
        <v>448</v>
      </c>
      <c r="B1110">
        <v>620</v>
      </c>
      <c r="C1110" s="3">
        <v>44640</v>
      </c>
      <c r="D1110" s="3">
        <v>44683</v>
      </c>
      <c r="E1110">
        <v>8</v>
      </c>
    </row>
    <row r="1111" spans="1:5" x14ac:dyDescent="0.25">
      <c r="A1111">
        <v>500</v>
      </c>
      <c r="B1111">
        <v>813</v>
      </c>
      <c r="C1111" s="3">
        <v>44640</v>
      </c>
      <c r="D1111" s="3">
        <v>44660</v>
      </c>
      <c r="E1111">
        <v>3</v>
      </c>
    </row>
    <row r="1112" spans="1:5" x14ac:dyDescent="0.25">
      <c r="A1112">
        <v>526</v>
      </c>
      <c r="B1112">
        <v>812</v>
      </c>
      <c r="C1112" s="3">
        <v>44640</v>
      </c>
      <c r="D1112" s="3">
        <v>44652</v>
      </c>
      <c r="E1112">
        <v>6</v>
      </c>
    </row>
    <row r="1113" spans="1:5" x14ac:dyDescent="0.25">
      <c r="A1113">
        <v>531</v>
      </c>
      <c r="B1113">
        <v>201</v>
      </c>
      <c r="C1113" s="3">
        <v>44640</v>
      </c>
      <c r="D1113" s="3">
        <v>44665</v>
      </c>
      <c r="E1113">
        <v>8</v>
      </c>
    </row>
    <row r="1114" spans="1:5" x14ac:dyDescent="0.25">
      <c r="A1114">
        <v>540</v>
      </c>
      <c r="B1114">
        <v>259</v>
      </c>
      <c r="C1114" s="3">
        <v>44640</v>
      </c>
      <c r="D1114" s="3">
        <v>44642</v>
      </c>
      <c r="E1114">
        <v>5</v>
      </c>
    </row>
    <row r="1115" spans="1:5" x14ac:dyDescent="0.25">
      <c r="A1115">
        <v>540</v>
      </c>
      <c r="B1115">
        <v>724</v>
      </c>
      <c r="C1115" s="3">
        <v>44640</v>
      </c>
      <c r="D1115" s="3">
        <v>44655</v>
      </c>
      <c r="E1115">
        <v>9</v>
      </c>
    </row>
    <row r="1116" spans="1:5" x14ac:dyDescent="0.25">
      <c r="A1116">
        <v>570</v>
      </c>
      <c r="B1116">
        <v>843</v>
      </c>
      <c r="C1116" s="3">
        <v>44640</v>
      </c>
      <c r="D1116" s="3">
        <v>44655</v>
      </c>
      <c r="E1116">
        <v>10</v>
      </c>
    </row>
    <row r="1117" spans="1:5" x14ac:dyDescent="0.25">
      <c r="A1117">
        <v>611</v>
      </c>
      <c r="B1117">
        <v>704</v>
      </c>
      <c r="C1117" s="3">
        <v>44640</v>
      </c>
      <c r="D1117" s="3">
        <v>44659</v>
      </c>
      <c r="E1117">
        <v>7</v>
      </c>
    </row>
    <row r="1118" spans="1:5" x14ac:dyDescent="0.25">
      <c r="A1118">
        <v>923</v>
      </c>
      <c r="B1118">
        <v>710</v>
      </c>
      <c r="C1118" s="3">
        <v>44640</v>
      </c>
      <c r="D1118" s="3">
        <v>44682</v>
      </c>
      <c r="E1118">
        <v>9</v>
      </c>
    </row>
    <row r="1119" spans="1:5" x14ac:dyDescent="0.25">
      <c r="A1119">
        <v>972</v>
      </c>
      <c r="B1119">
        <v>843</v>
      </c>
      <c r="C1119" s="3">
        <v>44640</v>
      </c>
      <c r="D1119" s="3">
        <v>44648</v>
      </c>
      <c r="E1119">
        <v>9</v>
      </c>
    </row>
    <row r="1120" spans="1:5" x14ac:dyDescent="0.25">
      <c r="A1120">
        <v>42</v>
      </c>
      <c r="B1120">
        <v>196</v>
      </c>
      <c r="C1120" s="3">
        <v>44641</v>
      </c>
      <c r="D1120" s="3">
        <v>44652</v>
      </c>
      <c r="E1120">
        <v>4</v>
      </c>
    </row>
    <row r="1121" spans="1:5" x14ac:dyDescent="0.25">
      <c r="A1121">
        <v>66</v>
      </c>
      <c r="B1121">
        <v>673</v>
      </c>
      <c r="C1121" s="3">
        <v>44641</v>
      </c>
      <c r="D1121" s="3">
        <v>44648</v>
      </c>
      <c r="E1121">
        <v>2</v>
      </c>
    </row>
    <row r="1122" spans="1:5" x14ac:dyDescent="0.25">
      <c r="A1122">
        <v>139</v>
      </c>
      <c r="B1122">
        <v>582</v>
      </c>
      <c r="C1122" s="3">
        <v>44641</v>
      </c>
      <c r="D1122" s="3">
        <v>44654</v>
      </c>
      <c r="E1122">
        <v>2</v>
      </c>
    </row>
    <row r="1123" spans="1:5" x14ac:dyDescent="0.25">
      <c r="A1123">
        <v>146</v>
      </c>
      <c r="B1123">
        <v>563</v>
      </c>
      <c r="C1123" s="3">
        <v>44641</v>
      </c>
      <c r="D1123" s="3">
        <v>44656</v>
      </c>
      <c r="E1123">
        <v>9</v>
      </c>
    </row>
    <row r="1124" spans="1:5" x14ac:dyDescent="0.25">
      <c r="A1124">
        <v>158</v>
      </c>
      <c r="B1124">
        <v>594</v>
      </c>
      <c r="C1124" s="3">
        <v>44641</v>
      </c>
      <c r="D1124" s="3">
        <v>44647</v>
      </c>
      <c r="E1124">
        <v>4</v>
      </c>
    </row>
    <row r="1125" spans="1:5" x14ac:dyDescent="0.25">
      <c r="A1125">
        <v>323</v>
      </c>
      <c r="B1125">
        <v>679</v>
      </c>
      <c r="C1125" s="3">
        <v>44641</v>
      </c>
      <c r="D1125" s="3">
        <v>44652</v>
      </c>
      <c r="E1125">
        <v>6</v>
      </c>
    </row>
    <row r="1126" spans="1:5" x14ac:dyDescent="0.25">
      <c r="A1126">
        <v>323</v>
      </c>
      <c r="B1126">
        <v>683</v>
      </c>
      <c r="C1126" s="3">
        <v>44641</v>
      </c>
      <c r="D1126" s="3">
        <v>44680</v>
      </c>
      <c r="E1126">
        <v>3</v>
      </c>
    </row>
    <row r="1127" spans="1:5" x14ac:dyDescent="0.25">
      <c r="A1127">
        <v>329</v>
      </c>
      <c r="B1127">
        <v>594</v>
      </c>
      <c r="C1127" s="3">
        <v>44641</v>
      </c>
      <c r="D1127" s="3">
        <v>44644</v>
      </c>
      <c r="E1127">
        <v>7</v>
      </c>
    </row>
    <row r="1128" spans="1:5" x14ac:dyDescent="0.25">
      <c r="A1128">
        <v>331</v>
      </c>
      <c r="B1128">
        <v>418</v>
      </c>
      <c r="C1128" s="3">
        <v>44641</v>
      </c>
      <c r="D1128" s="3">
        <v>44651</v>
      </c>
      <c r="E1128">
        <v>4</v>
      </c>
    </row>
    <row r="1129" spans="1:5" x14ac:dyDescent="0.25">
      <c r="A1129">
        <v>364</v>
      </c>
      <c r="B1129">
        <v>177</v>
      </c>
      <c r="C1129" s="3">
        <v>44641</v>
      </c>
      <c r="D1129" s="3">
        <v>44659</v>
      </c>
      <c r="E1129">
        <v>4</v>
      </c>
    </row>
    <row r="1130" spans="1:5" x14ac:dyDescent="0.25">
      <c r="A1130">
        <v>412</v>
      </c>
      <c r="B1130">
        <v>418</v>
      </c>
      <c r="C1130" s="3">
        <v>44641</v>
      </c>
      <c r="D1130" s="3">
        <v>44659</v>
      </c>
      <c r="E1130">
        <v>7</v>
      </c>
    </row>
    <row r="1131" spans="1:5" x14ac:dyDescent="0.25">
      <c r="A1131">
        <v>491</v>
      </c>
      <c r="B1131">
        <v>732</v>
      </c>
      <c r="C1131" s="3">
        <v>44641</v>
      </c>
      <c r="D1131" s="3">
        <v>44645</v>
      </c>
      <c r="E1131">
        <v>9</v>
      </c>
    </row>
    <row r="1132" spans="1:5" x14ac:dyDescent="0.25">
      <c r="A1132">
        <v>526</v>
      </c>
      <c r="B1132">
        <v>620</v>
      </c>
      <c r="C1132" s="3">
        <v>44641</v>
      </c>
      <c r="D1132" s="3">
        <v>44677</v>
      </c>
      <c r="E1132">
        <v>2</v>
      </c>
    </row>
    <row r="1133" spans="1:5" x14ac:dyDescent="0.25">
      <c r="A1133">
        <v>526</v>
      </c>
      <c r="B1133">
        <v>812</v>
      </c>
      <c r="C1133" s="3">
        <v>44641</v>
      </c>
      <c r="D1133" s="3">
        <v>44681</v>
      </c>
      <c r="E1133">
        <v>5</v>
      </c>
    </row>
    <row r="1134" spans="1:5" x14ac:dyDescent="0.25">
      <c r="A1134">
        <v>540</v>
      </c>
      <c r="B1134">
        <v>453</v>
      </c>
      <c r="C1134" s="3">
        <v>44641</v>
      </c>
      <c r="D1134" s="3">
        <v>44673</v>
      </c>
      <c r="E1134">
        <v>3</v>
      </c>
    </row>
    <row r="1135" spans="1:5" x14ac:dyDescent="0.25">
      <c r="A1135">
        <v>600</v>
      </c>
      <c r="B1135">
        <v>685</v>
      </c>
      <c r="C1135" s="3">
        <v>44641</v>
      </c>
      <c r="D1135" s="3">
        <v>44671</v>
      </c>
      <c r="E1135">
        <v>4</v>
      </c>
    </row>
    <row r="1136" spans="1:5" x14ac:dyDescent="0.25">
      <c r="A1136">
        <v>659</v>
      </c>
      <c r="B1136">
        <v>395</v>
      </c>
      <c r="C1136" s="3">
        <v>44641</v>
      </c>
      <c r="D1136" s="3">
        <v>44644</v>
      </c>
      <c r="E1136">
        <v>6</v>
      </c>
    </row>
    <row r="1137" spans="1:5" x14ac:dyDescent="0.25">
      <c r="A1137">
        <v>66</v>
      </c>
      <c r="B1137">
        <v>530</v>
      </c>
      <c r="C1137" s="3">
        <v>44642</v>
      </c>
      <c r="D1137" s="3">
        <v>44679</v>
      </c>
      <c r="E1137">
        <v>1</v>
      </c>
    </row>
    <row r="1138" spans="1:5" x14ac:dyDescent="0.25">
      <c r="A1138">
        <v>81</v>
      </c>
      <c r="B1138">
        <v>583</v>
      </c>
      <c r="C1138" s="3">
        <v>44642</v>
      </c>
      <c r="D1138" s="3">
        <v>44677</v>
      </c>
      <c r="E1138">
        <v>6</v>
      </c>
    </row>
    <row r="1139" spans="1:5" x14ac:dyDescent="0.25">
      <c r="A1139">
        <v>158</v>
      </c>
      <c r="B1139">
        <v>464</v>
      </c>
      <c r="C1139" s="3">
        <v>44642</v>
      </c>
      <c r="D1139" s="3">
        <v>44667</v>
      </c>
      <c r="E1139">
        <v>4</v>
      </c>
    </row>
    <row r="1140" spans="1:5" x14ac:dyDescent="0.25">
      <c r="A1140">
        <v>249</v>
      </c>
      <c r="B1140">
        <v>177</v>
      </c>
      <c r="C1140" s="3">
        <v>44642</v>
      </c>
      <c r="D1140" s="3">
        <v>44676</v>
      </c>
      <c r="E1140">
        <v>8</v>
      </c>
    </row>
    <row r="1141" spans="1:5" x14ac:dyDescent="0.25">
      <c r="A1141">
        <v>362</v>
      </c>
      <c r="B1141">
        <v>196</v>
      </c>
      <c r="C1141" s="3">
        <v>44642</v>
      </c>
      <c r="D1141" s="3">
        <v>44676</v>
      </c>
      <c r="E1141">
        <v>6</v>
      </c>
    </row>
    <row r="1142" spans="1:5" x14ac:dyDescent="0.25">
      <c r="A1142">
        <v>370</v>
      </c>
      <c r="B1142">
        <v>374</v>
      </c>
      <c r="C1142" s="3">
        <v>44642</v>
      </c>
      <c r="D1142" s="3">
        <v>44663</v>
      </c>
      <c r="E1142">
        <v>2</v>
      </c>
    </row>
    <row r="1143" spans="1:5" x14ac:dyDescent="0.25">
      <c r="A1143">
        <v>370</v>
      </c>
      <c r="B1143">
        <v>543</v>
      </c>
      <c r="C1143" s="3">
        <v>44642</v>
      </c>
      <c r="D1143" s="3">
        <v>44656</v>
      </c>
      <c r="E1143">
        <v>8</v>
      </c>
    </row>
    <row r="1144" spans="1:5" x14ac:dyDescent="0.25">
      <c r="A1144">
        <v>370</v>
      </c>
      <c r="B1144">
        <v>607</v>
      </c>
      <c r="C1144" s="3">
        <v>44642</v>
      </c>
      <c r="D1144" s="3">
        <v>44657</v>
      </c>
      <c r="E1144">
        <v>7</v>
      </c>
    </row>
    <row r="1145" spans="1:5" x14ac:dyDescent="0.25">
      <c r="A1145">
        <v>390</v>
      </c>
      <c r="B1145">
        <v>685</v>
      </c>
      <c r="C1145" s="3">
        <v>44642</v>
      </c>
      <c r="D1145" s="3">
        <v>44657</v>
      </c>
      <c r="E1145">
        <v>3</v>
      </c>
    </row>
    <row r="1146" spans="1:5" x14ac:dyDescent="0.25">
      <c r="A1146">
        <v>412</v>
      </c>
      <c r="B1146">
        <v>515</v>
      </c>
      <c r="C1146" s="3">
        <v>44642</v>
      </c>
      <c r="D1146" s="3">
        <v>44668</v>
      </c>
      <c r="E1146">
        <v>2</v>
      </c>
    </row>
    <row r="1147" spans="1:5" x14ac:dyDescent="0.25">
      <c r="A1147">
        <v>568</v>
      </c>
      <c r="B1147">
        <v>711</v>
      </c>
      <c r="C1147" s="3">
        <v>44642</v>
      </c>
      <c r="D1147" s="3">
        <v>44645</v>
      </c>
      <c r="E1147">
        <v>4</v>
      </c>
    </row>
    <row r="1148" spans="1:5" x14ac:dyDescent="0.25">
      <c r="A1148">
        <v>568</v>
      </c>
      <c r="B1148">
        <v>724</v>
      </c>
      <c r="C1148" s="3">
        <v>44642</v>
      </c>
      <c r="D1148" s="3">
        <v>44647</v>
      </c>
      <c r="E1148">
        <v>3</v>
      </c>
    </row>
    <row r="1149" spans="1:5" x14ac:dyDescent="0.25">
      <c r="A1149">
        <v>580</v>
      </c>
      <c r="B1149">
        <v>563</v>
      </c>
      <c r="C1149" s="3">
        <v>44642</v>
      </c>
      <c r="D1149" s="3">
        <v>44648</v>
      </c>
      <c r="E1149">
        <v>6</v>
      </c>
    </row>
    <row r="1150" spans="1:5" x14ac:dyDescent="0.25">
      <c r="A1150">
        <v>611</v>
      </c>
      <c r="B1150">
        <v>719</v>
      </c>
      <c r="C1150" s="3">
        <v>44642</v>
      </c>
      <c r="D1150" s="3">
        <v>44660</v>
      </c>
      <c r="E1150">
        <v>6</v>
      </c>
    </row>
    <row r="1151" spans="1:5" x14ac:dyDescent="0.25">
      <c r="A1151">
        <v>972</v>
      </c>
      <c r="B1151">
        <v>530</v>
      </c>
      <c r="C1151" s="3">
        <v>44642</v>
      </c>
      <c r="D1151" s="3">
        <v>44679</v>
      </c>
      <c r="E1151">
        <v>9</v>
      </c>
    </row>
    <row r="1152" spans="1:5" x14ac:dyDescent="0.25">
      <c r="A1152">
        <v>972</v>
      </c>
      <c r="B1152">
        <v>805</v>
      </c>
      <c r="C1152" s="3">
        <v>44642</v>
      </c>
      <c r="D1152" s="3">
        <v>44675</v>
      </c>
      <c r="E1152">
        <v>4</v>
      </c>
    </row>
    <row r="1153" spans="1:5" x14ac:dyDescent="0.25">
      <c r="A1153">
        <v>22</v>
      </c>
      <c r="B1153">
        <v>398</v>
      </c>
      <c r="C1153" s="3">
        <v>44643</v>
      </c>
      <c r="D1153" s="3">
        <v>44648</v>
      </c>
      <c r="E1153">
        <v>7</v>
      </c>
    </row>
    <row r="1154" spans="1:5" x14ac:dyDescent="0.25">
      <c r="A1154">
        <v>112</v>
      </c>
      <c r="B1154">
        <v>683</v>
      </c>
      <c r="C1154" s="3">
        <v>44643</v>
      </c>
      <c r="D1154" s="3">
        <v>44660</v>
      </c>
      <c r="E1154">
        <v>5</v>
      </c>
    </row>
    <row r="1155" spans="1:5" x14ac:dyDescent="0.25">
      <c r="A1155">
        <v>141</v>
      </c>
      <c r="B1155">
        <v>594</v>
      </c>
      <c r="C1155" s="3">
        <v>44643</v>
      </c>
      <c r="D1155" s="3">
        <v>44657</v>
      </c>
      <c r="E1155">
        <v>9</v>
      </c>
    </row>
    <row r="1156" spans="1:5" x14ac:dyDescent="0.25">
      <c r="A1156">
        <v>142</v>
      </c>
      <c r="B1156">
        <v>780</v>
      </c>
      <c r="C1156" s="3">
        <v>44643</v>
      </c>
      <c r="D1156" s="3">
        <v>44662</v>
      </c>
      <c r="E1156">
        <v>10</v>
      </c>
    </row>
    <row r="1157" spans="1:5" x14ac:dyDescent="0.25">
      <c r="A1157">
        <v>544</v>
      </c>
      <c r="B1157">
        <v>853</v>
      </c>
      <c r="C1157" s="3">
        <v>44643</v>
      </c>
      <c r="D1157" s="3">
        <v>44649</v>
      </c>
      <c r="E1157">
        <v>3</v>
      </c>
    </row>
    <row r="1158" spans="1:5" x14ac:dyDescent="0.25">
      <c r="A1158">
        <v>567</v>
      </c>
      <c r="B1158">
        <v>778</v>
      </c>
      <c r="C1158" s="3">
        <v>44643</v>
      </c>
      <c r="D1158" s="3">
        <v>44662</v>
      </c>
      <c r="E1158">
        <v>5</v>
      </c>
    </row>
    <row r="1159" spans="1:5" x14ac:dyDescent="0.25">
      <c r="A1159">
        <v>580</v>
      </c>
      <c r="B1159">
        <v>259</v>
      </c>
      <c r="C1159" s="3">
        <v>44643</v>
      </c>
      <c r="D1159" s="3">
        <v>44652</v>
      </c>
      <c r="E1159">
        <v>10</v>
      </c>
    </row>
    <row r="1160" spans="1:5" x14ac:dyDescent="0.25">
      <c r="A1160">
        <v>611</v>
      </c>
      <c r="B1160">
        <v>711</v>
      </c>
      <c r="C1160" s="3">
        <v>44643</v>
      </c>
      <c r="D1160" s="3">
        <v>44659</v>
      </c>
      <c r="E1160">
        <v>5</v>
      </c>
    </row>
    <row r="1161" spans="1:5" x14ac:dyDescent="0.25">
      <c r="A1161">
        <v>802</v>
      </c>
      <c r="B1161">
        <v>830</v>
      </c>
      <c r="C1161" s="3">
        <v>44643</v>
      </c>
      <c r="D1161" s="3">
        <v>44658</v>
      </c>
      <c r="E1161">
        <v>9</v>
      </c>
    </row>
    <row r="1162" spans="1:5" x14ac:dyDescent="0.25">
      <c r="A1162">
        <v>823</v>
      </c>
      <c r="B1162">
        <v>762</v>
      </c>
      <c r="C1162" s="3">
        <v>44643</v>
      </c>
      <c r="D1162" s="3">
        <v>44646</v>
      </c>
      <c r="E1162">
        <v>6</v>
      </c>
    </row>
    <row r="1163" spans="1:5" x14ac:dyDescent="0.25">
      <c r="A1163">
        <v>42</v>
      </c>
      <c r="B1163">
        <v>316</v>
      </c>
      <c r="C1163" s="3">
        <v>44644</v>
      </c>
      <c r="D1163" s="3">
        <v>44658</v>
      </c>
      <c r="E1163">
        <v>10</v>
      </c>
    </row>
    <row r="1164" spans="1:5" x14ac:dyDescent="0.25">
      <c r="A1164">
        <v>42</v>
      </c>
      <c r="B1164">
        <v>330</v>
      </c>
      <c r="C1164" s="3">
        <v>44644</v>
      </c>
      <c r="D1164" s="3">
        <v>44660</v>
      </c>
      <c r="E1164">
        <v>10</v>
      </c>
    </row>
    <row r="1165" spans="1:5" x14ac:dyDescent="0.25">
      <c r="A1165">
        <v>66</v>
      </c>
      <c r="B1165">
        <v>679</v>
      </c>
      <c r="C1165" s="3">
        <v>44644</v>
      </c>
      <c r="D1165" s="3">
        <v>44656</v>
      </c>
      <c r="E1165">
        <v>1</v>
      </c>
    </row>
    <row r="1166" spans="1:5" x14ac:dyDescent="0.25">
      <c r="A1166">
        <v>141</v>
      </c>
      <c r="B1166">
        <v>694</v>
      </c>
      <c r="C1166" s="3">
        <v>44644</v>
      </c>
      <c r="D1166" s="3">
        <v>44673</v>
      </c>
      <c r="E1166">
        <v>8</v>
      </c>
    </row>
    <row r="1167" spans="1:5" x14ac:dyDescent="0.25">
      <c r="A1167">
        <v>146</v>
      </c>
      <c r="B1167">
        <v>725</v>
      </c>
      <c r="C1167" s="3">
        <v>44644</v>
      </c>
      <c r="D1167" s="3">
        <v>44656</v>
      </c>
      <c r="E1167">
        <v>9</v>
      </c>
    </row>
    <row r="1168" spans="1:5" x14ac:dyDescent="0.25">
      <c r="A1168">
        <v>282</v>
      </c>
      <c r="B1168">
        <v>643</v>
      </c>
      <c r="C1168" s="3">
        <v>44644</v>
      </c>
      <c r="D1168" s="3">
        <v>44677</v>
      </c>
      <c r="E1168">
        <v>6</v>
      </c>
    </row>
    <row r="1169" spans="1:5" x14ac:dyDescent="0.25">
      <c r="A1169">
        <v>284</v>
      </c>
      <c r="B1169">
        <v>769</v>
      </c>
      <c r="C1169" s="3">
        <v>44644</v>
      </c>
      <c r="D1169" s="3">
        <v>44663</v>
      </c>
      <c r="E1169">
        <v>3</v>
      </c>
    </row>
    <row r="1170" spans="1:5" x14ac:dyDescent="0.25">
      <c r="A1170">
        <v>296</v>
      </c>
      <c r="B1170">
        <v>453</v>
      </c>
      <c r="C1170" s="3">
        <v>44644</v>
      </c>
      <c r="D1170" s="3">
        <v>44656</v>
      </c>
      <c r="E1170">
        <v>5</v>
      </c>
    </row>
    <row r="1171" spans="1:5" x14ac:dyDescent="0.25">
      <c r="A1171">
        <v>332</v>
      </c>
      <c r="B1171">
        <v>843</v>
      </c>
      <c r="C1171" s="3">
        <v>44644</v>
      </c>
      <c r="D1171" s="3">
        <v>44667</v>
      </c>
      <c r="E1171">
        <v>10</v>
      </c>
    </row>
    <row r="1172" spans="1:5" x14ac:dyDescent="0.25">
      <c r="A1172">
        <v>334</v>
      </c>
      <c r="B1172">
        <v>681</v>
      </c>
      <c r="C1172" s="3">
        <v>44644</v>
      </c>
      <c r="D1172" s="3">
        <v>44649</v>
      </c>
      <c r="E1172">
        <v>8</v>
      </c>
    </row>
    <row r="1173" spans="1:5" x14ac:dyDescent="0.25">
      <c r="A1173">
        <v>360</v>
      </c>
      <c r="B1173">
        <v>679</v>
      </c>
      <c r="C1173" s="3">
        <v>44644</v>
      </c>
      <c r="D1173" s="3">
        <v>44663</v>
      </c>
      <c r="E1173">
        <v>2</v>
      </c>
    </row>
    <row r="1174" spans="1:5" x14ac:dyDescent="0.25">
      <c r="A1174">
        <v>501</v>
      </c>
      <c r="B1174">
        <v>583</v>
      </c>
      <c r="C1174" s="3">
        <v>44644</v>
      </c>
      <c r="D1174" s="3">
        <v>44665</v>
      </c>
      <c r="E1174">
        <v>7</v>
      </c>
    </row>
    <row r="1175" spans="1:5" x14ac:dyDescent="0.25">
      <c r="A1175">
        <v>540</v>
      </c>
      <c r="B1175">
        <v>259</v>
      </c>
      <c r="C1175" s="3">
        <v>44644</v>
      </c>
      <c r="D1175" s="3">
        <v>44649</v>
      </c>
      <c r="E1175">
        <v>2</v>
      </c>
    </row>
    <row r="1176" spans="1:5" x14ac:dyDescent="0.25">
      <c r="A1176">
        <v>651</v>
      </c>
      <c r="B1176">
        <v>643</v>
      </c>
      <c r="C1176" s="3">
        <v>44644</v>
      </c>
      <c r="D1176" s="3">
        <v>44661</v>
      </c>
      <c r="E1176">
        <v>3</v>
      </c>
    </row>
    <row r="1177" spans="1:5" x14ac:dyDescent="0.25">
      <c r="A1177">
        <v>802</v>
      </c>
      <c r="B1177">
        <v>177</v>
      </c>
      <c r="C1177" s="3">
        <v>44644</v>
      </c>
      <c r="D1177" s="3">
        <v>44663</v>
      </c>
      <c r="E1177">
        <v>8</v>
      </c>
    </row>
    <row r="1178" spans="1:5" x14ac:dyDescent="0.25">
      <c r="A1178">
        <v>112</v>
      </c>
      <c r="B1178">
        <v>725</v>
      </c>
      <c r="C1178" s="3">
        <v>44645</v>
      </c>
      <c r="D1178" s="3">
        <v>44657</v>
      </c>
      <c r="E1178">
        <v>1</v>
      </c>
    </row>
    <row r="1179" spans="1:5" x14ac:dyDescent="0.25">
      <c r="A1179">
        <v>158</v>
      </c>
      <c r="B1179">
        <v>671</v>
      </c>
      <c r="C1179" s="3">
        <v>44645</v>
      </c>
      <c r="D1179" s="3">
        <v>44661</v>
      </c>
      <c r="E1179">
        <v>7</v>
      </c>
    </row>
    <row r="1180" spans="1:5" x14ac:dyDescent="0.25">
      <c r="A1180">
        <v>330</v>
      </c>
      <c r="B1180">
        <v>757</v>
      </c>
      <c r="C1180" s="3">
        <v>44645</v>
      </c>
      <c r="D1180" s="3">
        <v>44659</v>
      </c>
      <c r="E1180">
        <v>8</v>
      </c>
    </row>
    <row r="1181" spans="1:5" x14ac:dyDescent="0.25">
      <c r="A1181">
        <v>491</v>
      </c>
      <c r="B1181">
        <v>436</v>
      </c>
      <c r="C1181" s="3">
        <v>44645</v>
      </c>
      <c r="D1181" s="3">
        <v>44679</v>
      </c>
      <c r="E1181">
        <v>7</v>
      </c>
    </row>
    <row r="1182" spans="1:5" x14ac:dyDescent="0.25">
      <c r="A1182">
        <v>501</v>
      </c>
      <c r="B1182">
        <v>689</v>
      </c>
      <c r="C1182" s="3">
        <v>44645</v>
      </c>
      <c r="D1182" s="3">
        <v>44663</v>
      </c>
      <c r="E1182">
        <v>10</v>
      </c>
    </row>
    <row r="1183" spans="1:5" x14ac:dyDescent="0.25">
      <c r="A1183">
        <v>557</v>
      </c>
      <c r="B1183">
        <v>667</v>
      </c>
      <c r="C1183" s="3">
        <v>44645</v>
      </c>
      <c r="D1183" s="3">
        <v>44657</v>
      </c>
      <c r="E1183">
        <v>7</v>
      </c>
    </row>
    <row r="1184" spans="1:5" x14ac:dyDescent="0.25">
      <c r="A1184">
        <v>586</v>
      </c>
      <c r="B1184">
        <v>186</v>
      </c>
      <c r="C1184" s="3">
        <v>44645</v>
      </c>
      <c r="D1184" s="3">
        <v>44678</v>
      </c>
      <c r="E1184">
        <v>4</v>
      </c>
    </row>
    <row r="1185" spans="1:5" x14ac:dyDescent="0.25">
      <c r="A1185">
        <v>600</v>
      </c>
      <c r="B1185">
        <v>719</v>
      </c>
      <c r="C1185" s="3">
        <v>44645</v>
      </c>
      <c r="D1185" s="3">
        <v>44651</v>
      </c>
      <c r="E1185">
        <v>7</v>
      </c>
    </row>
    <row r="1186" spans="1:5" x14ac:dyDescent="0.25">
      <c r="A1186">
        <v>657</v>
      </c>
      <c r="B1186">
        <v>752</v>
      </c>
      <c r="C1186" s="3">
        <v>44645</v>
      </c>
      <c r="D1186" s="3">
        <v>44662</v>
      </c>
      <c r="E1186">
        <v>1</v>
      </c>
    </row>
    <row r="1187" spans="1:5" x14ac:dyDescent="0.25">
      <c r="A1187">
        <v>657</v>
      </c>
      <c r="B1187">
        <v>787</v>
      </c>
      <c r="C1187" s="3">
        <v>44645</v>
      </c>
      <c r="D1187" s="3">
        <v>44671</v>
      </c>
      <c r="E1187">
        <v>7</v>
      </c>
    </row>
    <row r="1188" spans="1:5" x14ac:dyDescent="0.25">
      <c r="A1188">
        <v>843</v>
      </c>
      <c r="B1188">
        <v>652</v>
      </c>
      <c r="C1188" s="3">
        <v>44645</v>
      </c>
      <c r="D1188" s="3">
        <v>44678</v>
      </c>
      <c r="E1188">
        <v>6</v>
      </c>
    </row>
    <row r="1189" spans="1:5" x14ac:dyDescent="0.25">
      <c r="A1189">
        <v>923</v>
      </c>
      <c r="B1189">
        <v>341</v>
      </c>
      <c r="C1189" s="3">
        <v>44645</v>
      </c>
      <c r="D1189" s="3">
        <v>44671</v>
      </c>
      <c r="E1189">
        <v>1</v>
      </c>
    </row>
    <row r="1190" spans="1:5" x14ac:dyDescent="0.25">
      <c r="A1190">
        <v>81</v>
      </c>
      <c r="B1190">
        <v>177</v>
      </c>
      <c r="C1190" s="3">
        <v>44646</v>
      </c>
      <c r="D1190" s="3">
        <v>44686</v>
      </c>
      <c r="E1190">
        <v>8</v>
      </c>
    </row>
    <row r="1191" spans="1:5" x14ac:dyDescent="0.25">
      <c r="A1191">
        <v>150</v>
      </c>
      <c r="B1191">
        <v>792</v>
      </c>
      <c r="C1191" s="3">
        <v>44646</v>
      </c>
      <c r="D1191" s="3">
        <v>44653</v>
      </c>
      <c r="E1191">
        <v>4</v>
      </c>
    </row>
    <row r="1192" spans="1:5" x14ac:dyDescent="0.25">
      <c r="A1192">
        <v>180</v>
      </c>
      <c r="B1192">
        <v>667</v>
      </c>
      <c r="C1192" s="3">
        <v>44646</v>
      </c>
      <c r="D1192" s="3">
        <v>44686</v>
      </c>
      <c r="E1192">
        <v>8</v>
      </c>
    </row>
    <row r="1193" spans="1:5" x14ac:dyDescent="0.25">
      <c r="A1193">
        <v>302</v>
      </c>
      <c r="B1193">
        <v>762</v>
      </c>
      <c r="C1193" s="3">
        <v>44646</v>
      </c>
      <c r="D1193" s="3">
        <v>44658</v>
      </c>
      <c r="E1193">
        <v>1</v>
      </c>
    </row>
    <row r="1194" spans="1:5" x14ac:dyDescent="0.25">
      <c r="A1194">
        <v>328</v>
      </c>
      <c r="B1194">
        <v>395</v>
      </c>
      <c r="C1194" s="3">
        <v>44646</v>
      </c>
      <c r="D1194" s="3">
        <v>44673</v>
      </c>
      <c r="E1194">
        <v>5</v>
      </c>
    </row>
    <row r="1195" spans="1:5" x14ac:dyDescent="0.25">
      <c r="A1195">
        <v>328</v>
      </c>
      <c r="B1195">
        <v>585</v>
      </c>
      <c r="C1195" s="3">
        <v>44646</v>
      </c>
      <c r="D1195" s="3">
        <v>44661</v>
      </c>
      <c r="E1195">
        <v>10</v>
      </c>
    </row>
    <row r="1196" spans="1:5" x14ac:dyDescent="0.25">
      <c r="A1196">
        <v>333</v>
      </c>
      <c r="B1196">
        <v>852</v>
      </c>
      <c r="C1196" s="3">
        <v>44646</v>
      </c>
      <c r="D1196" s="3">
        <v>44683</v>
      </c>
      <c r="E1196">
        <v>6</v>
      </c>
    </row>
    <row r="1197" spans="1:5" x14ac:dyDescent="0.25">
      <c r="A1197">
        <v>467</v>
      </c>
      <c r="B1197">
        <v>826</v>
      </c>
      <c r="C1197" s="3">
        <v>44646</v>
      </c>
      <c r="D1197" s="3">
        <v>44663</v>
      </c>
      <c r="E1197">
        <v>10</v>
      </c>
    </row>
    <row r="1198" spans="1:5" x14ac:dyDescent="0.25">
      <c r="A1198">
        <v>501</v>
      </c>
      <c r="B1198">
        <v>711</v>
      </c>
      <c r="C1198" s="3">
        <v>44646</v>
      </c>
      <c r="D1198" s="3">
        <v>44660</v>
      </c>
      <c r="E1198">
        <v>1</v>
      </c>
    </row>
    <row r="1199" spans="1:5" x14ac:dyDescent="0.25">
      <c r="A1199">
        <v>526</v>
      </c>
      <c r="B1199">
        <v>769</v>
      </c>
      <c r="C1199" s="3">
        <v>44646</v>
      </c>
      <c r="D1199" s="3">
        <v>44689</v>
      </c>
      <c r="E1199">
        <v>4</v>
      </c>
    </row>
    <row r="1200" spans="1:5" x14ac:dyDescent="0.25">
      <c r="A1200">
        <v>557</v>
      </c>
      <c r="B1200">
        <v>643</v>
      </c>
      <c r="C1200" s="3">
        <v>44646</v>
      </c>
      <c r="D1200" s="3">
        <v>44671</v>
      </c>
      <c r="E1200">
        <v>6</v>
      </c>
    </row>
    <row r="1201" spans="1:5" x14ac:dyDescent="0.25">
      <c r="A1201">
        <v>657</v>
      </c>
      <c r="B1201">
        <v>620</v>
      </c>
      <c r="C1201" s="3">
        <v>44646</v>
      </c>
      <c r="D1201" s="3">
        <v>44687</v>
      </c>
      <c r="E1201">
        <v>10</v>
      </c>
    </row>
    <row r="1202" spans="1:5" x14ac:dyDescent="0.25">
      <c r="A1202">
        <v>659</v>
      </c>
      <c r="B1202">
        <v>464</v>
      </c>
      <c r="C1202" s="3">
        <v>44646</v>
      </c>
      <c r="D1202" s="3">
        <v>44667</v>
      </c>
      <c r="E1202">
        <v>8</v>
      </c>
    </row>
    <row r="1203" spans="1:5" x14ac:dyDescent="0.25">
      <c r="A1203">
        <v>669</v>
      </c>
      <c r="B1203">
        <v>704</v>
      </c>
      <c r="C1203" s="3">
        <v>44646</v>
      </c>
      <c r="D1203" s="3">
        <v>44662</v>
      </c>
      <c r="E1203">
        <v>1</v>
      </c>
    </row>
    <row r="1204" spans="1:5" x14ac:dyDescent="0.25">
      <c r="A1204">
        <v>758</v>
      </c>
      <c r="B1204">
        <v>186</v>
      </c>
      <c r="C1204" s="3">
        <v>44646</v>
      </c>
      <c r="D1204" s="3">
        <v>44659</v>
      </c>
      <c r="E1204">
        <v>3</v>
      </c>
    </row>
    <row r="1205" spans="1:5" x14ac:dyDescent="0.25">
      <c r="A1205">
        <v>841</v>
      </c>
      <c r="B1205">
        <v>377</v>
      </c>
      <c r="C1205" s="3">
        <v>44646</v>
      </c>
      <c r="D1205" s="3">
        <v>44686</v>
      </c>
      <c r="E1205">
        <v>10</v>
      </c>
    </row>
    <row r="1206" spans="1:5" x14ac:dyDescent="0.25">
      <c r="A1206">
        <v>983</v>
      </c>
      <c r="B1206">
        <v>186</v>
      </c>
      <c r="C1206" s="3">
        <v>44646</v>
      </c>
      <c r="D1206" s="3">
        <v>44690</v>
      </c>
      <c r="E1206">
        <v>3</v>
      </c>
    </row>
    <row r="1207" spans="1:5" x14ac:dyDescent="0.25">
      <c r="A1207">
        <v>983</v>
      </c>
      <c r="B1207">
        <v>580</v>
      </c>
      <c r="C1207" s="3">
        <v>44646</v>
      </c>
      <c r="D1207" s="3">
        <v>44688</v>
      </c>
      <c r="E1207">
        <v>1</v>
      </c>
    </row>
    <row r="1208" spans="1:5" x14ac:dyDescent="0.25">
      <c r="A1208">
        <v>81</v>
      </c>
      <c r="B1208">
        <v>826</v>
      </c>
      <c r="C1208" s="3">
        <v>44647</v>
      </c>
      <c r="D1208" s="3">
        <v>44653</v>
      </c>
      <c r="E1208">
        <v>1</v>
      </c>
    </row>
    <row r="1209" spans="1:5" x14ac:dyDescent="0.25">
      <c r="A1209">
        <v>139</v>
      </c>
      <c r="B1209">
        <v>358</v>
      </c>
      <c r="C1209" s="3">
        <v>44647</v>
      </c>
      <c r="D1209" s="3">
        <v>44680</v>
      </c>
      <c r="E1209">
        <v>8</v>
      </c>
    </row>
    <row r="1210" spans="1:5" x14ac:dyDescent="0.25">
      <c r="A1210">
        <v>312</v>
      </c>
      <c r="B1210">
        <v>685</v>
      </c>
      <c r="C1210" s="3">
        <v>44647</v>
      </c>
      <c r="D1210" s="3">
        <v>44668</v>
      </c>
      <c r="E1210">
        <v>5</v>
      </c>
    </row>
    <row r="1211" spans="1:5" x14ac:dyDescent="0.25">
      <c r="A1211">
        <v>323</v>
      </c>
      <c r="B1211">
        <v>582</v>
      </c>
      <c r="C1211" s="3">
        <v>44647</v>
      </c>
      <c r="D1211" s="3">
        <v>44661</v>
      </c>
      <c r="E1211">
        <v>7</v>
      </c>
    </row>
    <row r="1212" spans="1:5" x14ac:dyDescent="0.25">
      <c r="A1212">
        <v>331</v>
      </c>
      <c r="B1212">
        <v>282</v>
      </c>
      <c r="C1212" s="3">
        <v>44647</v>
      </c>
      <c r="D1212" s="3">
        <v>44676</v>
      </c>
      <c r="E1212">
        <v>6</v>
      </c>
    </row>
    <row r="1213" spans="1:5" x14ac:dyDescent="0.25">
      <c r="A1213">
        <v>331</v>
      </c>
      <c r="B1213">
        <v>464</v>
      </c>
      <c r="C1213" s="3">
        <v>44647</v>
      </c>
      <c r="D1213" s="3">
        <v>44664</v>
      </c>
      <c r="E1213">
        <v>7</v>
      </c>
    </row>
    <row r="1214" spans="1:5" x14ac:dyDescent="0.25">
      <c r="A1214">
        <v>496</v>
      </c>
      <c r="B1214">
        <v>740</v>
      </c>
      <c r="C1214" s="3">
        <v>44647</v>
      </c>
      <c r="D1214" s="3">
        <v>44672</v>
      </c>
      <c r="E1214">
        <v>3</v>
      </c>
    </row>
    <row r="1215" spans="1:5" x14ac:dyDescent="0.25">
      <c r="A1215">
        <v>543</v>
      </c>
      <c r="B1215">
        <v>594</v>
      </c>
      <c r="C1215" s="3">
        <v>44647</v>
      </c>
      <c r="D1215" s="3">
        <v>44655</v>
      </c>
      <c r="E1215">
        <v>5</v>
      </c>
    </row>
    <row r="1216" spans="1:5" x14ac:dyDescent="0.25">
      <c r="A1216">
        <v>546</v>
      </c>
      <c r="B1216">
        <v>398</v>
      </c>
      <c r="C1216" s="3">
        <v>44647</v>
      </c>
      <c r="D1216" s="3">
        <v>44667</v>
      </c>
      <c r="E1216">
        <v>5</v>
      </c>
    </row>
    <row r="1217" spans="1:5" x14ac:dyDescent="0.25">
      <c r="A1217">
        <v>570</v>
      </c>
      <c r="B1217">
        <v>541</v>
      </c>
      <c r="C1217" s="3">
        <v>44647</v>
      </c>
      <c r="D1217" s="3">
        <v>44655</v>
      </c>
      <c r="E1217">
        <v>9</v>
      </c>
    </row>
    <row r="1218" spans="1:5" x14ac:dyDescent="0.25">
      <c r="A1218">
        <v>580</v>
      </c>
      <c r="B1218">
        <v>453</v>
      </c>
      <c r="C1218" s="3">
        <v>44647</v>
      </c>
      <c r="D1218" s="3">
        <v>44660</v>
      </c>
      <c r="E1218">
        <v>5</v>
      </c>
    </row>
    <row r="1219" spans="1:5" x14ac:dyDescent="0.25">
      <c r="A1219">
        <v>827</v>
      </c>
      <c r="B1219">
        <v>810</v>
      </c>
      <c r="C1219" s="3">
        <v>44647</v>
      </c>
      <c r="D1219" s="3">
        <v>44654</v>
      </c>
      <c r="E1219">
        <v>9</v>
      </c>
    </row>
    <row r="1220" spans="1:5" x14ac:dyDescent="0.25">
      <c r="A1220">
        <v>906</v>
      </c>
      <c r="B1220">
        <v>395</v>
      </c>
      <c r="C1220" s="3">
        <v>44647</v>
      </c>
      <c r="D1220" s="3">
        <v>44652</v>
      </c>
      <c r="E1220">
        <v>6</v>
      </c>
    </row>
    <row r="1221" spans="1:5" x14ac:dyDescent="0.25">
      <c r="A1221">
        <v>906</v>
      </c>
      <c r="B1221">
        <v>782</v>
      </c>
      <c r="C1221" s="3">
        <v>44647</v>
      </c>
      <c r="D1221" s="3">
        <v>44651</v>
      </c>
      <c r="E1221">
        <v>2</v>
      </c>
    </row>
    <row r="1222" spans="1:5" x14ac:dyDescent="0.25">
      <c r="A1222">
        <v>55</v>
      </c>
      <c r="B1222">
        <v>331</v>
      </c>
      <c r="C1222" s="3">
        <v>44648</v>
      </c>
      <c r="D1222" s="3">
        <v>44654</v>
      </c>
      <c r="E1222">
        <v>4</v>
      </c>
    </row>
    <row r="1223" spans="1:5" x14ac:dyDescent="0.25">
      <c r="A1223">
        <v>139</v>
      </c>
      <c r="B1223">
        <v>583</v>
      </c>
      <c r="C1223" s="3">
        <v>44648</v>
      </c>
      <c r="D1223" s="3">
        <v>44667</v>
      </c>
      <c r="E1223">
        <v>9</v>
      </c>
    </row>
    <row r="1224" spans="1:5" x14ac:dyDescent="0.25">
      <c r="A1224">
        <v>142</v>
      </c>
      <c r="B1224">
        <v>667</v>
      </c>
      <c r="C1224" s="3">
        <v>44648</v>
      </c>
      <c r="D1224" s="3">
        <v>44690</v>
      </c>
      <c r="E1224">
        <v>8</v>
      </c>
    </row>
    <row r="1225" spans="1:5" x14ac:dyDescent="0.25">
      <c r="A1225">
        <v>180</v>
      </c>
      <c r="B1225">
        <v>398</v>
      </c>
      <c r="C1225" s="3">
        <v>44648</v>
      </c>
      <c r="D1225" s="3">
        <v>44680</v>
      </c>
      <c r="E1225">
        <v>8</v>
      </c>
    </row>
    <row r="1226" spans="1:5" x14ac:dyDescent="0.25">
      <c r="A1226">
        <v>610</v>
      </c>
      <c r="B1226">
        <v>652</v>
      </c>
      <c r="C1226" s="3">
        <v>44648</v>
      </c>
      <c r="D1226" s="3">
        <v>44665</v>
      </c>
      <c r="E1226">
        <v>1</v>
      </c>
    </row>
    <row r="1227" spans="1:5" x14ac:dyDescent="0.25">
      <c r="A1227">
        <v>643</v>
      </c>
      <c r="B1227">
        <v>652</v>
      </c>
      <c r="C1227" s="3">
        <v>44648</v>
      </c>
      <c r="D1227" s="3">
        <v>44684</v>
      </c>
      <c r="E1227">
        <v>9</v>
      </c>
    </row>
    <row r="1228" spans="1:5" x14ac:dyDescent="0.25">
      <c r="A1228">
        <v>771</v>
      </c>
      <c r="B1228">
        <v>145</v>
      </c>
      <c r="C1228" s="3">
        <v>44648</v>
      </c>
      <c r="D1228" s="3">
        <v>44649</v>
      </c>
      <c r="E1228">
        <v>8</v>
      </c>
    </row>
    <row r="1229" spans="1:5" x14ac:dyDescent="0.25">
      <c r="A1229">
        <v>784</v>
      </c>
      <c r="B1229">
        <v>515</v>
      </c>
      <c r="C1229" s="3">
        <v>44648</v>
      </c>
      <c r="D1229" s="3">
        <v>44653</v>
      </c>
      <c r="E1229">
        <v>1</v>
      </c>
    </row>
    <row r="1230" spans="1:5" x14ac:dyDescent="0.25">
      <c r="A1230">
        <v>923</v>
      </c>
      <c r="B1230">
        <v>719</v>
      </c>
      <c r="C1230" s="3">
        <v>44648</v>
      </c>
      <c r="D1230" s="3">
        <v>44684</v>
      </c>
      <c r="E1230">
        <v>7</v>
      </c>
    </row>
    <row r="1231" spans="1:5" x14ac:dyDescent="0.25">
      <c r="A1231">
        <v>42</v>
      </c>
      <c r="B1231">
        <v>418</v>
      </c>
      <c r="C1231" s="3">
        <v>44649</v>
      </c>
      <c r="D1231" s="3">
        <v>44665</v>
      </c>
      <c r="E1231">
        <v>7</v>
      </c>
    </row>
    <row r="1232" spans="1:5" x14ac:dyDescent="0.25">
      <c r="A1232">
        <v>112</v>
      </c>
      <c r="B1232">
        <v>668</v>
      </c>
      <c r="C1232" s="3">
        <v>44649</v>
      </c>
      <c r="D1232" s="3">
        <v>44683</v>
      </c>
      <c r="E1232">
        <v>2</v>
      </c>
    </row>
    <row r="1233" spans="1:5" x14ac:dyDescent="0.25">
      <c r="A1233">
        <v>285</v>
      </c>
      <c r="B1233">
        <v>541</v>
      </c>
      <c r="C1233" s="3">
        <v>44649</v>
      </c>
      <c r="D1233" s="3">
        <v>44676</v>
      </c>
      <c r="E1233">
        <v>10</v>
      </c>
    </row>
    <row r="1234" spans="1:5" x14ac:dyDescent="0.25">
      <c r="A1234">
        <v>312</v>
      </c>
      <c r="B1234">
        <v>826</v>
      </c>
      <c r="C1234" s="3">
        <v>44649</v>
      </c>
      <c r="D1234" s="3">
        <v>44664</v>
      </c>
      <c r="E1234">
        <v>6</v>
      </c>
    </row>
    <row r="1235" spans="1:5" x14ac:dyDescent="0.25">
      <c r="A1235">
        <v>328</v>
      </c>
      <c r="B1235">
        <v>840</v>
      </c>
      <c r="C1235" s="3">
        <v>44649</v>
      </c>
      <c r="D1235" s="3">
        <v>44693</v>
      </c>
      <c r="E1235">
        <v>10</v>
      </c>
    </row>
    <row r="1236" spans="1:5" x14ac:dyDescent="0.25">
      <c r="A1236">
        <v>390</v>
      </c>
      <c r="B1236">
        <v>724</v>
      </c>
      <c r="C1236" s="3">
        <v>44649</v>
      </c>
      <c r="D1236" s="3">
        <v>44663</v>
      </c>
      <c r="E1236">
        <v>8</v>
      </c>
    </row>
    <row r="1237" spans="1:5" x14ac:dyDescent="0.25">
      <c r="A1237">
        <v>561</v>
      </c>
      <c r="B1237">
        <v>757</v>
      </c>
      <c r="C1237" s="3">
        <v>44649</v>
      </c>
      <c r="D1237" s="3">
        <v>44664</v>
      </c>
      <c r="E1237">
        <v>7</v>
      </c>
    </row>
    <row r="1238" spans="1:5" x14ac:dyDescent="0.25">
      <c r="A1238">
        <v>610</v>
      </c>
      <c r="B1238">
        <v>676</v>
      </c>
      <c r="C1238" s="3">
        <v>44649</v>
      </c>
      <c r="D1238" s="3">
        <v>44676</v>
      </c>
      <c r="E1238">
        <v>5</v>
      </c>
    </row>
    <row r="1239" spans="1:5" x14ac:dyDescent="0.25">
      <c r="A1239">
        <v>830</v>
      </c>
      <c r="B1239">
        <v>840</v>
      </c>
      <c r="C1239" s="3">
        <v>44649</v>
      </c>
      <c r="D1239" s="3">
        <v>44656</v>
      </c>
      <c r="E1239">
        <v>1</v>
      </c>
    </row>
    <row r="1240" spans="1:5" x14ac:dyDescent="0.25">
      <c r="A1240">
        <v>884</v>
      </c>
      <c r="B1240">
        <v>585</v>
      </c>
      <c r="C1240" s="3">
        <v>44649</v>
      </c>
      <c r="D1240" s="3">
        <v>44662</v>
      </c>
      <c r="E1240">
        <v>7</v>
      </c>
    </row>
    <row r="1241" spans="1:5" x14ac:dyDescent="0.25">
      <c r="A1241">
        <v>923</v>
      </c>
      <c r="B1241">
        <v>239</v>
      </c>
      <c r="C1241" s="3">
        <v>44649</v>
      </c>
      <c r="D1241" s="3">
        <v>44675</v>
      </c>
      <c r="E1241">
        <v>7</v>
      </c>
    </row>
    <row r="1242" spans="1:5" x14ac:dyDescent="0.25">
      <c r="A1242">
        <v>923</v>
      </c>
      <c r="B1242">
        <v>726</v>
      </c>
      <c r="C1242" s="3">
        <v>44649</v>
      </c>
      <c r="D1242" s="3">
        <v>44653</v>
      </c>
      <c r="E1242">
        <v>1</v>
      </c>
    </row>
    <row r="1243" spans="1:5" x14ac:dyDescent="0.25">
      <c r="A1243">
        <v>180</v>
      </c>
      <c r="B1243">
        <v>698</v>
      </c>
      <c r="C1243" s="3">
        <v>44650</v>
      </c>
      <c r="D1243" s="3">
        <v>44678</v>
      </c>
      <c r="E1243">
        <v>2</v>
      </c>
    </row>
    <row r="1244" spans="1:5" x14ac:dyDescent="0.25">
      <c r="A1244">
        <v>224</v>
      </c>
      <c r="B1244">
        <v>704</v>
      </c>
      <c r="C1244" s="3">
        <v>44650</v>
      </c>
      <c r="D1244" s="3">
        <v>44657</v>
      </c>
      <c r="E1244">
        <v>4</v>
      </c>
    </row>
    <row r="1245" spans="1:5" x14ac:dyDescent="0.25">
      <c r="A1245">
        <v>249</v>
      </c>
      <c r="B1245">
        <v>724</v>
      </c>
      <c r="C1245" s="3">
        <v>44650</v>
      </c>
      <c r="D1245" s="3">
        <v>44675</v>
      </c>
      <c r="E1245">
        <v>2</v>
      </c>
    </row>
    <row r="1246" spans="1:5" x14ac:dyDescent="0.25">
      <c r="A1246">
        <v>284</v>
      </c>
      <c r="B1246">
        <v>515</v>
      </c>
      <c r="C1246" s="3">
        <v>44650</v>
      </c>
      <c r="D1246" s="3">
        <v>44652</v>
      </c>
      <c r="E1246">
        <v>4</v>
      </c>
    </row>
    <row r="1247" spans="1:5" x14ac:dyDescent="0.25">
      <c r="A1247">
        <v>331</v>
      </c>
      <c r="B1247">
        <v>164</v>
      </c>
      <c r="C1247" s="3">
        <v>44650</v>
      </c>
      <c r="D1247" s="3">
        <v>44669</v>
      </c>
      <c r="E1247">
        <v>7</v>
      </c>
    </row>
    <row r="1248" spans="1:5" x14ac:dyDescent="0.25">
      <c r="A1248">
        <v>331</v>
      </c>
      <c r="B1248">
        <v>453</v>
      </c>
      <c r="C1248" s="3">
        <v>44650</v>
      </c>
      <c r="D1248" s="3">
        <v>44665</v>
      </c>
      <c r="E1248">
        <v>7</v>
      </c>
    </row>
    <row r="1249" spans="1:5" x14ac:dyDescent="0.25">
      <c r="A1249">
        <v>333</v>
      </c>
      <c r="B1249">
        <v>834</v>
      </c>
      <c r="C1249" s="3">
        <v>44650</v>
      </c>
      <c r="D1249" s="3">
        <v>44671</v>
      </c>
      <c r="E1249">
        <v>5</v>
      </c>
    </row>
    <row r="1250" spans="1:5" x14ac:dyDescent="0.25">
      <c r="A1250">
        <v>338</v>
      </c>
      <c r="B1250">
        <v>689</v>
      </c>
      <c r="C1250" s="3">
        <v>44650</v>
      </c>
      <c r="D1250" s="3">
        <v>44657</v>
      </c>
      <c r="E1250">
        <v>5</v>
      </c>
    </row>
    <row r="1251" spans="1:5" x14ac:dyDescent="0.25">
      <c r="A1251">
        <v>467</v>
      </c>
      <c r="B1251">
        <v>398</v>
      </c>
      <c r="C1251" s="3">
        <v>44650</v>
      </c>
      <c r="D1251" s="3">
        <v>44659</v>
      </c>
      <c r="E1251">
        <v>1</v>
      </c>
    </row>
    <row r="1252" spans="1:5" x14ac:dyDescent="0.25">
      <c r="A1252">
        <v>561</v>
      </c>
      <c r="B1252">
        <v>436</v>
      </c>
      <c r="C1252" s="3">
        <v>44650</v>
      </c>
      <c r="D1252" s="3">
        <v>44654</v>
      </c>
      <c r="E1252">
        <v>10</v>
      </c>
    </row>
    <row r="1253" spans="1:5" x14ac:dyDescent="0.25">
      <c r="A1253">
        <v>585</v>
      </c>
      <c r="B1253">
        <v>671</v>
      </c>
      <c r="C1253" s="3">
        <v>44650</v>
      </c>
      <c r="D1253" s="3">
        <v>44661</v>
      </c>
      <c r="E1253">
        <v>8</v>
      </c>
    </row>
    <row r="1254" spans="1:5" x14ac:dyDescent="0.25">
      <c r="A1254">
        <v>643</v>
      </c>
      <c r="B1254">
        <v>853</v>
      </c>
      <c r="C1254" s="3">
        <v>44650</v>
      </c>
      <c r="D1254" s="3">
        <v>44679</v>
      </c>
      <c r="E1254">
        <v>9</v>
      </c>
    </row>
    <row r="1255" spans="1:5" x14ac:dyDescent="0.25">
      <c r="A1255">
        <v>659</v>
      </c>
      <c r="B1255">
        <v>667</v>
      </c>
      <c r="C1255" s="3">
        <v>44650</v>
      </c>
      <c r="D1255" s="3">
        <v>44670</v>
      </c>
      <c r="E1255">
        <v>5</v>
      </c>
    </row>
    <row r="1256" spans="1:5" x14ac:dyDescent="0.25">
      <c r="A1256">
        <v>669</v>
      </c>
      <c r="B1256">
        <v>418</v>
      </c>
      <c r="C1256" s="3">
        <v>44650</v>
      </c>
      <c r="D1256" s="3">
        <v>44666</v>
      </c>
      <c r="E1256">
        <v>4</v>
      </c>
    </row>
    <row r="1257" spans="1:5" x14ac:dyDescent="0.25">
      <c r="A1257">
        <v>784</v>
      </c>
      <c r="B1257">
        <v>585</v>
      </c>
      <c r="C1257" s="3">
        <v>44650</v>
      </c>
      <c r="D1257" s="3">
        <v>44661</v>
      </c>
      <c r="E1257">
        <v>2</v>
      </c>
    </row>
    <row r="1258" spans="1:5" x14ac:dyDescent="0.25">
      <c r="A1258">
        <v>841</v>
      </c>
      <c r="B1258">
        <v>341</v>
      </c>
      <c r="C1258" s="3">
        <v>44650</v>
      </c>
      <c r="D1258" s="3">
        <v>44661</v>
      </c>
      <c r="E1258">
        <v>1</v>
      </c>
    </row>
    <row r="1259" spans="1:5" x14ac:dyDescent="0.25">
      <c r="A1259">
        <v>849</v>
      </c>
      <c r="B1259">
        <v>177</v>
      </c>
      <c r="C1259" s="3">
        <v>44650</v>
      </c>
      <c r="D1259" s="3">
        <v>44687</v>
      </c>
      <c r="E1259">
        <v>10</v>
      </c>
    </row>
    <row r="1260" spans="1:5" x14ac:dyDescent="0.25">
      <c r="A1260">
        <v>983</v>
      </c>
      <c r="B1260">
        <v>358</v>
      </c>
      <c r="C1260" s="3">
        <v>44650</v>
      </c>
      <c r="D1260" s="3">
        <v>44673</v>
      </c>
      <c r="E1260">
        <v>2</v>
      </c>
    </row>
    <row r="1261" spans="1:5" x14ac:dyDescent="0.25">
      <c r="A1261">
        <v>141</v>
      </c>
      <c r="B1261">
        <v>652</v>
      </c>
      <c r="C1261" s="3">
        <v>44651</v>
      </c>
      <c r="D1261" s="3">
        <v>44658</v>
      </c>
      <c r="E1261">
        <v>10</v>
      </c>
    </row>
    <row r="1262" spans="1:5" x14ac:dyDescent="0.25">
      <c r="A1262">
        <v>254</v>
      </c>
      <c r="B1262">
        <v>376</v>
      </c>
      <c r="C1262" s="3">
        <v>44651</v>
      </c>
      <c r="D1262" s="3">
        <v>44664</v>
      </c>
      <c r="E1262">
        <v>5</v>
      </c>
    </row>
    <row r="1263" spans="1:5" x14ac:dyDescent="0.25">
      <c r="A1263">
        <v>254</v>
      </c>
      <c r="B1263">
        <v>719</v>
      </c>
      <c r="C1263" s="3">
        <v>44651</v>
      </c>
      <c r="D1263" s="3">
        <v>44690</v>
      </c>
      <c r="E1263">
        <v>5</v>
      </c>
    </row>
    <row r="1264" spans="1:5" x14ac:dyDescent="0.25">
      <c r="A1264">
        <v>328</v>
      </c>
      <c r="B1264">
        <v>668</v>
      </c>
      <c r="C1264" s="3">
        <v>44651</v>
      </c>
      <c r="D1264" s="3">
        <v>44663</v>
      </c>
      <c r="E1264">
        <v>8</v>
      </c>
    </row>
    <row r="1265" spans="1:5" x14ac:dyDescent="0.25">
      <c r="A1265">
        <v>332</v>
      </c>
      <c r="B1265">
        <v>862</v>
      </c>
      <c r="C1265" s="3">
        <v>44651</v>
      </c>
      <c r="D1265" s="3">
        <v>44669</v>
      </c>
      <c r="E1265">
        <v>10</v>
      </c>
    </row>
    <row r="1266" spans="1:5" x14ac:dyDescent="0.25">
      <c r="A1266">
        <v>474</v>
      </c>
      <c r="B1266">
        <v>676</v>
      </c>
      <c r="C1266" s="3">
        <v>44651</v>
      </c>
      <c r="D1266" s="3">
        <v>44679</v>
      </c>
      <c r="E1266">
        <v>3</v>
      </c>
    </row>
    <row r="1267" spans="1:5" x14ac:dyDescent="0.25">
      <c r="A1267">
        <v>531</v>
      </c>
      <c r="B1267">
        <v>196</v>
      </c>
      <c r="C1267" s="3">
        <v>44651</v>
      </c>
      <c r="D1267" s="3">
        <v>44664</v>
      </c>
      <c r="E1267">
        <v>3</v>
      </c>
    </row>
    <row r="1268" spans="1:5" x14ac:dyDescent="0.25">
      <c r="A1268">
        <v>730</v>
      </c>
      <c r="B1268">
        <v>702</v>
      </c>
      <c r="C1268" s="3">
        <v>44651</v>
      </c>
      <c r="D1268" s="3">
        <v>44677</v>
      </c>
      <c r="E1268">
        <v>6</v>
      </c>
    </row>
    <row r="1269" spans="1:5" x14ac:dyDescent="0.25">
      <c r="A1269">
        <v>747</v>
      </c>
      <c r="B1269">
        <v>376</v>
      </c>
      <c r="C1269" s="3">
        <v>44651</v>
      </c>
      <c r="D1269" s="3">
        <v>44682</v>
      </c>
      <c r="E1269">
        <v>8</v>
      </c>
    </row>
    <row r="1270" spans="1:5" x14ac:dyDescent="0.25">
      <c r="A1270">
        <v>750</v>
      </c>
      <c r="B1270">
        <v>813</v>
      </c>
      <c r="C1270" s="3">
        <v>44651</v>
      </c>
      <c r="D1270" s="3">
        <v>44666</v>
      </c>
      <c r="E1270">
        <v>3</v>
      </c>
    </row>
    <row r="1271" spans="1:5" x14ac:dyDescent="0.25">
      <c r="A1271">
        <v>830</v>
      </c>
      <c r="B1271">
        <v>418</v>
      </c>
      <c r="C1271" s="3">
        <v>44651</v>
      </c>
      <c r="D1271" s="3">
        <v>44660</v>
      </c>
      <c r="E1271">
        <v>3</v>
      </c>
    </row>
    <row r="1272" spans="1:5" x14ac:dyDescent="0.25">
      <c r="A1272">
        <v>830</v>
      </c>
      <c r="B1272">
        <v>620</v>
      </c>
      <c r="C1272" s="3">
        <v>44651</v>
      </c>
      <c r="D1272" s="3">
        <v>44658</v>
      </c>
      <c r="E1272">
        <v>5</v>
      </c>
    </row>
    <row r="1273" spans="1:5" x14ac:dyDescent="0.25">
      <c r="A1273">
        <v>843</v>
      </c>
      <c r="B1273">
        <v>692</v>
      </c>
      <c r="C1273" s="3">
        <v>44651</v>
      </c>
      <c r="D1273" s="3">
        <v>44677</v>
      </c>
      <c r="E1273">
        <v>10</v>
      </c>
    </row>
    <row r="1274" spans="1:5" x14ac:dyDescent="0.25">
      <c r="A1274">
        <v>923</v>
      </c>
      <c r="B1274">
        <v>377</v>
      </c>
      <c r="C1274" s="3">
        <v>44651</v>
      </c>
      <c r="D1274" s="3">
        <v>44666</v>
      </c>
      <c r="E1274">
        <v>4</v>
      </c>
    </row>
    <row r="1275" spans="1:5" x14ac:dyDescent="0.25">
      <c r="A1275">
        <v>66</v>
      </c>
      <c r="B1275">
        <v>583</v>
      </c>
      <c r="C1275" s="3">
        <v>44652</v>
      </c>
      <c r="D1275" s="3">
        <v>44680</v>
      </c>
      <c r="E1275">
        <v>4</v>
      </c>
    </row>
    <row r="1276" spans="1:5" x14ac:dyDescent="0.25">
      <c r="A1276">
        <v>112</v>
      </c>
      <c r="B1276">
        <v>358</v>
      </c>
      <c r="C1276" s="3">
        <v>44652</v>
      </c>
      <c r="D1276" s="3">
        <v>44665</v>
      </c>
      <c r="E1276">
        <v>1</v>
      </c>
    </row>
    <row r="1277" spans="1:5" x14ac:dyDescent="0.25">
      <c r="A1277">
        <v>232</v>
      </c>
      <c r="B1277">
        <v>834</v>
      </c>
      <c r="C1277" s="3">
        <v>44652</v>
      </c>
      <c r="D1277" s="3">
        <v>44687</v>
      </c>
      <c r="E1277">
        <v>6</v>
      </c>
    </row>
    <row r="1278" spans="1:5" x14ac:dyDescent="0.25">
      <c r="A1278">
        <v>254</v>
      </c>
      <c r="B1278">
        <v>703</v>
      </c>
      <c r="C1278" s="3">
        <v>44652</v>
      </c>
      <c r="D1278" s="3">
        <v>44693</v>
      </c>
      <c r="E1278">
        <v>7</v>
      </c>
    </row>
    <row r="1279" spans="1:5" x14ac:dyDescent="0.25">
      <c r="A1279">
        <v>323</v>
      </c>
      <c r="B1279">
        <v>696</v>
      </c>
      <c r="C1279" s="3">
        <v>44652</v>
      </c>
      <c r="D1279" s="3">
        <v>44689</v>
      </c>
      <c r="E1279">
        <v>10</v>
      </c>
    </row>
    <row r="1280" spans="1:5" x14ac:dyDescent="0.25">
      <c r="A1280">
        <v>573</v>
      </c>
      <c r="B1280">
        <v>395</v>
      </c>
      <c r="C1280" s="3">
        <v>44652</v>
      </c>
      <c r="D1280" s="3">
        <v>44667</v>
      </c>
      <c r="E1280">
        <v>10</v>
      </c>
    </row>
    <row r="1281" spans="1:5" x14ac:dyDescent="0.25">
      <c r="A1281">
        <v>602</v>
      </c>
      <c r="B1281">
        <v>812</v>
      </c>
      <c r="C1281" s="3">
        <v>44652</v>
      </c>
      <c r="D1281" s="3">
        <v>44670</v>
      </c>
      <c r="E1281">
        <v>6</v>
      </c>
    </row>
    <row r="1282" spans="1:5" x14ac:dyDescent="0.25">
      <c r="A1282">
        <v>609</v>
      </c>
      <c r="B1282">
        <v>373</v>
      </c>
      <c r="C1282" s="3">
        <v>44652</v>
      </c>
      <c r="D1282" s="3">
        <v>44680</v>
      </c>
      <c r="E1282">
        <v>1</v>
      </c>
    </row>
    <row r="1283" spans="1:5" x14ac:dyDescent="0.25">
      <c r="A1283">
        <v>611</v>
      </c>
      <c r="B1283">
        <v>710</v>
      </c>
      <c r="C1283" s="3">
        <v>44652</v>
      </c>
      <c r="D1283" s="3">
        <v>44688</v>
      </c>
      <c r="E1283">
        <v>7</v>
      </c>
    </row>
    <row r="1284" spans="1:5" x14ac:dyDescent="0.25">
      <c r="A1284">
        <v>657</v>
      </c>
      <c r="B1284">
        <v>762</v>
      </c>
      <c r="C1284" s="3">
        <v>44652</v>
      </c>
      <c r="D1284" s="3">
        <v>44653</v>
      </c>
      <c r="E1284">
        <v>4</v>
      </c>
    </row>
    <row r="1285" spans="1:5" x14ac:dyDescent="0.25">
      <c r="A1285">
        <v>758</v>
      </c>
      <c r="B1285">
        <v>689</v>
      </c>
      <c r="C1285" s="3">
        <v>44652</v>
      </c>
      <c r="D1285" s="3">
        <v>44663</v>
      </c>
      <c r="E1285">
        <v>4</v>
      </c>
    </row>
    <row r="1286" spans="1:5" x14ac:dyDescent="0.25">
      <c r="A1286">
        <v>961</v>
      </c>
      <c r="B1286">
        <v>145</v>
      </c>
      <c r="C1286" s="3">
        <v>44652</v>
      </c>
      <c r="D1286" s="3">
        <v>44683</v>
      </c>
      <c r="E1286">
        <v>6</v>
      </c>
    </row>
    <row r="1287" spans="1:5" x14ac:dyDescent="0.25">
      <c r="A1287">
        <v>46</v>
      </c>
      <c r="B1287">
        <v>834</v>
      </c>
      <c r="C1287" s="3">
        <v>44653</v>
      </c>
      <c r="D1287" s="3">
        <v>44680</v>
      </c>
      <c r="E1287">
        <v>8</v>
      </c>
    </row>
    <row r="1288" spans="1:5" x14ac:dyDescent="0.25">
      <c r="A1288">
        <v>190</v>
      </c>
      <c r="B1288">
        <v>805</v>
      </c>
      <c r="C1288" s="3">
        <v>44653</v>
      </c>
      <c r="D1288" s="3">
        <v>44683</v>
      </c>
      <c r="E1288">
        <v>8</v>
      </c>
    </row>
    <row r="1289" spans="1:5" x14ac:dyDescent="0.25">
      <c r="A1289">
        <v>224</v>
      </c>
      <c r="B1289">
        <v>620</v>
      </c>
      <c r="C1289" s="3">
        <v>44653</v>
      </c>
      <c r="D1289" s="3">
        <v>44660</v>
      </c>
      <c r="E1289">
        <v>10</v>
      </c>
    </row>
    <row r="1290" spans="1:5" x14ac:dyDescent="0.25">
      <c r="A1290">
        <v>224</v>
      </c>
      <c r="B1290">
        <v>759</v>
      </c>
      <c r="C1290" s="3">
        <v>44653</v>
      </c>
      <c r="D1290" s="3">
        <v>44691</v>
      </c>
      <c r="E1290">
        <v>6</v>
      </c>
    </row>
    <row r="1291" spans="1:5" x14ac:dyDescent="0.25">
      <c r="A1291">
        <v>323</v>
      </c>
      <c r="B1291">
        <v>580</v>
      </c>
      <c r="C1291" s="3">
        <v>44653</v>
      </c>
      <c r="D1291" s="3">
        <v>44688</v>
      </c>
      <c r="E1291">
        <v>6</v>
      </c>
    </row>
    <row r="1292" spans="1:5" x14ac:dyDescent="0.25">
      <c r="A1292">
        <v>331</v>
      </c>
      <c r="B1292">
        <v>757</v>
      </c>
      <c r="C1292" s="3">
        <v>44653</v>
      </c>
      <c r="D1292" s="3">
        <v>44688</v>
      </c>
      <c r="E1292">
        <v>4</v>
      </c>
    </row>
    <row r="1293" spans="1:5" x14ac:dyDescent="0.25">
      <c r="A1293">
        <v>338</v>
      </c>
      <c r="B1293">
        <v>316</v>
      </c>
      <c r="C1293" s="3">
        <v>44653</v>
      </c>
      <c r="D1293" s="3">
        <v>44667</v>
      </c>
      <c r="E1293">
        <v>8</v>
      </c>
    </row>
    <row r="1294" spans="1:5" x14ac:dyDescent="0.25">
      <c r="A1294">
        <v>491</v>
      </c>
      <c r="B1294">
        <v>757</v>
      </c>
      <c r="C1294" s="3">
        <v>44653</v>
      </c>
      <c r="D1294" s="3">
        <v>44656</v>
      </c>
      <c r="E1294">
        <v>3</v>
      </c>
    </row>
    <row r="1295" spans="1:5" x14ac:dyDescent="0.25">
      <c r="A1295">
        <v>491</v>
      </c>
      <c r="B1295">
        <v>840</v>
      </c>
      <c r="C1295" s="3">
        <v>44653</v>
      </c>
      <c r="D1295" s="3">
        <v>44663</v>
      </c>
      <c r="E1295">
        <v>10</v>
      </c>
    </row>
    <row r="1296" spans="1:5" x14ac:dyDescent="0.25">
      <c r="A1296">
        <v>540</v>
      </c>
      <c r="B1296">
        <v>590</v>
      </c>
      <c r="C1296" s="3">
        <v>44653</v>
      </c>
      <c r="D1296" s="3">
        <v>44694</v>
      </c>
      <c r="E1296">
        <v>9</v>
      </c>
    </row>
    <row r="1297" spans="1:5" x14ac:dyDescent="0.25">
      <c r="A1297">
        <v>544</v>
      </c>
      <c r="B1297">
        <v>330</v>
      </c>
      <c r="C1297" s="3">
        <v>44653</v>
      </c>
      <c r="D1297" s="3">
        <v>44667</v>
      </c>
      <c r="E1297">
        <v>7</v>
      </c>
    </row>
    <row r="1298" spans="1:5" x14ac:dyDescent="0.25">
      <c r="A1298">
        <v>568</v>
      </c>
      <c r="B1298">
        <v>805</v>
      </c>
      <c r="C1298" s="3">
        <v>44653</v>
      </c>
      <c r="D1298" s="3">
        <v>44671</v>
      </c>
      <c r="E1298">
        <v>7</v>
      </c>
    </row>
    <row r="1299" spans="1:5" x14ac:dyDescent="0.25">
      <c r="A1299">
        <v>573</v>
      </c>
      <c r="B1299">
        <v>583</v>
      </c>
      <c r="C1299" s="3">
        <v>44653</v>
      </c>
      <c r="D1299" s="3">
        <v>44689</v>
      </c>
      <c r="E1299">
        <v>5</v>
      </c>
    </row>
    <row r="1300" spans="1:5" x14ac:dyDescent="0.25">
      <c r="A1300">
        <v>611</v>
      </c>
      <c r="B1300">
        <v>710</v>
      </c>
      <c r="C1300" s="3">
        <v>44653</v>
      </c>
      <c r="D1300" s="3">
        <v>44674</v>
      </c>
      <c r="E1300">
        <v>8</v>
      </c>
    </row>
    <row r="1301" spans="1:5" x14ac:dyDescent="0.25">
      <c r="A1301">
        <v>659</v>
      </c>
      <c r="B1301">
        <v>436</v>
      </c>
      <c r="C1301" s="3">
        <v>44653</v>
      </c>
      <c r="D1301" s="3">
        <v>44697</v>
      </c>
      <c r="E1301">
        <v>7</v>
      </c>
    </row>
    <row r="1302" spans="1:5" x14ac:dyDescent="0.25">
      <c r="A1302">
        <v>730</v>
      </c>
      <c r="B1302">
        <v>585</v>
      </c>
      <c r="C1302" s="3">
        <v>44653</v>
      </c>
      <c r="D1302" s="3">
        <v>44674</v>
      </c>
      <c r="E1302">
        <v>3</v>
      </c>
    </row>
    <row r="1303" spans="1:5" x14ac:dyDescent="0.25">
      <c r="A1303">
        <v>750</v>
      </c>
      <c r="B1303">
        <v>652</v>
      </c>
      <c r="C1303" s="3">
        <v>44653</v>
      </c>
      <c r="D1303" s="3">
        <v>44694</v>
      </c>
      <c r="E1303">
        <v>9</v>
      </c>
    </row>
    <row r="1304" spans="1:5" x14ac:dyDescent="0.25">
      <c r="A1304">
        <v>296</v>
      </c>
      <c r="B1304">
        <v>128</v>
      </c>
      <c r="C1304" s="3">
        <v>44654</v>
      </c>
      <c r="D1304" s="3">
        <v>44694</v>
      </c>
      <c r="E1304">
        <v>7</v>
      </c>
    </row>
    <row r="1305" spans="1:5" x14ac:dyDescent="0.25">
      <c r="A1305">
        <v>296</v>
      </c>
      <c r="B1305">
        <v>418</v>
      </c>
      <c r="C1305" s="3">
        <v>44654</v>
      </c>
      <c r="D1305" s="3">
        <v>44682</v>
      </c>
      <c r="E1305">
        <v>7</v>
      </c>
    </row>
    <row r="1306" spans="1:5" x14ac:dyDescent="0.25">
      <c r="A1306">
        <v>302</v>
      </c>
      <c r="B1306">
        <v>541</v>
      </c>
      <c r="C1306" s="3">
        <v>44654</v>
      </c>
      <c r="D1306" s="3">
        <v>44692</v>
      </c>
      <c r="E1306">
        <v>1</v>
      </c>
    </row>
    <row r="1307" spans="1:5" x14ac:dyDescent="0.25">
      <c r="A1307">
        <v>390</v>
      </c>
      <c r="B1307">
        <v>201</v>
      </c>
      <c r="C1307" s="3">
        <v>44654</v>
      </c>
      <c r="D1307" s="3">
        <v>44697</v>
      </c>
      <c r="E1307">
        <v>3</v>
      </c>
    </row>
    <row r="1308" spans="1:5" x14ac:dyDescent="0.25">
      <c r="A1308">
        <v>501</v>
      </c>
      <c r="B1308">
        <v>853</v>
      </c>
      <c r="C1308" s="3">
        <v>44654</v>
      </c>
      <c r="D1308" s="3">
        <v>44660</v>
      </c>
      <c r="E1308">
        <v>5</v>
      </c>
    </row>
    <row r="1309" spans="1:5" x14ac:dyDescent="0.25">
      <c r="A1309">
        <v>526</v>
      </c>
      <c r="B1309">
        <v>543</v>
      </c>
      <c r="C1309" s="3">
        <v>44654</v>
      </c>
      <c r="D1309" s="3">
        <v>44679</v>
      </c>
      <c r="E1309">
        <v>2</v>
      </c>
    </row>
    <row r="1310" spans="1:5" x14ac:dyDescent="0.25">
      <c r="A1310">
        <v>526</v>
      </c>
      <c r="B1310">
        <v>759</v>
      </c>
      <c r="C1310" s="3">
        <v>44654</v>
      </c>
      <c r="D1310" s="3">
        <v>44680</v>
      </c>
      <c r="E1310">
        <v>7</v>
      </c>
    </row>
    <row r="1311" spans="1:5" x14ac:dyDescent="0.25">
      <c r="A1311">
        <v>526</v>
      </c>
      <c r="B1311">
        <v>778</v>
      </c>
      <c r="C1311" s="3">
        <v>44654</v>
      </c>
      <c r="D1311" s="3">
        <v>44675</v>
      </c>
      <c r="E1311">
        <v>10</v>
      </c>
    </row>
    <row r="1312" spans="1:5" x14ac:dyDescent="0.25">
      <c r="A1312">
        <v>527</v>
      </c>
      <c r="B1312">
        <v>703</v>
      </c>
      <c r="C1312" s="3">
        <v>44654</v>
      </c>
      <c r="D1312" s="3">
        <v>44681</v>
      </c>
      <c r="E1312">
        <v>5</v>
      </c>
    </row>
    <row r="1313" spans="1:5" x14ac:dyDescent="0.25">
      <c r="A1313">
        <v>546</v>
      </c>
      <c r="B1313">
        <v>541</v>
      </c>
      <c r="C1313" s="3">
        <v>44654</v>
      </c>
      <c r="D1313" s="3">
        <v>44671</v>
      </c>
      <c r="E1313">
        <v>5</v>
      </c>
    </row>
    <row r="1314" spans="1:5" x14ac:dyDescent="0.25">
      <c r="A1314">
        <v>557</v>
      </c>
      <c r="B1314">
        <v>530</v>
      </c>
      <c r="C1314" s="3">
        <v>44654</v>
      </c>
      <c r="D1314" s="3">
        <v>44696</v>
      </c>
      <c r="E1314">
        <v>1</v>
      </c>
    </row>
    <row r="1315" spans="1:5" x14ac:dyDescent="0.25">
      <c r="A1315">
        <v>669</v>
      </c>
      <c r="B1315">
        <v>530</v>
      </c>
      <c r="C1315" s="3">
        <v>44654</v>
      </c>
      <c r="D1315" s="3">
        <v>44674</v>
      </c>
      <c r="E1315">
        <v>4</v>
      </c>
    </row>
    <row r="1316" spans="1:5" x14ac:dyDescent="0.25">
      <c r="A1316">
        <v>802</v>
      </c>
      <c r="B1316">
        <v>590</v>
      </c>
      <c r="C1316" s="3">
        <v>44654</v>
      </c>
      <c r="D1316" s="3">
        <v>44685</v>
      </c>
      <c r="E1316">
        <v>4</v>
      </c>
    </row>
    <row r="1317" spans="1:5" x14ac:dyDescent="0.25">
      <c r="A1317">
        <v>989</v>
      </c>
      <c r="B1317">
        <v>817</v>
      </c>
      <c r="C1317" s="3">
        <v>44654</v>
      </c>
      <c r="D1317" s="3">
        <v>44698</v>
      </c>
      <c r="E1317">
        <v>4</v>
      </c>
    </row>
    <row r="1318" spans="1:5" x14ac:dyDescent="0.25">
      <c r="A1318">
        <v>47</v>
      </c>
      <c r="B1318">
        <v>747</v>
      </c>
      <c r="C1318" s="3">
        <v>44655</v>
      </c>
      <c r="D1318" s="3">
        <v>44682</v>
      </c>
      <c r="E1318">
        <v>2</v>
      </c>
    </row>
    <row r="1319" spans="1:5" x14ac:dyDescent="0.25">
      <c r="A1319">
        <v>139</v>
      </c>
      <c r="B1319">
        <v>703</v>
      </c>
      <c r="C1319" s="3">
        <v>44655</v>
      </c>
      <c r="D1319" s="3">
        <v>44672</v>
      </c>
      <c r="E1319">
        <v>5</v>
      </c>
    </row>
    <row r="1320" spans="1:5" x14ac:dyDescent="0.25">
      <c r="A1320">
        <v>150</v>
      </c>
      <c r="B1320">
        <v>607</v>
      </c>
      <c r="C1320" s="3">
        <v>44655</v>
      </c>
      <c r="D1320" s="3">
        <v>44694</v>
      </c>
      <c r="E1320">
        <v>5</v>
      </c>
    </row>
    <row r="1321" spans="1:5" x14ac:dyDescent="0.25">
      <c r="A1321">
        <v>150</v>
      </c>
      <c r="B1321">
        <v>762</v>
      </c>
      <c r="C1321" s="3">
        <v>44655</v>
      </c>
      <c r="D1321" s="3">
        <v>44667</v>
      </c>
      <c r="E1321">
        <v>5</v>
      </c>
    </row>
    <row r="1322" spans="1:5" x14ac:dyDescent="0.25">
      <c r="A1322">
        <v>224</v>
      </c>
      <c r="B1322">
        <v>757</v>
      </c>
      <c r="C1322" s="3">
        <v>44655</v>
      </c>
      <c r="D1322" s="3">
        <v>44671</v>
      </c>
      <c r="E1322">
        <v>1</v>
      </c>
    </row>
    <row r="1323" spans="1:5" x14ac:dyDescent="0.25">
      <c r="A1323">
        <v>284</v>
      </c>
      <c r="B1323">
        <v>852</v>
      </c>
      <c r="C1323" s="3">
        <v>44655</v>
      </c>
      <c r="D1323" s="3">
        <v>44676</v>
      </c>
      <c r="E1323">
        <v>2</v>
      </c>
    </row>
    <row r="1324" spans="1:5" x14ac:dyDescent="0.25">
      <c r="A1324">
        <v>561</v>
      </c>
      <c r="B1324">
        <v>769</v>
      </c>
      <c r="C1324" s="3">
        <v>44655</v>
      </c>
      <c r="D1324" s="3">
        <v>44699</v>
      </c>
      <c r="E1324">
        <v>7</v>
      </c>
    </row>
    <row r="1325" spans="1:5" x14ac:dyDescent="0.25">
      <c r="A1325">
        <v>730</v>
      </c>
      <c r="B1325">
        <v>683</v>
      </c>
      <c r="C1325" s="3">
        <v>44655</v>
      </c>
      <c r="D1325" s="3">
        <v>44672</v>
      </c>
      <c r="E1325">
        <v>4</v>
      </c>
    </row>
    <row r="1326" spans="1:5" x14ac:dyDescent="0.25">
      <c r="A1326">
        <v>730</v>
      </c>
      <c r="B1326">
        <v>694</v>
      </c>
      <c r="C1326" s="3">
        <v>44655</v>
      </c>
      <c r="D1326" s="3">
        <v>44673</v>
      </c>
      <c r="E1326">
        <v>9</v>
      </c>
    </row>
    <row r="1327" spans="1:5" x14ac:dyDescent="0.25">
      <c r="A1327">
        <v>972</v>
      </c>
      <c r="B1327">
        <v>679</v>
      </c>
      <c r="C1327" s="3">
        <v>44655</v>
      </c>
      <c r="D1327" s="3">
        <v>44695</v>
      </c>
      <c r="E1327">
        <v>4</v>
      </c>
    </row>
    <row r="1328" spans="1:5" x14ac:dyDescent="0.25">
      <c r="A1328">
        <v>42</v>
      </c>
      <c r="B1328">
        <v>719</v>
      </c>
      <c r="C1328" s="3">
        <v>44656</v>
      </c>
      <c r="D1328" s="3">
        <v>44673</v>
      </c>
      <c r="E1328">
        <v>10</v>
      </c>
    </row>
    <row r="1329" spans="1:5" x14ac:dyDescent="0.25">
      <c r="A1329">
        <v>66</v>
      </c>
      <c r="B1329">
        <v>580</v>
      </c>
      <c r="C1329" s="3">
        <v>44656</v>
      </c>
      <c r="D1329" s="3">
        <v>44669</v>
      </c>
      <c r="E1329">
        <v>5</v>
      </c>
    </row>
    <row r="1330" spans="1:5" x14ac:dyDescent="0.25">
      <c r="A1330">
        <v>329</v>
      </c>
      <c r="B1330">
        <v>541</v>
      </c>
      <c r="C1330" s="3">
        <v>44656</v>
      </c>
      <c r="D1330" s="3">
        <v>44672</v>
      </c>
      <c r="E1330">
        <v>9</v>
      </c>
    </row>
    <row r="1331" spans="1:5" x14ac:dyDescent="0.25">
      <c r="A1331">
        <v>334</v>
      </c>
      <c r="B1331">
        <v>817</v>
      </c>
      <c r="C1331" s="3">
        <v>44656</v>
      </c>
      <c r="D1331" s="3">
        <v>44672</v>
      </c>
      <c r="E1331">
        <v>8</v>
      </c>
    </row>
    <row r="1332" spans="1:5" x14ac:dyDescent="0.25">
      <c r="A1332">
        <v>360</v>
      </c>
      <c r="B1332">
        <v>282</v>
      </c>
      <c r="C1332" s="3">
        <v>44656</v>
      </c>
      <c r="D1332" s="3">
        <v>44661</v>
      </c>
      <c r="E1332">
        <v>6</v>
      </c>
    </row>
    <row r="1333" spans="1:5" x14ac:dyDescent="0.25">
      <c r="A1333">
        <v>360</v>
      </c>
      <c r="B1333">
        <v>685</v>
      </c>
      <c r="C1333" s="3">
        <v>44656</v>
      </c>
      <c r="D1333" s="3">
        <v>44676</v>
      </c>
      <c r="E1333">
        <v>6</v>
      </c>
    </row>
    <row r="1334" spans="1:5" x14ac:dyDescent="0.25">
      <c r="A1334">
        <v>362</v>
      </c>
      <c r="B1334">
        <v>259</v>
      </c>
      <c r="C1334" s="3">
        <v>44656</v>
      </c>
      <c r="D1334" s="3">
        <v>44686</v>
      </c>
      <c r="E1334">
        <v>1</v>
      </c>
    </row>
    <row r="1335" spans="1:5" x14ac:dyDescent="0.25">
      <c r="A1335">
        <v>364</v>
      </c>
      <c r="B1335">
        <v>843</v>
      </c>
      <c r="C1335" s="3">
        <v>44656</v>
      </c>
      <c r="D1335" s="3">
        <v>44685</v>
      </c>
      <c r="E1335">
        <v>7</v>
      </c>
    </row>
    <row r="1336" spans="1:5" x14ac:dyDescent="0.25">
      <c r="A1336">
        <v>568</v>
      </c>
      <c r="B1336">
        <v>843</v>
      </c>
      <c r="C1336" s="3">
        <v>44656</v>
      </c>
      <c r="D1336" s="3">
        <v>44673</v>
      </c>
      <c r="E1336">
        <v>8</v>
      </c>
    </row>
    <row r="1337" spans="1:5" x14ac:dyDescent="0.25">
      <c r="A1337">
        <v>570</v>
      </c>
      <c r="B1337">
        <v>177</v>
      </c>
      <c r="C1337" s="3">
        <v>44656</v>
      </c>
      <c r="D1337" s="3">
        <v>44692</v>
      </c>
      <c r="E1337">
        <v>9</v>
      </c>
    </row>
    <row r="1338" spans="1:5" x14ac:dyDescent="0.25">
      <c r="A1338">
        <v>586</v>
      </c>
      <c r="B1338">
        <v>418</v>
      </c>
      <c r="C1338" s="3">
        <v>44656</v>
      </c>
      <c r="D1338" s="3">
        <v>44662</v>
      </c>
      <c r="E1338">
        <v>4</v>
      </c>
    </row>
    <row r="1339" spans="1:5" x14ac:dyDescent="0.25">
      <c r="A1339">
        <v>594</v>
      </c>
      <c r="B1339">
        <v>724</v>
      </c>
      <c r="C1339" s="3">
        <v>44656</v>
      </c>
      <c r="D1339" s="3">
        <v>44695</v>
      </c>
      <c r="E1339">
        <v>1</v>
      </c>
    </row>
    <row r="1340" spans="1:5" x14ac:dyDescent="0.25">
      <c r="A1340">
        <v>659</v>
      </c>
      <c r="B1340">
        <v>186</v>
      </c>
      <c r="C1340" s="3">
        <v>44656</v>
      </c>
      <c r="D1340" s="3">
        <v>44679</v>
      </c>
      <c r="E1340">
        <v>3</v>
      </c>
    </row>
    <row r="1341" spans="1:5" x14ac:dyDescent="0.25">
      <c r="A1341">
        <v>884</v>
      </c>
      <c r="B1341">
        <v>196</v>
      </c>
      <c r="C1341" s="3">
        <v>44656</v>
      </c>
      <c r="D1341" s="3">
        <v>44690</v>
      </c>
      <c r="E1341">
        <v>2</v>
      </c>
    </row>
    <row r="1342" spans="1:5" x14ac:dyDescent="0.25">
      <c r="A1342">
        <v>47</v>
      </c>
      <c r="B1342">
        <v>376</v>
      </c>
      <c r="C1342" s="3">
        <v>44657</v>
      </c>
      <c r="D1342" s="3">
        <v>44664</v>
      </c>
      <c r="E1342">
        <v>9</v>
      </c>
    </row>
    <row r="1343" spans="1:5" x14ac:dyDescent="0.25">
      <c r="A1343">
        <v>139</v>
      </c>
      <c r="B1343">
        <v>701</v>
      </c>
      <c r="C1343" s="3">
        <v>44657</v>
      </c>
      <c r="D1343" s="3">
        <v>44692</v>
      </c>
      <c r="E1343">
        <v>5</v>
      </c>
    </row>
    <row r="1344" spans="1:5" x14ac:dyDescent="0.25">
      <c r="A1344">
        <v>232</v>
      </c>
      <c r="B1344">
        <v>726</v>
      </c>
      <c r="C1344" s="3">
        <v>44657</v>
      </c>
      <c r="D1344" s="3">
        <v>44673</v>
      </c>
      <c r="E1344">
        <v>10</v>
      </c>
    </row>
    <row r="1345" spans="1:5" x14ac:dyDescent="0.25">
      <c r="A1345">
        <v>302</v>
      </c>
      <c r="B1345">
        <v>643</v>
      </c>
      <c r="C1345" s="3">
        <v>44657</v>
      </c>
      <c r="D1345" s="3">
        <v>44667</v>
      </c>
      <c r="E1345">
        <v>4</v>
      </c>
    </row>
    <row r="1346" spans="1:5" x14ac:dyDescent="0.25">
      <c r="A1346">
        <v>333</v>
      </c>
      <c r="B1346">
        <v>780</v>
      </c>
      <c r="C1346" s="3">
        <v>44657</v>
      </c>
      <c r="D1346" s="3">
        <v>44666</v>
      </c>
      <c r="E1346">
        <v>2</v>
      </c>
    </row>
    <row r="1347" spans="1:5" x14ac:dyDescent="0.25">
      <c r="A1347">
        <v>334</v>
      </c>
      <c r="B1347">
        <v>752</v>
      </c>
      <c r="C1347" s="3">
        <v>44657</v>
      </c>
      <c r="D1347" s="3">
        <v>44672</v>
      </c>
      <c r="E1347">
        <v>6</v>
      </c>
    </row>
    <row r="1348" spans="1:5" x14ac:dyDescent="0.25">
      <c r="A1348">
        <v>338</v>
      </c>
      <c r="B1348">
        <v>853</v>
      </c>
      <c r="C1348" s="3">
        <v>44657</v>
      </c>
      <c r="D1348" s="3">
        <v>44666</v>
      </c>
      <c r="E1348">
        <v>9</v>
      </c>
    </row>
    <row r="1349" spans="1:5" x14ac:dyDescent="0.25">
      <c r="A1349">
        <v>491</v>
      </c>
      <c r="B1349">
        <v>696</v>
      </c>
      <c r="C1349" s="3">
        <v>44657</v>
      </c>
      <c r="D1349" s="3">
        <v>44674</v>
      </c>
      <c r="E1349">
        <v>7</v>
      </c>
    </row>
    <row r="1350" spans="1:5" x14ac:dyDescent="0.25">
      <c r="A1350">
        <v>496</v>
      </c>
      <c r="B1350">
        <v>826</v>
      </c>
      <c r="C1350" s="3">
        <v>44657</v>
      </c>
      <c r="D1350" s="3">
        <v>44660</v>
      </c>
      <c r="E1350">
        <v>4</v>
      </c>
    </row>
    <row r="1351" spans="1:5" x14ac:dyDescent="0.25">
      <c r="A1351">
        <v>500</v>
      </c>
      <c r="B1351">
        <v>701</v>
      </c>
      <c r="C1351" s="3">
        <v>44657</v>
      </c>
      <c r="D1351" s="3">
        <v>44698</v>
      </c>
      <c r="E1351">
        <v>8</v>
      </c>
    </row>
    <row r="1352" spans="1:5" x14ac:dyDescent="0.25">
      <c r="A1352">
        <v>527</v>
      </c>
      <c r="B1352">
        <v>707</v>
      </c>
      <c r="C1352" s="3">
        <v>44657</v>
      </c>
      <c r="D1352" s="3">
        <v>44696</v>
      </c>
      <c r="E1352">
        <v>3</v>
      </c>
    </row>
    <row r="1353" spans="1:5" x14ac:dyDescent="0.25">
      <c r="A1353">
        <v>573</v>
      </c>
      <c r="B1353">
        <v>679</v>
      </c>
      <c r="C1353" s="3">
        <v>44657</v>
      </c>
      <c r="D1353" s="3">
        <v>44661</v>
      </c>
      <c r="E1353">
        <v>3</v>
      </c>
    </row>
    <row r="1354" spans="1:5" x14ac:dyDescent="0.25">
      <c r="A1354">
        <v>600</v>
      </c>
      <c r="B1354">
        <v>585</v>
      </c>
      <c r="C1354" s="3">
        <v>44657</v>
      </c>
      <c r="D1354" s="3">
        <v>44663</v>
      </c>
      <c r="E1354">
        <v>6</v>
      </c>
    </row>
    <row r="1355" spans="1:5" x14ac:dyDescent="0.25">
      <c r="A1355">
        <v>669</v>
      </c>
      <c r="B1355">
        <v>358</v>
      </c>
      <c r="C1355" s="3">
        <v>44657</v>
      </c>
      <c r="D1355" s="3">
        <v>44669</v>
      </c>
      <c r="E1355">
        <v>7</v>
      </c>
    </row>
    <row r="1356" spans="1:5" x14ac:dyDescent="0.25">
      <c r="A1356">
        <v>747</v>
      </c>
      <c r="B1356">
        <v>186</v>
      </c>
      <c r="C1356" s="3">
        <v>44657</v>
      </c>
      <c r="D1356" s="3">
        <v>44666</v>
      </c>
      <c r="E1356">
        <v>6</v>
      </c>
    </row>
    <row r="1357" spans="1:5" x14ac:dyDescent="0.25">
      <c r="A1357">
        <v>747</v>
      </c>
      <c r="B1357">
        <v>862</v>
      </c>
      <c r="C1357" s="3">
        <v>44657</v>
      </c>
      <c r="D1357" s="3">
        <v>44685</v>
      </c>
      <c r="E1357">
        <v>6</v>
      </c>
    </row>
    <row r="1358" spans="1:5" x14ac:dyDescent="0.25">
      <c r="A1358">
        <v>827</v>
      </c>
      <c r="B1358">
        <v>696</v>
      </c>
      <c r="C1358" s="3">
        <v>44657</v>
      </c>
      <c r="D1358" s="3">
        <v>44658</v>
      </c>
      <c r="E1358">
        <v>5</v>
      </c>
    </row>
    <row r="1359" spans="1:5" x14ac:dyDescent="0.25">
      <c r="A1359">
        <v>961</v>
      </c>
      <c r="B1359">
        <v>530</v>
      </c>
      <c r="C1359" s="3">
        <v>44657</v>
      </c>
      <c r="D1359" s="3">
        <v>44659</v>
      </c>
      <c r="E1359">
        <v>2</v>
      </c>
    </row>
    <row r="1360" spans="1:5" x14ac:dyDescent="0.25">
      <c r="A1360">
        <v>42</v>
      </c>
      <c r="B1360">
        <v>374</v>
      </c>
      <c r="C1360" s="3">
        <v>44658</v>
      </c>
      <c r="D1360" s="3">
        <v>44698</v>
      </c>
      <c r="E1360">
        <v>9</v>
      </c>
    </row>
    <row r="1361" spans="1:5" x14ac:dyDescent="0.25">
      <c r="A1361">
        <v>296</v>
      </c>
      <c r="B1361">
        <v>643</v>
      </c>
      <c r="C1361" s="3">
        <v>44658</v>
      </c>
      <c r="D1361" s="3">
        <v>44697</v>
      </c>
      <c r="E1361">
        <v>5</v>
      </c>
    </row>
    <row r="1362" spans="1:5" x14ac:dyDescent="0.25">
      <c r="A1362">
        <v>362</v>
      </c>
      <c r="B1362">
        <v>840</v>
      </c>
      <c r="C1362" s="3">
        <v>44658</v>
      </c>
      <c r="D1362" s="3">
        <v>44678</v>
      </c>
      <c r="E1362">
        <v>1</v>
      </c>
    </row>
    <row r="1363" spans="1:5" x14ac:dyDescent="0.25">
      <c r="A1363">
        <v>501</v>
      </c>
      <c r="B1363">
        <v>759</v>
      </c>
      <c r="C1363" s="3">
        <v>44658</v>
      </c>
      <c r="D1363" s="3">
        <v>44676</v>
      </c>
      <c r="E1363">
        <v>4</v>
      </c>
    </row>
    <row r="1364" spans="1:5" x14ac:dyDescent="0.25">
      <c r="A1364">
        <v>527</v>
      </c>
      <c r="B1364">
        <v>219</v>
      </c>
      <c r="C1364" s="3">
        <v>44658</v>
      </c>
      <c r="D1364" s="3">
        <v>44697</v>
      </c>
      <c r="E1364">
        <v>6</v>
      </c>
    </row>
    <row r="1365" spans="1:5" x14ac:dyDescent="0.25">
      <c r="A1365">
        <v>531</v>
      </c>
      <c r="B1365">
        <v>852</v>
      </c>
      <c r="C1365" s="3">
        <v>44658</v>
      </c>
      <c r="D1365" s="3">
        <v>44698</v>
      </c>
      <c r="E1365">
        <v>1</v>
      </c>
    </row>
    <row r="1366" spans="1:5" x14ac:dyDescent="0.25">
      <c r="A1366">
        <v>540</v>
      </c>
      <c r="B1366">
        <v>702</v>
      </c>
      <c r="C1366" s="3">
        <v>44658</v>
      </c>
      <c r="D1366" s="3">
        <v>44699</v>
      </c>
      <c r="E1366">
        <v>10</v>
      </c>
    </row>
    <row r="1367" spans="1:5" x14ac:dyDescent="0.25">
      <c r="A1367">
        <v>570</v>
      </c>
      <c r="B1367">
        <v>699</v>
      </c>
      <c r="C1367" s="3">
        <v>44658</v>
      </c>
      <c r="D1367" s="3">
        <v>44668</v>
      </c>
      <c r="E1367">
        <v>2</v>
      </c>
    </row>
    <row r="1368" spans="1:5" x14ac:dyDescent="0.25">
      <c r="A1368">
        <v>585</v>
      </c>
      <c r="B1368">
        <v>515</v>
      </c>
      <c r="C1368" s="3">
        <v>44658</v>
      </c>
      <c r="D1368" s="3">
        <v>44668</v>
      </c>
      <c r="E1368">
        <v>2</v>
      </c>
    </row>
    <row r="1369" spans="1:5" x14ac:dyDescent="0.25">
      <c r="A1369">
        <v>600</v>
      </c>
      <c r="B1369">
        <v>782</v>
      </c>
      <c r="C1369" s="3">
        <v>44658</v>
      </c>
      <c r="D1369" s="3">
        <v>44678</v>
      </c>
      <c r="E1369">
        <v>6</v>
      </c>
    </row>
    <row r="1370" spans="1:5" x14ac:dyDescent="0.25">
      <c r="A1370">
        <v>609</v>
      </c>
      <c r="B1370">
        <v>694</v>
      </c>
      <c r="C1370" s="3">
        <v>44658</v>
      </c>
      <c r="D1370" s="3">
        <v>44676</v>
      </c>
      <c r="E1370">
        <v>8</v>
      </c>
    </row>
    <row r="1371" spans="1:5" x14ac:dyDescent="0.25">
      <c r="A1371">
        <v>750</v>
      </c>
      <c r="B1371">
        <v>853</v>
      </c>
      <c r="C1371" s="3">
        <v>44658</v>
      </c>
      <c r="D1371" s="3">
        <v>44686</v>
      </c>
      <c r="E1371">
        <v>1</v>
      </c>
    </row>
    <row r="1372" spans="1:5" x14ac:dyDescent="0.25">
      <c r="A1372">
        <v>784</v>
      </c>
      <c r="B1372">
        <v>607</v>
      </c>
      <c r="C1372" s="3">
        <v>44658</v>
      </c>
      <c r="D1372" s="3">
        <v>44659</v>
      </c>
      <c r="E1372">
        <v>10</v>
      </c>
    </row>
    <row r="1373" spans="1:5" x14ac:dyDescent="0.25">
      <c r="A1373">
        <v>827</v>
      </c>
      <c r="B1373">
        <v>853</v>
      </c>
      <c r="C1373" s="3">
        <v>44658</v>
      </c>
      <c r="D1373" s="3">
        <v>44690</v>
      </c>
      <c r="E1373">
        <v>9</v>
      </c>
    </row>
    <row r="1374" spans="1:5" x14ac:dyDescent="0.25">
      <c r="A1374">
        <v>843</v>
      </c>
      <c r="B1374">
        <v>652</v>
      </c>
      <c r="C1374" s="3">
        <v>44658</v>
      </c>
      <c r="D1374" s="3">
        <v>44687</v>
      </c>
      <c r="E1374">
        <v>5</v>
      </c>
    </row>
    <row r="1375" spans="1:5" x14ac:dyDescent="0.25">
      <c r="A1375">
        <v>906</v>
      </c>
      <c r="B1375">
        <v>830</v>
      </c>
      <c r="C1375" s="3">
        <v>44658</v>
      </c>
      <c r="D1375" s="3">
        <v>44663</v>
      </c>
      <c r="E1375">
        <v>10</v>
      </c>
    </row>
    <row r="1376" spans="1:5" x14ac:dyDescent="0.25">
      <c r="A1376">
        <v>923</v>
      </c>
      <c r="B1376">
        <v>702</v>
      </c>
      <c r="C1376" s="3">
        <v>44658</v>
      </c>
      <c r="D1376" s="3">
        <v>44665</v>
      </c>
      <c r="E1376">
        <v>8</v>
      </c>
    </row>
    <row r="1377" spans="1:5" x14ac:dyDescent="0.25">
      <c r="A1377">
        <v>983</v>
      </c>
      <c r="B1377">
        <v>330</v>
      </c>
      <c r="C1377" s="3">
        <v>44658</v>
      </c>
      <c r="D1377" s="3">
        <v>44673</v>
      </c>
      <c r="E1377">
        <v>2</v>
      </c>
    </row>
    <row r="1378" spans="1:5" x14ac:dyDescent="0.25">
      <c r="A1378">
        <v>66</v>
      </c>
      <c r="B1378">
        <v>177</v>
      </c>
      <c r="C1378" s="3">
        <v>44659</v>
      </c>
      <c r="D1378" s="3">
        <v>44690</v>
      </c>
      <c r="E1378">
        <v>1</v>
      </c>
    </row>
    <row r="1379" spans="1:5" x14ac:dyDescent="0.25">
      <c r="A1379">
        <v>142</v>
      </c>
      <c r="B1379">
        <v>398</v>
      </c>
      <c r="C1379" s="3">
        <v>44659</v>
      </c>
      <c r="D1379" s="3">
        <v>44660</v>
      </c>
      <c r="E1379">
        <v>5</v>
      </c>
    </row>
    <row r="1380" spans="1:5" x14ac:dyDescent="0.25">
      <c r="A1380">
        <v>200</v>
      </c>
      <c r="B1380">
        <v>530</v>
      </c>
      <c r="C1380" s="3">
        <v>44659</v>
      </c>
      <c r="D1380" s="3">
        <v>44685</v>
      </c>
      <c r="E1380">
        <v>9</v>
      </c>
    </row>
    <row r="1381" spans="1:5" x14ac:dyDescent="0.25">
      <c r="A1381">
        <v>200</v>
      </c>
      <c r="B1381">
        <v>812</v>
      </c>
      <c r="C1381" s="3">
        <v>44659</v>
      </c>
      <c r="D1381" s="3">
        <v>44694</v>
      </c>
      <c r="E1381">
        <v>7</v>
      </c>
    </row>
    <row r="1382" spans="1:5" x14ac:dyDescent="0.25">
      <c r="A1382">
        <v>224</v>
      </c>
      <c r="B1382">
        <v>692</v>
      </c>
      <c r="C1382" s="3">
        <v>44659</v>
      </c>
      <c r="D1382" s="3">
        <v>44680</v>
      </c>
      <c r="E1382">
        <v>4</v>
      </c>
    </row>
    <row r="1383" spans="1:5" x14ac:dyDescent="0.25">
      <c r="A1383">
        <v>232</v>
      </c>
      <c r="B1383">
        <v>762</v>
      </c>
      <c r="C1383" s="3">
        <v>44659</v>
      </c>
      <c r="D1383" s="3">
        <v>44698</v>
      </c>
      <c r="E1383">
        <v>1</v>
      </c>
    </row>
    <row r="1384" spans="1:5" x14ac:dyDescent="0.25">
      <c r="A1384">
        <v>284</v>
      </c>
      <c r="B1384">
        <v>479</v>
      </c>
      <c r="C1384" s="3">
        <v>44659</v>
      </c>
      <c r="D1384" s="3">
        <v>44693</v>
      </c>
      <c r="E1384">
        <v>1</v>
      </c>
    </row>
    <row r="1385" spans="1:5" x14ac:dyDescent="0.25">
      <c r="A1385">
        <v>312</v>
      </c>
      <c r="B1385">
        <v>607</v>
      </c>
      <c r="C1385" s="3">
        <v>44659</v>
      </c>
      <c r="D1385" s="3">
        <v>44677</v>
      </c>
      <c r="E1385">
        <v>3</v>
      </c>
    </row>
    <row r="1386" spans="1:5" x14ac:dyDescent="0.25">
      <c r="A1386">
        <v>329</v>
      </c>
      <c r="B1386">
        <v>709</v>
      </c>
      <c r="C1386" s="3">
        <v>44659</v>
      </c>
      <c r="D1386" s="3">
        <v>44688</v>
      </c>
      <c r="E1386">
        <v>2</v>
      </c>
    </row>
    <row r="1387" spans="1:5" x14ac:dyDescent="0.25">
      <c r="A1387">
        <v>332</v>
      </c>
      <c r="B1387">
        <v>590</v>
      </c>
      <c r="C1387" s="3">
        <v>44659</v>
      </c>
      <c r="D1387" s="3">
        <v>44668</v>
      </c>
      <c r="E1387">
        <v>1</v>
      </c>
    </row>
    <row r="1388" spans="1:5" x14ac:dyDescent="0.25">
      <c r="A1388">
        <v>669</v>
      </c>
      <c r="B1388">
        <v>282</v>
      </c>
      <c r="C1388" s="3">
        <v>44659</v>
      </c>
      <c r="D1388" s="3">
        <v>44666</v>
      </c>
      <c r="E1388">
        <v>5</v>
      </c>
    </row>
    <row r="1389" spans="1:5" x14ac:dyDescent="0.25">
      <c r="A1389">
        <v>761</v>
      </c>
      <c r="B1389">
        <v>358</v>
      </c>
      <c r="C1389" s="3">
        <v>44659</v>
      </c>
      <c r="D1389" s="3">
        <v>44670</v>
      </c>
      <c r="E1389">
        <v>7</v>
      </c>
    </row>
    <row r="1390" spans="1:5" x14ac:dyDescent="0.25">
      <c r="A1390">
        <v>823</v>
      </c>
      <c r="B1390">
        <v>563</v>
      </c>
      <c r="C1390" s="3">
        <v>44659</v>
      </c>
      <c r="D1390" s="3">
        <v>44698</v>
      </c>
      <c r="E1390">
        <v>2</v>
      </c>
    </row>
    <row r="1391" spans="1:5" x14ac:dyDescent="0.25">
      <c r="A1391">
        <v>142</v>
      </c>
      <c r="B1391">
        <v>436</v>
      </c>
      <c r="C1391" s="3">
        <v>44660</v>
      </c>
      <c r="D1391" s="3">
        <v>44662</v>
      </c>
      <c r="E1391">
        <v>4</v>
      </c>
    </row>
    <row r="1392" spans="1:5" x14ac:dyDescent="0.25">
      <c r="A1392">
        <v>296</v>
      </c>
      <c r="B1392">
        <v>843</v>
      </c>
      <c r="C1392" s="3">
        <v>44660</v>
      </c>
      <c r="D1392" s="3">
        <v>44685</v>
      </c>
      <c r="E1392">
        <v>2</v>
      </c>
    </row>
    <row r="1393" spans="1:5" x14ac:dyDescent="0.25">
      <c r="A1393">
        <v>312</v>
      </c>
      <c r="B1393">
        <v>812</v>
      </c>
      <c r="C1393" s="3">
        <v>44660</v>
      </c>
      <c r="D1393" s="3">
        <v>44675</v>
      </c>
      <c r="E1393">
        <v>1</v>
      </c>
    </row>
    <row r="1394" spans="1:5" x14ac:dyDescent="0.25">
      <c r="A1394">
        <v>364</v>
      </c>
      <c r="B1394">
        <v>709</v>
      </c>
      <c r="C1394" s="3">
        <v>44660</v>
      </c>
      <c r="D1394" s="3">
        <v>44678</v>
      </c>
      <c r="E1394">
        <v>9</v>
      </c>
    </row>
    <row r="1395" spans="1:5" x14ac:dyDescent="0.25">
      <c r="A1395">
        <v>585</v>
      </c>
      <c r="B1395">
        <v>702</v>
      </c>
      <c r="C1395" s="3">
        <v>44660</v>
      </c>
      <c r="D1395" s="3">
        <v>44696</v>
      </c>
      <c r="E1395">
        <v>8</v>
      </c>
    </row>
    <row r="1396" spans="1:5" x14ac:dyDescent="0.25">
      <c r="A1396">
        <v>586</v>
      </c>
      <c r="B1396">
        <v>724</v>
      </c>
      <c r="C1396" s="3">
        <v>44660</v>
      </c>
      <c r="D1396" s="3">
        <v>44701</v>
      </c>
      <c r="E1396">
        <v>10</v>
      </c>
    </row>
    <row r="1397" spans="1:5" x14ac:dyDescent="0.25">
      <c r="A1397">
        <v>610</v>
      </c>
      <c r="B1397">
        <v>853</v>
      </c>
      <c r="C1397" s="3">
        <v>44660</v>
      </c>
      <c r="D1397" s="3">
        <v>44697</v>
      </c>
      <c r="E1397">
        <v>4</v>
      </c>
    </row>
    <row r="1398" spans="1:5" x14ac:dyDescent="0.25">
      <c r="A1398">
        <v>611</v>
      </c>
      <c r="B1398">
        <v>683</v>
      </c>
      <c r="C1398" s="3">
        <v>44660</v>
      </c>
      <c r="D1398" s="3">
        <v>44688</v>
      </c>
      <c r="E1398">
        <v>8</v>
      </c>
    </row>
    <row r="1399" spans="1:5" x14ac:dyDescent="0.25">
      <c r="A1399">
        <v>634</v>
      </c>
      <c r="B1399">
        <v>541</v>
      </c>
      <c r="C1399" s="3">
        <v>44660</v>
      </c>
      <c r="D1399" s="3">
        <v>44690</v>
      </c>
      <c r="E1399">
        <v>3</v>
      </c>
    </row>
    <row r="1400" spans="1:5" x14ac:dyDescent="0.25">
      <c r="A1400">
        <v>634</v>
      </c>
      <c r="B1400">
        <v>826</v>
      </c>
      <c r="C1400" s="3">
        <v>44660</v>
      </c>
      <c r="D1400" s="3">
        <v>44682</v>
      </c>
      <c r="E1400">
        <v>1</v>
      </c>
    </row>
    <row r="1401" spans="1:5" x14ac:dyDescent="0.25">
      <c r="A1401">
        <v>784</v>
      </c>
      <c r="B1401">
        <v>745</v>
      </c>
      <c r="C1401" s="3">
        <v>44660</v>
      </c>
      <c r="D1401" s="3">
        <v>44672</v>
      </c>
      <c r="E1401">
        <v>2</v>
      </c>
    </row>
    <row r="1402" spans="1:5" x14ac:dyDescent="0.25">
      <c r="A1402">
        <v>884</v>
      </c>
      <c r="B1402">
        <v>541</v>
      </c>
      <c r="C1402" s="3">
        <v>44660</v>
      </c>
      <c r="D1402" s="3">
        <v>44697</v>
      </c>
      <c r="E1402">
        <v>8</v>
      </c>
    </row>
    <row r="1403" spans="1:5" x14ac:dyDescent="0.25">
      <c r="A1403">
        <v>989</v>
      </c>
      <c r="B1403">
        <v>453</v>
      </c>
      <c r="C1403" s="3">
        <v>44660</v>
      </c>
      <c r="D1403" s="3">
        <v>44676</v>
      </c>
      <c r="E1403">
        <v>10</v>
      </c>
    </row>
    <row r="1404" spans="1:5" x14ac:dyDescent="0.25">
      <c r="A1404">
        <v>81</v>
      </c>
      <c r="B1404">
        <v>683</v>
      </c>
      <c r="C1404" s="3">
        <v>44661</v>
      </c>
      <c r="D1404" s="3">
        <v>44697</v>
      </c>
      <c r="E1404">
        <v>1</v>
      </c>
    </row>
    <row r="1405" spans="1:5" x14ac:dyDescent="0.25">
      <c r="A1405">
        <v>224</v>
      </c>
      <c r="B1405">
        <v>782</v>
      </c>
      <c r="C1405" s="3">
        <v>44661</v>
      </c>
      <c r="D1405" s="3">
        <v>44686</v>
      </c>
      <c r="E1405">
        <v>8</v>
      </c>
    </row>
    <row r="1406" spans="1:5" x14ac:dyDescent="0.25">
      <c r="A1406">
        <v>308</v>
      </c>
      <c r="B1406">
        <v>696</v>
      </c>
      <c r="C1406" s="3">
        <v>44661</v>
      </c>
      <c r="D1406" s="3">
        <v>44677</v>
      </c>
      <c r="E1406">
        <v>5</v>
      </c>
    </row>
    <row r="1407" spans="1:5" x14ac:dyDescent="0.25">
      <c r="A1407">
        <v>448</v>
      </c>
      <c r="B1407">
        <v>826</v>
      </c>
      <c r="C1407" s="3">
        <v>44661</v>
      </c>
      <c r="D1407" s="3">
        <v>44699</v>
      </c>
      <c r="E1407">
        <v>1</v>
      </c>
    </row>
    <row r="1408" spans="1:5" x14ac:dyDescent="0.25">
      <c r="A1408">
        <v>468</v>
      </c>
      <c r="B1408">
        <v>128</v>
      </c>
      <c r="C1408" s="3">
        <v>44661</v>
      </c>
      <c r="D1408" s="3">
        <v>44694</v>
      </c>
      <c r="E1408">
        <v>5</v>
      </c>
    </row>
    <row r="1409" spans="1:5" x14ac:dyDescent="0.25">
      <c r="A1409">
        <v>491</v>
      </c>
      <c r="B1409">
        <v>673</v>
      </c>
      <c r="C1409" s="3">
        <v>44661</v>
      </c>
      <c r="D1409" s="3">
        <v>44670</v>
      </c>
      <c r="E1409">
        <v>4</v>
      </c>
    </row>
    <row r="1410" spans="1:5" x14ac:dyDescent="0.25">
      <c r="A1410">
        <v>501</v>
      </c>
      <c r="B1410">
        <v>726</v>
      </c>
      <c r="C1410" s="3">
        <v>44661</v>
      </c>
      <c r="D1410" s="3">
        <v>44662</v>
      </c>
      <c r="E1410">
        <v>7</v>
      </c>
    </row>
    <row r="1411" spans="1:5" x14ac:dyDescent="0.25">
      <c r="A1411">
        <v>568</v>
      </c>
      <c r="B1411">
        <v>259</v>
      </c>
      <c r="C1411" s="3">
        <v>44661</v>
      </c>
      <c r="D1411" s="3">
        <v>44695</v>
      </c>
      <c r="E1411">
        <v>7</v>
      </c>
    </row>
    <row r="1412" spans="1:5" x14ac:dyDescent="0.25">
      <c r="A1412">
        <v>570</v>
      </c>
      <c r="B1412">
        <v>607</v>
      </c>
      <c r="C1412" s="3">
        <v>44661</v>
      </c>
      <c r="D1412" s="3">
        <v>44679</v>
      </c>
      <c r="E1412">
        <v>6</v>
      </c>
    </row>
    <row r="1413" spans="1:5" x14ac:dyDescent="0.25">
      <c r="A1413">
        <v>580</v>
      </c>
      <c r="B1413">
        <v>358</v>
      </c>
      <c r="C1413" s="3">
        <v>44661</v>
      </c>
      <c r="D1413" s="3">
        <v>44690</v>
      </c>
      <c r="E1413">
        <v>9</v>
      </c>
    </row>
    <row r="1414" spans="1:5" x14ac:dyDescent="0.25">
      <c r="A1414">
        <v>580</v>
      </c>
      <c r="B1414">
        <v>374</v>
      </c>
      <c r="C1414" s="3">
        <v>44661</v>
      </c>
      <c r="D1414" s="3">
        <v>44705</v>
      </c>
      <c r="E1414">
        <v>5</v>
      </c>
    </row>
    <row r="1415" spans="1:5" x14ac:dyDescent="0.25">
      <c r="A1415">
        <v>643</v>
      </c>
      <c r="B1415">
        <v>341</v>
      </c>
      <c r="C1415" s="3">
        <v>44661</v>
      </c>
      <c r="D1415" s="3">
        <v>44705</v>
      </c>
      <c r="E1415">
        <v>2</v>
      </c>
    </row>
    <row r="1416" spans="1:5" x14ac:dyDescent="0.25">
      <c r="A1416">
        <v>747</v>
      </c>
      <c r="B1416">
        <v>330</v>
      </c>
      <c r="C1416" s="3">
        <v>44661</v>
      </c>
      <c r="D1416" s="3">
        <v>44685</v>
      </c>
      <c r="E1416">
        <v>6</v>
      </c>
    </row>
    <row r="1417" spans="1:5" x14ac:dyDescent="0.25">
      <c r="A1417">
        <v>923</v>
      </c>
      <c r="B1417">
        <v>164</v>
      </c>
      <c r="C1417" s="3">
        <v>44661</v>
      </c>
      <c r="D1417" s="3">
        <v>44684</v>
      </c>
      <c r="E1417">
        <v>7</v>
      </c>
    </row>
    <row r="1418" spans="1:5" x14ac:dyDescent="0.25">
      <c r="A1418">
        <v>989</v>
      </c>
      <c r="B1418">
        <v>594</v>
      </c>
      <c r="C1418" s="3">
        <v>44661</v>
      </c>
      <c r="D1418" s="3">
        <v>44669</v>
      </c>
      <c r="E1418">
        <v>5</v>
      </c>
    </row>
    <row r="1419" spans="1:5" x14ac:dyDescent="0.25">
      <c r="A1419">
        <v>42</v>
      </c>
      <c r="B1419">
        <v>453</v>
      </c>
      <c r="C1419" s="3">
        <v>44662</v>
      </c>
      <c r="D1419" s="3">
        <v>44686</v>
      </c>
      <c r="E1419">
        <v>6</v>
      </c>
    </row>
    <row r="1420" spans="1:5" x14ac:dyDescent="0.25">
      <c r="A1420">
        <v>46</v>
      </c>
      <c r="B1420">
        <v>398</v>
      </c>
      <c r="C1420" s="3">
        <v>44662</v>
      </c>
      <c r="D1420" s="3">
        <v>44696</v>
      </c>
      <c r="E1420">
        <v>3</v>
      </c>
    </row>
    <row r="1421" spans="1:5" x14ac:dyDescent="0.25">
      <c r="A1421">
        <v>47</v>
      </c>
      <c r="B1421">
        <v>702</v>
      </c>
      <c r="C1421" s="3">
        <v>44662</v>
      </c>
      <c r="D1421" s="3">
        <v>44702</v>
      </c>
      <c r="E1421">
        <v>9</v>
      </c>
    </row>
    <row r="1422" spans="1:5" x14ac:dyDescent="0.25">
      <c r="A1422">
        <v>47</v>
      </c>
      <c r="B1422">
        <v>787</v>
      </c>
      <c r="C1422" s="3">
        <v>44662</v>
      </c>
      <c r="D1422" s="3">
        <v>44687</v>
      </c>
      <c r="E1422">
        <v>10</v>
      </c>
    </row>
    <row r="1423" spans="1:5" x14ac:dyDescent="0.25">
      <c r="A1423">
        <v>142</v>
      </c>
      <c r="B1423">
        <v>331</v>
      </c>
      <c r="C1423" s="3">
        <v>44662</v>
      </c>
      <c r="D1423" s="3">
        <v>44671</v>
      </c>
      <c r="E1423">
        <v>6</v>
      </c>
    </row>
    <row r="1424" spans="1:5" x14ac:dyDescent="0.25">
      <c r="A1424">
        <v>190</v>
      </c>
      <c r="B1424">
        <v>652</v>
      </c>
      <c r="C1424" s="3">
        <v>44662</v>
      </c>
      <c r="D1424" s="3">
        <v>44681</v>
      </c>
      <c r="E1424">
        <v>1</v>
      </c>
    </row>
    <row r="1425" spans="1:5" x14ac:dyDescent="0.25">
      <c r="A1425">
        <v>254</v>
      </c>
      <c r="B1425">
        <v>201</v>
      </c>
      <c r="C1425" s="3">
        <v>44662</v>
      </c>
      <c r="D1425" s="3">
        <v>44688</v>
      </c>
      <c r="E1425">
        <v>2</v>
      </c>
    </row>
    <row r="1426" spans="1:5" x14ac:dyDescent="0.25">
      <c r="A1426">
        <v>331</v>
      </c>
      <c r="B1426">
        <v>196</v>
      </c>
      <c r="C1426" s="3">
        <v>44662</v>
      </c>
      <c r="D1426" s="3">
        <v>44702</v>
      </c>
      <c r="E1426">
        <v>2</v>
      </c>
    </row>
    <row r="1427" spans="1:5" x14ac:dyDescent="0.25">
      <c r="A1427">
        <v>333</v>
      </c>
      <c r="B1427">
        <v>752</v>
      </c>
      <c r="C1427" s="3">
        <v>44662</v>
      </c>
      <c r="D1427" s="3">
        <v>44697</v>
      </c>
      <c r="E1427">
        <v>3</v>
      </c>
    </row>
    <row r="1428" spans="1:5" x14ac:dyDescent="0.25">
      <c r="A1428">
        <v>334</v>
      </c>
      <c r="B1428">
        <v>792</v>
      </c>
      <c r="C1428" s="3">
        <v>44662</v>
      </c>
      <c r="D1428" s="3">
        <v>44664</v>
      </c>
      <c r="E1428">
        <v>6</v>
      </c>
    </row>
    <row r="1429" spans="1:5" x14ac:dyDescent="0.25">
      <c r="A1429">
        <v>360</v>
      </c>
      <c r="B1429">
        <v>702</v>
      </c>
      <c r="C1429" s="3">
        <v>44662</v>
      </c>
      <c r="D1429" s="3">
        <v>44706</v>
      </c>
      <c r="E1429">
        <v>1</v>
      </c>
    </row>
    <row r="1430" spans="1:5" x14ac:dyDescent="0.25">
      <c r="A1430">
        <v>496</v>
      </c>
      <c r="B1430">
        <v>683</v>
      </c>
      <c r="C1430" s="3">
        <v>44662</v>
      </c>
      <c r="D1430" s="3">
        <v>44699</v>
      </c>
      <c r="E1430">
        <v>2</v>
      </c>
    </row>
    <row r="1431" spans="1:5" x14ac:dyDescent="0.25">
      <c r="A1431">
        <v>544</v>
      </c>
      <c r="B1431">
        <v>710</v>
      </c>
      <c r="C1431" s="3">
        <v>44662</v>
      </c>
      <c r="D1431" s="3">
        <v>44687</v>
      </c>
      <c r="E1431">
        <v>1</v>
      </c>
    </row>
    <row r="1432" spans="1:5" x14ac:dyDescent="0.25">
      <c r="A1432">
        <v>594</v>
      </c>
      <c r="B1432">
        <v>213</v>
      </c>
      <c r="C1432" s="3">
        <v>44662</v>
      </c>
      <c r="D1432" s="3">
        <v>44677</v>
      </c>
      <c r="E1432">
        <v>2</v>
      </c>
    </row>
    <row r="1433" spans="1:5" x14ac:dyDescent="0.25">
      <c r="A1433">
        <v>761</v>
      </c>
      <c r="B1433">
        <v>699</v>
      </c>
      <c r="C1433" s="3">
        <v>44662</v>
      </c>
      <c r="D1433" s="3">
        <v>44666</v>
      </c>
      <c r="E1433">
        <v>10</v>
      </c>
    </row>
    <row r="1434" spans="1:5" x14ac:dyDescent="0.25">
      <c r="A1434">
        <v>849</v>
      </c>
      <c r="B1434">
        <v>752</v>
      </c>
      <c r="C1434" s="3">
        <v>44662</v>
      </c>
      <c r="D1434" s="3">
        <v>44695</v>
      </c>
      <c r="E1434">
        <v>3</v>
      </c>
    </row>
    <row r="1435" spans="1:5" x14ac:dyDescent="0.25">
      <c r="A1435">
        <v>961</v>
      </c>
      <c r="B1435">
        <v>453</v>
      </c>
      <c r="C1435" s="3">
        <v>44662</v>
      </c>
      <c r="D1435" s="3">
        <v>44666</v>
      </c>
      <c r="E1435">
        <v>1</v>
      </c>
    </row>
    <row r="1436" spans="1:5" x14ac:dyDescent="0.25">
      <c r="A1436">
        <v>47</v>
      </c>
      <c r="B1436">
        <v>707</v>
      </c>
      <c r="C1436" s="3">
        <v>44663</v>
      </c>
      <c r="D1436" s="3">
        <v>44673</v>
      </c>
      <c r="E1436">
        <v>1</v>
      </c>
    </row>
    <row r="1437" spans="1:5" x14ac:dyDescent="0.25">
      <c r="A1437">
        <v>47</v>
      </c>
      <c r="B1437">
        <v>867</v>
      </c>
      <c r="C1437" s="3">
        <v>44663</v>
      </c>
      <c r="D1437" s="3">
        <v>44674</v>
      </c>
      <c r="E1437">
        <v>8</v>
      </c>
    </row>
    <row r="1438" spans="1:5" x14ac:dyDescent="0.25">
      <c r="A1438">
        <v>232</v>
      </c>
      <c r="B1438">
        <v>515</v>
      </c>
      <c r="C1438" s="3">
        <v>44663</v>
      </c>
      <c r="D1438" s="3">
        <v>44665</v>
      </c>
      <c r="E1438">
        <v>9</v>
      </c>
    </row>
    <row r="1439" spans="1:5" x14ac:dyDescent="0.25">
      <c r="A1439">
        <v>282</v>
      </c>
      <c r="B1439">
        <v>331</v>
      </c>
      <c r="C1439" s="3">
        <v>44663</v>
      </c>
      <c r="D1439" s="3">
        <v>44701</v>
      </c>
      <c r="E1439">
        <v>6</v>
      </c>
    </row>
    <row r="1440" spans="1:5" x14ac:dyDescent="0.25">
      <c r="A1440">
        <v>302</v>
      </c>
      <c r="B1440">
        <v>778</v>
      </c>
      <c r="C1440" s="3">
        <v>44663</v>
      </c>
      <c r="D1440" s="3">
        <v>44704</v>
      </c>
      <c r="E1440">
        <v>6</v>
      </c>
    </row>
    <row r="1441" spans="1:5" x14ac:dyDescent="0.25">
      <c r="A1441">
        <v>312</v>
      </c>
      <c r="B1441">
        <v>373</v>
      </c>
      <c r="C1441" s="3">
        <v>44663</v>
      </c>
      <c r="D1441" s="3">
        <v>44668</v>
      </c>
      <c r="E1441">
        <v>7</v>
      </c>
    </row>
    <row r="1442" spans="1:5" x14ac:dyDescent="0.25">
      <c r="A1442">
        <v>330</v>
      </c>
      <c r="B1442">
        <v>541</v>
      </c>
      <c r="C1442" s="3">
        <v>44663</v>
      </c>
      <c r="D1442" s="3">
        <v>44704</v>
      </c>
      <c r="E1442">
        <v>8</v>
      </c>
    </row>
    <row r="1443" spans="1:5" x14ac:dyDescent="0.25">
      <c r="A1443">
        <v>332</v>
      </c>
      <c r="B1443">
        <v>703</v>
      </c>
      <c r="C1443" s="3">
        <v>44663</v>
      </c>
      <c r="D1443" s="3">
        <v>44672</v>
      </c>
      <c r="E1443">
        <v>2</v>
      </c>
    </row>
    <row r="1444" spans="1:5" x14ac:dyDescent="0.25">
      <c r="A1444">
        <v>362</v>
      </c>
      <c r="B1444">
        <v>689</v>
      </c>
      <c r="C1444" s="3">
        <v>44663</v>
      </c>
      <c r="D1444" s="3">
        <v>44668</v>
      </c>
      <c r="E1444">
        <v>2</v>
      </c>
    </row>
    <row r="1445" spans="1:5" x14ac:dyDescent="0.25">
      <c r="A1445">
        <v>573</v>
      </c>
      <c r="B1445">
        <v>758</v>
      </c>
      <c r="C1445" s="3">
        <v>44663</v>
      </c>
      <c r="D1445" s="3">
        <v>44676</v>
      </c>
      <c r="E1445">
        <v>7</v>
      </c>
    </row>
    <row r="1446" spans="1:5" x14ac:dyDescent="0.25">
      <c r="A1446">
        <v>602</v>
      </c>
      <c r="B1446">
        <v>213</v>
      </c>
      <c r="C1446" s="3">
        <v>44663</v>
      </c>
      <c r="D1446" s="3">
        <v>44697</v>
      </c>
      <c r="E1446">
        <v>1</v>
      </c>
    </row>
    <row r="1447" spans="1:5" x14ac:dyDescent="0.25">
      <c r="A1447">
        <v>610</v>
      </c>
      <c r="B1447">
        <v>696</v>
      </c>
      <c r="C1447" s="3">
        <v>44663</v>
      </c>
      <c r="D1447" s="3">
        <v>44696</v>
      </c>
      <c r="E1447">
        <v>4</v>
      </c>
    </row>
    <row r="1448" spans="1:5" x14ac:dyDescent="0.25">
      <c r="A1448">
        <v>923</v>
      </c>
      <c r="B1448">
        <v>607</v>
      </c>
      <c r="C1448" s="3">
        <v>44663</v>
      </c>
      <c r="D1448" s="3">
        <v>44700</v>
      </c>
      <c r="E1448">
        <v>6</v>
      </c>
    </row>
    <row r="1449" spans="1:5" x14ac:dyDescent="0.25">
      <c r="A1449">
        <v>146</v>
      </c>
      <c r="B1449">
        <v>805</v>
      </c>
      <c r="C1449" s="3">
        <v>44664</v>
      </c>
      <c r="D1449" s="3">
        <v>44702</v>
      </c>
      <c r="E1449">
        <v>5</v>
      </c>
    </row>
    <row r="1450" spans="1:5" x14ac:dyDescent="0.25">
      <c r="A1450">
        <v>150</v>
      </c>
      <c r="B1450">
        <v>685</v>
      </c>
      <c r="C1450" s="3">
        <v>44664</v>
      </c>
      <c r="D1450" s="3">
        <v>44666</v>
      </c>
      <c r="E1450">
        <v>3</v>
      </c>
    </row>
    <row r="1451" spans="1:5" x14ac:dyDescent="0.25">
      <c r="A1451">
        <v>312</v>
      </c>
      <c r="B1451">
        <v>395</v>
      </c>
      <c r="C1451" s="3">
        <v>44664</v>
      </c>
      <c r="D1451" s="3">
        <v>44668</v>
      </c>
      <c r="E1451">
        <v>10</v>
      </c>
    </row>
    <row r="1452" spans="1:5" x14ac:dyDescent="0.25">
      <c r="A1452">
        <v>312</v>
      </c>
      <c r="B1452">
        <v>725</v>
      </c>
      <c r="C1452" s="3">
        <v>44664</v>
      </c>
      <c r="D1452" s="3">
        <v>44695</v>
      </c>
      <c r="E1452">
        <v>1</v>
      </c>
    </row>
    <row r="1453" spans="1:5" x14ac:dyDescent="0.25">
      <c r="A1453">
        <v>331</v>
      </c>
      <c r="B1453">
        <v>792</v>
      </c>
      <c r="C1453" s="3">
        <v>44664</v>
      </c>
      <c r="D1453" s="3">
        <v>44671</v>
      </c>
      <c r="E1453">
        <v>10</v>
      </c>
    </row>
    <row r="1454" spans="1:5" x14ac:dyDescent="0.25">
      <c r="A1454">
        <v>331</v>
      </c>
      <c r="B1454">
        <v>853</v>
      </c>
      <c r="C1454" s="3">
        <v>44664</v>
      </c>
      <c r="D1454" s="3">
        <v>44703</v>
      </c>
      <c r="E1454">
        <v>8</v>
      </c>
    </row>
    <row r="1455" spans="1:5" x14ac:dyDescent="0.25">
      <c r="A1455">
        <v>334</v>
      </c>
      <c r="B1455">
        <v>757</v>
      </c>
      <c r="C1455" s="3">
        <v>44664</v>
      </c>
      <c r="D1455" s="3">
        <v>44669</v>
      </c>
      <c r="E1455">
        <v>8</v>
      </c>
    </row>
    <row r="1456" spans="1:5" x14ac:dyDescent="0.25">
      <c r="A1456">
        <v>416</v>
      </c>
      <c r="B1456">
        <v>703</v>
      </c>
      <c r="C1456" s="3">
        <v>44664</v>
      </c>
      <c r="D1456" s="3">
        <v>44683</v>
      </c>
      <c r="E1456">
        <v>5</v>
      </c>
    </row>
    <row r="1457" spans="1:5" x14ac:dyDescent="0.25">
      <c r="A1457">
        <v>491</v>
      </c>
      <c r="B1457">
        <v>849</v>
      </c>
      <c r="C1457" s="3">
        <v>44664</v>
      </c>
      <c r="D1457" s="3">
        <v>44673</v>
      </c>
      <c r="E1457">
        <v>8</v>
      </c>
    </row>
    <row r="1458" spans="1:5" x14ac:dyDescent="0.25">
      <c r="A1458">
        <v>496</v>
      </c>
      <c r="B1458">
        <v>607</v>
      </c>
      <c r="C1458" s="3">
        <v>44664</v>
      </c>
      <c r="D1458" s="3">
        <v>44680</v>
      </c>
      <c r="E1458">
        <v>10</v>
      </c>
    </row>
    <row r="1459" spans="1:5" x14ac:dyDescent="0.25">
      <c r="A1459">
        <v>538</v>
      </c>
      <c r="B1459">
        <v>867</v>
      </c>
      <c r="C1459" s="3">
        <v>44664</v>
      </c>
      <c r="D1459" s="3">
        <v>44680</v>
      </c>
      <c r="E1459">
        <v>7</v>
      </c>
    </row>
    <row r="1460" spans="1:5" x14ac:dyDescent="0.25">
      <c r="A1460">
        <v>544</v>
      </c>
      <c r="B1460">
        <v>590</v>
      </c>
      <c r="C1460" s="3">
        <v>44664</v>
      </c>
      <c r="D1460" s="3">
        <v>44674</v>
      </c>
      <c r="E1460">
        <v>7</v>
      </c>
    </row>
    <row r="1461" spans="1:5" x14ac:dyDescent="0.25">
      <c r="A1461">
        <v>570</v>
      </c>
      <c r="B1461">
        <v>834</v>
      </c>
      <c r="C1461" s="3">
        <v>44664</v>
      </c>
      <c r="D1461" s="3">
        <v>44665</v>
      </c>
      <c r="E1461">
        <v>7</v>
      </c>
    </row>
    <row r="1462" spans="1:5" x14ac:dyDescent="0.25">
      <c r="A1462">
        <v>600</v>
      </c>
      <c r="B1462">
        <v>541</v>
      </c>
      <c r="C1462" s="3">
        <v>44664</v>
      </c>
      <c r="D1462" s="3">
        <v>44682</v>
      </c>
      <c r="E1462">
        <v>7</v>
      </c>
    </row>
    <row r="1463" spans="1:5" x14ac:dyDescent="0.25">
      <c r="A1463">
        <v>830</v>
      </c>
      <c r="B1463">
        <v>594</v>
      </c>
      <c r="C1463" s="3">
        <v>44664</v>
      </c>
      <c r="D1463" s="3">
        <v>44672</v>
      </c>
      <c r="E1463">
        <v>7</v>
      </c>
    </row>
    <row r="1464" spans="1:5" x14ac:dyDescent="0.25">
      <c r="A1464">
        <v>884</v>
      </c>
      <c r="B1464">
        <v>769</v>
      </c>
      <c r="C1464" s="3">
        <v>44664</v>
      </c>
      <c r="D1464" s="3">
        <v>44693</v>
      </c>
      <c r="E1464">
        <v>2</v>
      </c>
    </row>
    <row r="1465" spans="1:5" x14ac:dyDescent="0.25">
      <c r="A1465">
        <v>22</v>
      </c>
      <c r="B1465">
        <v>541</v>
      </c>
      <c r="C1465" s="3">
        <v>44665</v>
      </c>
      <c r="D1465" s="3">
        <v>44671</v>
      </c>
      <c r="E1465">
        <v>6</v>
      </c>
    </row>
    <row r="1466" spans="1:5" x14ac:dyDescent="0.25">
      <c r="A1466">
        <v>46</v>
      </c>
      <c r="B1466">
        <v>683</v>
      </c>
      <c r="C1466" s="3">
        <v>44665</v>
      </c>
      <c r="D1466" s="3">
        <v>44692</v>
      </c>
      <c r="E1466">
        <v>1</v>
      </c>
    </row>
    <row r="1467" spans="1:5" x14ac:dyDescent="0.25">
      <c r="A1467">
        <v>141</v>
      </c>
      <c r="B1467">
        <v>696</v>
      </c>
      <c r="C1467" s="3">
        <v>44665</v>
      </c>
      <c r="D1467" s="3">
        <v>44690</v>
      </c>
      <c r="E1467">
        <v>9</v>
      </c>
    </row>
    <row r="1468" spans="1:5" x14ac:dyDescent="0.25">
      <c r="A1468">
        <v>224</v>
      </c>
      <c r="B1468">
        <v>852</v>
      </c>
      <c r="C1468" s="3">
        <v>44665</v>
      </c>
      <c r="D1468" s="3">
        <v>44700</v>
      </c>
      <c r="E1468">
        <v>8</v>
      </c>
    </row>
    <row r="1469" spans="1:5" x14ac:dyDescent="0.25">
      <c r="A1469">
        <v>232</v>
      </c>
      <c r="B1469">
        <v>834</v>
      </c>
      <c r="C1469" s="3">
        <v>44665</v>
      </c>
      <c r="D1469" s="3">
        <v>44701</v>
      </c>
      <c r="E1469">
        <v>6</v>
      </c>
    </row>
    <row r="1470" spans="1:5" x14ac:dyDescent="0.25">
      <c r="A1470">
        <v>302</v>
      </c>
      <c r="B1470">
        <v>673</v>
      </c>
      <c r="C1470" s="3">
        <v>44665</v>
      </c>
      <c r="D1470" s="3">
        <v>44693</v>
      </c>
      <c r="E1470">
        <v>6</v>
      </c>
    </row>
    <row r="1471" spans="1:5" x14ac:dyDescent="0.25">
      <c r="A1471">
        <v>330</v>
      </c>
      <c r="B1471">
        <v>780</v>
      </c>
      <c r="C1471" s="3">
        <v>44665</v>
      </c>
      <c r="D1471" s="3">
        <v>44685</v>
      </c>
      <c r="E1471">
        <v>1</v>
      </c>
    </row>
    <row r="1472" spans="1:5" x14ac:dyDescent="0.25">
      <c r="A1472">
        <v>531</v>
      </c>
      <c r="B1472">
        <v>726</v>
      </c>
      <c r="C1472" s="3">
        <v>44665</v>
      </c>
      <c r="D1472" s="3">
        <v>44697</v>
      </c>
      <c r="E1472">
        <v>8</v>
      </c>
    </row>
    <row r="1473" spans="1:5" x14ac:dyDescent="0.25">
      <c r="A1473">
        <v>531</v>
      </c>
      <c r="B1473">
        <v>745</v>
      </c>
      <c r="C1473" s="3">
        <v>44665</v>
      </c>
      <c r="D1473" s="3">
        <v>44708</v>
      </c>
      <c r="E1473">
        <v>8</v>
      </c>
    </row>
    <row r="1474" spans="1:5" x14ac:dyDescent="0.25">
      <c r="A1474">
        <v>538</v>
      </c>
      <c r="B1474">
        <v>724</v>
      </c>
      <c r="C1474" s="3">
        <v>44665</v>
      </c>
      <c r="D1474" s="3">
        <v>44693</v>
      </c>
      <c r="E1474">
        <v>7</v>
      </c>
    </row>
    <row r="1475" spans="1:5" x14ac:dyDescent="0.25">
      <c r="A1475">
        <v>730</v>
      </c>
      <c r="B1475">
        <v>585</v>
      </c>
      <c r="C1475" s="3">
        <v>44665</v>
      </c>
      <c r="D1475" s="3">
        <v>44680</v>
      </c>
      <c r="E1475">
        <v>8</v>
      </c>
    </row>
    <row r="1476" spans="1:5" x14ac:dyDescent="0.25">
      <c r="A1476">
        <v>771</v>
      </c>
      <c r="B1476">
        <v>862</v>
      </c>
      <c r="C1476" s="3">
        <v>44665</v>
      </c>
      <c r="D1476" s="3">
        <v>44672</v>
      </c>
      <c r="E1476">
        <v>1</v>
      </c>
    </row>
    <row r="1477" spans="1:5" x14ac:dyDescent="0.25">
      <c r="A1477">
        <v>830</v>
      </c>
      <c r="B1477">
        <v>590</v>
      </c>
      <c r="C1477" s="3">
        <v>44665</v>
      </c>
      <c r="D1477" s="3">
        <v>44681</v>
      </c>
      <c r="E1477">
        <v>6</v>
      </c>
    </row>
    <row r="1478" spans="1:5" x14ac:dyDescent="0.25">
      <c r="A1478">
        <v>841</v>
      </c>
      <c r="B1478">
        <v>543</v>
      </c>
      <c r="C1478" s="3">
        <v>44665</v>
      </c>
      <c r="D1478" s="3">
        <v>44709</v>
      </c>
      <c r="E1478">
        <v>5</v>
      </c>
    </row>
    <row r="1479" spans="1:5" x14ac:dyDescent="0.25">
      <c r="A1479">
        <v>226</v>
      </c>
      <c r="B1479">
        <v>590</v>
      </c>
      <c r="C1479" s="3">
        <v>44666</v>
      </c>
      <c r="D1479" s="3">
        <v>44669</v>
      </c>
      <c r="E1479">
        <v>5</v>
      </c>
    </row>
    <row r="1480" spans="1:5" x14ac:dyDescent="0.25">
      <c r="A1480">
        <v>323</v>
      </c>
      <c r="B1480">
        <v>583</v>
      </c>
      <c r="C1480" s="3">
        <v>44666</v>
      </c>
      <c r="D1480" s="3">
        <v>44699</v>
      </c>
      <c r="E1480">
        <v>6</v>
      </c>
    </row>
    <row r="1481" spans="1:5" x14ac:dyDescent="0.25">
      <c r="A1481">
        <v>331</v>
      </c>
      <c r="B1481">
        <v>373</v>
      </c>
      <c r="C1481" s="3">
        <v>44666</v>
      </c>
      <c r="D1481" s="3">
        <v>44683</v>
      </c>
      <c r="E1481">
        <v>4</v>
      </c>
    </row>
    <row r="1482" spans="1:5" x14ac:dyDescent="0.25">
      <c r="A1482">
        <v>474</v>
      </c>
      <c r="B1482">
        <v>580</v>
      </c>
      <c r="C1482" s="3">
        <v>44666</v>
      </c>
      <c r="D1482" s="3">
        <v>44675</v>
      </c>
      <c r="E1482">
        <v>7</v>
      </c>
    </row>
    <row r="1483" spans="1:5" x14ac:dyDescent="0.25">
      <c r="A1483">
        <v>527</v>
      </c>
      <c r="B1483">
        <v>862</v>
      </c>
      <c r="C1483" s="3">
        <v>44666</v>
      </c>
      <c r="D1483" s="3">
        <v>44698</v>
      </c>
      <c r="E1483">
        <v>10</v>
      </c>
    </row>
    <row r="1484" spans="1:5" x14ac:dyDescent="0.25">
      <c r="A1484">
        <v>531</v>
      </c>
      <c r="B1484">
        <v>515</v>
      </c>
      <c r="C1484" s="3">
        <v>44666</v>
      </c>
      <c r="D1484" s="3">
        <v>44678</v>
      </c>
      <c r="E1484">
        <v>8</v>
      </c>
    </row>
    <row r="1485" spans="1:5" x14ac:dyDescent="0.25">
      <c r="A1485">
        <v>570</v>
      </c>
      <c r="B1485">
        <v>398</v>
      </c>
      <c r="C1485" s="3">
        <v>44666</v>
      </c>
      <c r="D1485" s="3">
        <v>44682</v>
      </c>
      <c r="E1485">
        <v>4</v>
      </c>
    </row>
    <row r="1486" spans="1:5" x14ac:dyDescent="0.25">
      <c r="A1486">
        <v>610</v>
      </c>
      <c r="B1486">
        <v>590</v>
      </c>
      <c r="C1486" s="3">
        <v>44666</v>
      </c>
      <c r="D1486" s="3">
        <v>44677</v>
      </c>
      <c r="E1486">
        <v>5</v>
      </c>
    </row>
    <row r="1487" spans="1:5" x14ac:dyDescent="0.25">
      <c r="A1487">
        <v>634</v>
      </c>
      <c r="B1487">
        <v>239</v>
      </c>
      <c r="C1487" s="3">
        <v>44666</v>
      </c>
      <c r="D1487" s="3">
        <v>44689</v>
      </c>
      <c r="E1487">
        <v>2</v>
      </c>
    </row>
    <row r="1488" spans="1:5" x14ac:dyDescent="0.25">
      <c r="A1488">
        <v>634</v>
      </c>
      <c r="B1488">
        <v>585</v>
      </c>
      <c r="C1488" s="3">
        <v>44666</v>
      </c>
      <c r="D1488" s="3">
        <v>44697</v>
      </c>
      <c r="E1488">
        <v>7</v>
      </c>
    </row>
    <row r="1489" spans="1:5" x14ac:dyDescent="0.25">
      <c r="A1489">
        <v>802</v>
      </c>
      <c r="B1489">
        <v>643</v>
      </c>
      <c r="C1489" s="3">
        <v>44666</v>
      </c>
      <c r="D1489" s="3">
        <v>44672</v>
      </c>
      <c r="E1489">
        <v>1</v>
      </c>
    </row>
    <row r="1490" spans="1:5" x14ac:dyDescent="0.25">
      <c r="A1490">
        <v>983</v>
      </c>
      <c r="B1490">
        <v>164</v>
      </c>
      <c r="C1490" s="3">
        <v>44666</v>
      </c>
      <c r="D1490" s="3">
        <v>44681</v>
      </c>
      <c r="E1490">
        <v>4</v>
      </c>
    </row>
    <row r="1491" spans="1:5" x14ac:dyDescent="0.25">
      <c r="A1491">
        <v>983</v>
      </c>
      <c r="B1491">
        <v>583</v>
      </c>
      <c r="C1491" s="3">
        <v>44666</v>
      </c>
      <c r="D1491" s="3">
        <v>44684</v>
      </c>
      <c r="E1491">
        <v>5</v>
      </c>
    </row>
    <row r="1492" spans="1:5" x14ac:dyDescent="0.25">
      <c r="A1492">
        <v>989</v>
      </c>
      <c r="B1492">
        <v>724</v>
      </c>
      <c r="C1492" s="3">
        <v>44666</v>
      </c>
      <c r="D1492" s="3">
        <v>44677</v>
      </c>
      <c r="E1492">
        <v>1</v>
      </c>
    </row>
    <row r="1493" spans="1:5" x14ac:dyDescent="0.25">
      <c r="A1493">
        <v>46</v>
      </c>
      <c r="B1493">
        <v>692</v>
      </c>
      <c r="C1493" s="3">
        <v>44667</v>
      </c>
      <c r="D1493" s="3">
        <v>44676</v>
      </c>
      <c r="E1493">
        <v>8</v>
      </c>
    </row>
    <row r="1494" spans="1:5" x14ac:dyDescent="0.25">
      <c r="A1494">
        <v>190</v>
      </c>
      <c r="B1494">
        <v>817</v>
      </c>
      <c r="C1494" s="3">
        <v>44667</v>
      </c>
      <c r="D1494" s="3">
        <v>44678</v>
      </c>
      <c r="E1494">
        <v>7</v>
      </c>
    </row>
    <row r="1495" spans="1:5" x14ac:dyDescent="0.25">
      <c r="A1495">
        <v>331</v>
      </c>
      <c r="B1495">
        <v>699</v>
      </c>
      <c r="C1495" s="3">
        <v>44667</v>
      </c>
      <c r="D1495" s="3">
        <v>44684</v>
      </c>
      <c r="E1495">
        <v>5</v>
      </c>
    </row>
    <row r="1496" spans="1:5" x14ac:dyDescent="0.25">
      <c r="A1496">
        <v>331</v>
      </c>
      <c r="B1496">
        <v>757</v>
      </c>
      <c r="C1496" s="3">
        <v>44667</v>
      </c>
      <c r="D1496" s="3">
        <v>44683</v>
      </c>
      <c r="E1496">
        <v>9</v>
      </c>
    </row>
    <row r="1497" spans="1:5" x14ac:dyDescent="0.25">
      <c r="A1497">
        <v>489</v>
      </c>
      <c r="B1497">
        <v>830</v>
      </c>
      <c r="C1497" s="3">
        <v>44667</v>
      </c>
      <c r="D1497" s="3">
        <v>44686</v>
      </c>
      <c r="E1497">
        <v>1</v>
      </c>
    </row>
    <row r="1498" spans="1:5" x14ac:dyDescent="0.25">
      <c r="A1498">
        <v>557</v>
      </c>
      <c r="B1498">
        <v>782</v>
      </c>
      <c r="C1498" s="3">
        <v>44667</v>
      </c>
      <c r="D1498" s="3">
        <v>44702</v>
      </c>
      <c r="E1498">
        <v>7</v>
      </c>
    </row>
    <row r="1499" spans="1:5" x14ac:dyDescent="0.25">
      <c r="A1499">
        <v>568</v>
      </c>
      <c r="B1499">
        <v>752</v>
      </c>
      <c r="C1499" s="3">
        <v>44667</v>
      </c>
      <c r="D1499" s="3">
        <v>44706</v>
      </c>
      <c r="E1499">
        <v>6</v>
      </c>
    </row>
    <row r="1500" spans="1:5" x14ac:dyDescent="0.25">
      <c r="A1500">
        <v>659</v>
      </c>
      <c r="B1500">
        <v>702</v>
      </c>
      <c r="C1500" s="3">
        <v>44667</v>
      </c>
      <c r="D1500" s="3">
        <v>44678</v>
      </c>
      <c r="E1500">
        <v>10</v>
      </c>
    </row>
    <row r="1501" spans="1:5" x14ac:dyDescent="0.25">
      <c r="A1501">
        <v>802</v>
      </c>
      <c r="B1501">
        <v>703</v>
      </c>
      <c r="C1501" s="3">
        <v>44667</v>
      </c>
      <c r="D1501" s="3">
        <v>44692</v>
      </c>
      <c r="E1501">
        <v>10</v>
      </c>
    </row>
    <row r="1502" spans="1:5" x14ac:dyDescent="0.25">
      <c r="A1502">
        <v>802</v>
      </c>
      <c r="B1502">
        <v>801</v>
      </c>
      <c r="C1502" s="3">
        <v>44667</v>
      </c>
      <c r="D1502" s="3">
        <v>44677</v>
      </c>
      <c r="E1502">
        <v>5</v>
      </c>
    </row>
    <row r="1503" spans="1:5" x14ac:dyDescent="0.25">
      <c r="A1503">
        <v>830</v>
      </c>
      <c r="B1503">
        <v>853</v>
      </c>
      <c r="C1503" s="3">
        <v>44667</v>
      </c>
      <c r="D1503" s="3">
        <v>44685</v>
      </c>
      <c r="E1503">
        <v>4</v>
      </c>
    </row>
    <row r="1504" spans="1:5" x14ac:dyDescent="0.25">
      <c r="A1504">
        <v>989</v>
      </c>
      <c r="B1504">
        <v>373</v>
      </c>
      <c r="C1504" s="3">
        <v>44667</v>
      </c>
      <c r="D1504" s="3">
        <v>44701</v>
      </c>
      <c r="E1504">
        <v>2</v>
      </c>
    </row>
    <row r="1505" spans="1:5" x14ac:dyDescent="0.25">
      <c r="A1505">
        <v>989</v>
      </c>
      <c r="B1505">
        <v>726</v>
      </c>
      <c r="C1505" s="3">
        <v>44667</v>
      </c>
      <c r="D1505" s="3">
        <v>44678</v>
      </c>
      <c r="E1505">
        <v>7</v>
      </c>
    </row>
    <row r="1506" spans="1:5" x14ac:dyDescent="0.25">
      <c r="A1506">
        <v>22</v>
      </c>
      <c r="B1506">
        <v>196</v>
      </c>
      <c r="C1506" s="3">
        <v>44668</v>
      </c>
      <c r="D1506" s="3">
        <v>44705</v>
      </c>
      <c r="E1506">
        <v>6</v>
      </c>
    </row>
    <row r="1507" spans="1:5" x14ac:dyDescent="0.25">
      <c r="A1507">
        <v>139</v>
      </c>
      <c r="B1507">
        <v>810</v>
      </c>
      <c r="C1507" s="3">
        <v>44668</v>
      </c>
      <c r="D1507" s="3">
        <v>44691</v>
      </c>
      <c r="E1507">
        <v>3</v>
      </c>
    </row>
    <row r="1508" spans="1:5" x14ac:dyDescent="0.25">
      <c r="A1508">
        <v>302</v>
      </c>
      <c r="B1508">
        <v>826</v>
      </c>
      <c r="C1508" s="3">
        <v>44668</v>
      </c>
      <c r="D1508" s="3">
        <v>44684</v>
      </c>
      <c r="E1508">
        <v>1</v>
      </c>
    </row>
    <row r="1509" spans="1:5" x14ac:dyDescent="0.25">
      <c r="A1509">
        <v>333</v>
      </c>
      <c r="B1509">
        <v>282</v>
      </c>
      <c r="C1509" s="3">
        <v>44668</v>
      </c>
      <c r="D1509" s="3">
        <v>44685</v>
      </c>
      <c r="E1509">
        <v>8</v>
      </c>
    </row>
    <row r="1510" spans="1:5" x14ac:dyDescent="0.25">
      <c r="A1510">
        <v>364</v>
      </c>
      <c r="B1510">
        <v>759</v>
      </c>
      <c r="C1510" s="3">
        <v>44668</v>
      </c>
      <c r="D1510" s="3">
        <v>44690</v>
      </c>
      <c r="E1510">
        <v>8</v>
      </c>
    </row>
    <row r="1511" spans="1:5" x14ac:dyDescent="0.25">
      <c r="A1511">
        <v>573</v>
      </c>
      <c r="B1511">
        <v>580</v>
      </c>
      <c r="C1511" s="3">
        <v>44668</v>
      </c>
      <c r="D1511" s="3">
        <v>44712</v>
      </c>
      <c r="E1511">
        <v>8</v>
      </c>
    </row>
    <row r="1512" spans="1:5" x14ac:dyDescent="0.25">
      <c r="A1512">
        <v>730</v>
      </c>
      <c r="B1512">
        <v>698</v>
      </c>
      <c r="C1512" s="3">
        <v>44668</v>
      </c>
      <c r="D1512" s="3">
        <v>44692</v>
      </c>
      <c r="E1512">
        <v>8</v>
      </c>
    </row>
    <row r="1513" spans="1:5" x14ac:dyDescent="0.25">
      <c r="A1513">
        <v>802</v>
      </c>
      <c r="B1513">
        <v>702</v>
      </c>
      <c r="C1513" s="3">
        <v>44668</v>
      </c>
      <c r="D1513" s="3">
        <v>44705</v>
      </c>
      <c r="E1513">
        <v>3</v>
      </c>
    </row>
    <row r="1514" spans="1:5" x14ac:dyDescent="0.25">
      <c r="A1514">
        <v>843</v>
      </c>
      <c r="B1514">
        <v>834</v>
      </c>
      <c r="C1514" s="3">
        <v>44668</v>
      </c>
      <c r="D1514" s="3">
        <v>44683</v>
      </c>
      <c r="E1514">
        <v>10</v>
      </c>
    </row>
    <row r="1515" spans="1:5" x14ac:dyDescent="0.25">
      <c r="A1515">
        <v>849</v>
      </c>
      <c r="B1515">
        <v>801</v>
      </c>
      <c r="C1515" s="3">
        <v>44668</v>
      </c>
      <c r="D1515" s="3">
        <v>44690</v>
      </c>
      <c r="E1515">
        <v>9</v>
      </c>
    </row>
    <row r="1516" spans="1:5" x14ac:dyDescent="0.25">
      <c r="A1516">
        <v>884</v>
      </c>
      <c r="B1516">
        <v>778</v>
      </c>
      <c r="C1516" s="3">
        <v>44668</v>
      </c>
      <c r="D1516" s="3">
        <v>44674</v>
      </c>
      <c r="E1516">
        <v>8</v>
      </c>
    </row>
    <row r="1517" spans="1:5" x14ac:dyDescent="0.25">
      <c r="A1517">
        <v>989</v>
      </c>
      <c r="B1517">
        <v>758</v>
      </c>
      <c r="C1517" s="3">
        <v>44668</v>
      </c>
      <c r="D1517" s="3">
        <v>44678</v>
      </c>
      <c r="E1517">
        <v>10</v>
      </c>
    </row>
    <row r="1518" spans="1:5" x14ac:dyDescent="0.25">
      <c r="A1518">
        <v>42</v>
      </c>
      <c r="B1518">
        <v>358</v>
      </c>
      <c r="C1518" s="3">
        <v>44669</v>
      </c>
      <c r="D1518" s="3">
        <v>44703</v>
      </c>
      <c r="E1518">
        <v>4</v>
      </c>
    </row>
    <row r="1519" spans="1:5" x14ac:dyDescent="0.25">
      <c r="A1519">
        <v>46</v>
      </c>
      <c r="B1519">
        <v>762</v>
      </c>
      <c r="C1519" s="3">
        <v>44669</v>
      </c>
      <c r="D1519" s="3">
        <v>44709</v>
      </c>
      <c r="E1519">
        <v>7</v>
      </c>
    </row>
    <row r="1520" spans="1:5" x14ac:dyDescent="0.25">
      <c r="A1520">
        <v>226</v>
      </c>
      <c r="B1520">
        <v>747</v>
      </c>
      <c r="C1520" s="3">
        <v>44669</v>
      </c>
      <c r="D1520" s="3">
        <v>44682</v>
      </c>
      <c r="E1520">
        <v>4</v>
      </c>
    </row>
    <row r="1521" spans="1:5" x14ac:dyDescent="0.25">
      <c r="A1521">
        <v>232</v>
      </c>
      <c r="B1521">
        <v>436</v>
      </c>
      <c r="C1521" s="3">
        <v>44669</v>
      </c>
      <c r="D1521" s="3">
        <v>44684</v>
      </c>
      <c r="E1521">
        <v>8</v>
      </c>
    </row>
    <row r="1522" spans="1:5" x14ac:dyDescent="0.25">
      <c r="A1522">
        <v>448</v>
      </c>
      <c r="B1522">
        <v>186</v>
      </c>
      <c r="C1522" s="3">
        <v>44669</v>
      </c>
      <c r="D1522" s="3">
        <v>44678</v>
      </c>
      <c r="E1522">
        <v>8</v>
      </c>
    </row>
    <row r="1523" spans="1:5" x14ac:dyDescent="0.25">
      <c r="A1523">
        <v>501</v>
      </c>
      <c r="B1523">
        <v>316</v>
      </c>
      <c r="C1523" s="3">
        <v>44669</v>
      </c>
      <c r="D1523" s="3">
        <v>44696</v>
      </c>
      <c r="E1523">
        <v>3</v>
      </c>
    </row>
    <row r="1524" spans="1:5" x14ac:dyDescent="0.25">
      <c r="A1524">
        <v>501</v>
      </c>
      <c r="B1524">
        <v>812</v>
      </c>
      <c r="C1524" s="3">
        <v>44669</v>
      </c>
      <c r="D1524" s="3">
        <v>44681</v>
      </c>
      <c r="E1524">
        <v>7</v>
      </c>
    </row>
    <row r="1525" spans="1:5" x14ac:dyDescent="0.25">
      <c r="A1525">
        <v>544</v>
      </c>
      <c r="B1525">
        <v>373</v>
      </c>
      <c r="C1525" s="3">
        <v>44669</v>
      </c>
      <c r="D1525" s="3">
        <v>44686</v>
      </c>
      <c r="E1525">
        <v>8</v>
      </c>
    </row>
    <row r="1526" spans="1:5" x14ac:dyDescent="0.25">
      <c r="A1526">
        <v>568</v>
      </c>
      <c r="B1526">
        <v>703</v>
      </c>
      <c r="C1526" s="3">
        <v>44669</v>
      </c>
      <c r="D1526" s="3">
        <v>44701</v>
      </c>
      <c r="E1526">
        <v>9</v>
      </c>
    </row>
    <row r="1527" spans="1:5" x14ac:dyDescent="0.25">
      <c r="A1527">
        <v>594</v>
      </c>
      <c r="B1527">
        <v>398</v>
      </c>
      <c r="C1527" s="3">
        <v>44669</v>
      </c>
      <c r="D1527" s="3">
        <v>44699</v>
      </c>
      <c r="E1527">
        <v>2</v>
      </c>
    </row>
    <row r="1528" spans="1:5" x14ac:dyDescent="0.25">
      <c r="A1528">
        <v>841</v>
      </c>
      <c r="B1528">
        <v>543</v>
      </c>
      <c r="C1528" s="3">
        <v>44669</v>
      </c>
      <c r="D1528" s="3">
        <v>44685</v>
      </c>
      <c r="E1528">
        <v>2</v>
      </c>
    </row>
    <row r="1529" spans="1:5" x14ac:dyDescent="0.25">
      <c r="A1529">
        <v>972</v>
      </c>
      <c r="B1529">
        <v>374</v>
      </c>
      <c r="C1529" s="3">
        <v>44669</v>
      </c>
      <c r="D1529" s="3">
        <v>44683</v>
      </c>
      <c r="E1529">
        <v>10</v>
      </c>
    </row>
    <row r="1530" spans="1:5" x14ac:dyDescent="0.25">
      <c r="A1530">
        <v>989</v>
      </c>
      <c r="B1530">
        <v>643</v>
      </c>
      <c r="C1530" s="3">
        <v>44669</v>
      </c>
      <c r="D1530" s="3">
        <v>44684</v>
      </c>
      <c r="E1530">
        <v>10</v>
      </c>
    </row>
    <row r="1531" spans="1:5" x14ac:dyDescent="0.25">
      <c r="A1531">
        <v>22</v>
      </c>
      <c r="B1531">
        <v>704</v>
      </c>
      <c r="C1531" s="3">
        <v>44670</v>
      </c>
      <c r="D1531" s="3">
        <v>44706</v>
      </c>
      <c r="E1531">
        <v>3</v>
      </c>
    </row>
    <row r="1532" spans="1:5" x14ac:dyDescent="0.25">
      <c r="A1532">
        <v>42</v>
      </c>
      <c r="B1532">
        <v>685</v>
      </c>
      <c r="C1532" s="3">
        <v>44670</v>
      </c>
      <c r="D1532" s="3">
        <v>44708</v>
      </c>
      <c r="E1532">
        <v>4</v>
      </c>
    </row>
    <row r="1533" spans="1:5" x14ac:dyDescent="0.25">
      <c r="A1533">
        <v>55</v>
      </c>
      <c r="B1533">
        <v>849</v>
      </c>
      <c r="C1533" s="3">
        <v>44670</v>
      </c>
      <c r="D1533" s="3">
        <v>44692</v>
      </c>
      <c r="E1533">
        <v>6</v>
      </c>
    </row>
    <row r="1534" spans="1:5" x14ac:dyDescent="0.25">
      <c r="A1534">
        <v>226</v>
      </c>
      <c r="B1534">
        <v>852</v>
      </c>
      <c r="C1534" s="3">
        <v>44670</v>
      </c>
      <c r="D1534" s="3">
        <v>44680</v>
      </c>
      <c r="E1534">
        <v>5</v>
      </c>
    </row>
    <row r="1535" spans="1:5" x14ac:dyDescent="0.25">
      <c r="A1535">
        <v>232</v>
      </c>
      <c r="B1535">
        <v>849</v>
      </c>
      <c r="C1535" s="3">
        <v>44670</v>
      </c>
      <c r="D1535" s="3">
        <v>44711</v>
      </c>
      <c r="E1535">
        <v>1</v>
      </c>
    </row>
    <row r="1536" spans="1:5" x14ac:dyDescent="0.25">
      <c r="A1536">
        <v>249</v>
      </c>
      <c r="B1536">
        <v>778</v>
      </c>
      <c r="C1536" s="3">
        <v>44670</v>
      </c>
      <c r="D1536" s="3">
        <v>44676</v>
      </c>
      <c r="E1536">
        <v>6</v>
      </c>
    </row>
    <row r="1537" spans="1:5" x14ac:dyDescent="0.25">
      <c r="A1537">
        <v>338</v>
      </c>
      <c r="B1537">
        <v>563</v>
      </c>
      <c r="C1537" s="3">
        <v>44670</v>
      </c>
      <c r="D1537" s="3">
        <v>44703</v>
      </c>
      <c r="E1537">
        <v>7</v>
      </c>
    </row>
    <row r="1538" spans="1:5" x14ac:dyDescent="0.25">
      <c r="A1538">
        <v>500</v>
      </c>
      <c r="B1538">
        <v>239</v>
      </c>
      <c r="C1538" s="3">
        <v>44670</v>
      </c>
      <c r="D1538" s="3">
        <v>44706</v>
      </c>
      <c r="E1538">
        <v>2</v>
      </c>
    </row>
    <row r="1539" spans="1:5" x14ac:dyDescent="0.25">
      <c r="A1539">
        <v>501</v>
      </c>
      <c r="B1539">
        <v>843</v>
      </c>
      <c r="C1539" s="3">
        <v>44670</v>
      </c>
      <c r="D1539" s="3">
        <v>44690</v>
      </c>
      <c r="E1539">
        <v>4</v>
      </c>
    </row>
    <row r="1540" spans="1:5" x14ac:dyDescent="0.25">
      <c r="A1540">
        <v>515</v>
      </c>
      <c r="B1540">
        <v>341</v>
      </c>
      <c r="C1540" s="3">
        <v>44670</v>
      </c>
      <c r="D1540" s="3">
        <v>44684</v>
      </c>
      <c r="E1540">
        <v>8</v>
      </c>
    </row>
    <row r="1541" spans="1:5" x14ac:dyDescent="0.25">
      <c r="A1541">
        <v>515</v>
      </c>
      <c r="B1541">
        <v>689</v>
      </c>
      <c r="C1541" s="3">
        <v>44670</v>
      </c>
      <c r="D1541" s="3">
        <v>44685</v>
      </c>
      <c r="E1541">
        <v>4</v>
      </c>
    </row>
    <row r="1542" spans="1:5" x14ac:dyDescent="0.25">
      <c r="A1542">
        <v>515</v>
      </c>
      <c r="B1542">
        <v>792</v>
      </c>
      <c r="C1542" s="3">
        <v>44670</v>
      </c>
      <c r="D1542" s="3">
        <v>44686</v>
      </c>
      <c r="E1542">
        <v>2</v>
      </c>
    </row>
    <row r="1543" spans="1:5" x14ac:dyDescent="0.25">
      <c r="A1543">
        <v>557</v>
      </c>
      <c r="B1543">
        <v>145</v>
      </c>
      <c r="C1543" s="3">
        <v>44670</v>
      </c>
      <c r="D1543" s="3">
        <v>44706</v>
      </c>
      <c r="E1543">
        <v>7</v>
      </c>
    </row>
    <row r="1544" spans="1:5" x14ac:dyDescent="0.25">
      <c r="A1544">
        <v>568</v>
      </c>
      <c r="B1544">
        <v>810</v>
      </c>
      <c r="C1544" s="3">
        <v>44670</v>
      </c>
      <c r="D1544" s="3">
        <v>44687</v>
      </c>
      <c r="E1544">
        <v>10</v>
      </c>
    </row>
    <row r="1545" spans="1:5" x14ac:dyDescent="0.25">
      <c r="A1545">
        <v>600</v>
      </c>
      <c r="B1545">
        <v>817</v>
      </c>
      <c r="C1545" s="3">
        <v>44670</v>
      </c>
      <c r="D1545" s="3">
        <v>44690</v>
      </c>
      <c r="E1545">
        <v>4</v>
      </c>
    </row>
    <row r="1546" spans="1:5" x14ac:dyDescent="0.25">
      <c r="A1546">
        <v>758</v>
      </c>
      <c r="B1546">
        <v>782</v>
      </c>
      <c r="C1546" s="3">
        <v>44670</v>
      </c>
      <c r="D1546" s="3">
        <v>44687</v>
      </c>
      <c r="E1546">
        <v>2</v>
      </c>
    </row>
    <row r="1547" spans="1:5" x14ac:dyDescent="0.25">
      <c r="A1547">
        <v>843</v>
      </c>
      <c r="B1547">
        <v>702</v>
      </c>
      <c r="C1547" s="3">
        <v>44670</v>
      </c>
      <c r="D1547" s="3">
        <v>44698</v>
      </c>
      <c r="E1547">
        <v>6</v>
      </c>
    </row>
    <row r="1548" spans="1:5" x14ac:dyDescent="0.25">
      <c r="A1548">
        <v>46</v>
      </c>
      <c r="B1548">
        <v>543</v>
      </c>
      <c r="C1548" s="3">
        <v>44671</v>
      </c>
      <c r="D1548" s="3">
        <v>44701</v>
      </c>
      <c r="E1548">
        <v>8</v>
      </c>
    </row>
    <row r="1549" spans="1:5" x14ac:dyDescent="0.25">
      <c r="A1549">
        <v>282</v>
      </c>
      <c r="B1549">
        <v>679</v>
      </c>
      <c r="C1549" s="3">
        <v>44671</v>
      </c>
      <c r="D1549" s="3">
        <v>44686</v>
      </c>
      <c r="E1549">
        <v>3</v>
      </c>
    </row>
    <row r="1550" spans="1:5" x14ac:dyDescent="0.25">
      <c r="A1550">
        <v>284</v>
      </c>
      <c r="B1550">
        <v>701</v>
      </c>
      <c r="C1550" s="3">
        <v>44671</v>
      </c>
      <c r="D1550" s="3">
        <v>44713</v>
      </c>
      <c r="E1550">
        <v>7</v>
      </c>
    </row>
    <row r="1551" spans="1:5" x14ac:dyDescent="0.25">
      <c r="A1551">
        <v>285</v>
      </c>
      <c r="B1551">
        <v>801</v>
      </c>
      <c r="C1551" s="3">
        <v>44671</v>
      </c>
      <c r="D1551" s="3">
        <v>44683</v>
      </c>
      <c r="E1551">
        <v>9</v>
      </c>
    </row>
    <row r="1552" spans="1:5" x14ac:dyDescent="0.25">
      <c r="A1552">
        <v>323</v>
      </c>
      <c r="B1552">
        <v>782</v>
      </c>
      <c r="C1552" s="3">
        <v>44671</v>
      </c>
      <c r="D1552" s="3">
        <v>44702</v>
      </c>
      <c r="E1552">
        <v>3</v>
      </c>
    </row>
    <row r="1553" spans="1:5" x14ac:dyDescent="0.25">
      <c r="A1553">
        <v>333</v>
      </c>
      <c r="B1553">
        <v>719</v>
      </c>
      <c r="C1553" s="3">
        <v>44671</v>
      </c>
      <c r="D1553" s="3">
        <v>44684</v>
      </c>
      <c r="E1553">
        <v>9</v>
      </c>
    </row>
    <row r="1554" spans="1:5" x14ac:dyDescent="0.25">
      <c r="A1554">
        <v>416</v>
      </c>
      <c r="B1554">
        <v>694</v>
      </c>
      <c r="C1554" s="3">
        <v>44671</v>
      </c>
      <c r="D1554" s="3">
        <v>44686</v>
      </c>
      <c r="E1554">
        <v>3</v>
      </c>
    </row>
    <row r="1555" spans="1:5" x14ac:dyDescent="0.25">
      <c r="A1555">
        <v>501</v>
      </c>
      <c r="B1555">
        <v>590</v>
      </c>
      <c r="C1555" s="3">
        <v>44671</v>
      </c>
      <c r="D1555" s="3">
        <v>44674</v>
      </c>
      <c r="E1555">
        <v>3</v>
      </c>
    </row>
    <row r="1556" spans="1:5" x14ac:dyDescent="0.25">
      <c r="A1556">
        <v>543</v>
      </c>
      <c r="B1556">
        <v>453</v>
      </c>
      <c r="C1556" s="3">
        <v>44671</v>
      </c>
      <c r="D1556" s="3">
        <v>44692</v>
      </c>
      <c r="E1556">
        <v>2</v>
      </c>
    </row>
    <row r="1557" spans="1:5" x14ac:dyDescent="0.25">
      <c r="A1557">
        <v>557</v>
      </c>
      <c r="B1557">
        <v>667</v>
      </c>
      <c r="C1557" s="3">
        <v>44671</v>
      </c>
      <c r="D1557" s="3">
        <v>44674</v>
      </c>
      <c r="E1557">
        <v>9</v>
      </c>
    </row>
    <row r="1558" spans="1:5" x14ac:dyDescent="0.25">
      <c r="A1558">
        <v>573</v>
      </c>
      <c r="B1558">
        <v>590</v>
      </c>
      <c r="C1558" s="3">
        <v>44671</v>
      </c>
      <c r="D1558" s="3">
        <v>44687</v>
      </c>
      <c r="E1558">
        <v>3</v>
      </c>
    </row>
    <row r="1559" spans="1:5" x14ac:dyDescent="0.25">
      <c r="A1559">
        <v>585</v>
      </c>
      <c r="B1559">
        <v>358</v>
      </c>
      <c r="C1559" s="3">
        <v>44671</v>
      </c>
      <c r="D1559" s="3">
        <v>44687</v>
      </c>
      <c r="E1559">
        <v>10</v>
      </c>
    </row>
    <row r="1560" spans="1:5" x14ac:dyDescent="0.25">
      <c r="A1560">
        <v>634</v>
      </c>
      <c r="B1560">
        <v>580</v>
      </c>
      <c r="C1560" s="3">
        <v>44671</v>
      </c>
      <c r="D1560" s="3">
        <v>44703</v>
      </c>
      <c r="E1560">
        <v>7</v>
      </c>
    </row>
    <row r="1561" spans="1:5" x14ac:dyDescent="0.25">
      <c r="A1561">
        <v>823</v>
      </c>
      <c r="B1561">
        <v>699</v>
      </c>
      <c r="C1561" s="3">
        <v>44671</v>
      </c>
      <c r="D1561" s="3">
        <v>44696</v>
      </c>
      <c r="E1561">
        <v>7</v>
      </c>
    </row>
    <row r="1562" spans="1:5" x14ac:dyDescent="0.25">
      <c r="A1562">
        <v>841</v>
      </c>
      <c r="B1562">
        <v>745</v>
      </c>
      <c r="C1562" s="3">
        <v>44671</v>
      </c>
      <c r="D1562" s="3">
        <v>44711</v>
      </c>
      <c r="E1562">
        <v>8</v>
      </c>
    </row>
    <row r="1563" spans="1:5" x14ac:dyDescent="0.25">
      <c r="A1563">
        <v>200</v>
      </c>
      <c r="B1563">
        <v>867</v>
      </c>
      <c r="C1563" s="3">
        <v>44672</v>
      </c>
      <c r="D1563" s="3">
        <v>44687</v>
      </c>
      <c r="E1563">
        <v>1</v>
      </c>
    </row>
    <row r="1564" spans="1:5" x14ac:dyDescent="0.25">
      <c r="A1564">
        <v>226</v>
      </c>
      <c r="B1564">
        <v>582</v>
      </c>
      <c r="C1564" s="3">
        <v>44672</v>
      </c>
      <c r="D1564" s="3">
        <v>44684</v>
      </c>
      <c r="E1564">
        <v>2</v>
      </c>
    </row>
    <row r="1565" spans="1:5" x14ac:dyDescent="0.25">
      <c r="A1565">
        <v>285</v>
      </c>
      <c r="B1565">
        <v>643</v>
      </c>
      <c r="C1565" s="3">
        <v>44672</v>
      </c>
      <c r="D1565" s="3">
        <v>44685</v>
      </c>
      <c r="E1565">
        <v>7</v>
      </c>
    </row>
    <row r="1566" spans="1:5" x14ac:dyDescent="0.25">
      <c r="A1566">
        <v>329</v>
      </c>
      <c r="B1566">
        <v>817</v>
      </c>
      <c r="C1566" s="3">
        <v>44672</v>
      </c>
      <c r="D1566" s="3">
        <v>44716</v>
      </c>
      <c r="E1566">
        <v>1</v>
      </c>
    </row>
    <row r="1567" spans="1:5" x14ac:dyDescent="0.25">
      <c r="A1567">
        <v>332</v>
      </c>
      <c r="B1567">
        <v>843</v>
      </c>
      <c r="C1567" s="3">
        <v>44672</v>
      </c>
      <c r="D1567" s="3">
        <v>44688</v>
      </c>
      <c r="E1567">
        <v>3</v>
      </c>
    </row>
    <row r="1568" spans="1:5" x14ac:dyDescent="0.25">
      <c r="A1568">
        <v>333</v>
      </c>
      <c r="B1568">
        <v>464</v>
      </c>
      <c r="C1568" s="3">
        <v>44672</v>
      </c>
      <c r="D1568" s="3">
        <v>44688</v>
      </c>
      <c r="E1568">
        <v>9</v>
      </c>
    </row>
    <row r="1569" spans="1:5" x14ac:dyDescent="0.25">
      <c r="A1569">
        <v>334</v>
      </c>
      <c r="B1569">
        <v>702</v>
      </c>
      <c r="C1569" s="3">
        <v>44672</v>
      </c>
      <c r="D1569" s="3">
        <v>44684</v>
      </c>
      <c r="E1569">
        <v>8</v>
      </c>
    </row>
    <row r="1570" spans="1:5" x14ac:dyDescent="0.25">
      <c r="A1570">
        <v>657</v>
      </c>
      <c r="B1570">
        <v>843</v>
      </c>
      <c r="C1570" s="3">
        <v>44672</v>
      </c>
      <c r="D1570" s="3">
        <v>44683</v>
      </c>
      <c r="E1570">
        <v>5</v>
      </c>
    </row>
    <row r="1571" spans="1:5" x14ac:dyDescent="0.25">
      <c r="A1571">
        <v>750</v>
      </c>
      <c r="B1571">
        <v>724</v>
      </c>
      <c r="C1571" s="3">
        <v>44672</v>
      </c>
      <c r="D1571" s="3">
        <v>44673</v>
      </c>
      <c r="E1571">
        <v>6</v>
      </c>
    </row>
    <row r="1572" spans="1:5" x14ac:dyDescent="0.25">
      <c r="A1572">
        <v>761</v>
      </c>
      <c r="B1572">
        <v>787</v>
      </c>
      <c r="C1572" s="3">
        <v>44672</v>
      </c>
      <c r="D1572" s="3">
        <v>44713</v>
      </c>
      <c r="E1572">
        <v>9</v>
      </c>
    </row>
    <row r="1573" spans="1:5" x14ac:dyDescent="0.25">
      <c r="A1573">
        <v>923</v>
      </c>
      <c r="B1573">
        <v>668</v>
      </c>
      <c r="C1573" s="3">
        <v>44672</v>
      </c>
      <c r="D1573" s="3">
        <v>44699</v>
      </c>
      <c r="E1573">
        <v>8</v>
      </c>
    </row>
    <row r="1574" spans="1:5" x14ac:dyDescent="0.25">
      <c r="A1574">
        <v>139</v>
      </c>
      <c r="B1574">
        <v>583</v>
      </c>
      <c r="C1574" s="3">
        <v>44673</v>
      </c>
      <c r="D1574" s="3">
        <v>44717</v>
      </c>
      <c r="E1574">
        <v>6</v>
      </c>
    </row>
    <row r="1575" spans="1:5" x14ac:dyDescent="0.25">
      <c r="A1575">
        <v>139</v>
      </c>
      <c r="B1575">
        <v>752</v>
      </c>
      <c r="C1575" s="3">
        <v>44673</v>
      </c>
      <c r="D1575" s="3">
        <v>44689</v>
      </c>
      <c r="E1575">
        <v>7</v>
      </c>
    </row>
    <row r="1576" spans="1:5" x14ac:dyDescent="0.25">
      <c r="A1576">
        <v>200</v>
      </c>
      <c r="B1576">
        <v>563</v>
      </c>
      <c r="C1576" s="3">
        <v>44673</v>
      </c>
      <c r="D1576" s="3">
        <v>44715</v>
      </c>
      <c r="E1576">
        <v>3</v>
      </c>
    </row>
    <row r="1577" spans="1:5" x14ac:dyDescent="0.25">
      <c r="A1577">
        <v>308</v>
      </c>
      <c r="B1577">
        <v>453</v>
      </c>
      <c r="C1577" s="3">
        <v>44673</v>
      </c>
      <c r="D1577" s="3">
        <v>44679</v>
      </c>
      <c r="E1577">
        <v>7</v>
      </c>
    </row>
    <row r="1578" spans="1:5" x14ac:dyDescent="0.25">
      <c r="A1578">
        <v>330</v>
      </c>
      <c r="B1578">
        <v>813</v>
      </c>
      <c r="C1578" s="3">
        <v>44673</v>
      </c>
      <c r="D1578" s="3">
        <v>44682</v>
      </c>
      <c r="E1578">
        <v>7</v>
      </c>
    </row>
    <row r="1579" spans="1:5" x14ac:dyDescent="0.25">
      <c r="A1579">
        <v>370</v>
      </c>
      <c r="B1579">
        <v>374</v>
      </c>
      <c r="C1579" s="3">
        <v>44673</v>
      </c>
      <c r="D1579" s="3">
        <v>44683</v>
      </c>
      <c r="E1579">
        <v>5</v>
      </c>
    </row>
    <row r="1580" spans="1:5" x14ac:dyDescent="0.25">
      <c r="A1580">
        <v>370</v>
      </c>
      <c r="B1580">
        <v>668</v>
      </c>
      <c r="C1580" s="3">
        <v>44673</v>
      </c>
      <c r="D1580" s="3">
        <v>44677</v>
      </c>
      <c r="E1580">
        <v>5</v>
      </c>
    </row>
    <row r="1581" spans="1:5" x14ac:dyDescent="0.25">
      <c r="A1581">
        <v>651</v>
      </c>
      <c r="B1581">
        <v>583</v>
      </c>
      <c r="C1581" s="3">
        <v>44673</v>
      </c>
      <c r="D1581" s="3">
        <v>44716</v>
      </c>
      <c r="E1581">
        <v>1</v>
      </c>
    </row>
    <row r="1582" spans="1:5" x14ac:dyDescent="0.25">
      <c r="A1582">
        <v>747</v>
      </c>
      <c r="B1582">
        <v>698</v>
      </c>
      <c r="C1582" s="3">
        <v>44673</v>
      </c>
      <c r="D1582" s="3">
        <v>44674</v>
      </c>
      <c r="E1582">
        <v>2</v>
      </c>
    </row>
    <row r="1583" spans="1:5" x14ac:dyDescent="0.25">
      <c r="A1583">
        <v>841</v>
      </c>
      <c r="B1583">
        <v>747</v>
      </c>
      <c r="C1583" s="3">
        <v>44673</v>
      </c>
      <c r="D1583" s="3">
        <v>44675</v>
      </c>
      <c r="E1583">
        <v>9</v>
      </c>
    </row>
    <row r="1584" spans="1:5" x14ac:dyDescent="0.25">
      <c r="A1584">
        <v>989</v>
      </c>
      <c r="B1584">
        <v>145</v>
      </c>
      <c r="C1584" s="3">
        <v>44673</v>
      </c>
      <c r="D1584" s="3">
        <v>44692</v>
      </c>
      <c r="E1584">
        <v>8</v>
      </c>
    </row>
    <row r="1585" spans="1:5" x14ac:dyDescent="0.25">
      <c r="A1585">
        <v>989</v>
      </c>
      <c r="B1585">
        <v>316</v>
      </c>
      <c r="C1585" s="3">
        <v>44673</v>
      </c>
      <c r="D1585" s="3">
        <v>44683</v>
      </c>
      <c r="E1585">
        <v>1</v>
      </c>
    </row>
    <row r="1586" spans="1:5" x14ac:dyDescent="0.25">
      <c r="A1586">
        <v>47</v>
      </c>
      <c r="B1586">
        <v>376</v>
      </c>
      <c r="C1586" s="3">
        <v>44674</v>
      </c>
      <c r="D1586" s="3">
        <v>44688</v>
      </c>
      <c r="E1586">
        <v>2</v>
      </c>
    </row>
    <row r="1587" spans="1:5" x14ac:dyDescent="0.25">
      <c r="A1587">
        <v>66</v>
      </c>
      <c r="B1587">
        <v>685</v>
      </c>
      <c r="C1587" s="3">
        <v>44674</v>
      </c>
      <c r="D1587" s="3">
        <v>44699</v>
      </c>
      <c r="E1587">
        <v>3</v>
      </c>
    </row>
    <row r="1588" spans="1:5" x14ac:dyDescent="0.25">
      <c r="A1588">
        <v>226</v>
      </c>
      <c r="B1588">
        <v>724</v>
      </c>
      <c r="C1588" s="3">
        <v>44674</v>
      </c>
      <c r="D1588" s="3">
        <v>44679</v>
      </c>
      <c r="E1588">
        <v>4</v>
      </c>
    </row>
    <row r="1589" spans="1:5" x14ac:dyDescent="0.25">
      <c r="A1589">
        <v>489</v>
      </c>
      <c r="B1589">
        <v>374</v>
      </c>
      <c r="C1589" s="3">
        <v>44674</v>
      </c>
      <c r="D1589" s="3">
        <v>44714</v>
      </c>
      <c r="E1589">
        <v>6</v>
      </c>
    </row>
    <row r="1590" spans="1:5" x14ac:dyDescent="0.25">
      <c r="A1590">
        <v>546</v>
      </c>
      <c r="B1590">
        <v>689</v>
      </c>
      <c r="C1590" s="3">
        <v>44674</v>
      </c>
      <c r="D1590" s="3">
        <v>44717</v>
      </c>
      <c r="E1590">
        <v>6</v>
      </c>
    </row>
    <row r="1591" spans="1:5" x14ac:dyDescent="0.25">
      <c r="A1591">
        <v>546</v>
      </c>
      <c r="B1591">
        <v>830</v>
      </c>
      <c r="C1591" s="3">
        <v>44674</v>
      </c>
      <c r="D1591" s="3">
        <v>44701</v>
      </c>
      <c r="E1591">
        <v>7</v>
      </c>
    </row>
    <row r="1592" spans="1:5" x14ac:dyDescent="0.25">
      <c r="A1592">
        <v>643</v>
      </c>
      <c r="B1592">
        <v>580</v>
      </c>
      <c r="C1592" s="3">
        <v>44674</v>
      </c>
      <c r="D1592" s="3">
        <v>44707</v>
      </c>
      <c r="E1592">
        <v>7</v>
      </c>
    </row>
    <row r="1593" spans="1:5" x14ac:dyDescent="0.25">
      <c r="A1593">
        <v>747</v>
      </c>
      <c r="B1593">
        <v>582</v>
      </c>
      <c r="C1593" s="3">
        <v>44674</v>
      </c>
      <c r="D1593" s="3">
        <v>44687</v>
      </c>
      <c r="E1593">
        <v>3</v>
      </c>
    </row>
    <row r="1594" spans="1:5" x14ac:dyDescent="0.25">
      <c r="A1594">
        <v>841</v>
      </c>
      <c r="B1594">
        <v>582</v>
      </c>
      <c r="C1594" s="3">
        <v>44674</v>
      </c>
      <c r="D1594" s="3">
        <v>44687</v>
      </c>
      <c r="E1594">
        <v>5</v>
      </c>
    </row>
    <row r="1595" spans="1:5" x14ac:dyDescent="0.25">
      <c r="A1595">
        <v>841</v>
      </c>
      <c r="B1595">
        <v>709</v>
      </c>
      <c r="C1595" s="3">
        <v>44674</v>
      </c>
      <c r="D1595" s="3">
        <v>44700</v>
      </c>
      <c r="E1595">
        <v>7</v>
      </c>
    </row>
    <row r="1596" spans="1:5" x14ac:dyDescent="0.25">
      <c r="A1596">
        <v>843</v>
      </c>
      <c r="B1596">
        <v>464</v>
      </c>
      <c r="C1596" s="3">
        <v>44674</v>
      </c>
      <c r="D1596" s="3">
        <v>44716</v>
      </c>
      <c r="E1596">
        <v>2</v>
      </c>
    </row>
    <row r="1597" spans="1:5" x14ac:dyDescent="0.25">
      <c r="A1597">
        <v>158</v>
      </c>
      <c r="B1597">
        <v>607</v>
      </c>
      <c r="C1597" s="3">
        <v>44675</v>
      </c>
      <c r="D1597" s="3">
        <v>44677</v>
      </c>
      <c r="E1597">
        <v>5</v>
      </c>
    </row>
    <row r="1598" spans="1:5" x14ac:dyDescent="0.25">
      <c r="A1598">
        <v>254</v>
      </c>
      <c r="B1598">
        <v>689</v>
      </c>
      <c r="C1598" s="3">
        <v>44675</v>
      </c>
      <c r="D1598" s="3">
        <v>44700</v>
      </c>
      <c r="E1598">
        <v>2</v>
      </c>
    </row>
    <row r="1599" spans="1:5" x14ac:dyDescent="0.25">
      <c r="A1599">
        <v>254</v>
      </c>
      <c r="B1599">
        <v>813</v>
      </c>
      <c r="C1599" s="3">
        <v>44675</v>
      </c>
      <c r="D1599" s="3">
        <v>44684</v>
      </c>
      <c r="E1599">
        <v>9</v>
      </c>
    </row>
    <row r="1600" spans="1:5" x14ac:dyDescent="0.25">
      <c r="A1600">
        <v>308</v>
      </c>
      <c r="B1600">
        <v>696</v>
      </c>
      <c r="C1600" s="3">
        <v>44675</v>
      </c>
      <c r="D1600" s="3">
        <v>44714</v>
      </c>
      <c r="E1600">
        <v>8</v>
      </c>
    </row>
    <row r="1601" spans="1:5" x14ac:dyDescent="0.25">
      <c r="A1601">
        <v>331</v>
      </c>
      <c r="B1601">
        <v>724</v>
      </c>
      <c r="C1601" s="3">
        <v>44675</v>
      </c>
      <c r="D1601" s="3">
        <v>44677</v>
      </c>
      <c r="E1601">
        <v>8</v>
      </c>
    </row>
    <row r="1602" spans="1:5" x14ac:dyDescent="0.25">
      <c r="A1602">
        <v>360</v>
      </c>
      <c r="B1602">
        <v>817</v>
      </c>
      <c r="C1602" s="3">
        <v>44675</v>
      </c>
      <c r="D1602" s="3">
        <v>44681</v>
      </c>
      <c r="E1602">
        <v>5</v>
      </c>
    </row>
    <row r="1603" spans="1:5" x14ac:dyDescent="0.25">
      <c r="A1603">
        <v>362</v>
      </c>
      <c r="B1603">
        <v>668</v>
      </c>
      <c r="C1603" s="3">
        <v>44675</v>
      </c>
      <c r="D1603" s="3">
        <v>44701</v>
      </c>
      <c r="E1603">
        <v>1</v>
      </c>
    </row>
    <row r="1604" spans="1:5" x14ac:dyDescent="0.25">
      <c r="A1604">
        <v>362</v>
      </c>
      <c r="B1604">
        <v>703</v>
      </c>
      <c r="C1604" s="3">
        <v>44675</v>
      </c>
      <c r="D1604" s="3">
        <v>44711</v>
      </c>
      <c r="E1604">
        <v>6</v>
      </c>
    </row>
    <row r="1605" spans="1:5" x14ac:dyDescent="0.25">
      <c r="A1605">
        <v>416</v>
      </c>
      <c r="B1605">
        <v>341</v>
      </c>
      <c r="C1605" s="3">
        <v>44675</v>
      </c>
      <c r="D1605" s="3">
        <v>44718</v>
      </c>
      <c r="E1605">
        <v>9</v>
      </c>
    </row>
    <row r="1606" spans="1:5" x14ac:dyDescent="0.25">
      <c r="A1606">
        <v>416</v>
      </c>
      <c r="B1606">
        <v>694</v>
      </c>
      <c r="C1606" s="3">
        <v>44675</v>
      </c>
      <c r="D1606" s="3">
        <v>44680</v>
      </c>
      <c r="E1606">
        <v>8</v>
      </c>
    </row>
    <row r="1607" spans="1:5" x14ac:dyDescent="0.25">
      <c r="A1607">
        <v>489</v>
      </c>
      <c r="B1607">
        <v>679</v>
      </c>
      <c r="C1607" s="3">
        <v>44675</v>
      </c>
      <c r="D1607" s="3">
        <v>44683</v>
      </c>
      <c r="E1607">
        <v>2</v>
      </c>
    </row>
    <row r="1608" spans="1:5" x14ac:dyDescent="0.25">
      <c r="A1608">
        <v>538</v>
      </c>
      <c r="B1608">
        <v>849</v>
      </c>
      <c r="C1608" s="3">
        <v>44675</v>
      </c>
      <c r="D1608" s="3">
        <v>44711</v>
      </c>
      <c r="E1608">
        <v>2</v>
      </c>
    </row>
    <row r="1609" spans="1:5" x14ac:dyDescent="0.25">
      <c r="A1609">
        <v>561</v>
      </c>
      <c r="B1609">
        <v>201</v>
      </c>
      <c r="C1609" s="3">
        <v>44675</v>
      </c>
      <c r="D1609" s="3">
        <v>44682</v>
      </c>
      <c r="E1609">
        <v>8</v>
      </c>
    </row>
    <row r="1610" spans="1:5" x14ac:dyDescent="0.25">
      <c r="A1610">
        <v>570</v>
      </c>
      <c r="B1610">
        <v>239</v>
      </c>
      <c r="C1610" s="3">
        <v>44675</v>
      </c>
      <c r="D1610" s="3">
        <v>44694</v>
      </c>
      <c r="E1610">
        <v>5</v>
      </c>
    </row>
    <row r="1611" spans="1:5" x14ac:dyDescent="0.25">
      <c r="A1611">
        <v>580</v>
      </c>
      <c r="B1611">
        <v>805</v>
      </c>
      <c r="C1611" s="3">
        <v>44675</v>
      </c>
      <c r="D1611" s="3">
        <v>44705</v>
      </c>
      <c r="E1611">
        <v>5</v>
      </c>
    </row>
    <row r="1612" spans="1:5" x14ac:dyDescent="0.25">
      <c r="A1612">
        <v>585</v>
      </c>
      <c r="B1612">
        <v>652</v>
      </c>
      <c r="C1612" s="3">
        <v>44675</v>
      </c>
      <c r="D1612" s="3">
        <v>44700</v>
      </c>
      <c r="E1612">
        <v>1</v>
      </c>
    </row>
    <row r="1613" spans="1:5" x14ac:dyDescent="0.25">
      <c r="A1613">
        <v>830</v>
      </c>
      <c r="B1613">
        <v>164</v>
      </c>
      <c r="C1613" s="3">
        <v>44675</v>
      </c>
      <c r="D1613" s="3">
        <v>44686</v>
      </c>
      <c r="E1613">
        <v>3</v>
      </c>
    </row>
    <row r="1614" spans="1:5" x14ac:dyDescent="0.25">
      <c r="A1614">
        <v>841</v>
      </c>
      <c r="B1614">
        <v>780</v>
      </c>
      <c r="C1614" s="3">
        <v>44675</v>
      </c>
      <c r="D1614" s="3">
        <v>44688</v>
      </c>
      <c r="E1614">
        <v>9</v>
      </c>
    </row>
    <row r="1615" spans="1:5" x14ac:dyDescent="0.25">
      <c r="A1615">
        <v>55</v>
      </c>
      <c r="B1615">
        <v>782</v>
      </c>
      <c r="C1615" s="3">
        <v>44676</v>
      </c>
      <c r="D1615" s="3">
        <v>44717</v>
      </c>
      <c r="E1615">
        <v>6</v>
      </c>
    </row>
    <row r="1616" spans="1:5" x14ac:dyDescent="0.25">
      <c r="A1616">
        <v>112</v>
      </c>
      <c r="B1616">
        <v>177</v>
      </c>
      <c r="C1616" s="3">
        <v>44676</v>
      </c>
      <c r="D1616" s="3">
        <v>44709</v>
      </c>
      <c r="E1616">
        <v>6</v>
      </c>
    </row>
    <row r="1617" spans="1:5" x14ac:dyDescent="0.25">
      <c r="A1617">
        <v>308</v>
      </c>
      <c r="B1617">
        <v>530</v>
      </c>
      <c r="C1617" s="3">
        <v>44676</v>
      </c>
      <c r="D1617" s="3">
        <v>44709</v>
      </c>
      <c r="E1617">
        <v>7</v>
      </c>
    </row>
    <row r="1618" spans="1:5" x14ac:dyDescent="0.25">
      <c r="A1618">
        <v>334</v>
      </c>
      <c r="B1618">
        <v>373</v>
      </c>
      <c r="C1618" s="3">
        <v>44676</v>
      </c>
      <c r="D1618" s="3">
        <v>44689</v>
      </c>
      <c r="E1618">
        <v>7</v>
      </c>
    </row>
    <row r="1619" spans="1:5" x14ac:dyDescent="0.25">
      <c r="A1619">
        <v>474</v>
      </c>
      <c r="B1619">
        <v>757</v>
      </c>
      <c r="C1619" s="3">
        <v>44676</v>
      </c>
      <c r="D1619" s="3">
        <v>44691</v>
      </c>
      <c r="E1619">
        <v>3</v>
      </c>
    </row>
    <row r="1620" spans="1:5" x14ac:dyDescent="0.25">
      <c r="A1620">
        <v>501</v>
      </c>
      <c r="B1620">
        <v>812</v>
      </c>
      <c r="C1620" s="3">
        <v>44676</v>
      </c>
      <c r="D1620" s="3">
        <v>44689</v>
      </c>
      <c r="E1620">
        <v>3</v>
      </c>
    </row>
    <row r="1621" spans="1:5" x14ac:dyDescent="0.25">
      <c r="A1621">
        <v>594</v>
      </c>
      <c r="B1621">
        <v>801</v>
      </c>
      <c r="C1621" s="3">
        <v>44676</v>
      </c>
      <c r="D1621" s="3">
        <v>44700</v>
      </c>
      <c r="E1621">
        <v>3</v>
      </c>
    </row>
    <row r="1622" spans="1:5" x14ac:dyDescent="0.25">
      <c r="A1622">
        <v>643</v>
      </c>
      <c r="B1622">
        <v>683</v>
      </c>
      <c r="C1622" s="3">
        <v>44676</v>
      </c>
      <c r="D1622" s="3">
        <v>44677</v>
      </c>
      <c r="E1622">
        <v>10</v>
      </c>
    </row>
    <row r="1623" spans="1:5" x14ac:dyDescent="0.25">
      <c r="A1623">
        <v>758</v>
      </c>
      <c r="B1623">
        <v>830</v>
      </c>
      <c r="C1623" s="3">
        <v>44676</v>
      </c>
      <c r="D1623" s="3">
        <v>44692</v>
      </c>
      <c r="E1623">
        <v>8</v>
      </c>
    </row>
    <row r="1624" spans="1:5" x14ac:dyDescent="0.25">
      <c r="A1624">
        <v>802</v>
      </c>
      <c r="B1624">
        <v>341</v>
      </c>
      <c r="C1624" s="3">
        <v>44676</v>
      </c>
      <c r="D1624" s="3">
        <v>44699</v>
      </c>
      <c r="E1624">
        <v>2</v>
      </c>
    </row>
    <row r="1625" spans="1:5" x14ac:dyDescent="0.25">
      <c r="A1625">
        <v>972</v>
      </c>
      <c r="B1625">
        <v>453</v>
      </c>
      <c r="C1625" s="3">
        <v>44676</v>
      </c>
      <c r="D1625" s="3">
        <v>44716</v>
      </c>
      <c r="E1625">
        <v>10</v>
      </c>
    </row>
    <row r="1626" spans="1:5" x14ac:dyDescent="0.25">
      <c r="A1626">
        <v>989</v>
      </c>
      <c r="B1626">
        <v>747</v>
      </c>
      <c r="C1626" s="3">
        <v>44676</v>
      </c>
      <c r="D1626" s="3">
        <v>44680</v>
      </c>
      <c r="E1626">
        <v>6</v>
      </c>
    </row>
    <row r="1627" spans="1:5" x14ac:dyDescent="0.25">
      <c r="A1627">
        <v>141</v>
      </c>
      <c r="B1627">
        <v>696</v>
      </c>
      <c r="C1627" s="3">
        <v>44677</v>
      </c>
      <c r="D1627" s="3">
        <v>44694</v>
      </c>
      <c r="E1627">
        <v>3</v>
      </c>
    </row>
    <row r="1628" spans="1:5" x14ac:dyDescent="0.25">
      <c r="A1628">
        <v>226</v>
      </c>
      <c r="B1628">
        <v>696</v>
      </c>
      <c r="C1628" s="3">
        <v>44677</v>
      </c>
      <c r="D1628" s="3">
        <v>44703</v>
      </c>
      <c r="E1628">
        <v>6</v>
      </c>
    </row>
    <row r="1629" spans="1:5" x14ac:dyDescent="0.25">
      <c r="A1629">
        <v>232</v>
      </c>
      <c r="B1629">
        <v>752</v>
      </c>
      <c r="C1629" s="3">
        <v>44677</v>
      </c>
      <c r="D1629" s="3">
        <v>44705</v>
      </c>
      <c r="E1629">
        <v>4</v>
      </c>
    </row>
    <row r="1630" spans="1:5" x14ac:dyDescent="0.25">
      <c r="A1630">
        <v>364</v>
      </c>
      <c r="B1630">
        <v>778</v>
      </c>
      <c r="C1630" s="3">
        <v>44677</v>
      </c>
      <c r="D1630" s="3">
        <v>44694</v>
      </c>
      <c r="E1630">
        <v>4</v>
      </c>
    </row>
    <row r="1631" spans="1:5" x14ac:dyDescent="0.25">
      <c r="A1631">
        <v>412</v>
      </c>
      <c r="B1631">
        <v>590</v>
      </c>
      <c r="C1631" s="3">
        <v>44677</v>
      </c>
      <c r="D1631" s="3">
        <v>44713</v>
      </c>
      <c r="E1631">
        <v>10</v>
      </c>
    </row>
    <row r="1632" spans="1:5" x14ac:dyDescent="0.25">
      <c r="A1632">
        <v>467</v>
      </c>
      <c r="B1632">
        <v>745</v>
      </c>
      <c r="C1632" s="3">
        <v>44677</v>
      </c>
      <c r="D1632" s="3">
        <v>44691</v>
      </c>
      <c r="E1632">
        <v>10</v>
      </c>
    </row>
    <row r="1633" spans="1:5" x14ac:dyDescent="0.25">
      <c r="A1633">
        <v>474</v>
      </c>
      <c r="B1633">
        <v>745</v>
      </c>
      <c r="C1633" s="3">
        <v>44677</v>
      </c>
      <c r="D1633" s="3">
        <v>44711</v>
      </c>
      <c r="E1633">
        <v>5</v>
      </c>
    </row>
    <row r="1634" spans="1:5" x14ac:dyDescent="0.25">
      <c r="A1634">
        <v>527</v>
      </c>
      <c r="B1634">
        <v>745</v>
      </c>
      <c r="C1634" s="3">
        <v>44677</v>
      </c>
      <c r="D1634" s="3">
        <v>44702</v>
      </c>
      <c r="E1634">
        <v>1</v>
      </c>
    </row>
    <row r="1635" spans="1:5" x14ac:dyDescent="0.25">
      <c r="A1635">
        <v>543</v>
      </c>
      <c r="B1635">
        <v>826</v>
      </c>
      <c r="C1635" s="3">
        <v>44677</v>
      </c>
      <c r="D1635" s="3">
        <v>44688</v>
      </c>
      <c r="E1635">
        <v>8</v>
      </c>
    </row>
    <row r="1636" spans="1:5" x14ac:dyDescent="0.25">
      <c r="A1636">
        <v>557</v>
      </c>
      <c r="B1636">
        <v>374</v>
      </c>
      <c r="C1636" s="3">
        <v>44677</v>
      </c>
      <c r="D1636" s="3">
        <v>44698</v>
      </c>
      <c r="E1636">
        <v>2</v>
      </c>
    </row>
    <row r="1637" spans="1:5" x14ac:dyDescent="0.25">
      <c r="A1637">
        <v>594</v>
      </c>
      <c r="B1637">
        <v>698</v>
      </c>
      <c r="C1637" s="3">
        <v>44677</v>
      </c>
      <c r="D1637" s="3">
        <v>44713</v>
      </c>
      <c r="E1637">
        <v>1</v>
      </c>
    </row>
    <row r="1638" spans="1:5" x14ac:dyDescent="0.25">
      <c r="A1638">
        <v>600</v>
      </c>
      <c r="B1638">
        <v>813</v>
      </c>
      <c r="C1638" s="3">
        <v>44677</v>
      </c>
      <c r="D1638" s="3">
        <v>44709</v>
      </c>
      <c r="E1638">
        <v>8</v>
      </c>
    </row>
    <row r="1639" spans="1:5" x14ac:dyDescent="0.25">
      <c r="A1639">
        <v>830</v>
      </c>
      <c r="B1639">
        <v>834</v>
      </c>
      <c r="C1639" s="3">
        <v>44677</v>
      </c>
      <c r="D1639" s="3">
        <v>44718</v>
      </c>
      <c r="E1639">
        <v>2</v>
      </c>
    </row>
    <row r="1640" spans="1:5" x14ac:dyDescent="0.25">
      <c r="A1640">
        <v>961</v>
      </c>
      <c r="B1640">
        <v>418</v>
      </c>
      <c r="C1640" s="3">
        <v>44677</v>
      </c>
      <c r="D1640" s="3">
        <v>44681</v>
      </c>
      <c r="E1640">
        <v>9</v>
      </c>
    </row>
    <row r="1641" spans="1:5" x14ac:dyDescent="0.25">
      <c r="A1641">
        <v>961</v>
      </c>
      <c r="B1641">
        <v>671</v>
      </c>
      <c r="C1641" s="3">
        <v>44677</v>
      </c>
      <c r="D1641" s="3">
        <v>44686</v>
      </c>
      <c r="E1641">
        <v>9</v>
      </c>
    </row>
    <row r="1642" spans="1:5" x14ac:dyDescent="0.25">
      <c r="A1642">
        <v>42</v>
      </c>
      <c r="B1642">
        <v>817</v>
      </c>
      <c r="C1642" s="3">
        <v>44678</v>
      </c>
      <c r="D1642" s="3">
        <v>44686</v>
      </c>
      <c r="E1642">
        <v>9</v>
      </c>
    </row>
    <row r="1643" spans="1:5" x14ac:dyDescent="0.25">
      <c r="A1643">
        <v>226</v>
      </c>
      <c r="B1643">
        <v>145</v>
      </c>
      <c r="C1643" s="3">
        <v>44678</v>
      </c>
      <c r="D1643" s="3">
        <v>44710</v>
      </c>
      <c r="E1643">
        <v>4</v>
      </c>
    </row>
    <row r="1644" spans="1:5" x14ac:dyDescent="0.25">
      <c r="A1644">
        <v>329</v>
      </c>
      <c r="B1644">
        <v>685</v>
      </c>
      <c r="C1644" s="3">
        <v>44678</v>
      </c>
      <c r="D1644" s="3">
        <v>44694</v>
      </c>
      <c r="E1644">
        <v>2</v>
      </c>
    </row>
    <row r="1645" spans="1:5" x14ac:dyDescent="0.25">
      <c r="A1645">
        <v>370</v>
      </c>
      <c r="B1645">
        <v>830</v>
      </c>
      <c r="C1645" s="3">
        <v>44678</v>
      </c>
      <c r="D1645" s="3">
        <v>44688</v>
      </c>
      <c r="E1645">
        <v>1</v>
      </c>
    </row>
    <row r="1646" spans="1:5" x14ac:dyDescent="0.25">
      <c r="A1646">
        <v>474</v>
      </c>
      <c r="B1646">
        <v>563</v>
      </c>
      <c r="C1646" s="3">
        <v>44678</v>
      </c>
      <c r="D1646" s="3">
        <v>44705</v>
      </c>
      <c r="E1646">
        <v>5</v>
      </c>
    </row>
    <row r="1647" spans="1:5" x14ac:dyDescent="0.25">
      <c r="A1647">
        <v>501</v>
      </c>
      <c r="B1647">
        <v>541</v>
      </c>
      <c r="C1647" s="3">
        <v>44678</v>
      </c>
      <c r="D1647" s="3">
        <v>44712</v>
      </c>
      <c r="E1647">
        <v>9</v>
      </c>
    </row>
    <row r="1648" spans="1:5" x14ac:dyDescent="0.25">
      <c r="A1648">
        <v>501</v>
      </c>
      <c r="B1648">
        <v>679</v>
      </c>
      <c r="C1648" s="3">
        <v>44678</v>
      </c>
      <c r="D1648" s="3">
        <v>44705</v>
      </c>
      <c r="E1648">
        <v>2</v>
      </c>
    </row>
    <row r="1649" spans="1:5" x14ac:dyDescent="0.25">
      <c r="A1649">
        <v>557</v>
      </c>
      <c r="B1649">
        <v>594</v>
      </c>
      <c r="C1649" s="3">
        <v>44678</v>
      </c>
      <c r="D1649" s="3">
        <v>44717</v>
      </c>
      <c r="E1649">
        <v>7</v>
      </c>
    </row>
    <row r="1650" spans="1:5" x14ac:dyDescent="0.25">
      <c r="A1650">
        <v>573</v>
      </c>
      <c r="B1650">
        <v>330</v>
      </c>
      <c r="C1650" s="3">
        <v>44678</v>
      </c>
      <c r="D1650" s="3">
        <v>44692</v>
      </c>
      <c r="E1650">
        <v>3</v>
      </c>
    </row>
    <row r="1651" spans="1:5" x14ac:dyDescent="0.25">
      <c r="A1651">
        <v>586</v>
      </c>
      <c r="B1651">
        <v>213</v>
      </c>
      <c r="C1651" s="3">
        <v>44678</v>
      </c>
      <c r="D1651" s="3">
        <v>44685</v>
      </c>
      <c r="E1651">
        <v>1</v>
      </c>
    </row>
    <row r="1652" spans="1:5" x14ac:dyDescent="0.25">
      <c r="A1652">
        <v>586</v>
      </c>
      <c r="B1652">
        <v>692</v>
      </c>
      <c r="C1652" s="3">
        <v>44678</v>
      </c>
      <c r="D1652" s="3">
        <v>44719</v>
      </c>
      <c r="E1652">
        <v>6</v>
      </c>
    </row>
    <row r="1653" spans="1:5" x14ac:dyDescent="0.25">
      <c r="A1653">
        <v>610</v>
      </c>
      <c r="B1653">
        <v>817</v>
      </c>
      <c r="C1653" s="3">
        <v>44678</v>
      </c>
      <c r="D1653" s="3">
        <v>44713</v>
      </c>
      <c r="E1653">
        <v>5</v>
      </c>
    </row>
    <row r="1654" spans="1:5" x14ac:dyDescent="0.25">
      <c r="A1654">
        <v>750</v>
      </c>
      <c r="B1654">
        <v>259</v>
      </c>
      <c r="C1654" s="3">
        <v>44678</v>
      </c>
      <c r="D1654" s="3">
        <v>44710</v>
      </c>
      <c r="E1654">
        <v>4</v>
      </c>
    </row>
    <row r="1655" spans="1:5" x14ac:dyDescent="0.25">
      <c r="A1655">
        <v>802</v>
      </c>
      <c r="B1655">
        <v>585</v>
      </c>
      <c r="C1655" s="3">
        <v>44678</v>
      </c>
      <c r="D1655" s="3">
        <v>44716</v>
      </c>
      <c r="E1655">
        <v>1</v>
      </c>
    </row>
    <row r="1656" spans="1:5" x14ac:dyDescent="0.25">
      <c r="A1656">
        <v>841</v>
      </c>
      <c r="B1656">
        <v>849</v>
      </c>
      <c r="C1656" s="3">
        <v>44678</v>
      </c>
      <c r="D1656" s="3">
        <v>44712</v>
      </c>
      <c r="E1656">
        <v>7</v>
      </c>
    </row>
    <row r="1657" spans="1:5" x14ac:dyDescent="0.25">
      <c r="A1657">
        <v>42</v>
      </c>
      <c r="B1657">
        <v>778</v>
      </c>
      <c r="C1657" s="3">
        <v>44679</v>
      </c>
      <c r="D1657" s="3">
        <v>44688</v>
      </c>
      <c r="E1657">
        <v>2</v>
      </c>
    </row>
    <row r="1658" spans="1:5" x14ac:dyDescent="0.25">
      <c r="A1658">
        <v>42</v>
      </c>
      <c r="B1658">
        <v>834</v>
      </c>
      <c r="C1658" s="3">
        <v>44679</v>
      </c>
      <c r="D1658" s="3">
        <v>44715</v>
      </c>
      <c r="E1658">
        <v>10</v>
      </c>
    </row>
    <row r="1659" spans="1:5" x14ac:dyDescent="0.25">
      <c r="A1659">
        <v>55</v>
      </c>
      <c r="B1659">
        <v>196</v>
      </c>
      <c r="C1659" s="3">
        <v>44679</v>
      </c>
      <c r="D1659" s="3">
        <v>44712</v>
      </c>
      <c r="E1659">
        <v>2</v>
      </c>
    </row>
    <row r="1660" spans="1:5" x14ac:dyDescent="0.25">
      <c r="A1660">
        <v>112</v>
      </c>
      <c r="B1660">
        <v>782</v>
      </c>
      <c r="C1660" s="3">
        <v>44679</v>
      </c>
      <c r="D1660" s="3">
        <v>44720</v>
      </c>
      <c r="E1660">
        <v>1</v>
      </c>
    </row>
    <row r="1661" spans="1:5" x14ac:dyDescent="0.25">
      <c r="A1661">
        <v>146</v>
      </c>
      <c r="B1661">
        <v>740</v>
      </c>
      <c r="C1661" s="3">
        <v>44679</v>
      </c>
      <c r="D1661" s="3">
        <v>44708</v>
      </c>
      <c r="E1661">
        <v>9</v>
      </c>
    </row>
    <row r="1662" spans="1:5" x14ac:dyDescent="0.25">
      <c r="A1662">
        <v>323</v>
      </c>
      <c r="B1662">
        <v>782</v>
      </c>
      <c r="C1662" s="3">
        <v>44679</v>
      </c>
      <c r="D1662" s="3">
        <v>44722</v>
      </c>
      <c r="E1662">
        <v>5</v>
      </c>
    </row>
    <row r="1663" spans="1:5" x14ac:dyDescent="0.25">
      <c r="A1663">
        <v>330</v>
      </c>
      <c r="B1663">
        <v>436</v>
      </c>
      <c r="C1663" s="3">
        <v>44679</v>
      </c>
      <c r="D1663" s="3">
        <v>44695</v>
      </c>
      <c r="E1663">
        <v>4</v>
      </c>
    </row>
    <row r="1664" spans="1:5" x14ac:dyDescent="0.25">
      <c r="A1664">
        <v>489</v>
      </c>
      <c r="B1664">
        <v>358</v>
      </c>
      <c r="C1664" s="3">
        <v>44679</v>
      </c>
      <c r="D1664" s="3">
        <v>44684</v>
      </c>
      <c r="E1664">
        <v>5</v>
      </c>
    </row>
    <row r="1665" spans="1:5" x14ac:dyDescent="0.25">
      <c r="A1665">
        <v>610</v>
      </c>
      <c r="B1665">
        <v>813</v>
      </c>
      <c r="C1665" s="3">
        <v>44679</v>
      </c>
      <c r="D1665" s="3">
        <v>44698</v>
      </c>
      <c r="E1665">
        <v>4</v>
      </c>
    </row>
    <row r="1666" spans="1:5" x14ac:dyDescent="0.25">
      <c r="A1666">
        <v>611</v>
      </c>
      <c r="B1666">
        <v>817</v>
      </c>
      <c r="C1666" s="3">
        <v>44679</v>
      </c>
      <c r="D1666" s="3">
        <v>44685</v>
      </c>
      <c r="E1666">
        <v>4</v>
      </c>
    </row>
    <row r="1667" spans="1:5" x14ac:dyDescent="0.25">
      <c r="A1667">
        <v>669</v>
      </c>
      <c r="B1667">
        <v>792</v>
      </c>
      <c r="C1667" s="3">
        <v>44679</v>
      </c>
      <c r="D1667" s="3">
        <v>44684</v>
      </c>
      <c r="E1667">
        <v>1</v>
      </c>
    </row>
    <row r="1668" spans="1:5" x14ac:dyDescent="0.25">
      <c r="A1668">
        <v>758</v>
      </c>
      <c r="B1668">
        <v>817</v>
      </c>
      <c r="C1668" s="3">
        <v>44679</v>
      </c>
      <c r="D1668" s="3">
        <v>44688</v>
      </c>
      <c r="E1668">
        <v>9</v>
      </c>
    </row>
    <row r="1669" spans="1:5" x14ac:dyDescent="0.25">
      <c r="A1669">
        <v>823</v>
      </c>
      <c r="B1669">
        <v>582</v>
      </c>
      <c r="C1669" s="3">
        <v>44679</v>
      </c>
      <c r="D1669" s="3">
        <v>44723</v>
      </c>
      <c r="E1669">
        <v>8</v>
      </c>
    </row>
    <row r="1670" spans="1:5" x14ac:dyDescent="0.25">
      <c r="A1670">
        <v>972</v>
      </c>
      <c r="B1670">
        <v>373</v>
      </c>
      <c r="C1670" s="3">
        <v>44679</v>
      </c>
      <c r="D1670" s="3">
        <v>44712</v>
      </c>
      <c r="E1670">
        <v>6</v>
      </c>
    </row>
    <row r="1671" spans="1:5" x14ac:dyDescent="0.25">
      <c r="A1671">
        <v>226</v>
      </c>
      <c r="B1671">
        <v>358</v>
      </c>
      <c r="C1671" s="3">
        <v>44680</v>
      </c>
      <c r="D1671" s="3">
        <v>44692</v>
      </c>
      <c r="E1671">
        <v>6</v>
      </c>
    </row>
    <row r="1672" spans="1:5" x14ac:dyDescent="0.25">
      <c r="A1672">
        <v>284</v>
      </c>
      <c r="B1672">
        <v>724</v>
      </c>
      <c r="C1672" s="3">
        <v>44680</v>
      </c>
      <c r="D1672" s="3">
        <v>44723</v>
      </c>
      <c r="E1672">
        <v>9</v>
      </c>
    </row>
    <row r="1673" spans="1:5" x14ac:dyDescent="0.25">
      <c r="A1673">
        <v>285</v>
      </c>
      <c r="B1673">
        <v>725</v>
      </c>
      <c r="C1673" s="3">
        <v>44680</v>
      </c>
      <c r="D1673" s="3">
        <v>44723</v>
      </c>
      <c r="E1673">
        <v>4</v>
      </c>
    </row>
    <row r="1674" spans="1:5" x14ac:dyDescent="0.25">
      <c r="A1674">
        <v>330</v>
      </c>
      <c r="B1674">
        <v>757</v>
      </c>
      <c r="C1674" s="3">
        <v>44680</v>
      </c>
      <c r="D1674" s="3">
        <v>44708</v>
      </c>
      <c r="E1674">
        <v>7</v>
      </c>
    </row>
    <row r="1675" spans="1:5" x14ac:dyDescent="0.25">
      <c r="A1675">
        <v>467</v>
      </c>
      <c r="B1675">
        <v>813</v>
      </c>
      <c r="C1675" s="3">
        <v>44680</v>
      </c>
      <c r="D1675" s="3">
        <v>44689</v>
      </c>
      <c r="E1675">
        <v>7</v>
      </c>
    </row>
    <row r="1676" spans="1:5" x14ac:dyDescent="0.25">
      <c r="A1676">
        <v>491</v>
      </c>
      <c r="B1676">
        <v>685</v>
      </c>
      <c r="C1676" s="3">
        <v>44680</v>
      </c>
      <c r="D1676" s="3">
        <v>44703</v>
      </c>
      <c r="E1676">
        <v>2</v>
      </c>
    </row>
    <row r="1677" spans="1:5" x14ac:dyDescent="0.25">
      <c r="A1677">
        <v>531</v>
      </c>
      <c r="B1677">
        <v>543</v>
      </c>
      <c r="C1677" s="3">
        <v>44680</v>
      </c>
      <c r="D1677" s="3">
        <v>44691</v>
      </c>
      <c r="E1677">
        <v>5</v>
      </c>
    </row>
    <row r="1678" spans="1:5" x14ac:dyDescent="0.25">
      <c r="A1678">
        <v>543</v>
      </c>
      <c r="B1678">
        <v>719</v>
      </c>
      <c r="C1678" s="3">
        <v>44680</v>
      </c>
      <c r="D1678" s="3">
        <v>44708</v>
      </c>
      <c r="E1678">
        <v>1</v>
      </c>
    </row>
    <row r="1679" spans="1:5" x14ac:dyDescent="0.25">
      <c r="A1679">
        <v>557</v>
      </c>
      <c r="B1679">
        <v>373</v>
      </c>
      <c r="C1679" s="3">
        <v>44680</v>
      </c>
      <c r="D1679" s="3">
        <v>44708</v>
      </c>
      <c r="E1679">
        <v>8</v>
      </c>
    </row>
    <row r="1680" spans="1:5" x14ac:dyDescent="0.25">
      <c r="A1680">
        <v>634</v>
      </c>
      <c r="B1680">
        <v>787</v>
      </c>
      <c r="C1680" s="3">
        <v>44680</v>
      </c>
      <c r="D1680" s="3">
        <v>44715</v>
      </c>
      <c r="E1680">
        <v>7</v>
      </c>
    </row>
    <row r="1681" spans="1:5" x14ac:dyDescent="0.25">
      <c r="A1681">
        <v>657</v>
      </c>
      <c r="B1681">
        <v>826</v>
      </c>
      <c r="C1681" s="3">
        <v>44680</v>
      </c>
      <c r="D1681" s="3">
        <v>44718</v>
      </c>
      <c r="E1681">
        <v>9</v>
      </c>
    </row>
    <row r="1682" spans="1:5" x14ac:dyDescent="0.25">
      <c r="A1682">
        <v>761</v>
      </c>
      <c r="B1682">
        <v>801</v>
      </c>
      <c r="C1682" s="3">
        <v>44680</v>
      </c>
      <c r="D1682" s="3">
        <v>44715</v>
      </c>
      <c r="E1682">
        <v>6</v>
      </c>
    </row>
    <row r="1683" spans="1:5" x14ac:dyDescent="0.25">
      <c r="A1683">
        <v>802</v>
      </c>
      <c r="B1683">
        <v>683</v>
      </c>
      <c r="C1683" s="3">
        <v>44680</v>
      </c>
      <c r="D1683" s="3">
        <v>44722</v>
      </c>
      <c r="E1683">
        <v>5</v>
      </c>
    </row>
    <row r="1684" spans="1:5" x14ac:dyDescent="0.25">
      <c r="A1684">
        <v>827</v>
      </c>
      <c r="B1684">
        <v>698</v>
      </c>
      <c r="C1684" s="3">
        <v>44680</v>
      </c>
      <c r="D1684" s="3">
        <v>44702</v>
      </c>
      <c r="E1684">
        <v>2</v>
      </c>
    </row>
    <row r="1685" spans="1:5" x14ac:dyDescent="0.25">
      <c r="A1685">
        <v>141</v>
      </c>
      <c r="B1685">
        <v>745</v>
      </c>
      <c r="C1685" s="3">
        <v>44681</v>
      </c>
      <c r="D1685" s="3">
        <v>44700</v>
      </c>
      <c r="E1685">
        <v>6</v>
      </c>
    </row>
    <row r="1686" spans="1:5" x14ac:dyDescent="0.25">
      <c r="A1686">
        <v>180</v>
      </c>
      <c r="B1686">
        <v>852</v>
      </c>
      <c r="C1686" s="3">
        <v>44681</v>
      </c>
      <c r="D1686" s="3">
        <v>44714</v>
      </c>
      <c r="E1686">
        <v>8</v>
      </c>
    </row>
    <row r="1687" spans="1:5" x14ac:dyDescent="0.25">
      <c r="A1687">
        <v>232</v>
      </c>
      <c r="B1687">
        <v>330</v>
      </c>
      <c r="C1687" s="3">
        <v>44681</v>
      </c>
      <c r="D1687" s="3">
        <v>44696</v>
      </c>
      <c r="E1687">
        <v>4</v>
      </c>
    </row>
    <row r="1688" spans="1:5" x14ac:dyDescent="0.25">
      <c r="A1688">
        <v>249</v>
      </c>
      <c r="B1688">
        <v>810</v>
      </c>
      <c r="C1688" s="3">
        <v>44681</v>
      </c>
      <c r="D1688" s="3">
        <v>44722</v>
      </c>
      <c r="E1688">
        <v>10</v>
      </c>
    </row>
    <row r="1689" spans="1:5" x14ac:dyDescent="0.25">
      <c r="A1689">
        <v>323</v>
      </c>
      <c r="B1689">
        <v>530</v>
      </c>
      <c r="C1689" s="3">
        <v>44681</v>
      </c>
      <c r="D1689" s="3">
        <v>44714</v>
      </c>
      <c r="E1689">
        <v>8</v>
      </c>
    </row>
    <row r="1690" spans="1:5" x14ac:dyDescent="0.25">
      <c r="A1690">
        <v>329</v>
      </c>
      <c r="B1690">
        <v>580</v>
      </c>
      <c r="C1690" s="3">
        <v>44681</v>
      </c>
      <c r="D1690" s="3">
        <v>44713</v>
      </c>
      <c r="E1690">
        <v>3</v>
      </c>
    </row>
    <row r="1691" spans="1:5" x14ac:dyDescent="0.25">
      <c r="A1691">
        <v>330</v>
      </c>
      <c r="B1691">
        <v>331</v>
      </c>
      <c r="C1691" s="3">
        <v>44681</v>
      </c>
      <c r="D1691" s="3">
        <v>44685</v>
      </c>
      <c r="E1691">
        <v>2</v>
      </c>
    </row>
    <row r="1692" spans="1:5" x14ac:dyDescent="0.25">
      <c r="A1692">
        <v>332</v>
      </c>
      <c r="B1692">
        <v>186</v>
      </c>
      <c r="C1692" s="3">
        <v>44681</v>
      </c>
      <c r="D1692" s="3">
        <v>44709</v>
      </c>
      <c r="E1692">
        <v>9</v>
      </c>
    </row>
    <row r="1693" spans="1:5" x14ac:dyDescent="0.25">
      <c r="A1693">
        <v>540</v>
      </c>
      <c r="B1693">
        <v>780</v>
      </c>
      <c r="C1693" s="3">
        <v>44681</v>
      </c>
      <c r="D1693" s="3">
        <v>44709</v>
      </c>
      <c r="E1693">
        <v>6</v>
      </c>
    </row>
    <row r="1694" spans="1:5" x14ac:dyDescent="0.25">
      <c r="A1694">
        <v>570</v>
      </c>
      <c r="B1694">
        <v>643</v>
      </c>
      <c r="C1694" s="3">
        <v>44681</v>
      </c>
      <c r="D1694" s="3">
        <v>44713</v>
      </c>
      <c r="E1694">
        <v>5</v>
      </c>
    </row>
    <row r="1695" spans="1:5" x14ac:dyDescent="0.25">
      <c r="A1695">
        <v>573</v>
      </c>
      <c r="B1695">
        <v>732</v>
      </c>
      <c r="C1695" s="3">
        <v>44681</v>
      </c>
      <c r="D1695" s="3">
        <v>44710</v>
      </c>
      <c r="E1695">
        <v>9</v>
      </c>
    </row>
    <row r="1696" spans="1:5" x14ac:dyDescent="0.25">
      <c r="A1696">
        <v>600</v>
      </c>
      <c r="B1696">
        <v>398</v>
      </c>
      <c r="C1696" s="3">
        <v>44681</v>
      </c>
      <c r="D1696" s="3">
        <v>44689</v>
      </c>
      <c r="E1696">
        <v>6</v>
      </c>
    </row>
    <row r="1697" spans="1:5" x14ac:dyDescent="0.25">
      <c r="A1697">
        <v>657</v>
      </c>
      <c r="B1697">
        <v>826</v>
      </c>
      <c r="C1697" s="3">
        <v>44681</v>
      </c>
      <c r="D1697" s="3">
        <v>44686</v>
      </c>
      <c r="E1697">
        <v>1</v>
      </c>
    </row>
    <row r="1698" spans="1:5" x14ac:dyDescent="0.25">
      <c r="A1698">
        <v>659</v>
      </c>
      <c r="B1698">
        <v>710</v>
      </c>
      <c r="C1698" s="3">
        <v>44681</v>
      </c>
      <c r="D1698" s="3">
        <v>44714</v>
      </c>
      <c r="E1698">
        <v>2</v>
      </c>
    </row>
    <row r="1699" spans="1:5" x14ac:dyDescent="0.25">
      <c r="A1699">
        <v>823</v>
      </c>
      <c r="B1699">
        <v>849</v>
      </c>
      <c r="C1699" s="3">
        <v>44681</v>
      </c>
      <c r="D1699" s="3">
        <v>44715</v>
      </c>
      <c r="E1699">
        <v>2</v>
      </c>
    </row>
    <row r="1700" spans="1:5" x14ac:dyDescent="0.25">
      <c r="A1700">
        <v>55</v>
      </c>
      <c r="B1700">
        <v>580</v>
      </c>
      <c r="C1700" s="3">
        <v>44682</v>
      </c>
      <c r="D1700" s="3">
        <v>44696</v>
      </c>
      <c r="E1700">
        <v>9</v>
      </c>
    </row>
    <row r="1701" spans="1:5" x14ac:dyDescent="0.25">
      <c r="A1701">
        <v>284</v>
      </c>
      <c r="B1701">
        <v>358</v>
      </c>
      <c r="C1701" s="3">
        <v>44682</v>
      </c>
      <c r="D1701" s="3">
        <v>44695</v>
      </c>
      <c r="E1701">
        <v>9</v>
      </c>
    </row>
    <row r="1702" spans="1:5" x14ac:dyDescent="0.25">
      <c r="A1702">
        <v>296</v>
      </c>
      <c r="B1702">
        <v>282</v>
      </c>
      <c r="C1702" s="3">
        <v>44682</v>
      </c>
      <c r="D1702" s="3">
        <v>44697</v>
      </c>
      <c r="E1702">
        <v>6</v>
      </c>
    </row>
    <row r="1703" spans="1:5" x14ac:dyDescent="0.25">
      <c r="A1703">
        <v>308</v>
      </c>
      <c r="B1703">
        <v>867</v>
      </c>
      <c r="C1703" s="3">
        <v>44682</v>
      </c>
      <c r="D1703" s="3">
        <v>44701</v>
      </c>
      <c r="E1703">
        <v>2</v>
      </c>
    </row>
    <row r="1704" spans="1:5" x14ac:dyDescent="0.25">
      <c r="A1704">
        <v>360</v>
      </c>
      <c r="B1704">
        <v>747</v>
      </c>
      <c r="C1704" s="3">
        <v>44682</v>
      </c>
      <c r="D1704" s="3">
        <v>44687</v>
      </c>
      <c r="E1704">
        <v>10</v>
      </c>
    </row>
    <row r="1705" spans="1:5" x14ac:dyDescent="0.25">
      <c r="A1705">
        <v>416</v>
      </c>
      <c r="B1705">
        <v>213</v>
      </c>
      <c r="C1705" s="3">
        <v>44682</v>
      </c>
      <c r="D1705" s="3">
        <v>44720</v>
      </c>
      <c r="E1705">
        <v>5</v>
      </c>
    </row>
    <row r="1706" spans="1:5" x14ac:dyDescent="0.25">
      <c r="A1706">
        <v>496</v>
      </c>
      <c r="B1706">
        <v>563</v>
      </c>
      <c r="C1706" s="3">
        <v>44682</v>
      </c>
      <c r="D1706" s="3">
        <v>44686</v>
      </c>
      <c r="E1706">
        <v>9</v>
      </c>
    </row>
    <row r="1707" spans="1:5" x14ac:dyDescent="0.25">
      <c r="A1707">
        <v>526</v>
      </c>
      <c r="B1707">
        <v>719</v>
      </c>
      <c r="C1707" s="3">
        <v>44682</v>
      </c>
      <c r="D1707" s="3">
        <v>44692</v>
      </c>
      <c r="E1707">
        <v>8</v>
      </c>
    </row>
    <row r="1708" spans="1:5" x14ac:dyDescent="0.25">
      <c r="A1708">
        <v>538</v>
      </c>
      <c r="B1708">
        <v>817</v>
      </c>
      <c r="C1708" s="3">
        <v>44682</v>
      </c>
      <c r="D1708" s="3">
        <v>44684</v>
      </c>
      <c r="E1708">
        <v>6</v>
      </c>
    </row>
    <row r="1709" spans="1:5" x14ac:dyDescent="0.25">
      <c r="A1709">
        <v>546</v>
      </c>
      <c r="B1709">
        <v>840</v>
      </c>
      <c r="C1709" s="3">
        <v>44682</v>
      </c>
      <c r="D1709" s="3">
        <v>44694</v>
      </c>
      <c r="E1709">
        <v>2</v>
      </c>
    </row>
    <row r="1710" spans="1:5" x14ac:dyDescent="0.25">
      <c r="A1710">
        <v>567</v>
      </c>
      <c r="B1710">
        <v>704</v>
      </c>
      <c r="C1710" s="3">
        <v>44682</v>
      </c>
      <c r="D1710" s="3">
        <v>44716</v>
      </c>
      <c r="E1710">
        <v>6</v>
      </c>
    </row>
    <row r="1711" spans="1:5" x14ac:dyDescent="0.25">
      <c r="A1711">
        <v>657</v>
      </c>
      <c r="B1711">
        <v>316</v>
      </c>
      <c r="C1711" s="3">
        <v>44682</v>
      </c>
      <c r="D1711" s="3">
        <v>44685</v>
      </c>
      <c r="E1711">
        <v>1</v>
      </c>
    </row>
    <row r="1712" spans="1:5" x14ac:dyDescent="0.25">
      <c r="A1712">
        <v>827</v>
      </c>
      <c r="B1712">
        <v>453</v>
      </c>
      <c r="C1712" s="3">
        <v>44682</v>
      </c>
      <c r="D1712" s="3">
        <v>44707</v>
      </c>
      <c r="E1712">
        <v>7</v>
      </c>
    </row>
    <row r="1713" spans="1:5" x14ac:dyDescent="0.25">
      <c r="A1713">
        <v>843</v>
      </c>
      <c r="B1713">
        <v>652</v>
      </c>
      <c r="C1713" s="3">
        <v>44682</v>
      </c>
      <c r="D1713" s="3">
        <v>44693</v>
      </c>
      <c r="E1713">
        <v>2</v>
      </c>
    </row>
    <row r="1714" spans="1:5" x14ac:dyDescent="0.25">
      <c r="A1714">
        <v>906</v>
      </c>
      <c r="B1714">
        <v>331</v>
      </c>
      <c r="C1714" s="3">
        <v>44682</v>
      </c>
      <c r="D1714" s="3">
        <v>44684</v>
      </c>
      <c r="E1714">
        <v>8</v>
      </c>
    </row>
    <row r="1715" spans="1:5" x14ac:dyDescent="0.25">
      <c r="A1715">
        <v>22</v>
      </c>
      <c r="B1715">
        <v>585</v>
      </c>
      <c r="C1715" s="3">
        <v>44683</v>
      </c>
      <c r="D1715" s="3">
        <v>44695</v>
      </c>
      <c r="E1715">
        <v>3</v>
      </c>
    </row>
    <row r="1716" spans="1:5" x14ac:dyDescent="0.25">
      <c r="A1716">
        <v>158</v>
      </c>
      <c r="B1716">
        <v>620</v>
      </c>
      <c r="C1716" s="3">
        <v>44683</v>
      </c>
      <c r="D1716" s="3">
        <v>44723</v>
      </c>
      <c r="E1716">
        <v>10</v>
      </c>
    </row>
    <row r="1717" spans="1:5" x14ac:dyDescent="0.25">
      <c r="A1717">
        <v>249</v>
      </c>
      <c r="B1717">
        <v>812</v>
      </c>
      <c r="C1717" s="3">
        <v>44683</v>
      </c>
      <c r="D1717" s="3">
        <v>44703</v>
      </c>
      <c r="E1717">
        <v>6</v>
      </c>
    </row>
    <row r="1718" spans="1:5" x14ac:dyDescent="0.25">
      <c r="A1718">
        <v>308</v>
      </c>
      <c r="B1718">
        <v>590</v>
      </c>
      <c r="C1718" s="3">
        <v>44683</v>
      </c>
      <c r="D1718" s="3">
        <v>44696</v>
      </c>
      <c r="E1718">
        <v>10</v>
      </c>
    </row>
    <row r="1719" spans="1:5" x14ac:dyDescent="0.25">
      <c r="A1719">
        <v>323</v>
      </c>
      <c r="B1719">
        <v>694</v>
      </c>
      <c r="C1719" s="3">
        <v>44683</v>
      </c>
      <c r="D1719" s="3">
        <v>44715</v>
      </c>
      <c r="E1719">
        <v>8</v>
      </c>
    </row>
    <row r="1720" spans="1:5" x14ac:dyDescent="0.25">
      <c r="A1720">
        <v>364</v>
      </c>
      <c r="B1720">
        <v>710</v>
      </c>
      <c r="C1720" s="3">
        <v>44683</v>
      </c>
      <c r="D1720" s="3">
        <v>44704</v>
      </c>
      <c r="E1720">
        <v>3</v>
      </c>
    </row>
    <row r="1721" spans="1:5" x14ac:dyDescent="0.25">
      <c r="A1721">
        <v>474</v>
      </c>
      <c r="B1721">
        <v>583</v>
      </c>
      <c r="C1721" s="3">
        <v>44683</v>
      </c>
      <c r="D1721" s="3">
        <v>44694</v>
      </c>
      <c r="E1721">
        <v>5</v>
      </c>
    </row>
    <row r="1722" spans="1:5" x14ac:dyDescent="0.25">
      <c r="A1722">
        <v>474</v>
      </c>
      <c r="B1722">
        <v>668</v>
      </c>
      <c r="C1722" s="3">
        <v>44683</v>
      </c>
      <c r="D1722" s="3">
        <v>44699</v>
      </c>
      <c r="E1722">
        <v>4</v>
      </c>
    </row>
    <row r="1723" spans="1:5" x14ac:dyDescent="0.25">
      <c r="A1723">
        <v>491</v>
      </c>
      <c r="B1723">
        <v>812</v>
      </c>
      <c r="C1723" s="3">
        <v>44683</v>
      </c>
      <c r="D1723" s="3">
        <v>44719</v>
      </c>
      <c r="E1723">
        <v>10</v>
      </c>
    </row>
    <row r="1724" spans="1:5" x14ac:dyDescent="0.25">
      <c r="A1724">
        <v>527</v>
      </c>
      <c r="B1724">
        <v>145</v>
      </c>
      <c r="C1724" s="3">
        <v>44683</v>
      </c>
      <c r="D1724" s="3">
        <v>44712</v>
      </c>
      <c r="E1724">
        <v>10</v>
      </c>
    </row>
    <row r="1725" spans="1:5" x14ac:dyDescent="0.25">
      <c r="A1725">
        <v>568</v>
      </c>
      <c r="B1725">
        <v>213</v>
      </c>
      <c r="C1725" s="3">
        <v>44683</v>
      </c>
      <c r="D1725" s="3">
        <v>44709</v>
      </c>
      <c r="E1725">
        <v>5</v>
      </c>
    </row>
    <row r="1726" spans="1:5" x14ac:dyDescent="0.25">
      <c r="A1726">
        <v>823</v>
      </c>
      <c r="B1726">
        <v>374</v>
      </c>
      <c r="C1726" s="3">
        <v>44683</v>
      </c>
      <c r="D1726" s="3">
        <v>44684</v>
      </c>
      <c r="E1726">
        <v>4</v>
      </c>
    </row>
    <row r="1727" spans="1:5" x14ac:dyDescent="0.25">
      <c r="A1727">
        <v>22</v>
      </c>
      <c r="B1727">
        <v>710</v>
      </c>
      <c r="C1727" s="3">
        <v>44684</v>
      </c>
      <c r="D1727" s="3">
        <v>44719</v>
      </c>
      <c r="E1727">
        <v>3</v>
      </c>
    </row>
    <row r="1728" spans="1:5" x14ac:dyDescent="0.25">
      <c r="A1728">
        <v>46</v>
      </c>
      <c r="B1728">
        <v>530</v>
      </c>
      <c r="C1728" s="3">
        <v>44684</v>
      </c>
      <c r="D1728" s="3">
        <v>44717</v>
      </c>
      <c r="E1728">
        <v>6</v>
      </c>
    </row>
    <row r="1729" spans="1:5" x14ac:dyDescent="0.25">
      <c r="A1729">
        <v>46</v>
      </c>
      <c r="B1729">
        <v>667</v>
      </c>
      <c r="C1729" s="3">
        <v>44684</v>
      </c>
      <c r="D1729" s="3">
        <v>44706</v>
      </c>
      <c r="E1729">
        <v>3</v>
      </c>
    </row>
    <row r="1730" spans="1:5" x14ac:dyDescent="0.25">
      <c r="A1730">
        <v>81</v>
      </c>
      <c r="B1730">
        <v>745</v>
      </c>
      <c r="C1730" s="3">
        <v>44684</v>
      </c>
      <c r="D1730" s="3">
        <v>44695</v>
      </c>
      <c r="E1730">
        <v>6</v>
      </c>
    </row>
    <row r="1731" spans="1:5" x14ac:dyDescent="0.25">
      <c r="A1731">
        <v>200</v>
      </c>
      <c r="B1731">
        <v>707</v>
      </c>
      <c r="C1731" s="3">
        <v>44684</v>
      </c>
      <c r="D1731" s="3">
        <v>44727</v>
      </c>
      <c r="E1731">
        <v>4</v>
      </c>
    </row>
    <row r="1732" spans="1:5" x14ac:dyDescent="0.25">
      <c r="A1732">
        <v>332</v>
      </c>
      <c r="B1732">
        <v>580</v>
      </c>
      <c r="C1732" s="3">
        <v>44684</v>
      </c>
      <c r="D1732" s="3">
        <v>44725</v>
      </c>
      <c r="E1732">
        <v>1</v>
      </c>
    </row>
    <row r="1733" spans="1:5" x14ac:dyDescent="0.25">
      <c r="A1733">
        <v>334</v>
      </c>
      <c r="B1733">
        <v>395</v>
      </c>
      <c r="C1733" s="3">
        <v>44684</v>
      </c>
      <c r="D1733" s="3">
        <v>44709</v>
      </c>
      <c r="E1733">
        <v>8</v>
      </c>
    </row>
    <row r="1734" spans="1:5" x14ac:dyDescent="0.25">
      <c r="A1734">
        <v>370</v>
      </c>
      <c r="B1734">
        <v>177</v>
      </c>
      <c r="C1734" s="3">
        <v>44684</v>
      </c>
      <c r="D1734" s="3">
        <v>44714</v>
      </c>
      <c r="E1734">
        <v>7</v>
      </c>
    </row>
    <row r="1735" spans="1:5" x14ac:dyDescent="0.25">
      <c r="A1735">
        <v>468</v>
      </c>
      <c r="B1735">
        <v>541</v>
      </c>
      <c r="C1735" s="3">
        <v>44684</v>
      </c>
      <c r="D1735" s="3">
        <v>44714</v>
      </c>
      <c r="E1735">
        <v>6</v>
      </c>
    </row>
    <row r="1736" spans="1:5" x14ac:dyDescent="0.25">
      <c r="A1736">
        <v>500</v>
      </c>
      <c r="B1736">
        <v>787</v>
      </c>
      <c r="C1736" s="3">
        <v>44684</v>
      </c>
      <c r="D1736" s="3">
        <v>44694</v>
      </c>
      <c r="E1736">
        <v>2</v>
      </c>
    </row>
    <row r="1737" spans="1:5" x14ac:dyDescent="0.25">
      <c r="A1737">
        <v>669</v>
      </c>
      <c r="B1737">
        <v>758</v>
      </c>
      <c r="C1737" s="3">
        <v>44684</v>
      </c>
      <c r="D1737" s="3">
        <v>44698</v>
      </c>
      <c r="E1737">
        <v>4</v>
      </c>
    </row>
    <row r="1738" spans="1:5" x14ac:dyDescent="0.25">
      <c r="A1738">
        <v>747</v>
      </c>
      <c r="B1738">
        <v>725</v>
      </c>
      <c r="C1738" s="3">
        <v>44684</v>
      </c>
      <c r="D1738" s="3">
        <v>44725</v>
      </c>
      <c r="E1738">
        <v>1</v>
      </c>
    </row>
    <row r="1739" spans="1:5" x14ac:dyDescent="0.25">
      <c r="A1739">
        <v>758</v>
      </c>
      <c r="B1739">
        <v>694</v>
      </c>
      <c r="C1739" s="3">
        <v>44684</v>
      </c>
      <c r="D1739" s="3">
        <v>44692</v>
      </c>
      <c r="E1739">
        <v>6</v>
      </c>
    </row>
    <row r="1740" spans="1:5" x14ac:dyDescent="0.25">
      <c r="A1740">
        <v>46</v>
      </c>
      <c r="B1740">
        <v>725</v>
      </c>
      <c r="C1740" s="3">
        <v>44685</v>
      </c>
      <c r="D1740" s="3">
        <v>44699</v>
      </c>
      <c r="E1740">
        <v>10</v>
      </c>
    </row>
    <row r="1741" spans="1:5" x14ac:dyDescent="0.25">
      <c r="A1741">
        <v>180</v>
      </c>
      <c r="B1741">
        <v>530</v>
      </c>
      <c r="C1741" s="3">
        <v>44685</v>
      </c>
      <c r="D1741" s="3">
        <v>44708</v>
      </c>
      <c r="E1741">
        <v>1</v>
      </c>
    </row>
    <row r="1742" spans="1:5" x14ac:dyDescent="0.25">
      <c r="A1742">
        <v>180</v>
      </c>
      <c r="B1742">
        <v>709</v>
      </c>
      <c r="C1742" s="3">
        <v>44685</v>
      </c>
      <c r="D1742" s="3">
        <v>44695</v>
      </c>
      <c r="E1742">
        <v>3</v>
      </c>
    </row>
    <row r="1743" spans="1:5" x14ac:dyDescent="0.25">
      <c r="A1743">
        <v>249</v>
      </c>
      <c r="B1743">
        <v>259</v>
      </c>
      <c r="C1743" s="3">
        <v>44685</v>
      </c>
      <c r="D1743" s="3">
        <v>44715</v>
      </c>
      <c r="E1743">
        <v>2</v>
      </c>
    </row>
    <row r="1744" spans="1:5" x14ac:dyDescent="0.25">
      <c r="A1744">
        <v>254</v>
      </c>
      <c r="B1744">
        <v>331</v>
      </c>
      <c r="C1744" s="3">
        <v>44685</v>
      </c>
      <c r="D1744" s="3">
        <v>44694</v>
      </c>
      <c r="E1744">
        <v>2</v>
      </c>
    </row>
    <row r="1745" spans="1:5" x14ac:dyDescent="0.25">
      <c r="A1745">
        <v>538</v>
      </c>
      <c r="B1745">
        <v>689</v>
      </c>
      <c r="C1745" s="3">
        <v>44685</v>
      </c>
      <c r="D1745" s="3">
        <v>44709</v>
      </c>
      <c r="E1745">
        <v>8</v>
      </c>
    </row>
    <row r="1746" spans="1:5" x14ac:dyDescent="0.25">
      <c r="A1746">
        <v>538</v>
      </c>
      <c r="B1746">
        <v>732</v>
      </c>
      <c r="C1746" s="3">
        <v>44685</v>
      </c>
      <c r="D1746" s="3">
        <v>44689</v>
      </c>
      <c r="E1746">
        <v>4</v>
      </c>
    </row>
    <row r="1747" spans="1:5" x14ac:dyDescent="0.25">
      <c r="A1747">
        <v>540</v>
      </c>
      <c r="B1747">
        <v>801</v>
      </c>
      <c r="C1747" s="3">
        <v>44685</v>
      </c>
      <c r="D1747" s="3">
        <v>44692</v>
      </c>
      <c r="E1747">
        <v>2</v>
      </c>
    </row>
    <row r="1748" spans="1:5" x14ac:dyDescent="0.25">
      <c r="A1748">
        <v>544</v>
      </c>
      <c r="B1748">
        <v>709</v>
      </c>
      <c r="C1748" s="3">
        <v>44685</v>
      </c>
      <c r="D1748" s="3">
        <v>44699</v>
      </c>
      <c r="E1748">
        <v>1</v>
      </c>
    </row>
    <row r="1749" spans="1:5" x14ac:dyDescent="0.25">
      <c r="A1749">
        <v>561</v>
      </c>
      <c r="B1749">
        <v>164</v>
      </c>
      <c r="C1749" s="3">
        <v>44685</v>
      </c>
      <c r="D1749" s="3">
        <v>44711</v>
      </c>
      <c r="E1749">
        <v>4</v>
      </c>
    </row>
    <row r="1750" spans="1:5" x14ac:dyDescent="0.25">
      <c r="A1750">
        <v>610</v>
      </c>
      <c r="B1750">
        <v>812</v>
      </c>
      <c r="C1750" s="3">
        <v>44685</v>
      </c>
      <c r="D1750" s="3">
        <v>44697</v>
      </c>
      <c r="E1750">
        <v>2</v>
      </c>
    </row>
    <row r="1751" spans="1:5" x14ac:dyDescent="0.25">
      <c r="A1751">
        <v>634</v>
      </c>
      <c r="B1751">
        <v>698</v>
      </c>
      <c r="C1751" s="3">
        <v>44685</v>
      </c>
      <c r="D1751" s="3">
        <v>44698</v>
      </c>
      <c r="E1751">
        <v>6</v>
      </c>
    </row>
    <row r="1752" spans="1:5" x14ac:dyDescent="0.25">
      <c r="A1752">
        <v>22</v>
      </c>
      <c r="B1752">
        <v>702</v>
      </c>
      <c r="C1752" s="3">
        <v>44686</v>
      </c>
      <c r="D1752" s="3">
        <v>44721</v>
      </c>
      <c r="E1752">
        <v>1</v>
      </c>
    </row>
    <row r="1753" spans="1:5" x14ac:dyDescent="0.25">
      <c r="A1753">
        <v>81</v>
      </c>
      <c r="B1753">
        <v>652</v>
      </c>
      <c r="C1753" s="3">
        <v>44686</v>
      </c>
      <c r="D1753" s="3">
        <v>44707</v>
      </c>
      <c r="E1753">
        <v>10</v>
      </c>
    </row>
    <row r="1754" spans="1:5" x14ac:dyDescent="0.25">
      <c r="A1754">
        <v>180</v>
      </c>
      <c r="B1754">
        <v>377</v>
      </c>
      <c r="C1754" s="3">
        <v>44686</v>
      </c>
      <c r="D1754" s="3">
        <v>44715</v>
      </c>
      <c r="E1754">
        <v>10</v>
      </c>
    </row>
    <row r="1755" spans="1:5" x14ac:dyDescent="0.25">
      <c r="A1755">
        <v>302</v>
      </c>
      <c r="B1755">
        <v>692</v>
      </c>
      <c r="C1755" s="3">
        <v>44686</v>
      </c>
      <c r="D1755" s="3">
        <v>44716</v>
      </c>
      <c r="E1755">
        <v>6</v>
      </c>
    </row>
    <row r="1756" spans="1:5" x14ac:dyDescent="0.25">
      <c r="A1756">
        <v>312</v>
      </c>
      <c r="B1756">
        <v>704</v>
      </c>
      <c r="C1756" s="3">
        <v>44686</v>
      </c>
      <c r="D1756" s="3">
        <v>44724</v>
      </c>
      <c r="E1756">
        <v>9</v>
      </c>
    </row>
    <row r="1757" spans="1:5" x14ac:dyDescent="0.25">
      <c r="A1757">
        <v>360</v>
      </c>
      <c r="B1757">
        <v>541</v>
      </c>
      <c r="C1757" s="3">
        <v>44686</v>
      </c>
      <c r="D1757" s="3">
        <v>44688</v>
      </c>
      <c r="E1757">
        <v>5</v>
      </c>
    </row>
    <row r="1758" spans="1:5" x14ac:dyDescent="0.25">
      <c r="A1758">
        <v>585</v>
      </c>
      <c r="B1758">
        <v>726</v>
      </c>
      <c r="C1758" s="3">
        <v>44686</v>
      </c>
      <c r="D1758" s="3">
        <v>44716</v>
      </c>
      <c r="E1758">
        <v>3</v>
      </c>
    </row>
    <row r="1759" spans="1:5" x14ac:dyDescent="0.25">
      <c r="A1759">
        <v>600</v>
      </c>
      <c r="B1759">
        <v>810</v>
      </c>
      <c r="C1759" s="3">
        <v>44686</v>
      </c>
      <c r="D1759" s="3">
        <v>44709</v>
      </c>
      <c r="E1759">
        <v>3</v>
      </c>
    </row>
    <row r="1760" spans="1:5" x14ac:dyDescent="0.25">
      <c r="A1760">
        <v>602</v>
      </c>
      <c r="B1760">
        <v>582</v>
      </c>
      <c r="C1760" s="3">
        <v>44686</v>
      </c>
      <c r="D1760" s="3">
        <v>44729</v>
      </c>
      <c r="E1760">
        <v>5</v>
      </c>
    </row>
    <row r="1761" spans="1:5" x14ac:dyDescent="0.25">
      <c r="A1761">
        <v>643</v>
      </c>
      <c r="B1761">
        <v>711</v>
      </c>
      <c r="C1761" s="3">
        <v>44686</v>
      </c>
      <c r="D1761" s="3">
        <v>44712</v>
      </c>
      <c r="E1761">
        <v>4</v>
      </c>
    </row>
    <row r="1762" spans="1:5" x14ac:dyDescent="0.25">
      <c r="A1762">
        <v>758</v>
      </c>
      <c r="B1762">
        <v>479</v>
      </c>
      <c r="C1762" s="3">
        <v>44686</v>
      </c>
      <c r="D1762" s="3">
        <v>44730</v>
      </c>
      <c r="E1762">
        <v>2</v>
      </c>
    </row>
    <row r="1763" spans="1:5" x14ac:dyDescent="0.25">
      <c r="A1763">
        <v>843</v>
      </c>
      <c r="B1763">
        <v>582</v>
      </c>
      <c r="C1763" s="3">
        <v>44686</v>
      </c>
      <c r="D1763" s="3">
        <v>44718</v>
      </c>
      <c r="E1763">
        <v>9</v>
      </c>
    </row>
    <row r="1764" spans="1:5" x14ac:dyDescent="0.25">
      <c r="A1764">
        <v>66</v>
      </c>
      <c r="B1764">
        <v>479</v>
      </c>
      <c r="C1764" s="3">
        <v>44687</v>
      </c>
      <c r="D1764" s="3">
        <v>44712</v>
      </c>
      <c r="E1764">
        <v>8</v>
      </c>
    </row>
    <row r="1765" spans="1:5" x14ac:dyDescent="0.25">
      <c r="A1765">
        <v>146</v>
      </c>
      <c r="B1765">
        <v>186</v>
      </c>
      <c r="C1765" s="3">
        <v>44687</v>
      </c>
      <c r="D1765" s="3">
        <v>44715</v>
      </c>
      <c r="E1765">
        <v>8</v>
      </c>
    </row>
    <row r="1766" spans="1:5" x14ac:dyDescent="0.25">
      <c r="A1766">
        <v>200</v>
      </c>
      <c r="B1766">
        <v>709</v>
      </c>
      <c r="C1766" s="3">
        <v>44687</v>
      </c>
      <c r="D1766" s="3">
        <v>44691</v>
      </c>
      <c r="E1766">
        <v>10</v>
      </c>
    </row>
    <row r="1767" spans="1:5" x14ac:dyDescent="0.25">
      <c r="A1767">
        <v>226</v>
      </c>
      <c r="B1767">
        <v>810</v>
      </c>
      <c r="C1767" s="3">
        <v>44687</v>
      </c>
      <c r="D1767" s="3">
        <v>44728</v>
      </c>
      <c r="E1767">
        <v>9</v>
      </c>
    </row>
    <row r="1768" spans="1:5" x14ac:dyDescent="0.25">
      <c r="A1768">
        <v>323</v>
      </c>
      <c r="B1768">
        <v>813</v>
      </c>
      <c r="C1768" s="3">
        <v>44687</v>
      </c>
      <c r="D1768" s="3">
        <v>44702</v>
      </c>
      <c r="E1768">
        <v>2</v>
      </c>
    </row>
    <row r="1769" spans="1:5" x14ac:dyDescent="0.25">
      <c r="A1769">
        <v>328</v>
      </c>
      <c r="B1769">
        <v>580</v>
      </c>
      <c r="C1769" s="3">
        <v>44687</v>
      </c>
      <c r="D1769" s="3">
        <v>44726</v>
      </c>
      <c r="E1769">
        <v>1</v>
      </c>
    </row>
    <row r="1770" spans="1:5" x14ac:dyDescent="0.25">
      <c r="A1770">
        <v>467</v>
      </c>
      <c r="B1770">
        <v>826</v>
      </c>
      <c r="C1770" s="3">
        <v>44687</v>
      </c>
      <c r="D1770" s="3">
        <v>44710</v>
      </c>
      <c r="E1770">
        <v>1</v>
      </c>
    </row>
    <row r="1771" spans="1:5" x14ac:dyDescent="0.25">
      <c r="A1771">
        <v>468</v>
      </c>
      <c r="B1771">
        <v>219</v>
      </c>
      <c r="C1771" s="3">
        <v>44687</v>
      </c>
      <c r="D1771" s="3">
        <v>44721</v>
      </c>
      <c r="E1771">
        <v>4</v>
      </c>
    </row>
    <row r="1772" spans="1:5" x14ac:dyDescent="0.25">
      <c r="A1772">
        <v>474</v>
      </c>
      <c r="B1772">
        <v>699</v>
      </c>
      <c r="C1772" s="3">
        <v>44687</v>
      </c>
      <c r="D1772" s="3">
        <v>44704</v>
      </c>
      <c r="E1772">
        <v>3</v>
      </c>
    </row>
    <row r="1773" spans="1:5" x14ac:dyDescent="0.25">
      <c r="A1773">
        <v>526</v>
      </c>
      <c r="B1773">
        <v>745</v>
      </c>
      <c r="C1773" s="3">
        <v>44687</v>
      </c>
      <c r="D1773" s="3">
        <v>44728</v>
      </c>
      <c r="E1773">
        <v>2</v>
      </c>
    </row>
    <row r="1774" spans="1:5" x14ac:dyDescent="0.25">
      <c r="A1774">
        <v>531</v>
      </c>
      <c r="B1774">
        <v>852</v>
      </c>
      <c r="C1774" s="3">
        <v>44687</v>
      </c>
      <c r="D1774" s="3">
        <v>44688</v>
      </c>
      <c r="E1774">
        <v>1</v>
      </c>
    </row>
    <row r="1775" spans="1:5" x14ac:dyDescent="0.25">
      <c r="A1775">
        <v>543</v>
      </c>
      <c r="B1775">
        <v>541</v>
      </c>
      <c r="C1775" s="3">
        <v>44687</v>
      </c>
      <c r="D1775" s="3">
        <v>44692</v>
      </c>
      <c r="E1775">
        <v>3</v>
      </c>
    </row>
    <row r="1776" spans="1:5" x14ac:dyDescent="0.25">
      <c r="A1776">
        <v>610</v>
      </c>
      <c r="B1776">
        <v>316</v>
      </c>
      <c r="C1776" s="3">
        <v>44687</v>
      </c>
      <c r="D1776" s="3">
        <v>44712</v>
      </c>
      <c r="E1776">
        <v>1</v>
      </c>
    </row>
    <row r="1777" spans="1:5" x14ac:dyDescent="0.25">
      <c r="A1777">
        <v>611</v>
      </c>
      <c r="B1777">
        <v>676</v>
      </c>
      <c r="C1777" s="3">
        <v>44687</v>
      </c>
      <c r="D1777" s="3">
        <v>44696</v>
      </c>
      <c r="E1777">
        <v>9</v>
      </c>
    </row>
    <row r="1778" spans="1:5" x14ac:dyDescent="0.25">
      <c r="A1778">
        <v>843</v>
      </c>
      <c r="B1778">
        <v>582</v>
      </c>
      <c r="C1778" s="3">
        <v>44687</v>
      </c>
      <c r="D1778" s="3">
        <v>44688</v>
      </c>
      <c r="E1778">
        <v>3</v>
      </c>
    </row>
    <row r="1779" spans="1:5" x14ac:dyDescent="0.25">
      <c r="A1779">
        <v>849</v>
      </c>
      <c r="B1779">
        <v>515</v>
      </c>
      <c r="C1779" s="3">
        <v>44687</v>
      </c>
      <c r="D1779" s="3">
        <v>44730</v>
      </c>
      <c r="E1779">
        <v>4</v>
      </c>
    </row>
    <row r="1780" spans="1:5" x14ac:dyDescent="0.25">
      <c r="A1780">
        <v>302</v>
      </c>
      <c r="B1780">
        <v>725</v>
      </c>
      <c r="C1780" s="3">
        <v>44688</v>
      </c>
      <c r="D1780" s="3">
        <v>44720</v>
      </c>
      <c r="E1780">
        <v>5</v>
      </c>
    </row>
    <row r="1781" spans="1:5" x14ac:dyDescent="0.25">
      <c r="A1781">
        <v>338</v>
      </c>
      <c r="B1781">
        <v>685</v>
      </c>
      <c r="C1781" s="3">
        <v>44688</v>
      </c>
      <c r="D1781" s="3">
        <v>44690</v>
      </c>
      <c r="E1781">
        <v>8</v>
      </c>
    </row>
    <row r="1782" spans="1:5" x14ac:dyDescent="0.25">
      <c r="A1782">
        <v>527</v>
      </c>
      <c r="B1782">
        <v>667</v>
      </c>
      <c r="C1782" s="3">
        <v>44688</v>
      </c>
      <c r="D1782" s="3">
        <v>44706</v>
      </c>
      <c r="E1782">
        <v>3</v>
      </c>
    </row>
    <row r="1783" spans="1:5" x14ac:dyDescent="0.25">
      <c r="A1783">
        <v>531</v>
      </c>
      <c r="B1783">
        <v>683</v>
      </c>
      <c r="C1783" s="3">
        <v>44688</v>
      </c>
      <c r="D1783" s="3">
        <v>44702</v>
      </c>
      <c r="E1783">
        <v>8</v>
      </c>
    </row>
    <row r="1784" spans="1:5" x14ac:dyDescent="0.25">
      <c r="A1784">
        <v>538</v>
      </c>
      <c r="B1784">
        <v>219</v>
      </c>
      <c r="C1784" s="3">
        <v>44688</v>
      </c>
      <c r="D1784" s="3">
        <v>44728</v>
      </c>
      <c r="E1784">
        <v>1</v>
      </c>
    </row>
    <row r="1785" spans="1:5" x14ac:dyDescent="0.25">
      <c r="A1785">
        <v>561</v>
      </c>
      <c r="B1785">
        <v>701</v>
      </c>
      <c r="C1785" s="3">
        <v>44688</v>
      </c>
      <c r="D1785" s="3">
        <v>44718</v>
      </c>
      <c r="E1785">
        <v>5</v>
      </c>
    </row>
    <row r="1786" spans="1:5" x14ac:dyDescent="0.25">
      <c r="A1786">
        <v>573</v>
      </c>
      <c r="B1786">
        <v>740</v>
      </c>
      <c r="C1786" s="3">
        <v>44688</v>
      </c>
      <c r="D1786" s="3">
        <v>44713</v>
      </c>
      <c r="E1786">
        <v>2</v>
      </c>
    </row>
    <row r="1787" spans="1:5" x14ac:dyDescent="0.25">
      <c r="A1787">
        <v>580</v>
      </c>
      <c r="B1787">
        <v>801</v>
      </c>
      <c r="C1787" s="3">
        <v>44688</v>
      </c>
      <c r="D1787" s="3">
        <v>44693</v>
      </c>
      <c r="E1787">
        <v>10</v>
      </c>
    </row>
    <row r="1788" spans="1:5" x14ac:dyDescent="0.25">
      <c r="A1788">
        <v>585</v>
      </c>
      <c r="B1788">
        <v>563</v>
      </c>
      <c r="C1788" s="3">
        <v>44688</v>
      </c>
      <c r="D1788" s="3">
        <v>44692</v>
      </c>
      <c r="E1788">
        <v>4</v>
      </c>
    </row>
    <row r="1789" spans="1:5" x14ac:dyDescent="0.25">
      <c r="A1789">
        <v>594</v>
      </c>
      <c r="B1789">
        <v>849</v>
      </c>
      <c r="C1789" s="3">
        <v>44688</v>
      </c>
      <c r="D1789" s="3">
        <v>44691</v>
      </c>
      <c r="E1789">
        <v>10</v>
      </c>
    </row>
    <row r="1790" spans="1:5" x14ac:dyDescent="0.25">
      <c r="A1790">
        <v>602</v>
      </c>
      <c r="B1790">
        <v>724</v>
      </c>
      <c r="C1790" s="3">
        <v>44688</v>
      </c>
      <c r="D1790" s="3">
        <v>44699</v>
      </c>
      <c r="E1790">
        <v>6</v>
      </c>
    </row>
    <row r="1791" spans="1:5" x14ac:dyDescent="0.25">
      <c r="A1791">
        <v>651</v>
      </c>
      <c r="B1791">
        <v>580</v>
      </c>
      <c r="C1791" s="3">
        <v>44688</v>
      </c>
      <c r="D1791" s="3">
        <v>44706</v>
      </c>
      <c r="E1791">
        <v>9</v>
      </c>
    </row>
    <row r="1792" spans="1:5" x14ac:dyDescent="0.25">
      <c r="A1792">
        <v>657</v>
      </c>
      <c r="B1792">
        <v>464</v>
      </c>
      <c r="C1792" s="3">
        <v>44688</v>
      </c>
      <c r="D1792" s="3">
        <v>44710</v>
      </c>
      <c r="E1792">
        <v>8</v>
      </c>
    </row>
    <row r="1793" spans="1:5" x14ac:dyDescent="0.25">
      <c r="A1793">
        <v>730</v>
      </c>
      <c r="B1793">
        <v>594</v>
      </c>
      <c r="C1793" s="3">
        <v>44688</v>
      </c>
      <c r="D1793" s="3">
        <v>44725</v>
      </c>
      <c r="E1793">
        <v>10</v>
      </c>
    </row>
    <row r="1794" spans="1:5" x14ac:dyDescent="0.25">
      <c r="A1794">
        <v>906</v>
      </c>
      <c r="B1794">
        <v>177</v>
      </c>
      <c r="C1794" s="3">
        <v>44688</v>
      </c>
      <c r="D1794" s="3">
        <v>44730</v>
      </c>
      <c r="E1794">
        <v>1</v>
      </c>
    </row>
    <row r="1795" spans="1:5" x14ac:dyDescent="0.25">
      <c r="A1795">
        <v>961</v>
      </c>
      <c r="B1795">
        <v>698</v>
      </c>
      <c r="C1795" s="3">
        <v>44688</v>
      </c>
      <c r="D1795" s="3">
        <v>44711</v>
      </c>
      <c r="E1795">
        <v>8</v>
      </c>
    </row>
    <row r="1796" spans="1:5" x14ac:dyDescent="0.25">
      <c r="A1796">
        <v>47</v>
      </c>
      <c r="B1796">
        <v>840</v>
      </c>
      <c r="C1796" s="3">
        <v>44689</v>
      </c>
      <c r="D1796" s="3">
        <v>44723</v>
      </c>
      <c r="E1796">
        <v>3</v>
      </c>
    </row>
    <row r="1797" spans="1:5" x14ac:dyDescent="0.25">
      <c r="A1797">
        <v>55</v>
      </c>
      <c r="B1797">
        <v>759</v>
      </c>
      <c r="C1797" s="3">
        <v>44689</v>
      </c>
      <c r="D1797" s="3">
        <v>44706</v>
      </c>
      <c r="E1797">
        <v>2</v>
      </c>
    </row>
    <row r="1798" spans="1:5" x14ac:dyDescent="0.25">
      <c r="A1798">
        <v>224</v>
      </c>
      <c r="B1798">
        <v>668</v>
      </c>
      <c r="C1798" s="3">
        <v>44689</v>
      </c>
      <c r="D1798" s="3">
        <v>44712</v>
      </c>
      <c r="E1798">
        <v>8</v>
      </c>
    </row>
    <row r="1799" spans="1:5" x14ac:dyDescent="0.25">
      <c r="A1799">
        <v>323</v>
      </c>
      <c r="B1799">
        <v>834</v>
      </c>
      <c r="C1799" s="3">
        <v>44689</v>
      </c>
      <c r="D1799" s="3">
        <v>44719</v>
      </c>
      <c r="E1799">
        <v>2</v>
      </c>
    </row>
    <row r="1800" spans="1:5" x14ac:dyDescent="0.25">
      <c r="A1800">
        <v>491</v>
      </c>
      <c r="B1800">
        <v>590</v>
      </c>
      <c r="C1800" s="3">
        <v>44689</v>
      </c>
      <c r="D1800" s="3">
        <v>44694</v>
      </c>
      <c r="E1800">
        <v>4</v>
      </c>
    </row>
    <row r="1801" spans="1:5" x14ac:dyDescent="0.25">
      <c r="A1801">
        <v>515</v>
      </c>
      <c r="B1801">
        <v>724</v>
      </c>
      <c r="C1801" s="3">
        <v>44689</v>
      </c>
      <c r="D1801" s="3">
        <v>44702</v>
      </c>
      <c r="E1801">
        <v>5</v>
      </c>
    </row>
    <row r="1802" spans="1:5" x14ac:dyDescent="0.25">
      <c r="A1802">
        <v>544</v>
      </c>
      <c r="B1802">
        <v>812</v>
      </c>
      <c r="C1802" s="3">
        <v>44689</v>
      </c>
      <c r="D1802" s="3">
        <v>44709</v>
      </c>
      <c r="E1802">
        <v>2</v>
      </c>
    </row>
    <row r="1803" spans="1:5" x14ac:dyDescent="0.25">
      <c r="A1803">
        <v>594</v>
      </c>
      <c r="B1803">
        <v>762</v>
      </c>
      <c r="C1803" s="3">
        <v>44689</v>
      </c>
      <c r="D1803" s="3">
        <v>44718</v>
      </c>
      <c r="E1803">
        <v>4</v>
      </c>
    </row>
    <row r="1804" spans="1:5" x14ac:dyDescent="0.25">
      <c r="A1804">
        <v>611</v>
      </c>
      <c r="B1804">
        <v>698</v>
      </c>
      <c r="C1804" s="3">
        <v>44689</v>
      </c>
      <c r="D1804" s="3">
        <v>44704</v>
      </c>
      <c r="E1804">
        <v>1</v>
      </c>
    </row>
    <row r="1805" spans="1:5" x14ac:dyDescent="0.25">
      <c r="A1805">
        <v>651</v>
      </c>
      <c r="B1805">
        <v>668</v>
      </c>
      <c r="C1805" s="3">
        <v>44689</v>
      </c>
      <c r="D1805" s="3">
        <v>44722</v>
      </c>
      <c r="E1805">
        <v>5</v>
      </c>
    </row>
    <row r="1806" spans="1:5" x14ac:dyDescent="0.25">
      <c r="A1806">
        <v>659</v>
      </c>
      <c r="B1806">
        <v>331</v>
      </c>
      <c r="C1806" s="3">
        <v>44689</v>
      </c>
      <c r="D1806" s="3">
        <v>44701</v>
      </c>
      <c r="E1806">
        <v>10</v>
      </c>
    </row>
    <row r="1807" spans="1:5" x14ac:dyDescent="0.25">
      <c r="A1807">
        <v>659</v>
      </c>
      <c r="B1807">
        <v>530</v>
      </c>
      <c r="C1807" s="3">
        <v>44689</v>
      </c>
      <c r="D1807" s="3">
        <v>44721</v>
      </c>
      <c r="E1807">
        <v>7</v>
      </c>
    </row>
    <row r="1808" spans="1:5" x14ac:dyDescent="0.25">
      <c r="A1808">
        <v>823</v>
      </c>
      <c r="B1808">
        <v>853</v>
      </c>
      <c r="C1808" s="3">
        <v>44689</v>
      </c>
      <c r="D1808" s="3">
        <v>44710</v>
      </c>
      <c r="E1808">
        <v>1</v>
      </c>
    </row>
    <row r="1809" spans="1:5" x14ac:dyDescent="0.25">
      <c r="A1809">
        <v>884</v>
      </c>
      <c r="B1809">
        <v>685</v>
      </c>
      <c r="C1809" s="3">
        <v>44689</v>
      </c>
      <c r="D1809" s="3">
        <v>44695</v>
      </c>
      <c r="E1809">
        <v>9</v>
      </c>
    </row>
    <row r="1810" spans="1:5" x14ac:dyDescent="0.25">
      <c r="A1810">
        <v>923</v>
      </c>
      <c r="B1810">
        <v>862</v>
      </c>
      <c r="C1810" s="3">
        <v>44689</v>
      </c>
      <c r="D1810" s="3">
        <v>44711</v>
      </c>
      <c r="E1810">
        <v>3</v>
      </c>
    </row>
    <row r="1811" spans="1:5" x14ac:dyDescent="0.25">
      <c r="A1811">
        <v>989</v>
      </c>
      <c r="B1811">
        <v>862</v>
      </c>
      <c r="C1811" s="3">
        <v>44689</v>
      </c>
      <c r="D1811" s="3">
        <v>44720</v>
      </c>
      <c r="E1811">
        <v>8</v>
      </c>
    </row>
    <row r="1812" spans="1:5" x14ac:dyDescent="0.25">
      <c r="A1812">
        <v>66</v>
      </c>
      <c r="B1812">
        <v>464</v>
      </c>
      <c r="C1812" s="3">
        <v>44690</v>
      </c>
      <c r="D1812" s="3">
        <v>44719</v>
      </c>
      <c r="E1812">
        <v>7</v>
      </c>
    </row>
    <row r="1813" spans="1:5" x14ac:dyDescent="0.25">
      <c r="A1813">
        <v>146</v>
      </c>
      <c r="B1813">
        <v>580</v>
      </c>
      <c r="C1813" s="3">
        <v>44690</v>
      </c>
      <c r="D1813" s="3">
        <v>44707</v>
      </c>
      <c r="E1813">
        <v>7</v>
      </c>
    </row>
    <row r="1814" spans="1:5" x14ac:dyDescent="0.25">
      <c r="A1814">
        <v>328</v>
      </c>
      <c r="B1814">
        <v>762</v>
      </c>
      <c r="C1814" s="3">
        <v>44690</v>
      </c>
      <c r="D1814" s="3">
        <v>44703</v>
      </c>
      <c r="E1814">
        <v>1</v>
      </c>
    </row>
    <row r="1815" spans="1:5" x14ac:dyDescent="0.25">
      <c r="A1815">
        <v>500</v>
      </c>
      <c r="B1815">
        <v>711</v>
      </c>
      <c r="C1815" s="3">
        <v>44690</v>
      </c>
      <c r="D1815" s="3">
        <v>44703</v>
      </c>
      <c r="E1815">
        <v>5</v>
      </c>
    </row>
    <row r="1816" spans="1:5" x14ac:dyDescent="0.25">
      <c r="A1816">
        <v>543</v>
      </c>
      <c r="B1816">
        <v>810</v>
      </c>
      <c r="C1816" s="3">
        <v>44690</v>
      </c>
      <c r="D1816" s="3">
        <v>44727</v>
      </c>
      <c r="E1816">
        <v>7</v>
      </c>
    </row>
    <row r="1817" spans="1:5" x14ac:dyDescent="0.25">
      <c r="A1817">
        <v>546</v>
      </c>
      <c r="B1817">
        <v>801</v>
      </c>
      <c r="C1817" s="3">
        <v>44690</v>
      </c>
      <c r="D1817" s="3">
        <v>44732</v>
      </c>
      <c r="E1817">
        <v>7</v>
      </c>
    </row>
    <row r="1818" spans="1:5" x14ac:dyDescent="0.25">
      <c r="A1818">
        <v>557</v>
      </c>
      <c r="B1818">
        <v>515</v>
      </c>
      <c r="C1818" s="3">
        <v>44690</v>
      </c>
      <c r="D1818" s="3">
        <v>44697</v>
      </c>
      <c r="E1818">
        <v>9</v>
      </c>
    </row>
    <row r="1819" spans="1:5" x14ac:dyDescent="0.25">
      <c r="A1819">
        <v>602</v>
      </c>
      <c r="B1819">
        <v>759</v>
      </c>
      <c r="C1819" s="3">
        <v>44690</v>
      </c>
      <c r="D1819" s="3">
        <v>44721</v>
      </c>
      <c r="E1819">
        <v>10</v>
      </c>
    </row>
    <row r="1820" spans="1:5" x14ac:dyDescent="0.25">
      <c r="A1820">
        <v>611</v>
      </c>
      <c r="B1820">
        <v>692</v>
      </c>
      <c r="C1820" s="3">
        <v>44690</v>
      </c>
      <c r="D1820" s="3">
        <v>44695</v>
      </c>
      <c r="E1820">
        <v>3</v>
      </c>
    </row>
    <row r="1821" spans="1:5" x14ac:dyDescent="0.25">
      <c r="A1821">
        <v>611</v>
      </c>
      <c r="B1821">
        <v>810</v>
      </c>
      <c r="C1821" s="3">
        <v>44690</v>
      </c>
      <c r="D1821" s="3">
        <v>44696</v>
      </c>
      <c r="E1821">
        <v>6</v>
      </c>
    </row>
    <row r="1822" spans="1:5" x14ac:dyDescent="0.25">
      <c r="A1822">
        <v>771</v>
      </c>
      <c r="B1822">
        <v>667</v>
      </c>
      <c r="C1822" s="3">
        <v>44690</v>
      </c>
      <c r="D1822" s="3">
        <v>44713</v>
      </c>
      <c r="E1822">
        <v>6</v>
      </c>
    </row>
    <row r="1823" spans="1:5" x14ac:dyDescent="0.25">
      <c r="A1823">
        <v>823</v>
      </c>
      <c r="B1823">
        <v>196</v>
      </c>
      <c r="C1823" s="3">
        <v>44690</v>
      </c>
      <c r="D1823" s="3">
        <v>44731</v>
      </c>
      <c r="E1823">
        <v>6</v>
      </c>
    </row>
    <row r="1824" spans="1:5" x14ac:dyDescent="0.25">
      <c r="A1824">
        <v>830</v>
      </c>
      <c r="B1824">
        <v>701</v>
      </c>
      <c r="C1824" s="3">
        <v>44690</v>
      </c>
      <c r="D1824" s="3">
        <v>44713</v>
      </c>
      <c r="E1824">
        <v>2</v>
      </c>
    </row>
    <row r="1825" spans="1:5" x14ac:dyDescent="0.25">
      <c r="A1825">
        <v>841</v>
      </c>
      <c r="B1825">
        <v>145</v>
      </c>
      <c r="C1825" s="3">
        <v>44690</v>
      </c>
      <c r="D1825" s="3">
        <v>44697</v>
      </c>
      <c r="E1825">
        <v>3</v>
      </c>
    </row>
    <row r="1826" spans="1:5" x14ac:dyDescent="0.25">
      <c r="A1826">
        <v>81</v>
      </c>
      <c r="B1826">
        <v>817</v>
      </c>
      <c r="C1826" s="3">
        <v>44691</v>
      </c>
      <c r="D1826" s="3">
        <v>44706</v>
      </c>
      <c r="E1826">
        <v>6</v>
      </c>
    </row>
    <row r="1827" spans="1:5" x14ac:dyDescent="0.25">
      <c r="A1827">
        <v>112</v>
      </c>
      <c r="B1827">
        <v>479</v>
      </c>
      <c r="C1827" s="3">
        <v>44691</v>
      </c>
      <c r="D1827" s="3">
        <v>44734</v>
      </c>
      <c r="E1827">
        <v>4</v>
      </c>
    </row>
    <row r="1828" spans="1:5" x14ac:dyDescent="0.25">
      <c r="A1828">
        <v>141</v>
      </c>
      <c r="B1828">
        <v>801</v>
      </c>
      <c r="C1828" s="3">
        <v>44691</v>
      </c>
      <c r="D1828" s="3">
        <v>44710</v>
      </c>
      <c r="E1828">
        <v>9</v>
      </c>
    </row>
    <row r="1829" spans="1:5" x14ac:dyDescent="0.25">
      <c r="A1829">
        <v>224</v>
      </c>
      <c r="B1829">
        <v>196</v>
      </c>
      <c r="C1829" s="3">
        <v>44691</v>
      </c>
      <c r="D1829" s="3">
        <v>44692</v>
      </c>
      <c r="E1829">
        <v>8</v>
      </c>
    </row>
    <row r="1830" spans="1:5" x14ac:dyDescent="0.25">
      <c r="A1830">
        <v>284</v>
      </c>
      <c r="B1830">
        <v>464</v>
      </c>
      <c r="C1830" s="3">
        <v>44691</v>
      </c>
      <c r="D1830" s="3">
        <v>44714</v>
      </c>
      <c r="E1830">
        <v>4</v>
      </c>
    </row>
    <row r="1831" spans="1:5" x14ac:dyDescent="0.25">
      <c r="A1831">
        <v>323</v>
      </c>
      <c r="B1831">
        <v>668</v>
      </c>
      <c r="C1831" s="3">
        <v>44691</v>
      </c>
      <c r="D1831" s="3">
        <v>44721</v>
      </c>
      <c r="E1831">
        <v>9</v>
      </c>
    </row>
    <row r="1832" spans="1:5" x14ac:dyDescent="0.25">
      <c r="A1832">
        <v>328</v>
      </c>
      <c r="B1832">
        <v>671</v>
      </c>
      <c r="C1832" s="3">
        <v>44691</v>
      </c>
      <c r="D1832" s="3">
        <v>44707</v>
      </c>
      <c r="E1832">
        <v>8</v>
      </c>
    </row>
    <row r="1833" spans="1:5" x14ac:dyDescent="0.25">
      <c r="A1833">
        <v>330</v>
      </c>
      <c r="B1833">
        <v>676</v>
      </c>
      <c r="C1833" s="3">
        <v>44691</v>
      </c>
      <c r="D1833" s="3">
        <v>44698</v>
      </c>
      <c r="E1833">
        <v>8</v>
      </c>
    </row>
    <row r="1834" spans="1:5" x14ac:dyDescent="0.25">
      <c r="A1834">
        <v>333</v>
      </c>
      <c r="B1834">
        <v>259</v>
      </c>
      <c r="C1834" s="3">
        <v>44691</v>
      </c>
      <c r="D1834" s="3">
        <v>44710</v>
      </c>
      <c r="E1834">
        <v>7</v>
      </c>
    </row>
    <row r="1835" spans="1:5" x14ac:dyDescent="0.25">
      <c r="A1835">
        <v>362</v>
      </c>
      <c r="B1835">
        <v>758</v>
      </c>
      <c r="C1835" s="3">
        <v>44691</v>
      </c>
      <c r="D1835" s="3">
        <v>44695</v>
      </c>
      <c r="E1835">
        <v>4</v>
      </c>
    </row>
    <row r="1836" spans="1:5" x14ac:dyDescent="0.25">
      <c r="A1836">
        <v>158</v>
      </c>
      <c r="B1836">
        <v>377</v>
      </c>
      <c r="C1836" s="3">
        <v>44692</v>
      </c>
      <c r="D1836" s="3">
        <v>44701</v>
      </c>
      <c r="E1836">
        <v>1</v>
      </c>
    </row>
    <row r="1837" spans="1:5" x14ac:dyDescent="0.25">
      <c r="A1837">
        <v>158</v>
      </c>
      <c r="B1837">
        <v>543</v>
      </c>
      <c r="C1837" s="3">
        <v>44692</v>
      </c>
      <c r="D1837" s="3">
        <v>44735</v>
      </c>
      <c r="E1837">
        <v>1</v>
      </c>
    </row>
    <row r="1838" spans="1:5" x14ac:dyDescent="0.25">
      <c r="A1838">
        <v>329</v>
      </c>
      <c r="B1838">
        <v>196</v>
      </c>
      <c r="C1838" s="3">
        <v>44692</v>
      </c>
      <c r="D1838" s="3">
        <v>44694</v>
      </c>
      <c r="E1838">
        <v>9</v>
      </c>
    </row>
    <row r="1839" spans="1:5" x14ac:dyDescent="0.25">
      <c r="A1839">
        <v>364</v>
      </c>
      <c r="B1839">
        <v>676</v>
      </c>
      <c r="C1839" s="3">
        <v>44692</v>
      </c>
      <c r="D1839" s="3">
        <v>44732</v>
      </c>
      <c r="E1839">
        <v>1</v>
      </c>
    </row>
    <row r="1840" spans="1:5" x14ac:dyDescent="0.25">
      <c r="A1840">
        <v>370</v>
      </c>
      <c r="B1840">
        <v>259</v>
      </c>
      <c r="C1840" s="3">
        <v>44692</v>
      </c>
      <c r="D1840" s="3">
        <v>44728</v>
      </c>
      <c r="E1840">
        <v>5</v>
      </c>
    </row>
    <row r="1841" spans="1:5" x14ac:dyDescent="0.25">
      <c r="A1841">
        <v>416</v>
      </c>
      <c r="B1841">
        <v>563</v>
      </c>
      <c r="C1841" s="3">
        <v>44692</v>
      </c>
      <c r="D1841" s="3">
        <v>44708</v>
      </c>
      <c r="E1841">
        <v>10</v>
      </c>
    </row>
    <row r="1842" spans="1:5" x14ac:dyDescent="0.25">
      <c r="A1842">
        <v>467</v>
      </c>
      <c r="B1842">
        <v>418</v>
      </c>
      <c r="C1842" s="3">
        <v>44692</v>
      </c>
      <c r="D1842" s="3">
        <v>44704</v>
      </c>
      <c r="E1842">
        <v>5</v>
      </c>
    </row>
    <row r="1843" spans="1:5" x14ac:dyDescent="0.25">
      <c r="A1843">
        <v>496</v>
      </c>
      <c r="B1843">
        <v>316</v>
      </c>
      <c r="C1843" s="3">
        <v>44692</v>
      </c>
      <c r="D1843" s="3">
        <v>44729</v>
      </c>
      <c r="E1843">
        <v>8</v>
      </c>
    </row>
    <row r="1844" spans="1:5" x14ac:dyDescent="0.25">
      <c r="A1844">
        <v>585</v>
      </c>
      <c r="B1844">
        <v>582</v>
      </c>
      <c r="C1844" s="3">
        <v>44692</v>
      </c>
      <c r="D1844" s="3">
        <v>44702</v>
      </c>
      <c r="E1844">
        <v>4</v>
      </c>
    </row>
    <row r="1845" spans="1:5" x14ac:dyDescent="0.25">
      <c r="A1845">
        <v>610</v>
      </c>
      <c r="B1845">
        <v>395</v>
      </c>
      <c r="C1845" s="3">
        <v>44692</v>
      </c>
      <c r="D1845" s="3">
        <v>44724</v>
      </c>
      <c r="E1845">
        <v>10</v>
      </c>
    </row>
    <row r="1846" spans="1:5" x14ac:dyDescent="0.25">
      <c r="A1846">
        <v>747</v>
      </c>
      <c r="B1846">
        <v>702</v>
      </c>
      <c r="C1846" s="3">
        <v>44692</v>
      </c>
      <c r="D1846" s="3">
        <v>44706</v>
      </c>
      <c r="E1846">
        <v>2</v>
      </c>
    </row>
    <row r="1847" spans="1:5" x14ac:dyDescent="0.25">
      <c r="A1847">
        <v>302</v>
      </c>
      <c r="B1847">
        <v>769</v>
      </c>
      <c r="C1847" s="3">
        <v>44693</v>
      </c>
      <c r="D1847" s="3">
        <v>44729</v>
      </c>
      <c r="E1847">
        <v>8</v>
      </c>
    </row>
    <row r="1848" spans="1:5" x14ac:dyDescent="0.25">
      <c r="A1848">
        <v>331</v>
      </c>
      <c r="B1848">
        <v>698</v>
      </c>
      <c r="C1848" s="3">
        <v>44693</v>
      </c>
      <c r="D1848" s="3">
        <v>44708</v>
      </c>
      <c r="E1848">
        <v>9</v>
      </c>
    </row>
    <row r="1849" spans="1:5" x14ac:dyDescent="0.25">
      <c r="A1849">
        <v>331</v>
      </c>
      <c r="B1849">
        <v>780</v>
      </c>
      <c r="C1849" s="3">
        <v>44693</v>
      </c>
      <c r="D1849" s="3">
        <v>44707</v>
      </c>
      <c r="E1849">
        <v>9</v>
      </c>
    </row>
    <row r="1850" spans="1:5" x14ac:dyDescent="0.25">
      <c r="A1850">
        <v>334</v>
      </c>
      <c r="B1850">
        <v>316</v>
      </c>
      <c r="C1850" s="3">
        <v>44693</v>
      </c>
      <c r="D1850" s="3">
        <v>44709</v>
      </c>
      <c r="E1850">
        <v>3</v>
      </c>
    </row>
    <row r="1851" spans="1:5" x14ac:dyDescent="0.25">
      <c r="A1851">
        <v>491</v>
      </c>
      <c r="B1851">
        <v>704</v>
      </c>
      <c r="C1851" s="3">
        <v>44693</v>
      </c>
      <c r="D1851" s="3">
        <v>44727</v>
      </c>
      <c r="E1851">
        <v>4</v>
      </c>
    </row>
    <row r="1852" spans="1:5" x14ac:dyDescent="0.25">
      <c r="A1852">
        <v>501</v>
      </c>
      <c r="B1852">
        <v>702</v>
      </c>
      <c r="C1852" s="3">
        <v>44693</v>
      </c>
      <c r="D1852" s="3">
        <v>44730</v>
      </c>
      <c r="E1852">
        <v>3</v>
      </c>
    </row>
    <row r="1853" spans="1:5" x14ac:dyDescent="0.25">
      <c r="A1853">
        <v>540</v>
      </c>
      <c r="B1853">
        <v>201</v>
      </c>
      <c r="C1853" s="3">
        <v>44693</v>
      </c>
      <c r="D1853" s="3">
        <v>44705</v>
      </c>
      <c r="E1853">
        <v>2</v>
      </c>
    </row>
    <row r="1854" spans="1:5" x14ac:dyDescent="0.25">
      <c r="A1854">
        <v>543</v>
      </c>
      <c r="B1854">
        <v>747</v>
      </c>
      <c r="C1854" s="3">
        <v>44693</v>
      </c>
      <c r="D1854" s="3">
        <v>44729</v>
      </c>
      <c r="E1854">
        <v>3</v>
      </c>
    </row>
    <row r="1855" spans="1:5" x14ac:dyDescent="0.25">
      <c r="A1855">
        <v>557</v>
      </c>
      <c r="B1855">
        <v>358</v>
      </c>
      <c r="C1855" s="3">
        <v>44693</v>
      </c>
      <c r="D1855" s="3">
        <v>44695</v>
      </c>
      <c r="E1855">
        <v>8</v>
      </c>
    </row>
    <row r="1856" spans="1:5" x14ac:dyDescent="0.25">
      <c r="A1856">
        <v>600</v>
      </c>
      <c r="B1856">
        <v>164</v>
      </c>
      <c r="C1856" s="3">
        <v>44693</v>
      </c>
      <c r="D1856" s="3">
        <v>44729</v>
      </c>
      <c r="E1856">
        <v>9</v>
      </c>
    </row>
    <row r="1857" spans="1:5" x14ac:dyDescent="0.25">
      <c r="A1857">
        <v>602</v>
      </c>
      <c r="B1857">
        <v>330</v>
      </c>
      <c r="C1857" s="3">
        <v>44693</v>
      </c>
      <c r="D1857" s="3">
        <v>44722</v>
      </c>
      <c r="E1857">
        <v>9</v>
      </c>
    </row>
    <row r="1858" spans="1:5" x14ac:dyDescent="0.25">
      <c r="A1858">
        <v>602</v>
      </c>
      <c r="B1858">
        <v>685</v>
      </c>
      <c r="C1858" s="3">
        <v>44693</v>
      </c>
      <c r="D1858" s="3">
        <v>44701</v>
      </c>
      <c r="E1858">
        <v>3</v>
      </c>
    </row>
    <row r="1859" spans="1:5" x14ac:dyDescent="0.25">
      <c r="A1859">
        <v>609</v>
      </c>
      <c r="B1859">
        <v>778</v>
      </c>
      <c r="C1859" s="3">
        <v>44693</v>
      </c>
      <c r="D1859" s="3">
        <v>44730</v>
      </c>
      <c r="E1859">
        <v>9</v>
      </c>
    </row>
    <row r="1860" spans="1:5" x14ac:dyDescent="0.25">
      <c r="A1860">
        <v>884</v>
      </c>
      <c r="B1860">
        <v>685</v>
      </c>
      <c r="C1860" s="3">
        <v>44693</v>
      </c>
      <c r="D1860" s="3">
        <v>44730</v>
      </c>
      <c r="E1860">
        <v>6</v>
      </c>
    </row>
    <row r="1861" spans="1:5" x14ac:dyDescent="0.25">
      <c r="A1861">
        <v>55</v>
      </c>
      <c r="B1861">
        <v>813</v>
      </c>
      <c r="C1861" s="3">
        <v>44694</v>
      </c>
      <c r="D1861" s="3">
        <v>44733</v>
      </c>
      <c r="E1861">
        <v>3</v>
      </c>
    </row>
    <row r="1862" spans="1:5" x14ac:dyDescent="0.25">
      <c r="A1862">
        <v>66</v>
      </c>
      <c r="B1862">
        <v>787</v>
      </c>
      <c r="C1862" s="3">
        <v>44694</v>
      </c>
      <c r="D1862" s="3">
        <v>44717</v>
      </c>
      <c r="E1862">
        <v>4</v>
      </c>
    </row>
    <row r="1863" spans="1:5" x14ac:dyDescent="0.25">
      <c r="A1863">
        <v>141</v>
      </c>
      <c r="B1863">
        <v>782</v>
      </c>
      <c r="C1863" s="3">
        <v>44694</v>
      </c>
      <c r="D1863" s="3">
        <v>44732</v>
      </c>
      <c r="E1863">
        <v>5</v>
      </c>
    </row>
    <row r="1864" spans="1:5" x14ac:dyDescent="0.25">
      <c r="A1864">
        <v>329</v>
      </c>
      <c r="B1864">
        <v>817</v>
      </c>
      <c r="C1864" s="3">
        <v>44694</v>
      </c>
      <c r="D1864" s="3">
        <v>44733</v>
      </c>
      <c r="E1864">
        <v>3</v>
      </c>
    </row>
    <row r="1865" spans="1:5" x14ac:dyDescent="0.25">
      <c r="A1865">
        <v>500</v>
      </c>
      <c r="B1865">
        <v>620</v>
      </c>
      <c r="C1865" s="3">
        <v>44694</v>
      </c>
      <c r="D1865" s="3">
        <v>44732</v>
      </c>
      <c r="E1865">
        <v>1</v>
      </c>
    </row>
    <row r="1866" spans="1:5" x14ac:dyDescent="0.25">
      <c r="A1866">
        <v>531</v>
      </c>
      <c r="B1866">
        <v>694</v>
      </c>
      <c r="C1866" s="3">
        <v>44694</v>
      </c>
      <c r="D1866" s="3">
        <v>44703</v>
      </c>
      <c r="E1866">
        <v>4</v>
      </c>
    </row>
    <row r="1867" spans="1:5" x14ac:dyDescent="0.25">
      <c r="A1867">
        <v>657</v>
      </c>
      <c r="B1867">
        <v>810</v>
      </c>
      <c r="C1867" s="3">
        <v>44694</v>
      </c>
      <c r="D1867" s="3">
        <v>44698</v>
      </c>
      <c r="E1867">
        <v>8</v>
      </c>
    </row>
    <row r="1868" spans="1:5" x14ac:dyDescent="0.25">
      <c r="A1868">
        <v>730</v>
      </c>
      <c r="B1868">
        <v>704</v>
      </c>
      <c r="C1868" s="3">
        <v>44694</v>
      </c>
      <c r="D1868" s="3">
        <v>44722</v>
      </c>
      <c r="E1868">
        <v>10</v>
      </c>
    </row>
    <row r="1869" spans="1:5" x14ac:dyDescent="0.25">
      <c r="A1869">
        <v>823</v>
      </c>
      <c r="B1869">
        <v>817</v>
      </c>
      <c r="C1869" s="3">
        <v>44694</v>
      </c>
      <c r="D1869" s="3">
        <v>44724</v>
      </c>
      <c r="E1869">
        <v>8</v>
      </c>
    </row>
    <row r="1870" spans="1:5" x14ac:dyDescent="0.25">
      <c r="A1870">
        <v>827</v>
      </c>
      <c r="B1870">
        <v>801</v>
      </c>
      <c r="C1870" s="3">
        <v>44694</v>
      </c>
      <c r="D1870" s="3">
        <v>44696</v>
      </c>
      <c r="E1870">
        <v>2</v>
      </c>
    </row>
    <row r="1871" spans="1:5" x14ac:dyDescent="0.25">
      <c r="A1871">
        <v>884</v>
      </c>
      <c r="B1871">
        <v>530</v>
      </c>
      <c r="C1871" s="3">
        <v>44694</v>
      </c>
      <c r="D1871" s="3">
        <v>44726</v>
      </c>
      <c r="E1871">
        <v>7</v>
      </c>
    </row>
    <row r="1872" spans="1:5" x14ac:dyDescent="0.25">
      <c r="A1872">
        <v>112</v>
      </c>
      <c r="B1872">
        <v>373</v>
      </c>
      <c r="C1872" s="3">
        <v>44695</v>
      </c>
      <c r="D1872" s="3">
        <v>44707</v>
      </c>
      <c r="E1872">
        <v>10</v>
      </c>
    </row>
    <row r="1873" spans="1:5" x14ac:dyDescent="0.25">
      <c r="A1873">
        <v>180</v>
      </c>
      <c r="B1873">
        <v>710</v>
      </c>
      <c r="C1873" s="3">
        <v>44695</v>
      </c>
      <c r="D1873" s="3">
        <v>44697</v>
      </c>
      <c r="E1873">
        <v>1</v>
      </c>
    </row>
    <row r="1874" spans="1:5" x14ac:dyDescent="0.25">
      <c r="A1874">
        <v>249</v>
      </c>
      <c r="B1874">
        <v>692</v>
      </c>
      <c r="C1874" s="3">
        <v>44695</v>
      </c>
      <c r="D1874" s="3">
        <v>44726</v>
      </c>
      <c r="E1874">
        <v>9</v>
      </c>
    </row>
    <row r="1875" spans="1:5" x14ac:dyDescent="0.25">
      <c r="A1875">
        <v>332</v>
      </c>
      <c r="B1875">
        <v>849</v>
      </c>
      <c r="C1875" s="3">
        <v>44695</v>
      </c>
      <c r="D1875" s="3">
        <v>44720</v>
      </c>
      <c r="E1875">
        <v>10</v>
      </c>
    </row>
    <row r="1876" spans="1:5" x14ac:dyDescent="0.25">
      <c r="A1876">
        <v>416</v>
      </c>
      <c r="B1876">
        <v>418</v>
      </c>
      <c r="C1876" s="3">
        <v>44695</v>
      </c>
      <c r="D1876" s="3">
        <v>44725</v>
      </c>
      <c r="E1876">
        <v>9</v>
      </c>
    </row>
    <row r="1877" spans="1:5" x14ac:dyDescent="0.25">
      <c r="A1877">
        <v>526</v>
      </c>
      <c r="B1877">
        <v>373</v>
      </c>
      <c r="C1877" s="3">
        <v>44695</v>
      </c>
      <c r="D1877" s="3">
        <v>44698</v>
      </c>
      <c r="E1877">
        <v>6</v>
      </c>
    </row>
    <row r="1878" spans="1:5" x14ac:dyDescent="0.25">
      <c r="A1878">
        <v>538</v>
      </c>
      <c r="B1878">
        <v>213</v>
      </c>
      <c r="C1878" s="3">
        <v>44695</v>
      </c>
      <c r="D1878" s="3">
        <v>44709</v>
      </c>
      <c r="E1878">
        <v>7</v>
      </c>
    </row>
    <row r="1879" spans="1:5" x14ac:dyDescent="0.25">
      <c r="A1879">
        <v>540</v>
      </c>
      <c r="B1879">
        <v>590</v>
      </c>
      <c r="C1879" s="3">
        <v>44695</v>
      </c>
      <c r="D1879" s="3">
        <v>44733</v>
      </c>
      <c r="E1879">
        <v>9</v>
      </c>
    </row>
    <row r="1880" spans="1:5" x14ac:dyDescent="0.25">
      <c r="A1880">
        <v>557</v>
      </c>
      <c r="B1880">
        <v>710</v>
      </c>
      <c r="C1880" s="3">
        <v>44695</v>
      </c>
      <c r="D1880" s="3">
        <v>44704</v>
      </c>
      <c r="E1880">
        <v>8</v>
      </c>
    </row>
    <row r="1881" spans="1:5" x14ac:dyDescent="0.25">
      <c r="A1881">
        <v>568</v>
      </c>
      <c r="B1881">
        <v>752</v>
      </c>
      <c r="C1881" s="3">
        <v>44695</v>
      </c>
      <c r="D1881" s="3">
        <v>44733</v>
      </c>
      <c r="E1881">
        <v>8</v>
      </c>
    </row>
    <row r="1882" spans="1:5" x14ac:dyDescent="0.25">
      <c r="A1882">
        <v>651</v>
      </c>
      <c r="B1882">
        <v>643</v>
      </c>
      <c r="C1882" s="3">
        <v>44695</v>
      </c>
      <c r="D1882" s="3">
        <v>44697</v>
      </c>
      <c r="E1882">
        <v>8</v>
      </c>
    </row>
    <row r="1883" spans="1:5" x14ac:dyDescent="0.25">
      <c r="A1883">
        <v>784</v>
      </c>
      <c r="B1883">
        <v>563</v>
      </c>
      <c r="C1883" s="3">
        <v>44695</v>
      </c>
      <c r="D1883" s="3">
        <v>44729</v>
      </c>
      <c r="E1883">
        <v>3</v>
      </c>
    </row>
    <row r="1884" spans="1:5" x14ac:dyDescent="0.25">
      <c r="A1884">
        <v>843</v>
      </c>
      <c r="B1884">
        <v>395</v>
      </c>
      <c r="C1884" s="3">
        <v>44695</v>
      </c>
      <c r="D1884" s="3">
        <v>44737</v>
      </c>
      <c r="E1884">
        <v>4</v>
      </c>
    </row>
    <row r="1885" spans="1:5" x14ac:dyDescent="0.25">
      <c r="A1885">
        <v>843</v>
      </c>
      <c r="B1885">
        <v>710</v>
      </c>
      <c r="C1885" s="3">
        <v>44695</v>
      </c>
      <c r="D1885" s="3">
        <v>44737</v>
      </c>
      <c r="E1885">
        <v>6</v>
      </c>
    </row>
    <row r="1886" spans="1:5" x14ac:dyDescent="0.25">
      <c r="A1886">
        <v>282</v>
      </c>
      <c r="B1886">
        <v>543</v>
      </c>
      <c r="C1886" s="3">
        <v>44696</v>
      </c>
      <c r="D1886" s="3">
        <v>44737</v>
      </c>
      <c r="E1886">
        <v>4</v>
      </c>
    </row>
    <row r="1887" spans="1:5" x14ac:dyDescent="0.25">
      <c r="A1887">
        <v>302</v>
      </c>
      <c r="B1887">
        <v>395</v>
      </c>
      <c r="C1887" s="3">
        <v>44696</v>
      </c>
      <c r="D1887" s="3">
        <v>44732</v>
      </c>
      <c r="E1887">
        <v>5</v>
      </c>
    </row>
    <row r="1888" spans="1:5" x14ac:dyDescent="0.25">
      <c r="A1888">
        <v>328</v>
      </c>
      <c r="B1888">
        <v>282</v>
      </c>
      <c r="C1888" s="3">
        <v>44696</v>
      </c>
      <c r="D1888" s="3">
        <v>44719</v>
      </c>
      <c r="E1888">
        <v>2</v>
      </c>
    </row>
    <row r="1889" spans="1:5" x14ac:dyDescent="0.25">
      <c r="A1889">
        <v>330</v>
      </c>
      <c r="B1889">
        <v>395</v>
      </c>
      <c r="C1889" s="3">
        <v>44696</v>
      </c>
      <c r="D1889" s="3">
        <v>44739</v>
      </c>
      <c r="E1889">
        <v>10</v>
      </c>
    </row>
    <row r="1890" spans="1:5" x14ac:dyDescent="0.25">
      <c r="A1890">
        <v>330</v>
      </c>
      <c r="B1890">
        <v>683</v>
      </c>
      <c r="C1890" s="3">
        <v>44696</v>
      </c>
      <c r="D1890" s="3">
        <v>44712</v>
      </c>
      <c r="E1890">
        <v>2</v>
      </c>
    </row>
    <row r="1891" spans="1:5" x14ac:dyDescent="0.25">
      <c r="A1891">
        <v>390</v>
      </c>
      <c r="B1891">
        <v>762</v>
      </c>
      <c r="C1891" s="3">
        <v>44696</v>
      </c>
      <c r="D1891" s="3">
        <v>44737</v>
      </c>
      <c r="E1891">
        <v>8</v>
      </c>
    </row>
    <row r="1892" spans="1:5" x14ac:dyDescent="0.25">
      <c r="A1892">
        <v>568</v>
      </c>
      <c r="B1892">
        <v>679</v>
      </c>
      <c r="C1892" s="3">
        <v>44696</v>
      </c>
      <c r="D1892" s="3">
        <v>44722</v>
      </c>
      <c r="E1892">
        <v>2</v>
      </c>
    </row>
    <row r="1893" spans="1:5" x14ac:dyDescent="0.25">
      <c r="A1893">
        <v>570</v>
      </c>
      <c r="B1893">
        <v>810</v>
      </c>
      <c r="C1893" s="3">
        <v>44696</v>
      </c>
      <c r="D1893" s="3">
        <v>44707</v>
      </c>
      <c r="E1893">
        <v>6</v>
      </c>
    </row>
    <row r="1894" spans="1:5" x14ac:dyDescent="0.25">
      <c r="A1894">
        <v>585</v>
      </c>
      <c r="B1894">
        <v>769</v>
      </c>
      <c r="C1894" s="3">
        <v>44696</v>
      </c>
      <c r="D1894" s="3">
        <v>44698</v>
      </c>
      <c r="E1894">
        <v>8</v>
      </c>
    </row>
    <row r="1895" spans="1:5" x14ac:dyDescent="0.25">
      <c r="A1895">
        <v>657</v>
      </c>
      <c r="B1895">
        <v>834</v>
      </c>
      <c r="C1895" s="3">
        <v>44696</v>
      </c>
      <c r="D1895" s="3">
        <v>44702</v>
      </c>
      <c r="E1895">
        <v>10</v>
      </c>
    </row>
    <row r="1896" spans="1:5" x14ac:dyDescent="0.25">
      <c r="A1896">
        <v>761</v>
      </c>
      <c r="B1896">
        <v>330</v>
      </c>
      <c r="C1896" s="3">
        <v>44696</v>
      </c>
      <c r="D1896" s="3">
        <v>44700</v>
      </c>
      <c r="E1896">
        <v>4</v>
      </c>
    </row>
    <row r="1897" spans="1:5" x14ac:dyDescent="0.25">
      <c r="A1897">
        <v>823</v>
      </c>
      <c r="B1897">
        <v>186</v>
      </c>
      <c r="C1897" s="3">
        <v>44696</v>
      </c>
      <c r="D1897" s="3">
        <v>44704</v>
      </c>
      <c r="E1897">
        <v>7</v>
      </c>
    </row>
    <row r="1898" spans="1:5" x14ac:dyDescent="0.25">
      <c r="A1898">
        <v>823</v>
      </c>
      <c r="B1898">
        <v>219</v>
      </c>
      <c r="C1898" s="3">
        <v>44696</v>
      </c>
      <c r="D1898" s="3">
        <v>44711</v>
      </c>
      <c r="E1898">
        <v>6</v>
      </c>
    </row>
    <row r="1899" spans="1:5" x14ac:dyDescent="0.25">
      <c r="A1899">
        <v>884</v>
      </c>
      <c r="B1899">
        <v>186</v>
      </c>
      <c r="C1899" s="3">
        <v>44696</v>
      </c>
      <c r="D1899" s="3">
        <v>44698</v>
      </c>
      <c r="E1899">
        <v>4</v>
      </c>
    </row>
    <row r="1900" spans="1:5" x14ac:dyDescent="0.25">
      <c r="A1900">
        <v>254</v>
      </c>
      <c r="B1900">
        <v>671</v>
      </c>
      <c r="C1900" s="3">
        <v>44697</v>
      </c>
      <c r="D1900" s="3">
        <v>44731</v>
      </c>
      <c r="E1900">
        <v>4</v>
      </c>
    </row>
    <row r="1901" spans="1:5" x14ac:dyDescent="0.25">
      <c r="A1901">
        <v>328</v>
      </c>
      <c r="B1901">
        <v>826</v>
      </c>
      <c r="C1901" s="3">
        <v>44697</v>
      </c>
      <c r="D1901" s="3">
        <v>44733</v>
      </c>
      <c r="E1901">
        <v>2</v>
      </c>
    </row>
    <row r="1902" spans="1:5" x14ac:dyDescent="0.25">
      <c r="A1902">
        <v>390</v>
      </c>
      <c r="B1902">
        <v>563</v>
      </c>
      <c r="C1902" s="3">
        <v>44697</v>
      </c>
      <c r="D1902" s="3">
        <v>44728</v>
      </c>
      <c r="E1902">
        <v>7</v>
      </c>
    </row>
    <row r="1903" spans="1:5" x14ac:dyDescent="0.25">
      <c r="A1903">
        <v>531</v>
      </c>
      <c r="B1903">
        <v>530</v>
      </c>
      <c r="C1903" s="3">
        <v>44697</v>
      </c>
      <c r="D1903" s="3">
        <v>44716</v>
      </c>
      <c r="E1903">
        <v>5</v>
      </c>
    </row>
    <row r="1904" spans="1:5" x14ac:dyDescent="0.25">
      <c r="A1904">
        <v>573</v>
      </c>
      <c r="B1904">
        <v>583</v>
      </c>
      <c r="C1904" s="3">
        <v>44697</v>
      </c>
      <c r="D1904" s="3">
        <v>44741</v>
      </c>
      <c r="E1904">
        <v>6</v>
      </c>
    </row>
    <row r="1905" spans="1:5" x14ac:dyDescent="0.25">
      <c r="A1905">
        <v>669</v>
      </c>
      <c r="B1905">
        <v>652</v>
      </c>
      <c r="C1905" s="3">
        <v>44697</v>
      </c>
      <c r="D1905" s="3">
        <v>44699</v>
      </c>
      <c r="E1905">
        <v>9</v>
      </c>
    </row>
    <row r="1906" spans="1:5" x14ac:dyDescent="0.25">
      <c r="A1906">
        <v>730</v>
      </c>
      <c r="B1906">
        <v>331</v>
      </c>
      <c r="C1906" s="3">
        <v>44697</v>
      </c>
      <c r="D1906" s="3">
        <v>44721</v>
      </c>
      <c r="E1906">
        <v>5</v>
      </c>
    </row>
    <row r="1907" spans="1:5" x14ac:dyDescent="0.25">
      <c r="A1907">
        <v>771</v>
      </c>
      <c r="B1907">
        <v>780</v>
      </c>
      <c r="C1907" s="3">
        <v>44697</v>
      </c>
      <c r="D1907" s="3">
        <v>44701</v>
      </c>
      <c r="E1907">
        <v>4</v>
      </c>
    </row>
    <row r="1908" spans="1:5" x14ac:dyDescent="0.25">
      <c r="A1908">
        <v>823</v>
      </c>
      <c r="B1908">
        <v>330</v>
      </c>
      <c r="C1908" s="3">
        <v>44697</v>
      </c>
      <c r="D1908" s="3">
        <v>44702</v>
      </c>
      <c r="E1908">
        <v>7</v>
      </c>
    </row>
    <row r="1909" spans="1:5" x14ac:dyDescent="0.25">
      <c r="A1909">
        <v>884</v>
      </c>
      <c r="B1909">
        <v>643</v>
      </c>
      <c r="C1909" s="3">
        <v>44697</v>
      </c>
      <c r="D1909" s="3">
        <v>44738</v>
      </c>
      <c r="E1909">
        <v>7</v>
      </c>
    </row>
    <row r="1910" spans="1:5" x14ac:dyDescent="0.25">
      <c r="A1910">
        <v>884</v>
      </c>
      <c r="B1910">
        <v>757</v>
      </c>
      <c r="C1910" s="3">
        <v>44697</v>
      </c>
      <c r="D1910" s="3">
        <v>44737</v>
      </c>
      <c r="E1910">
        <v>7</v>
      </c>
    </row>
    <row r="1911" spans="1:5" x14ac:dyDescent="0.25">
      <c r="A1911">
        <v>47</v>
      </c>
      <c r="B1911">
        <v>849</v>
      </c>
      <c r="C1911" s="3">
        <v>44698</v>
      </c>
      <c r="D1911" s="3">
        <v>44724</v>
      </c>
      <c r="E1911">
        <v>5</v>
      </c>
    </row>
    <row r="1912" spans="1:5" x14ac:dyDescent="0.25">
      <c r="A1912">
        <v>81</v>
      </c>
      <c r="B1912">
        <v>331</v>
      </c>
      <c r="C1912" s="3">
        <v>44698</v>
      </c>
      <c r="D1912" s="3">
        <v>44726</v>
      </c>
      <c r="E1912">
        <v>7</v>
      </c>
    </row>
    <row r="1913" spans="1:5" x14ac:dyDescent="0.25">
      <c r="A1913">
        <v>531</v>
      </c>
      <c r="B1913">
        <v>696</v>
      </c>
      <c r="C1913" s="3">
        <v>44698</v>
      </c>
      <c r="D1913" s="3">
        <v>44724</v>
      </c>
      <c r="E1913">
        <v>5</v>
      </c>
    </row>
    <row r="1914" spans="1:5" x14ac:dyDescent="0.25">
      <c r="A1914">
        <v>540</v>
      </c>
      <c r="B1914">
        <v>867</v>
      </c>
      <c r="C1914" s="3">
        <v>44698</v>
      </c>
      <c r="D1914" s="3">
        <v>44700</v>
      </c>
      <c r="E1914">
        <v>1</v>
      </c>
    </row>
    <row r="1915" spans="1:5" x14ac:dyDescent="0.25">
      <c r="A1915">
        <v>594</v>
      </c>
      <c r="B1915">
        <v>186</v>
      </c>
      <c r="C1915" s="3">
        <v>44698</v>
      </c>
      <c r="D1915" s="3">
        <v>44727</v>
      </c>
      <c r="E1915">
        <v>10</v>
      </c>
    </row>
    <row r="1916" spans="1:5" x14ac:dyDescent="0.25">
      <c r="A1916">
        <v>750</v>
      </c>
      <c r="B1916">
        <v>239</v>
      </c>
      <c r="C1916" s="3">
        <v>44698</v>
      </c>
      <c r="D1916" s="3">
        <v>44703</v>
      </c>
      <c r="E1916">
        <v>5</v>
      </c>
    </row>
    <row r="1917" spans="1:5" x14ac:dyDescent="0.25">
      <c r="A1917">
        <v>750</v>
      </c>
      <c r="B1917">
        <v>805</v>
      </c>
      <c r="C1917" s="3">
        <v>44698</v>
      </c>
      <c r="D1917" s="3">
        <v>44712</v>
      </c>
      <c r="E1917">
        <v>1</v>
      </c>
    </row>
    <row r="1918" spans="1:5" x14ac:dyDescent="0.25">
      <c r="A1918">
        <v>758</v>
      </c>
      <c r="B1918">
        <v>862</v>
      </c>
      <c r="C1918" s="3">
        <v>44698</v>
      </c>
      <c r="D1918" s="3">
        <v>44727</v>
      </c>
      <c r="E1918">
        <v>3</v>
      </c>
    </row>
    <row r="1919" spans="1:5" x14ac:dyDescent="0.25">
      <c r="A1919">
        <v>771</v>
      </c>
      <c r="B1919">
        <v>543</v>
      </c>
      <c r="C1919" s="3">
        <v>44698</v>
      </c>
      <c r="D1919" s="3">
        <v>44703</v>
      </c>
      <c r="E1919">
        <v>5</v>
      </c>
    </row>
    <row r="1920" spans="1:5" x14ac:dyDescent="0.25">
      <c r="A1920">
        <v>802</v>
      </c>
      <c r="B1920">
        <v>282</v>
      </c>
      <c r="C1920" s="3">
        <v>44698</v>
      </c>
      <c r="D1920" s="3">
        <v>44734</v>
      </c>
      <c r="E1920">
        <v>5</v>
      </c>
    </row>
    <row r="1921" spans="1:5" x14ac:dyDescent="0.25">
      <c r="A1921">
        <v>849</v>
      </c>
      <c r="B1921">
        <v>704</v>
      </c>
      <c r="C1921" s="3">
        <v>44698</v>
      </c>
      <c r="D1921" s="3">
        <v>44733</v>
      </c>
      <c r="E1921">
        <v>6</v>
      </c>
    </row>
    <row r="1922" spans="1:5" x14ac:dyDescent="0.25">
      <c r="A1922">
        <v>146</v>
      </c>
      <c r="B1922">
        <v>778</v>
      </c>
      <c r="C1922" s="3">
        <v>44699</v>
      </c>
      <c r="D1922" s="3">
        <v>44714</v>
      </c>
      <c r="E1922">
        <v>4</v>
      </c>
    </row>
    <row r="1923" spans="1:5" x14ac:dyDescent="0.25">
      <c r="A1923">
        <v>200</v>
      </c>
      <c r="B1923">
        <v>787</v>
      </c>
      <c r="C1923" s="3">
        <v>44699</v>
      </c>
      <c r="D1923" s="3">
        <v>44717</v>
      </c>
      <c r="E1923">
        <v>9</v>
      </c>
    </row>
    <row r="1924" spans="1:5" x14ac:dyDescent="0.25">
      <c r="A1924">
        <v>200</v>
      </c>
      <c r="B1924">
        <v>801</v>
      </c>
      <c r="C1924" s="3">
        <v>44699</v>
      </c>
      <c r="D1924" s="3">
        <v>44731</v>
      </c>
      <c r="E1924">
        <v>8</v>
      </c>
    </row>
    <row r="1925" spans="1:5" x14ac:dyDescent="0.25">
      <c r="A1925">
        <v>224</v>
      </c>
      <c r="B1925">
        <v>145</v>
      </c>
      <c r="C1925" s="3">
        <v>44699</v>
      </c>
      <c r="D1925" s="3">
        <v>44729</v>
      </c>
      <c r="E1925">
        <v>1</v>
      </c>
    </row>
    <row r="1926" spans="1:5" x14ac:dyDescent="0.25">
      <c r="A1926">
        <v>224</v>
      </c>
      <c r="B1926">
        <v>239</v>
      </c>
      <c r="C1926" s="3">
        <v>44699</v>
      </c>
      <c r="D1926" s="3">
        <v>44712</v>
      </c>
      <c r="E1926">
        <v>7</v>
      </c>
    </row>
    <row r="1927" spans="1:5" x14ac:dyDescent="0.25">
      <c r="A1927">
        <v>302</v>
      </c>
      <c r="B1927">
        <v>692</v>
      </c>
      <c r="C1927" s="3">
        <v>44699</v>
      </c>
      <c r="D1927" s="3">
        <v>44727</v>
      </c>
      <c r="E1927">
        <v>9</v>
      </c>
    </row>
    <row r="1928" spans="1:5" x14ac:dyDescent="0.25">
      <c r="A1928">
        <v>323</v>
      </c>
      <c r="B1928">
        <v>594</v>
      </c>
      <c r="C1928" s="3">
        <v>44699</v>
      </c>
      <c r="D1928" s="3">
        <v>44729</v>
      </c>
      <c r="E1928">
        <v>3</v>
      </c>
    </row>
    <row r="1929" spans="1:5" x14ac:dyDescent="0.25">
      <c r="A1929">
        <v>360</v>
      </c>
      <c r="B1929">
        <v>685</v>
      </c>
      <c r="C1929" s="3">
        <v>44699</v>
      </c>
      <c r="D1929" s="3">
        <v>44740</v>
      </c>
      <c r="E1929">
        <v>2</v>
      </c>
    </row>
    <row r="1930" spans="1:5" x14ac:dyDescent="0.25">
      <c r="A1930">
        <v>491</v>
      </c>
      <c r="B1930">
        <v>530</v>
      </c>
      <c r="C1930" s="3">
        <v>44699</v>
      </c>
      <c r="D1930" s="3">
        <v>44718</v>
      </c>
      <c r="E1930">
        <v>5</v>
      </c>
    </row>
    <row r="1931" spans="1:5" x14ac:dyDescent="0.25">
      <c r="A1931">
        <v>561</v>
      </c>
      <c r="B1931">
        <v>752</v>
      </c>
      <c r="C1931" s="3">
        <v>44699</v>
      </c>
      <c r="D1931" s="3">
        <v>44721</v>
      </c>
      <c r="E1931">
        <v>1</v>
      </c>
    </row>
    <row r="1932" spans="1:5" x14ac:dyDescent="0.25">
      <c r="A1932">
        <v>567</v>
      </c>
      <c r="B1932">
        <v>583</v>
      </c>
      <c r="C1932" s="3">
        <v>44699</v>
      </c>
      <c r="D1932" s="3">
        <v>44718</v>
      </c>
      <c r="E1932">
        <v>1</v>
      </c>
    </row>
    <row r="1933" spans="1:5" x14ac:dyDescent="0.25">
      <c r="A1933">
        <v>643</v>
      </c>
      <c r="B1933">
        <v>201</v>
      </c>
      <c r="C1933" s="3">
        <v>44699</v>
      </c>
      <c r="D1933" s="3">
        <v>44740</v>
      </c>
      <c r="E1933">
        <v>7</v>
      </c>
    </row>
    <row r="1934" spans="1:5" x14ac:dyDescent="0.25">
      <c r="A1934">
        <v>750</v>
      </c>
      <c r="B1934">
        <v>164</v>
      </c>
      <c r="C1934" s="3">
        <v>44699</v>
      </c>
      <c r="D1934" s="3">
        <v>44737</v>
      </c>
      <c r="E1934">
        <v>10</v>
      </c>
    </row>
    <row r="1935" spans="1:5" x14ac:dyDescent="0.25">
      <c r="A1935">
        <v>761</v>
      </c>
      <c r="B1935">
        <v>702</v>
      </c>
      <c r="C1935" s="3">
        <v>44699</v>
      </c>
      <c r="D1935" s="3">
        <v>44707</v>
      </c>
      <c r="E1935">
        <v>9</v>
      </c>
    </row>
    <row r="1936" spans="1:5" x14ac:dyDescent="0.25">
      <c r="A1936">
        <v>849</v>
      </c>
      <c r="B1936">
        <v>418</v>
      </c>
      <c r="C1936" s="3">
        <v>44699</v>
      </c>
      <c r="D1936" s="3">
        <v>44718</v>
      </c>
      <c r="E1936">
        <v>7</v>
      </c>
    </row>
    <row r="1937" spans="1:5" x14ac:dyDescent="0.25">
      <c r="A1937">
        <v>224</v>
      </c>
      <c r="B1937">
        <v>681</v>
      </c>
      <c r="C1937" s="3">
        <v>44700</v>
      </c>
      <c r="D1937" s="3">
        <v>44707</v>
      </c>
      <c r="E1937">
        <v>2</v>
      </c>
    </row>
    <row r="1938" spans="1:5" x14ac:dyDescent="0.25">
      <c r="A1938">
        <v>302</v>
      </c>
      <c r="B1938">
        <v>177</v>
      </c>
      <c r="C1938" s="3">
        <v>44700</v>
      </c>
      <c r="D1938" s="3">
        <v>44710</v>
      </c>
      <c r="E1938">
        <v>5</v>
      </c>
    </row>
    <row r="1939" spans="1:5" x14ac:dyDescent="0.25">
      <c r="A1939">
        <v>302</v>
      </c>
      <c r="B1939">
        <v>330</v>
      </c>
      <c r="C1939" s="3">
        <v>44700</v>
      </c>
      <c r="D1939" s="3">
        <v>44740</v>
      </c>
      <c r="E1939">
        <v>2</v>
      </c>
    </row>
    <row r="1940" spans="1:5" x14ac:dyDescent="0.25">
      <c r="A1940">
        <v>330</v>
      </c>
      <c r="B1940">
        <v>219</v>
      </c>
      <c r="C1940" s="3">
        <v>44700</v>
      </c>
      <c r="D1940" s="3">
        <v>44721</v>
      </c>
      <c r="E1940">
        <v>3</v>
      </c>
    </row>
    <row r="1941" spans="1:5" x14ac:dyDescent="0.25">
      <c r="A1941">
        <v>331</v>
      </c>
      <c r="B1941">
        <v>515</v>
      </c>
      <c r="C1941" s="3">
        <v>44700</v>
      </c>
      <c r="D1941" s="3">
        <v>44730</v>
      </c>
      <c r="E1941">
        <v>4</v>
      </c>
    </row>
    <row r="1942" spans="1:5" x14ac:dyDescent="0.25">
      <c r="A1942">
        <v>333</v>
      </c>
      <c r="B1942">
        <v>853</v>
      </c>
      <c r="C1942" s="3">
        <v>44700</v>
      </c>
      <c r="D1942" s="3">
        <v>44710</v>
      </c>
      <c r="E1942">
        <v>5</v>
      </c>
    </row>
    <row r="1943" spans="1:5" x14ac:dyDescent="0.25">
      <c r="A1943">
        <v>515</v>
      </c>
      <c r="B1943">
        <v>643</v>
      </c>
      <c r="C1943" s="3">
        <v>44700</v>
      </c>
      <c r="D1943" s="3">
        <v>44735</v>
      </c>
      <c r="E1943">
        <v>1</v>
      </c>
    </row>
    <row r="1944" spans="1:5" x14ac:dyDescent="0.25">
      <c r="A1944">
        <v>515</v>
      </c>
      <c r="B1944">
        <v>840</v>
      </c>
      <c r="C1944" s="3">
        <v>44700</v>
      </c>
      <c r="D1944" s="3">
        <v>44737</v>
      </c>
      <c r="E1944">
        <v>10</v>
      </c>
    </row>
    <row r="1945" spans="1:5" x14ac:dyDescent="0.25">
      <c r="A1945">
        <v>546</v>
      </c>
      <c r="B1945">
        <v>580</v>
      </c>
      <c r="C1945" s="3">
        <v>44700</v>
      </c>
      <c r="D1945" s="3">
        <v>44731</v>
      </c>
      <c r="E1945">
        <v>8</v>
      </c>
    </row>
    <row r="1946" spans="1:5" x14ac:dyDescent="0.25">
      <c r="A1946">
        <v>568</v>
      </c>
      <c r="B1946">
        <v>745</v>
      </c>
      <c r="C1946" s="3">
        <v>44700</v>
      </c>
      <c r="D1946" s="3">
        <v>44706</v>
      </c>
      <c r="E1946">
        <v>2</v>
      </c>
    </row>
    <row r="1947" spans="1:5" x14ac:dyDescent="0.25">
      <c r="A1947">
        <v>570</v>
      </c>
      <c r="B1947">
        <v>331</v>
      </c>
      <c r="C1947" s="3">
        <v>44700</v>
      </c>
      <c r="D1947" s="3">
        <v>44742</v>
      </c>
      <c r="E1947">
        <v>5</v>
      </c>
    </row>
    <row r="1948" spans="1:5" x14ac:dyDescent="0.25">
      <c r="A1948">
        <v>570</v>
      </c>
      <c r="B1948">
        <v>395</v>
      </c>
      <c r="C1948" s="3">
        <v>44700</v>
      </c>
      <c r="D1948" s="3">
        <v>44715</v>
      </c>
      <c r="E1948">
        <v>7</v>
      </c>
    </row>
    <row r="1949" spans="1:5" x14ac:dyDescent="0.25">
      <c r="A1949">
        <v>573</v>
      </c>
      <c r="B1949">
        <v>590</v>
      </c>
      <c r="C1949" s="3">
        <v>44700</v>
      </c>
      <c r="D1949" s="3">
        <v>44727</v>
      </c>
      <c r="E1949">
        <v>1</v>
      </c>
    </row>
    <row r="1950" spans="1:5" x14ac:dyDescent="0.25">
      <c r="A1950">
        <v>573</v>
      </c>
      <c r="B1950">
        <v>685</v>
      </c>
      <c r="C1950" s="3">
        <v>44700</v>
      </c>
      <c r="D1950" s="3">
        <v>44725</v>
      </c>
      <c r="E1950">
        <v>1</v>
      </c>
    </row>
    <row r="1951" spans="1:5" x14ac:dyDescent="0.25">
      <c r="A1951">
        <v>600</v>
      </c>
      <c r="B1951">
        <v>694</v>
      </c>
      <c r="C1951" s="3">
        <v>44700</v>
      </c>
      <c r="D1951" s="3">
        <v>44726</v>
      </c>
      <c r="E1951">
        <v>4</v>
      </c>
    </row>
    <row r="1952" spans="1:5" x14ac:dyDescent="0.25">
      <c r="A1952">
        <v>602</v>
      </c>
      <c r="B1952">
        <v>694</v>
      </c>
      <c r="C1952" s="3">
        <v>44700</v>
      </c>
      <c r="D1952" s="3">
        <v>44730</v>
      </c>
      <c r="E1952">
        <v>3</v>
      </c>
    </row>
    <row r="1953" spans="1:5" x14ac:dyDescent="0.25">
      <c r="A1953">
        <v>669</v>
      </c>
      <c r="B1953">
        <v>834</v>
      </c>
      <c r="C1953" s="3">
        <v>44700</v>
      </c>
      <c r="D1953" s="3">
        <v>44740</v>
      </c>
      <c r="E1953">
        <v>8</v>
      </c>
    </row>
    <row r="1954" spans="1:5" x14ac:dyDescent="0.25">
      <c r="A1954">
        <v>849</v>
      </c>
      <c r="B1954">
        <v>145</v>
      </c>
      <c r="C1954" s="3">
        <v>44700</v>
      </c>
      <c r="D1954" s="3">
        <v>44713</v>
      </c>
      <c r="E1954">
        <v>6</v>
      </c>
    </row>
    <row r="1955" spans="1:5" x14ac:dyDescent="0.25">
      <c r="A1955">
        <v>22</v>
      </c>
      <c r="B1955">
        <v>762</v>
      </c>
      <c r="C1955" s="3">
        <v>44701</v>
      </c>
      <c r="D1955" s="3">
        <v>44717</v>
      </c>
      <c r="E1955">
        <v>9</v>
      </c>
    </row>
    <row r="1956" spans="1:5" x14ac:dyDescent="0.25">
      <c r="A1956">
        <v>141</v>
      </c>
      <c r="B1956">
        <v>563</v>
      </c>
      <c r="C1956" s="3">
        <v>44701</v>
      </c>
      <c r="D1956" s="3">
        <v>44740</v>
      </c>
      <c r="E1956">
        <v>7</v>
      </c>
    </row>
    <row r="1957" spans="1:5" x14ac:dyDescent="0.25">
      <c r="A1957">
        <v>141</v>
      </c>
      <c r="B1957">
        <v>757</v>
      </c>
      <c r="C1957" s="3">
        <v>44701</v>
      </c>
      <c r="D1957" s="3">
        <v>44703</v>
      </c>
      <c r="E1957">
        <v>2</v>
      </c>
    </row>
    <row r="1958" spans="1:5" x14ac:dyDescent="0.25">
      <c r="A1958">
        <v>232</v>
      </c>
      <c r="B1958">
        <v>709</v>
      </c>
      <c r="C1958" s="3">
        <v>44701</v>
      </c>
      <c r="D1958" s="3">
        <v>44719</v>
      </c>
      <c r="E1958">
        <v>7</v>
      </c>
    </row>
    <row r="1959" spans="1:5" x14ac:dyDescent="0.25">
      <c r="A1959">
        <v>585</v>
      </c>
      <c r="B1959">
        <v>758</v>
      </c>
      <c r="C1959" s="3">
        <v>44701</v>
      </c>
      <c r="D1959" s="3">
        <v>44743</v>
      </c>
      <c r="E1959">
        <v>5</v>
      </c>
    </row>
    <row r="1960" spans="1:5" x14ac:dyDescent="0.25">
      <c r="A1960">
        <v>600</v>
      </c>
      <c r="B1960">
        <v>817</v>
      </c>
      <c r="C1960" s="3">
        <v>44701</v>
      </c>
      <c r="D1960" s="3">
        <v>44741</v>
      </c>
      <c r="E1960">
        <v>9</v>
      </c>
    </row>
    <row r="1961" spans="1:5" x14ac:dyDescent="0.25">
      <c r="A1961">
        <v>602</v>
      </c>
      <c r="B1961">
        <v>331</v>
      </c>
      <c r="C1961" s="3">
        <v>44701</v>
      </c>
      <c r="D1961" s="3">
        <v>44728</v>
      </c>
      <c r="E1961">
        <v>10</v>
      </c>
    </row>
    <row r="1962" spans="1:5" x14ac:dyDescent="0.25">
      <c r="A1962">
        <v>643</v>
      </c>
      <c r="B1962">
        <v>583</v>
      </c>
      <c r="C1962" s="3">
        <v>44701</v>
      </c>
      <c r="D1962" s="3">
        <v>44720</v>
      </c>
      <c r="E1962">
        <v>3</v>
      </c>
    </row>
    <row r="1963" spans="1:5" x14ac:dyDescent="0.25">
      <c r="A1963">
        <v>961</v>
      </c>
      <c r="B1963">
        <v>239</v>
      </c>
      <c r="C1963" s="3">
        <v>44701</v>
      </c>
      <c r="D1963" s="3">
        <v>44703</v>
      </c>
      <c r="E1963">
        <v>5</v>
      </c>
    </row>
    <row r="1964" spans="1:5" x14ac:dyDescent="0.25">
      <c r="A1964">
        <v>961</v>
      </c>
      <c r="B1964">
        <v>757</v>
      </c>
      <c r="C1964" s="3">
        <v>44701</v>
      </c>
      <c r="D1964" s="3">
        <v>44725</v>
      </c>
      <c r="E1964">
        <v>9</v>
      </c>
    </row>
    <row r="1965" spans="1:5" x14ac:dyDescent="0.25">
      <c r="A1965">
        <v>22</v>
      </c>
      <c r="B1965">
        <v>341</v>
      </c>
      <c r="C1965" s="3">
        <v>44702</v>
      </c>
      <c r="D1965" s="3">
        <v>44728</v>
      </c>
      <c r="E1965">
        <v>5</v>
      </c>
    </row>
    <row r="1966" spans="1:5" x14ac:dyDescent="0.25">
      <c r="A1966">
        <v>47</v>
      </c>
      <c r="B1966">
        <v>698</v>
      </c>
      <c r="C1966" s="3">
        <v>44702</v>
      </c>
      <c r="D1966" s="3">
        <v>44716</v>
      </c>
      <c r="E1966">
        <v>8</v>
      </c>
    </row>
    <row r="1967" spans="1:5" x14ac:dyDescent="0.25">
      <c r="A1967">
        <v>55</v>
      </c>
      <c r="B1967">
        <v>377</v>
      </c>
      <c r="C1967" s="3">
        <v>44702</v>
      </c>
      <c r="D1967" s="3">
        <v>44740</v>
      </c>
      <c r="E1967">
        <v>6</v>
      </c>
    </row>
    <row r="1968" spans="1:5" x14ac:dyDescent="0.25">
      <c r="A1968">
        <v>285</v>
      </c>
      <c r="B1968">
        <v>330</v>
      </c>
      <c r="C1968" s="3">
        <v>44702</v>
      </c>
      <c r="D1968" s="3">
        <v>44735</v>
      </c>
      <c r="E1968">
        <v>7</v>
      </c>
    </row>
    <row r="1969" spans="1:5" x14ac:dyDescent="0.25">
      <c r="A1969">
        <v>285</v>
      </c>
      <c r="B1969">
        <v>778</v>
      </c>
      <c r="C1969" s="3">
        <v>44702</v>
      </c>
      <c r="D1969" s="3">
        <v>44712</v>
      </c>
      <c r="E1969">
        <v>5</v>
      </c>
    </row>
    <row r="1970" spans="1:5" x14ac:dyDescent="0.25">
      <c r="A1970">
        <v>362</v>
      </c>
      <c r="B1970">
        <v>543</v>
      </c>
      <c r="C1970" s="3">
        <v>44702</v>
      </c>
      <c r="D1970" s="3">
        <v>44710</v>
      </c>
      <c r="E1970">
        <v>2</v>
      </c>
    </row>
    <row r="1971" spans="1:5" x14ac:dyDescent="0.25">
      <c r="A1971">
        <v>448</v>
      </c>
      <c r="B1971">
        <v>515</v>
      </c>
      <c r="C1971" s="3">
        <v>44702</v>
      </c>
      <c r="D1971" s="3">
        <v>44717</v>
      </c>
      <c r="E1971">
        <v>1</v>
      </c>
    </row>
    <row r="1972" spans="1:5" x14ac:dyDescent="0.25">
      <c r="A1972">
        <v>467</v>
      </c>
      <c r="B1972">
        <v>398</v>
      </c>
      <c r="C1972" s="3">
        <v>44702</v>
      </c>
      <c r="D1972" s="3">
        <v>44720</v>
      </c>
      <c r="E1972">
        <v>5</v>
      </c>
    </row>
    <row r="1973" spans="1:5" x14ac:dyDescent="0.25">
      <c r="A1973">
        <v>467</v>
      </c>
      <c r="B1973">
        <v>810</v>
      </c>
      <c r="C1973" s="3">
        <v>44702</v>
      </c>
      <c r="D1973" s="3">
        <v>44741</v>
      </c>
      <c r="E1973">
        <v>6</v>
      </c>
    </row>
    <row r="1974" spans="1:5" x14ac:dyDescent="0.25">
      <c r="A1974">
        <v>468</v>
      </c>
      <c r="B1974">
        <v>696</v>
      </c>
      <c r="C1974" s="3">
        <v>44702</v>
      </c>
      <c r="D1974" s="3">
        <v>44738</v>
      </c>
      <c r="E1974">
        <v>1</v>
      </c>
    </row>
    <row r="1975" spans="1:5" x14ac:dyDescent="0.25">
      <c r="A1975">
        <v>538</v>
      </c>
      <c r="B1975">
        <v>853</v>
      </c>
      <c r="C1975" s="3">
        <v>44702</v>
      </c>
      <c r="D1975" s="3">
        <v>44706</v>
      </c>
      <c r="E1975">
        <v>8</v>
      </c>
    </row>
    <row r="1976" spans="1:5" x14ac:dyDescent="0.25">
      <c r="A1976">
        <v>561</v>
      </c>
      <c r="B1976">
        <v>698</v>
      </c>
      <c r="C1976" s="3">
        <v>44702</v>
      </c>
      <c r="D1976" s="3">
        <v>44733</v>
      </c>
      <c r="E1976">
        <v>6</v>
      </c>
    </row>
    <row r="1977" spans="1:5" x14ac:dyDescent="0.25">
      <c r="A1977">
        <v>573</v>
      </c>
      <c r="B1977">
        <v>852</v>
      </c>
      <c r="C1977" s="3">
        <v>44702</v>
      </c>
      <c r="D1977" s="3">
        <v>44722</v>
      </c>
      <c r="E1977">
        <v>2</v>
      </c>
    </row>
    <row r="1978" spans="1:5" x14ac:dyDescent="0.25">
      <c r="A1978">
        <v>657</v>
      </c>
      <c r="B1978">
        <v>852</v>
      </c>
      <c r="C1978" s="3">
        <v>44702</v>
      </c>
      <c r="D1978" s="3">
        <v>44738</v>
      </c>
      <c r="E1978">
        <v>5</v>
      </c>
    </row>
    <row r="1979" spans="1:5" x14ac:dyDescent="0.25">
      <c r="A1979">
        <v>830</v>
      </c>
      <c r="B1979">
        <v>840</v>
      </c>
      <c r="C1979" s="3">
        <v>44702</v>
      </c>
      <c r="D1979" s="3">
        <v>44735</v>
      </c>
      <c r="E1979">
        <v>1</v>
      </c>
    </row>
    <row r="1980" spans="1:5" x14ac:dyDescent="0.25">
      <c r="A1980">
        <v>841</v>
      </c>
      <c r="B1980">
        <v>792</v>
      </c>
      <c r="C1980" s="3">
        <v>44702</v>
      </c>
      <c r="D1980" s="3">
        <v>44711</v>
      </c>
      <c r="E1980">
        <v>3</v>
      </c>
    </row>
    <row r="1981" spans="1:5" x14ac:dyDescent="0.25">
      <c r="A1981">
        <v>22</v>
      </c>
      <c r="B1981">
        <v>834</v>
      </c>
      <c r="C1981" s="3">
        <v>44703</v>
      </c>
      <c r="D1981" s="3">
        <v>44735</v>
      </c>
      <c r="E1981">
        <v>6</v>
      </c>
    </row>
    <row r="1982" spans="1:5" x14ac:dyDescent="0.25">
      <c r="A1982">
        <v>46</v>
      </c>
      <c r="B1982">
        <v>643</v>
      </c>
      <c r="C1982" s="3">
        <v>44703</v>
      </c>
      <c r="D1982" s="3">
        <v>44744</v>
      </c>
      <c r="E1982">
        <v>10</v>
      </c>
    </row>
    <row r="1983" spans="1:5" x14ac:dyDescent="0.25">
      <c r="A1983">
        <v>81</v>
      </c>
      <c r="B1983">
        <v>594</v>
      </c>
      <c r="C1983" s="3">
        <v>44703</v>
      </c>
      <c r="D1983" s="3">
        <v>44735</v>
      </c>
      <c r="E1983">
        <v>4</v>
      </c>
    </row>
    <row r="1984" spans="1:5" x14ac:dyDescent="0.25">
      <c r="A1984">
        <v>142</v>
      </c>
      <c r="B1984">
        <v>620</v>
      </c>
      <c r="C1984" s="3">
        <v>44703</v>
      </c>
      <c r="D1984" s="3">
        <v>44740</v>
      </c>
      <c r="E1984">
        <v>3</v>
      </c>
    </row>
    <row r="1985" spans="1:5" x14ac:dyDescent="0.25">
      <c r="A1985">
        <v>180</v>
      </c>
      <c r="B1985">
        <v>590</v>
      </c>
      <c r="C1985" s="3">
        <v>44703</v>
      </c>
      <c r="D1985" s="3">
        <v>44730</v>
      </c>
      <c r="E1985">
        <v>7</v>
      </c>
    </row>
    <row r="1986" spans="1:5" x14ac:dyDescent="0.25">
      <c r="A1986">
        <v>282</v>
      </c>
      <c r="B1986">
        <v>145</v>
      </c>
      <c r="C1986" s="3">
        <v>44703</v>
      </c>
      <c r="D1986" s="3">
        <v>44705</v>
      </c>
      <c r="E1986">
        <v>10</v>
      </c>
    </row>
    <row r="1987" spans="1:5" x14ac:dyDescent="0.25">
      <c r="A1987">
        <v>543</v>
      </c>
      <c r="B1987">
        <v>358</v>
      </c>
      <c r="C1987" s="3">
        <v>44703</v>
      </c>
      <c r="D1987" s="3">
        <v>44728</v>
      </c>
      <c r="E1987">
        <v>3</v>
      </c>
    </row>
    <row r="1988" spans="1:5" x14ac:dyDescent="0.25">
      <c r="A1988">
        <v>609</v>
      </c>
      <c r="B1988">
        <v>373</v>
      </c>
      <c r="C1988" s="3">
        <v>44703</v>
      </c>
      <c r="D1988" s="3">
        <v>44728</v>
      </c>
      <c r="E1988">
        <v>4</v>
      </c>
    </row>
    <row r="1989" spans="1:5" x14ac:dyDescent="0.25">
      <c r="A1989">
        <v>610</v>
      </c>
      <c r="B1989">
        <v>701</v>
      </c>
      <c r="C1989" s="3">
        <v>44703</v>
      </c>
      <c r="D1989" s="3">
        <v>44712</v>
      </c>
      <c r="E1989">
        <v>4</v>
      </c>
    </row>
    <row r="1990" spans="1:5" x14ac:dyDescent="0.25">
      <c r="A1990">
        <v>659</v>
      </c>
      <c r="B1990">
        <v>145</v>
      </c>
      <c r="C1990" s="3">
        <v>44703</v>
      </c>
      <c r="D1990" s="3">
        <v>44747</v>
      </c>
      <c r="E1990">
        <v>4</v>
      </c>
    </row>
    <row r="1991" spans="1:5" x14ac:dyDescent="0.25">
      <c r="A1991">
        <v>841</v>
      </c>
      <c r="B1991">
        <v>862</v>
      </c>
      <c r="C1991" s="3">
        <v>44703</v>
      </c>
      <c r="D1991" s="3">
        <v>44727</v>
      </c>
      <c r="E1991">
        <v>4</v>
      </c>
    </row>
    <row r="1992" spans="1:5" x14ac:dyDescent="0.25">
      <c r="A1992">
        <v>849</v>
      </c>
      <c r="B1992">
        <v>752</v>
      </c>
      <c r="C1992" s="3">
        <v>44703</v>
      </c>
      <c r="D1992" s="3">
        <v>44714</v>
      </c>
      <c r="E1992">
        <v>2</v>
      </c>
    </row>
    <row r="1993" spans="1:5" x14ac:dyDescent="0.25">
      <c r="A1993">
        <v>923</v>
      </c>
      <c r="B1993">
        <v>778</v>
      </c>
      <c r="C1993" s="3">
        <v>44703</v>
      </c>
      <c r="D1993" s="3">
        <v>44740</v>
      </c>
      <c r="E1993">
        <v>6</v>
      </c>
    </row>
    <row r="1994" spans="1:5" x14ac:dyDescent="0.25">
      <c r="A1994">
        <v>146</v>
      </c>
      <c r="B1994">
        <v>667</v>
      </c>
      <c r="C1994" s="3">
        <v>44704</v>
      </c>
      <c r="D1994" s="3">
        <v>44710</v>
      </c>
      <c r="E1994">
        <v>9</v>
      </c>
    </row>
    <row r="1995" spans="1:5" x14ac:dyDescent="0.25">
      <c r="A1995">
        <v>150</v>
      </c>
      <c r="B1995">
        <v>395</v>
      </c>
      <c r="C1995" s="3">
        <v>44704</v>
      </c>
      <c r="D1995" s="3">
        <v>44708</v>
      </c>
      <c r="E1995">
        <v>3</v>
      </c>
    </row>
    <row r="1996" spans="1:5" x14ac:dyDescent="0.25">
      <c r="A1996">
        <v>158</v>
      </c>
      <c r="B1996">
        <v>719</v>
      </c>
      <c r="C1996" s="3">
        <v>44704</v>
      </c>
      <c r="D1996" s="3">
        <v>44736</v>
      </c>
      <c r="E1996">
        <v>10</v>
      </c>
    </row>
    <row r="1997" spans="1:5" x14ac:dyDescent="0.25">
      <c r="A1997">
        <v>308</v>
      </c>
      <c r="B1997">
        <v>515</v>
      </c>
      <c r="C1997" s="3">
        <v>44704</v>
      </c>
      <c r="D1997" s="3">
        <v>44743</v>
      </c>
      <c r="E1997">
        <v>6</v>
      </c>
    </row>
    <row r="1998" spans="1:5" x14ac:dyDescent="0.25">
      <c r="A1998">
        <v>323</v>
      </c>
      <c r="B1998">
        <v>787</v>
      </c>
      <c r="C1998" s="3">
        <v>44704</v>
      </c>
      <c r="D1998" s="3">
        <v>44724</v>
      </c>
      <c r="E1998">
        <v>4</v>
      </c>
    </row>
    <row r="1999" spans="1:5" x14ac:dyDescent="0.25">
      <c r="A1999">
        <v>331</v>
      </c>
      <c r="B1999">
        <v>676</v>
      </c>
      <c r="C1999" s="3">
        <v>44704</v>
      </c>
      <c r="D1999" s="3">
        <v>44716</v>
      </c>
      <c r="E1999">
        <v>9</v>
      </c>
    </row>
    <row r="2000" spans="1:5" x14ac:dyDescent="0.25">
      <c r="A2000">
        <v>594</v>
      </c>
      <c r="B2000">
        <v>177</v>
      </c>
      <c r="C2000" s="3">
        <v>44704</v>
      </c>
      <c r="D2000" s="3">
        <v>44715</v>
      </c>
      <c r="E2000">
        <v>7</v>
      </c>
    </row>
    <row r="2001" spans="1:5" x14ac:dyDescent="0.25">
      <c r="A2001">
        <v>594</v>
      </c>
      <c r="B2001">
        <v>620</v>
      </c>
      <c r="C2001" s="3">
        <v>44704</v>
      </c>
      <c r="D2001" s="3">
        <v>44727</v>
      </c>
      <c r="E2001">
        <v>3</v>
      </c>
    </row>
    <row r="2002" spans="1:5" x14ac:dyDescent="0.25">
      <c r="A2002">
        <v>602</v>
      </c>
      <c r="B2002">
        <v>398</v>
      </c>
      <c r="C2002" s="3">
        <v>44704</v>
      </c>
      <c r="D2002" s="3">
        <v>44732</v>
      </c>
      <c r="E2002">
        <v>4</v>
      </c>
    </row>
    <row r="2003" spans="1:5" x14ac:dyDescent="0.25">
      <c r="A2003">
        <v>730</v>
      </c>
      <c r="B2003">
        <v>769</v>
      </c>
      <c r="C2003" s="3">
        <v>44704</v>
      </c>
      <c r="D2003" s="3">
        <v>44728</v>
      </c>
      <c r="E2003">
        <v>3</v>
      </c>
    </row>
    <row r="2004" spans="1:5" x14ac:dyDescent="0.25">
      <c r="A2004">
        <v>730</v>
      </c>
      <c r="B2004">
        <v>843</v>
      </c>
      <c r="C2004" s="3">
        <v>44704</v>
      </c>
      <c r="D2004" s="3">
        <v>44728</v>
      </c>
      <c r="E2004">
        <v>2</v>
      </c>
    </row>
    <row r="2005" spans="1:5" x14ac:dyDescent="0.25">
      <c r="A2005">
        <v>830</v>
      </c>
      <c r="B2005">
        <v>464</v>
      </c>
      <c r="C2005" s="3">
        <v>44704</v>
      </c>
      <c r="D2005" s="3">
        <v>44735</v>
      </c>
      <c r="E2005">
        <v>1</v>
      </c>
    </row>
    <row r="2006" spans="1:5" x14ac:dyDescent="0.25">
      <c r="A2006">
        <v>46</v>
      </c>
      <c r="B2006">
        <v>377</v>
      </c>
      <c r="C2006" s="3">
        <v>44705</v>
      </c>
      <c r="D2006" s="3">
        <v>44748</v>
      </c>
      <c r="E2006">
        <v>2</v>
      </c>
    </row>
    <row r="2007" spans="1:5" x14ac:dyDescent="0.25">
      <c r="A2007">
        <v>55</v>
      </c>
      <c r="B2007">
        <v>398</v>
      </c>
      <c r="C2007" s="3">
        <v>44705</v>
      </c>
      <c r="D2007" s="3">
        <v>44732</v>
      </c>
      <c r="E2007">
        <v>5</v>
      </c>
    </row>
    <row r="2008" spans="1:5" x14ac:dyDescent="0.25">
      <c r="A2008">
        <v>334</v>
      </c>
      <c r="B2008">
        <v>374</v>
      </c>
      <c r="C2008" s="3">
        <v>44705</v>
      </c>
      <c r="D2008" s="3">
        <v>44747</v>
      </c>
      <c r="E2008">
        <v>4</v>
      </c>
    </row>
    <row r="2009" spans="1:5" x14ac:dyDescent="0.25">
      <c r="A2009">
        <v>362</v>
      </c>
      <c r="B2009">
        <v>282</v>
      </c>
      <c r="C2009" s="3">
        <v>44705</v>
      </c>
      <c r="D2009" s="3">
        <v>44738</v>
      </c>
      <c r="E2009">
        <v>5</v>
      </c>
    </row>
    <row r="2010" spans="1:5" x14ac:dyDescent="0.25">
      <c r="A2010">
        <v>364</v>
      </c>
      <c r="B2010">
        <v>805</v>
      </c>
      <c r="C2010" s="3">
        <v>44705</v>
      </c>
      <c r="D2010" s="3">
        <v>44747</v>
      </c>
      <c r="E2010">
        <v>9</v>
      </c>
    </row>
    <row r="2011" spans="1:5" x14ac:dyDescent="0.25">
      <c r="A2011">
        <v>364</v>
      </c>
      <c r="B2011">
        <v>834</v>
      </c>
      <c r="C2011" s="3">
        <v>44705</v>
      </c>
      <c r="D2011" s="3">
        <v>44744</v>
      </c>
      <c r="E2011">
        <v>1</v>
      </c>
    </row>
    <row r="2012" spans="1:5" x14ac:dyDescent="0.25">
      <c r="A2012">
        <v>448</v>
      </c>
      <c r="B2012">
        <v>543</v>
      </c>
      <c r="C2012" s="3">
        <v>44705</v>
      </c>
      <c r="D2012" s="3">
        <v>44741</v>
      </c>
      <c r="E2012">
        <v>10</v>
      </c>
    </row>
    <row r="2013" spans="1:5" x14ac:dyDescent="0.25">
      <c r="A2013">
        <v>527</v>
      </c>
      <c r="B2013">
        <v>341</v>
      </c>
      <c r="C2013" s="3">
        <v>44705</v>
      </c>
      <c r="D2013" s="3">
        <v>44713</v>
      </c>
      <c r="E2013">
        <v>8</v>
      </c>
    </row>
    <row r="2014" spans="1:5" x14ac:dyDescent="0.25">
      <c r="A2014">
        <v>531</v>
      </c>
      <c r="B2014">
        <v>710</v>
      </c>
      <c r="C2014" s="3">
        <v>44705</v>
      </c>
      <c r="D2014" s="3">
        <v>44742</v>
      </c>
      <c r="E2014">
        <v>10</v>
      </c>
    </row>
    <row r="2015" spans="1:5" x14ac:dyDescent="0.25">
      <c r="A2015">
        <v>634</v>
      </c>
      <c r="B2015">
        <v>398</v>
      </c>
      <c r="C2015" s="3">
        <v>44705</v>
      </c>
      <c r="D2015" s="3">
        <v>44716</v>
      </c>
      <c r="E2015">
        <v>7</v>
      </c>
    </row>
    <row r="2016" spans="1:5" x14ac:dyDescent="0.25">
      <c r="A2016">
        <v>923</v>
      </c>
      <c r="B2016">
        <v>316</v>
      </c>
      <c r="C2016" s="3">
        <v>44705</v>
      </c>
      <c r="D2016" s="3">
        <v>44724</v>
      </c>
      <c r="E2016">
        <v>5</v>
      </c>
    </row>
    <row r="2017" spans="1:5" x14ac:dyDescent="0.25">
      <c r="A2017">
        <v>190</v>
      </c>
      <c r="B2017">
        <v>128</v>
      </c>
      <c r="C2017" s="3">
        <v>44706</v>
      </c>
      <c r="D2017" s="3">
        <v>44747</v>
      </c>
      <c r="E2017">
        <v>9</v>
      </c>
    </row>
    <row r="2018" spans="1:5" x14ac:dyDescent="0.25">
      <c r="A2018">
        <v>232</v>
      </c>
      <c r="B2018">
        <v>696</v>
      </c>
      <c r="C2018" s="3">
        <v>44706</v>
      </c>
      <c r="D2018" s="3">
        <v>44718</v>
      </c>
      <c r="E2018">
        <v>10</v>
      </c>
    </row>
    <row r="2019" spans="1:5" x14ac:dyDescent="0.25">
      <c r="A2019">
        <v>285</v>
      </c>
      <c r="B2019">
        <v>747</v>
      </c>
      <c r="C2019" s="3">
        <v>44706</v>
      </c>
      <c r="D2019" s="3">
        <v>44714</v>
      </c>
      <c r="E2019">
        <v>6</v>
      </c>
    </row>
    <row r="2020" spans="1:5" x14ac:dyDescent="0.25">
      <c r="A2020">
        <v>302</v>
      </c>
      <c r="B2020">
        <v>128</v>
      </c>
      <c r="C2020" s="3">
        <v>44706</v>
      </c>
      <c r="D2020" s="3">
        <v>44737</v>
      </c>
      <c r="E2020">
        <v>8</v>
      </c>
    </row>
    <row r="2021" spans="1:5" x14ac:dyDescent="0.25">
      <c r="A2021">
        <v>332</v>
      </c>
      <c r="B2021">
        <v>703</v>
      </c>
      <c r="C2021" s="3">
        <v>44706</v>
      </c>
      <c r="D2021" s="3">
        <v>44714</v>
      </c>
      <c r="E2021">
        <v>8</v>
      </c>
    </row>
    <row r="2022" spans="1:5" x14ac:dyDescent="0.25">
      <c r="A2022">
        <v>540</v>
      </c>
      <c r="B2022">
        <v>710</v>
      </c>
      <c r="C2022" s="3">
        <v>44706</v>
      </c>
      <c r="D2022" s="3">
        <v>44735</v>
      </c>
      <c r="E2022">
        <v>2</v>
      </c>
    </row>
    <row r="2023" spans="1:5" x14ac:dyDescent="0.25">
      <c r="A2023">
        <v>570</v>
      </c>
      <c r="B2023">
        <v>201</v>
      </c>
      <c r="C2023" s="3">
        <v>44706</v>
      </c>
      <c r="D2023" s="3">
        <v>44744</v>
      </c>
      <c r="E2023">
        <v>7</v>
      </c>
    </row>
    <row r="2024" spans="1:5" x14ac:dyDescent="0.25">
      <c r="A2024">
        <v>586</v>
      </c>
      <c r="B2024">
        <v>376</v>
      </c>
      <c r="C2024" s="3">
        <v>44706</v>
      </c>
      <c r="D2024" s="3">
        <v>44711</v>
      </c>
      <c r="E2024">
        <v>8</v>
      </c>
    </row>
    <row r="2025" spans="1:5" x14ac:dyDescent="0.25">
      <c r="A2025">
        <v>586</v>
      </c>
      <c r="B2025">
        <v>685</v>
      </c>
      <c r="C2025" s="3">
        <v>44706</v>
      </c>
      <c r="D2025" s="3">
        <v>44740</v>
      </c>
      <c r="E2025">
        <v>8</v>
      </c>
    </row>
    <row r="2026" spans="1:5" x14ac:dyDescent="0.25">
      <c r="A2026">
        <v>594</v>
      </c>
      <c r="B2026">
        <v>724</v>
      </c>
      <c r="C2026" s="3">
        <v>44706</v>
      </c>
      <c r="D2026" s="3">
        <v>44734</v>
      </c>
      <c r="E2026">
        <v>5</v>
      </c>
    </row>
    <row r="2027" spans="1:5" x14ac:dyDescent="0.25">
      <c r="A2027">
        <v>657</v>
      </c>
      <c r="B2027">
        <v>812</v>
      </c>
      <c r="C2027" s="3">
        <v>44706</v>
      </c>
      <c r="D2027" s="3">
        <v>44732</v>
      </c>
      <c r="E2027">
        <v>5</v>
      </c>
    </row>
    <row r="2028" spans="1:5" x14ac:dyDescent="0.25">
      <c r="A2028">
        <v>972</v>
      </c>
      <c r="B2028">
        <v>620</v>
      </c>
      <c r="C2028" s="3">
        <v>44706</v>
      </c>
      <c r="D2028" s="3">
        <v>44709</v>
      </c>
      <c r="E2028">
        <v>7</v>
      </c>
    </row>
    <row r="2029" spans="1:5" x14ac:dyDescent="0.25">
      <c r="A2029">
        <v>55</v>
      </c>
      <c r="B2029">
        <v>377</v>
      </c>
      <c r="C2029" s="3">
        <v>44707</v>
      </c>
      <c r="D2029" s="3">
        <v>44736</v>
      </c>
      <c r="E2029">
        <v>5</v>
      </c>
    </row>
    <row r="2030" spans="1:5" x14ac:dyDescent="0.25">
      <c r="A2030">
        <v>66</v>
      </c>
      <c r="B2030">
        <v>685</v>
      </c>
      <c r="C2030" s="3">
        <v>44707</v>
      </c>
      <c r="D2030" s="3">
        <v>44727</v>
      </c>
      <c r="E2030">
        <v>8</v>
      </c>
    </row>
    <row r="2031" spans="1:5" x14ac:dyDescent="0.25">
      <c r="A2031">
        <v>158</v>
      </c>
      <c r="B2031">
        <v>436</v>
      </c>
      <c r="C2031" s="3">
        <v>44707</v>
      </c>
      <c r="D2031" s="3">
        <v>44741</v>
      </c>
      <c r="E2031">
        <v>4</v>
      </c>
    </row>
    <row r="2032" spans="1:5" x14ac:dyDescent="0.25">
      <c r="A2032">
        <v>232</v>
      </c>
      <c r="B2032">
        <v>543</v>
      </c>
      <c r="C2032" s="3">
        <v>44707</v>
      </c>
      <c r="D2032" s="3">
        <v>44709</v>
      </c>
      <c r="E2032">
        <v>4</v>
      </c>
    </row>
    <row r="2033" spans="1:5" x14ac:dyDescent="0.25">
      <c r="A2033">
        <v>285</v>
      </c>
      <c r="B2033">
        <v>652</v>
      </c>
      <c r="C2033" s="3">
        <v>44707</v>
      </c>
      <c r="D2033" s="3">
        <v>44741</v>
      </c>
      <c r="E2033">
        <v>5</v>
      </c>
    </row>
    <row r="2034" spans="1:5" x14ac:dyDescent="0.25">
      <c r="A2034">
        <v>364</v>
      </c>
      <c r="B2034">
        <v>843</v>
      </c>
      <c r="C2034" s="3">
        <v>44707</v>
      </c>
      <c r="D2034" s="3">
        <v>44744</v>
      </c>
      <c r="E2034">
        <v>10</v>
      </c>
    </row>
    <row r="2035" spans="1:5" x14ac:dyDescent="0.25">
      <c r="A2035">
        <v>567</v>
      </c>
      <c r="B2035">
        <v>812</v>
      </c>
      <c r="C2035" s="3">
        <v>44707</v>
      </c>
      <c r="D2035" s="3">
        <v>44724</v>
      </c>
      <c r="E2035">
        <v>7</v>
      </c>
    </row>
    <row r="2036" spans="1:5" x14ac:dyDescent="0.25">
      <c r="A2036">
        <v>586</v>
      </c>
      <c r="B2036">
        <v>374</v>
      </c>
      <c r="C2036" s="3">
        <v>44707</v>
      </c>
      <c r="D2036" s="3">
        <v>44740</v>
      </c>
      <c r="E2036">
        <v>7</v>
      </c>
    </row>
    <row r="2037" spans="1:5" x14ac:dyDescent="0.25">
      <c r="A2037">
        <v>611</v>
      </c>
      <c r="B2037">
        <v>673</v>
      </c>
      <c r="C2037" s="3">
        <v>44707</v>
      </c>
      <c r="D2037" s="3">
        <v>44730</v>
      </c>
      <c r="E2037">
        <v>8</v>
      </c>
    </row>
    <row r="2038" spans="1:5" x14ac:dyDescent="0.25">
      <c r="A2038">
        <v>643</v>
      </c>
      <c r="B2038">
        <v>759</v>
      </c>
      <c r="C2038" s="3">
        <v>44707</v>
      </c>
      <c r="D2038" s="3">
        <v>44715</v>
      </c>
      <c r="E2038">
        <v>2</v>
      </c>
    </row>
    <row r="2039" spans="1:5" x14ac:dyDescent="0.25">
      <c r="A2039">
        <v>823</v>
      </c>
      <c r="B2039">
        <v>667</v>
      </c>
      <c r="C2039" s="3">
        <v>44707</v>
      </c>
      <c r="D2039" s="3">
        <v>44719</v>
      </c>
      <c r="E2039">
        <v>2</v>
      </c>
    </row>
    <row r="2040" spans="1:5" x14ac:dyDescent="0.25">
      <c r="A2040">
        <v>841</v>
      </c>
      <c r="B2040">
        <v>813</v>
      </c>
      <c r="C2040" s="3">
        <v>44707</v>
      </c>
      <c r="D2040" s="3">
        <v>44719</v>
      </c>
      <c r="E2040">
        <v>7</v>
      </c>
    </row>
    <row r="2041" spans="1:5" x14ac:dyDescent="0.25">
      <c r="A2041">
        <v>961</v>
      </c>
      <c r="B2041">
        <v>780</v>
      </c>
      <c r="C2041" s="3">
        <v>44707</v>
      </c>
      <c r="D2041" s="3">
        <v>44711</v>
      </c>
      <c r="E2041">
        <v>2</v>
      </c>
    </row>
    <row r="2042" spans="1:5" x14ac:dyDescent="0.25">
      <c r="A2042">
        <v>66</v>
      </c>
      <c r="B2042">
        <v>671</v>
      </c>
      <c r="C2042" s="3">
        <v>44708</v>
      </c>
      <c r="D2042" s="3">
        <v>44723</v>
      </c>
      <c r="E2042">
        <v>8</v>
      </c>
    </row>
    <row r="2043" spans="1:5" x14ac:dyDescent="0.25">
      <c r="A2043">
        <v>81</v>
      </c>
      <c r="B2043">
        <v>530</v>
      </c>
      <c r="C2043" s="3">
        <v>44708</v>
      </c>
      <c r="D2043" s="3">
        <v>44728</v>
      </c>
      <c r="E2043">
        <v>1</v>
      </c>
    </row>
    <row r="2044" spans="1:5" x14ac:dyDescent="0.25">
      <c r="A2044">
        <v>139</v>
      </c>
      <c r="B2044">
        <v>740</v>
      </c>
      <c r="C2044" s="3">
        <v>44708</v>
      </c>
      <c r="D2044" s="3">
        <v>44737</v>
      </c>
      <c r="E2044">
        <v>1</v>
      </c>
    </row>
    <row r="2045" spans="1:5" x14ac:dyDescent="0.25">
      <c r="A2045">
        <v>180</v>
      </c>
      <c r="B2045">
        <v>358</v>
      </c>
      <c r="C2045" s="3">
        <v>44708</v>
      </c>
      <c r="D2045" s="3">
        <v>44747</v>
      </c>
      <c r="E2045">
        <v>6</v>
      </c>
    </row>
    <row r="2046" spans="1:5" x14ac:dyDescent="0.25">
      <c r="A2046">
        <v>284</v>
      </c>
      <c r="B2046">
        <v>377</v>
      </c>
      <c r="C2046" s="3">
        <v>44708</v>
      </c>
      <c r="D2046" s="3">
        <v>44716</v>
      </c>
      <c r="E2046">
        <v>9</v>
      </c>
    </row>
    <row r="2047" spans="1:5" x14ac:dyDescent="0.25">
      <c r="A2047">
        <v>284</v>
      </c>
      <c r="B2047">
        <v>709</v>
      </c>
      <c r="C2047" s="3">
        <v>44708</v>
      </c>
      <c r="D2047" s="3">
        <v>44736</v>
      </c>
      <c r="E2047">
        <v>5</v>
      </c>
    </row>
    <row r="2048" spans="1:5" x14ac:dyDescent="0.25">
      <c r="A2048">
        <v>285</v>
      </c>
      <c r="B2048">
        <v>692</v>
      </c>
      <c r="C2048" s="3">
        <v>44708</v>
      </c>
      <c r="D2048" s="3">
        <v>44744</v>
      </c>
      <c r="E2048">
        <v>6</v>
      </c>
    </row>
    <row r="2049" spans="1:5" x14ac:dyDescent="0.25">
      <c r="A2049">
        <v>302</v>
      </c>
      <c r="B2049">
        <v>316</v>
      </c>
      <c r="C2049" s="3">
        <v>44708</v>
      </c>
      <c r="D2049" s="3">
        <v>44734</v>
      </c>
      <c r="E2049">
        <v>8</v>
      </c>
    </row>
    <row r="2050" spans="1:5" x14ac:dyDescent="0.25">
      <c r="A2050">
        <v>328</v>
      </c>
      <c r="B2050">
        <v>620</v>
      </c>
      <c r="C2050" s="3">
        <v>44708</v>
      </c>
      <c r="D2050" s="3">
        <v>44744</v>
      </c>
      <c r="E2050">
        <v>7</v>
      </c>
    </row>
    <row r="2051" spans="1:5" x14ac:dyDescent="0.25">
      <c r="A2051">
        <v>333</v>
      </c>
      <c r="B2051">
        <v>740</v>
      </c>
      <c r="C2051" s="3">
        <v>44708</v>
      </c>
      <c r="D2051" s="3">
        <v>44718</v>
      </c>
      <c r="E2051">
        <v>1</v>
      </c>
    </row>
    <row r="2052" spans="1:5" x14ac:dyDescent="0.25">
      <c r="A2052">
        <v>416</v>
      </c>
      <c r="B2052">
        <v>213</v>
      </c>
      <c r="C2052" s="3">
        <v>44708</v>
      </c>
      <c r="D2052" s="3">
        <v>44752</v>
      </c>
      <c r="E2052">
        <v>6</v>
      </c>
    </row>
    <row r="2053" spans="1:5" x14ac:dyDescent="0.25">
      <c r="A2053">
        <v>538</v>
      </c>
      <c r="B2053">
        <v>580</v>
      </c>
      <c r="C2053" s="3">
        <v>44708</v>
      </c>
      <c r="D2053" s="3">
        <v>44727</v>
      </c>
      <c r="E2053">
        <v>4</v>
      </c>
    </row>
    <row r="2054" spans="1:5" x14ac:dyDescent="0.25">
      <c r="A2054">
        <v>585</v>
      </c>
      <c r="B2054">
        <v>219</v>
      </c>
      <c r="C2054" s="3">
        <v>44708</v>
      </c>
      <c r="D2054" s="3">
        <v>44745</v>
      </c>
      <c r="E2054">
        <v>2</v>
      </c>
    </row>
    <row r="2055" spans="1:5" x14ac:dyDescent="0.25">
      <c r="A2055">
        <v>657</v>
      </c>
      <c r="B2055">
        <v>331</v>
      </c>
      <c r="C2055" s="3">
        <v>44708</v>
      </c>
      <c r="D2055" s="3">
        <v>44728</v>
      </c>
      <c r="E2055">
        <v>1</v>
      </c>
    </row>
    <row r="2056" spans="1:5" x14ac:dyDescent="0.25">
      <c r="A2056">
        <v>841</v>
      </c>
      <c r="B2056">
        <v>709</v>
      </c>
      <c r="C2056" s="3">
        <v>44708</v>
      </c>
      <c r="D2056" s="3">
        <v>44749</v>
      </c>
      <c r="E2056">
        <v>1</v>
      </c>
    </row>
    <row r="2057" spans="1:5" x14ac:dyDescent="0.25">
      <c r="A2057">
        <v>923</v>
      </c>
      <c r="B2057">
        <v>792</v>
      </c>
      <c r="C2057" s="3">
        <v>44708</v>
      </c>
      <c r="D2057" s="3">
        <v>44742</v>
      </c>
      <c r="E2057">
        <v>10</v>
      </c>
    </row>
    <row r="2058" spans="1:5" x14ac:dyDescent="0.25">
      <c r="A2058">
        <v>972</v>
      </c>
      <c r="B2058">
        <v>752</v>
      </c>
      <c r="C2058" s="3">
        <v>44708</v>
      </c>
      <c r="D2058" s="3">
        <v>44733</v>
      </c>
      <c r="E2058">
        <v>8</v>
      </c>
    </row>
    <row r="2059" spans="1:5" x14ac:dyDescent="0.25">
      <c r="A2059">
        <v>302</v>
      </c>
      <c r="B2059">
        <v>699</v>
      </c>
      <c r="C2059" s="3">
        <v>44709</v>
      </c>
      <c r="D2059" s="3">
        <v>44719</v>
      </c>
      <c r="E2059">
        <v>2</v>
      </c>
    </row>
    <row r="2060" spans="1:5" x14ac:dyDescent="0.25">
      <c r="A2060">
        <v>416</v>
      </c>
      <c r="B2060">
        <v>377</v>
      </c>
      <c r="C2060" s="3">
        <v>44709</v>
      </c>
      <c r="D2060" s="3">
        <v>44727</v>
      </c>
      <c r="E2060">
        <v>3</v>
      </c>
    </row>
    <row r="2061" spans="1:5" x14ac:dyDescent="0.25">
      <c r="A2061">
        <v>491</v>
      </c>
      <c r="B2061">
        <v>724</v>
      </c>
      <c r="C2061" s="3">
        <v>44709</v>
      </c>
      <c r="D2061" s="3">
        <v>44742</v>
      </c>
      <c r="E2061">
        <v>1</v>
      </c>
    </row>
    <row r="2062" spans="1:5" x14ac:dyDescent="0.25">
      <c r="A2062">
        <v>500</v>
      </c>
      <c r="B2062">
        <v>787</v>
      </c>
      <c r="C2062" s="3">
        <v>44709</v>
      </c>
      <c r="D2062" s="3">
        <v>44726</v>
      </c>
      <c r="E2062">
        <v>9</v>
      </c>
    </row>
    <row r="2063" spans="1:5" x14ac:dyDescent="0.25">
      <c r="A2063">
        <v>500</v>
      </c>
      <c r="B2063">
        <v>849</v>
      </c>
      <c r="C2063" s="3">
        <v>44709</v>
      </c>
      <c r="D2063" s="3">
        <v>44739</v>
      </c>
      <c r="E2063">
        <v>3</v>
      </c>
    </row>
    <row r="2064" spans="1:5" x14ac:dyDescent="0.25">
      <c r="A2064">
        <v>501</v>
      </c>
      <c r="B2064">
        <v>676</v>
      </c>
      <c r="C2064" s="3">
        <v>44709</v>
      </c>
      <c r="D2064" s="3">
        <v>44752</v>
      </c>
      <c r="E2064">
        <v>10</v>
      </c>
    </row>
    <row r="2065" spans="1:5" x14ac:dyDescent="0.25">
      <c r="A2065">
        <v>527</v>
      </c>
      <c r="B2065">
        <v>701</v>
      </c>
      <c r="C2065" s="3">
        <v>44709</v>
      </c>
      <c r="D2065" s="3">
        <v>44738</v>
      </c>
      <c r="E2065">
        <v>6</v>
      </c>
    </row>
    <row r="2066" spans="1:5" x14ac:dyDescent="0.25">
      <c r="A2066">
        <v>823</v>
      </c>
      <c r="B2066">
        <v>834</v>
      </c>
      <c r="C2066" s="3">
        <v>44709</v>
      </c>
      <c r="D2066" s="3">
        <v>44747</v>
      </c>
      <c r="E2066">
        <v>6</v>
      </c>
    </row>
    <row r="2067" spans="1:5" x14ac:dyDescent="0.25">
      <c r="A2067">
        <v>906</v>
      </c>
      <c r="B2067">
        <v>259</v>
      </c>
      <c r="C2067" s="3">
        <v>44709</v>
      </c>
      <c r="D2067" s="3">
        <v>44744</v>
      </c>
      <c r="E2067">
        <v>3</v>
      </c>
    </row>
    <row r="2068" spans="1:5" x14ac:dyDescent="0.25">
      <c r="A2068">
        <v>961</v>
      </c>
      <c r="B2068">
        <v>862</v>
      </c>
      <c r="C2068" s="3">
        <v>44709</v>
      </c>
      <c r="D2068" s="3">
        <v>44722</v>
      </c>
      <c r="E2068">
        <v>7</v>
      </c>
    </row>
    <row r="2069" spans="1:5" x14ac:dyDescent="0.25">
      <c r="A2069">
        <v>972</v>
      </c>
      <c r="B2069">
        <v>707</v>
      </c>
      <c r="C2069" s="3">
        <v>44709</v>
      </c>
      <c r="D2069" s="3">
        <v>44712</v>
      </c>
      <c r="E2069">
        <v>7</v>
      </c>
    </row>
    <row r="2070" spans="1:5" x14ac:dyDescent="0.25">
      <c r="A2070">
        <v>47</v>
      </c>
      <c r="B2070">
        <v>725</v>
      </c>
      <c r="C2070" s="3">
        <v>44710</v>
      </c>
      <c r="D2070" s="3">
        <v>44727</v>
      </c>
      <c r="E2070">
        <v>7</v>
      </c>
    </row>
    <row r="2071" spans="1:5" x14ac:dyDescent="0.25">
      <c r="A2071">
        <v>226</v>
      </c>
      <c r="B2071">
        <v>358</v>
      </c>
      <c r="C2071" s="3">
        <v>44710</v>
      </c>
      <c r="D2071" s="3">
        <v>44744</v>
      </c>
      <c r="E2071">
        <v>3</v>
      </c>
    </row>
    <row r="2072" spans="1:5" x14ac:dyDescent="0.25">
      <c r="A2072">
        <v>226</v>
      </c>
      <c r="B2072">
        <v>725</v>
      </c>
      <c r="C2072" s="3">
        <v>44710</v>
      </c>
      <c r="D2072" s="3">
        <v>44725</v>
      </c>
      <c r="E2072">
        <v>4</v>
      </c>
    </row>
    <row r="2073" spans="1:5" x14ac:dyDescent="0.25">
      <c r="A2073">
        <v>226</v>
      </c>
      <c r="B2073">
        <v>826</v>
      </c>
      <c r="C2073" s="3">
        <v>44710</v>
      </c>
      <c r="D2073" s="3">
        <v>44746</v>
      </c>
      <c r="E2073">
        <v>6</v>
      </c>
    </row>
    <row r="2074" spans="1:5" x14ac:dyDescent="0.25">
      <c r="A2074">
        <v>302</v>
      </c>
      <c r="B2074">
        <v>840</v>
      </c>
      <c r="C2074" s="3">
        <v>44710</v>
      </c>
      <c r="D2074" s="3">
        <v>44742</v>
      </c>
      <c r="E2074">
        <v>7</v>
      </c>
    </row>
    <row r="2075" spans="1:5" x14ac:dyDescent="0.25">
      <c r="A2075">
        <v>312</v>
      </c>
      <c r="B2075">
        <v>702</v>
      </c>
      <c r="C2075" s="3">
        <v>44710</v>
      </c>
      <c r="D2075" s="3">
        <v>44715</v>
      </c>
      <c r="E2075">
        <v>10</v>
      </c>
    </row>
    <row r="2076" spans="1:5" x14ac:dyDescent="0.25">
      <c r="A2076">
        <v>332</v>
      </c>
      <c r="B2076">
        <v>810</v>
      </c>
      <c r="C2076" s="3">
        <v>44710</v>
      </c>
      <c r="D2076" s="3">
        <v>44734</v>
      </c>
      <c r="E2076">
        <v>8</v>
      </c>
    </row>
    <row r="2077" spans="1:5" x14ac:dyDescent="0.25">
      <c r="A2077">
        <v>527</v>
      </c>
      <c r="B2077">
        <v>709</v>
      </c>
      <c r="C2077" s="3">
        <v>44710</v>
      </c>
      <c r="D2077" s="3">
        <v>44754</v>
      </c>
      <c r="E2077">
        <v>9</v>
      </c>
    </row>
    <row r="2078" spans="1:5" x14ac:dyDescent="0.25">
      <c r="A2078">
        <v>538</v>
      </c>
      <c r="B2078">
        <v>676</v>
      </c>
      <c r="C2078" s="3">
        <v>44710</v>
      </c>
      <c r="D2078" s="3">
        <v>44717</v>
      </c>
      <c r="E2078">
        <v>10</v>
      </c>
    </row>
    <row r="2079" spans="1:5" x14ac:dyDescent="0.25">
      <c r="A2079">
        <v>544</v>
      </c>
      <c r="B2079">
        <v>830</v>
      </c>
      <c r="C2079" s="3">
        <v>44710</v>
      </c>
      <c r="D2079" s="3">
        <v>44734</v>
      </c>
      <c r="E2079">
        <v>7</v>
      </c>
    </row>
    <row r="2080" spans="1:5" x14ac:dyDescent="0.25">
      <c r="A2080">
        <v>546</v>
      </c>
      <c r="B2080">
        <v>801</v>
      </c>
      <c r="C2080" s="3">
        <v>44710</v>
      </c>
      <c r="D2080" s="3">
        <v>44723</v>
      </c>
      <c r="E2080">
        <v>9</v>
      </c>
    </row>
    <row r="2081" spans="1:5" x14ac:dyDescent="0.25">
      <c r="A2081">
        <v>600</v>
      </c>
      <c r="B2081">
        <v>128</v>
      </c>
      <c r="C2081" s="3">
        <v>44710</v>
      </c>
      <c r="D2081" s="3">
        <v>44726</v>
      </c>
      <c r="E2081">
        <v>4</v>
      </c>
    </row>
    <row r="2082" spans="1:5" x14ac:dyDescent="0.25">
      <c r="A2082">
        <v>47</v>
      </c>
      <c r="B2082">
        <v>810</v>
      </c>
      <c r="C2082" s="3">
        <v>44711</v>
      </c>
      <c r="D2082" s="3">
        <v>44729</v>
      </c>
      <c r="E2082">
        <v>8</v>
      </c>
    </row>
    <row r="2083" spans="1:5" x14ac:dyDescent="0.25">
      <c r="A2083">
        <v>66</v>
      </c>
      <c r="B2083">
        <v>762</v>
      </c>
      <c r="C2083" s="3">
        <v>44711</v>
      </c>
      <c r="D2083" s="3">
        <v>44712</v>
      </c>
      <c r="E2083">
        <v>9</v>
      </c>
    </row>
    <row r="2084" spans="1:5" x14ac:dyDescent="0.25">
      <c r="A2084">
        <v>150</v>
      </c>
      <c r="B2084">
        <v>757</v>
      </c>
      <c r="C2084" s="3">
        <v>44711</v>
      </c>
      <c r="D2084" s="3">
        <v>44733</v>
      </c>
      <c r="E2084">
        <v>6</v>
      </c>
    </row>
    <row r="2085" spans="1:5" x14ac:dyDescent="0.25">
      <c r="A2085">
        <v>224</v>
      </c>
      <c r="B2085">
        <v>316</v>
      </c>
      <c r="C2085" s="3">
        <v>44711</v>
      </c>
      <c r="D2085" s="3">
        <v>44718</v>
      </c>
      <c r="E2085">
        <v>4</v>
      </c>
    </row>
    <row r="2086" spans="1:5" x14ac:dyDescent="0.25">
      <c r="A2086">
        <v>224</v>
      </c>
      <c r="B2086">
        <v>418</v>
      </c>
      <c r="C2086" s="3">
        <v>44711</v>
      </c>
      <c r="D2086" s="3">
        <v>44743</v>
      </c>
      <c r="E2086">
        <v>4</v>
      </c>
    </row>
    <row r="2087" spans="1:5" x14ac:dyDescent="0.25">
      <c r="A2087">
        <v>448</v>
      </c>
      <c r="B2087">
        <v>867</v>
      </c>
      <c r="C2087" s="3">
        <v>44711</v>
      </c>
      <c r="D2087" s="3">
        <v>44722</v>
      </c>
      <c r="E2087">
        <v>8</v>
      </c>
    </row>
    <row r="2088" spans="1:5" x14ac:dyDescent="0.25">
      <c r="A2088">
        <v>500</v>
      </c>
      <c r="B2088">
        <v>740</v>
      </c>
      <c r="C2088" s="3">
        <v>44711</v>
      </c>
      <c r="D2088" s="3">
        <v>44727</v>
      </c>
      <c r="E2088">
        <v>6</v>
      </c>
    </row>
    <row r="2089" spans="1:5" x14ac:dyDescent="0.25">
      <c r="A2089">
        <v>515</v>
      </c>
      <c r="B2089">
        <v>805</v>
      </c>
      <c r="C2089" s="3">
        <v>44711</v>
      </c>
      <c r="D2089" s="3">
        <v>44720</v>
      </c>
      <c r="E2089">
        <v>7</v>
      </c>
    </row>
    <row r="2090" spans="1:5" x14ac:dyDescent="0.25">
      <c r="A2090">
        <v>531</v>
      </c>
      <c r="B2090">
        <v>702</v>
      </c>
      <c r="C2090" s="3">
        <v>44711</v>
      </c>
      <c r="D2090" s="3">
        <v>44730</v>
      </c>
      <c r="E2090">
        <v>8</v>
      </c>
    </row>
    <row r="2091" spans="1:5" x14ac:dyDescent="0.25">
      <c r="A2091">
        <v>567</v>
      </c>
      <c r="B2091">
        <v>849</v>
      </c>
      <c r="C2091" s="3">
        <v>44711</v>
      </c>
      <c r="D2091" s="3">
        <v>44734</v>
      </c>
      <c r="E2091">
        <v>5</v>
      </c>
    </row>
    <row r="2092" spans="1:5" x14ac:dyDescent="0.25">
      <c r="A2092">
        <v>594</v>
      </c>
      <c r="B2092">
        <v>219</v>
      </c>
      <c r="C2092" s="3">
        <v>44711</v>
      </c>
      <c r="D2092" s="3">
        <v>44751</v>
      </c>
      <c r="E2092">
        <v>6</v>
      </c>
    </row>
    <row r="2093" spans="1:5" x14ac:dyDescent="0.25">
      <c r="A2093">
        <v>669</v>
      </c>
      <c r="B2093">
        <v>757</v>
      </c>
      <c r="C2093" s="3">
        <v>44711</v>
      </c>
      <c r="D2093" s="3">
        <v>44726</v>
      </c>
      <c r="E2093">
        <v>2</v>
      </c>
    </row>
    <row r="2094" spans="1:5" x14ac:dyDescent="0.25">
      <c r="A2094">
        <v>830</v>
      </c>
      <c r="B2094">
        <v>464</v>
      </c>
      <c r="C2094" s="3">
        <v>44711</v>
      </c>
      <c r="D2094" s="3">
        <v>44723</v>
      </c>
      <c r="E2094">
        <v>10</v>
      </c>
    </row>
    <row r="2095" spans="1:5" x14ac:dyDescent="0.25">
      <c r="A2095">
        <v>961</v>
      </c>
      <c r="B2095">
        <v>594</v>
      </c>
      <c r="C2095" s="3">
        <v>44711</v>
      </c>
      <c r="D2095" s="3">
        <v>44732</v>
      </c>
      <c r="E2095">
        <v>7</v>
      </c>
    </row>
    <row r="2096" spans="1:5" x14ac:dyDescent="0.25">
      <c r="A2096">
        <v>42</v>
      </c>
      <c r="B2096">
        <v>164</v>
      </c>
      <c r="C2096" s="3">
        <v>44712</v>
      </c>
      <c r="D2096" s="3">
        <v>44736</v>
      </c>
      <c r="E2096">
        <v>7</v>
      </c>
    </row>
    <row r="2097" spans="1:5" x14ac:dyDescent="0.25">
      <c r="A2097">
        <v>141</v>
      </c>
      <c r="B2097">
        <v>740</v>
      </c>
      <c r="C2097" s="3">
        <v>44712</v>
      </c>
      <c r="D2097" s="3">
        <v>44746</v>
      </c>
      <c r="E2097">
        <v>10</v>
      </c>
    </row>
    <row r="2098" spans="1:5" x14ac:dyDescent="0.25">
      <c r="A2098">
        <v>146</v>
      </c>
      <c r="B2098">
        <v>515</v>
      </c>
      <c r="C2098" s="3">
        <v>44712</v>
      </c>
      <c r="D2098" s="3">
        <v>44715</v>
      </c>
      <c r="E2098">
        <v>1</v>
      </c>
    </row>
    <row r="2099" spans="1:5" x14ac:dyDescent="0.25">
      <c r="A2099">
        <v>224</v>
      </c>
      <c r="B2099">
        <v>834</v>
      </c>
      <c r="C2099" s="3">
        <v>44712</v>
      </c>
      <c r="D2099" s="3">
        <v>44750</v>
      </c>
      <c r="E2099">
        <v>1</v>
      </c>
    </row>
    <row r="2100" spans="1:5" x14ac:dyDescent="0.25">
      <c r="A2100">
        <v>328</v>
      </c>
      <c r="B2100">
        <v>757</v>
      </c>
      <c r="C2100" s="3">
        <v>44712</v>
      </c>
      <c r="D2100" s="3">
        <v>44752</v>
      </c>
      <c r="E2100">
        <v>1</v>
      </c>
    </row>
    <row r="2101" spans="1:5" x14ac:dyDescent="0.25">
      <c r="A2101">
        <v>334</v>
      </c>
      <c r="B2101">
        <v>673</v>
      </c>
      <c r="C2101" s="3">
        <v>44712</v>
      </c>
      <c r="D2101" s="3">
        <v>44732</v>
      </c>
      <c r="E2101">
        <v>6</v>
      </c>
    </row>
    <row r="2102" spans="1:5" x14ac:dyDescent="0.25">
      <c r="A2102">
        <v>364</v>
      </c>
      <c r="B2102">
        <v>702</v>
      </c>
      <c r="C2102" s="3">
        <v>44712</v>
      </c>
      <c r="D2102" s="3">
        <v>44722</v>
      </c>
      <c r="E2102">
        <v>7</v>
      </c>
    </row>
    <row r="2103" spans="1:5" x14ac:dyDescent="0.25">
      <c r="A2103">
        <v>370</v>
      </c>
      <c r="B2103">
        <v>128</v>
      </c>
      <c r="C2103" s="3">
        <v>44712</v>
      </c>
      <c r="D2103" s="3">
        <v>44724</v>
      </c>
      <c r="E2103">
        <v>6</v>
      </c>
    </row>
    <row r="2104" spans="1:5" x14ac:dyDescent="0.25">
      <c r="A2104">
        <v>526</v>
      </c>
      <c r="B2104">
        <v>759</v>
      </c>
      <c r="C2104" s="3">
        <v>44712</v>
      </c>
      <c r="D2104" s="3">
        <v>44736</v>
      </c>
      <c r="E2104">
        <v>3</v>
      </c>
    </row>
    <row r="2105" spans="1:5" x14ac:dyDescent="0.25">
      <c r="A2105">
        <v>561</v>
      </c>
      <c r="B2105">
        <v>745</v>
      </c>
      <c r="C2105" s="3">
        <v>44712</v>
      </c>
      <c r="D2105" s="3">
        <v>44727</v>
      </c>
      <c r="E2105">
        <v>2</v>
      </c>
    </row>
    <row r="2106" spans="1:5" x14ac:dyDescent="0.25">
      <c r="A2106">
        <v>609</v>
      </c>
      <c r="B2106">
        <v>594</v>
      </c>
      <c r="C2106" s="3">
        <v>44712</v>
      </c>
      <c r="D2106" s="3">
        <v>44750</v>
      </c>
      <c r="E2106">
        <v>4</v>
      </c>
    </row>
    <row r="2107" spans="1:5" x14ac:dyDescent="0.25">
      <c r="A2107">
        <v>983</v>
      </c>
      <c r="B2107">
        <v>164</v>
      </c>
      <c r="C2107" s="3">
        <v>44712</v>
      </c>
      <c r="D2107" s="3">
        <v>44754</v>
      </c>
      <c r="E2107">
        <v>7</v>
      </c>
    </row>
    <row r="2108" spans="1:5" x14ac:dyDescent="0.25">
      <c r="A2108">
        <v>46</v>
      </c>
      <c r="B2108">
        <v>726</v>
      </c>
      <c r="C2108" s="3">
        <v>44713</v>
      </c>
      <c r="D2108" s="3">
        <v>44727</v>
      </c>
      <c r="E2108">
        <v>6</v>
      </c>
    </row>
    <row r="2109" spans="1:5" x14ac:dyDescent="0.25">
      <c r="A2109">
        <v>55</v>
      </c>
      <c r="B2109">
        <v>747</v>
      </c>
      <c r="C2109" s="3">
        <v>44713</v>
      </c>
      <c r="D2109" s="3">
        <v>44757</v>
      </c>
      <c r="E2109">
        <v>3</v>
      </c>
    </row>
    <row r="2110" spans="1:5" x14ac:dyDescent="0.25">
      <c r="A2110">
        <v>249</v>
      </c>
      <c r="B2110">
        <v>373</v>
      </c>
      <c r="C2110" s="3">
        <v>44713</v>
      </c>
      <c r="D2110" s="3">
        <v>44717</v>
      </c>
      <c r="E2110">
        <v>4</v>
      </c>
    </row>
    <row r="2111" spans="1:5" x14ac:dyDescent="0.25">
      <c r="A2111">
        <v>282</v>
      </c>
      <c r="B2111">
        <v>782</v>
      </c>
      <c r="C2111" s="3">
        <v>44713</v>
      </c>
      <c r="D2111" s="3">
        <v>44726</v>
      </c>
      <c r="E2111">
        <v>8</v>
      </c>
    </row>
    <row r="2112" spans="1:5" x14ac:dyDescent="0.25">
      <c r="A2112">
        <v>308</v>
      </c>
      <c r="B2112">
        <v>583</v>
      </c>
      <c r="C2112" s="3">
        <v>44713</v>
      </c>
      <c r="D2112" s="3">
        <v>44729</v>
      </c>
      <c r="E2112">
        <v>5</v>
      </c>
    </row>
    <row r="2113" spans="1:5" x14ac:dyDescent="0.25">
      <c r="A2113">
        <v>328</v>
      </c>
      <c r="B2113">
        <v>652</v>
      </c>
      <c r="C2113" s="3">
        <v>44713</v>
      </c>
      <c r="D2113" s="3">
        <v>44724</v>
      </c>
      <c r="E2113">
        <v>6</v>
      </c>
    </row>
    <row r="2114" spans="1:5" x14ac:dyDescent="0.25">
      <c r="A2114">
        <v>370</v>
      </c>
      <c r="B2114">
        <v>787</v>
      </c>
      <c r="C2114" s="3">
        <v>44713</v>
      </c>
      <c r="D2114" s="3">
        <v>44722</v>
      </c>
      <c r="E2114">
        <v>10</v>
      </c>
    </row>
    <row r="2115" spans="1:5" x14ac:dyDescent="0.25">
      <c r="A2115">
        <v>390</v>
      </c>
      <c r="B2115">
        <v>541</v>
      </c>
      <c r="C2115" s="3">
        <v>44713</v>
      </c>
      <c r="D2115" s="3">
        <v>44732</v>
      </c>
      <c r="E2115">
        <v>7</v>
      </c>
    </row>
    <row r="2116" spans="1:5" x14ac:dyDescent="0.25">
      <c r="A2116">
        <v>474</v>
      </c>
      <c r="B2116">
        <v>758</v>
      </c>
      <c r="C2116" s="3">
        <v>44713</v>
      </c>
      <c r="D2116" s="3">
        <v>44743</v>
      </c>
      <c r="E2116">
        <v>8</v>
      </c>
    </row>
    <row r="2117" spans="1:5" x14ac:dyDescent="0.25">
      <c r="A2117">
        <v>538</v>
      </c>
      <c r="B2117">
        <v>698</v>
      </c>
      <c r="C2117" s="3">
        <v>44713</v>
      </c>
      <c r="D2117" s="3">
        <v>44726</v>
      </c>
      <c r="E2117">
        <v>3</v>
      </c>
    </row>
    <row r="2118" spans="1:5" x14ac:dyDescent="0.25">
      <c r="A2118">
        <v>659</v>
      </c>
      <c r="B2118">
        <v>259</v>
      </c>
      <c r="C2118" s="3">
        <v>44713</v>
      </c>
      <c r="D2118" s="3">
        <v>44722</v>
      </c>
      <c r="E2118">
        <v>2</v>
      </c>
    </row>
    <row r="2119" spans="1:5" x14ac:dyDescent="0.25">
      <c r="A2119">
        <v>906</v>
      </c>
      <c r="B2119">
        <v>732</v>
      </c>
      <c r="C2119" s="3">
        <v>44713</v>
      </c>
      <c r="D2119" s="3">
        <v>44746</v>
      </c>
      <c r="E2119">
        <v>9</v>
      </c>
    </row>
    <row r="2120" spans="1:5" x14ac:dyDescent="0.25">
      <c r="A2120">
        <v>22</v>
      </c>
      <c r="B2120">
        <v>541</v>
      </c>
      <c r="C2120" s="3">
        <v>44714</v>
      </c>
      <c r="D2120" s="3">
        <v>44737</v>
      </c>
      <c r="E2120">
        <v>3</v>
      </c>
    </row>
    <row r="2121" spans="1:5" x14ac:dyDescent="0.25">
      <c r="A2121">
        <v>47</v>
      </c>
      <c r="B2121">
        <v>710</v>
      </c>
      <c r="C2121" s="3">
        <v>44714</v>
      </c>
      <c r="D2121" s="3">
        <v>44733</v>
      </c>
      <c r="E2121">
        <v>10</v>
      </c>
    </row>
    <row r="2122" spans="1:5" x14ac:dyDescent="0.25">
      <c r="A2122">
        <v>81</v>
      </c>
      <c r="B2122">
        <v>530</v>
      </c>
      <c r="C2122" s="3">
        <v>44714</v>
      </c>
      <c r="D2122" s="3">
        <v>44732</v>
      </c>
      <c r="E2122">
        <v>9</v>
      </c>
    </row>
    <row r="2123" spans="1:5" x14ac:dyDescent="0.25">
      <c r="A2123">
        <v>158</v>
      </c>
      <c r="B2123">
        <v>843</v>
      </c>
      <c r="C2123" s="3">
        <v>44714</v>
      </c>
      <c r="D2123" s="3">
        <v>44743</v>
      </c>
      <c r="E2123">
        <v>8</v>
      </c>
    </row>
    <row r="2124" spans="1:5" x14ac:dyDescent="0.25">
      <c r="A2124">
        <v>331</v>
      </c>
      <c r="B2124">
        <v>515</v>
      </c>
      <c r="C2124" s="3">
        <v>44714</v>
      </c>
      <c r="D2124" s="3">
        <v>44756</v>
      </c>
      <c r="E2124">
        <v>7</v>
      </c>
    </row>
    <row r="2125" spans="1:5" x14ac:dyDescent="0.25">
      <c r="A2125">
        <v>334</v>
      </c>
      <c r="B2125">
        <v>681</v>
      </c>
      <c r="C2125" s="3">
        <v>44714</v>
      </c>
      <c r="D2125" s="3">
        <v>44750</v>
      </c>
      <c r="E2125">
        <v>8</v>
      </c>
    </row>
    <row r="2126" spans="1:5" x14ac:dyDescent="0.25">
      <c r="A2126">
        <v>360</v>
      </c>
      <c r="B2126">
        <v>177</v>
      </c>
      <c r="C2126" s="3">
        <v>44714</v>
      </c>
      <c r="D2126" s="3">
        <v>44745</v>
      </c>
      <c r="E2126">
        <v>2</v>
      </c>
    </row>
    <row r="2127" spans="1:5" x14ac:dyDescent="0.25">
      <c r="A2127">
        <v>364</v>
      </c>
      <c r="B2127">
        <v>590</v>
      </c>
      <c r="C2127" s="3">
        <v>44714</v>
      </c>
      <c r="D2127" s="3">
        <v>44725</v>
      </c>
      <c r="E2127">
        <v>7</v>
      </c>
    </row>
    <row r="2128" spans="1:5" x14ac:dyDescent="0.25">
      <c r="A2128">
        <v>543</v>
      </c>
      <c r="B2128">
        <v>732</v>
      </c>
      <c r="C2128" s="3">
        <v>44714</v>
      </c>
      <c r="D2128" s="3">
        <v>44723</v>
      </c>
      <c r="E2128">
        <v>4</v>
      </c>
    </row>
    <row r="2129" spans="1:5" x14ac:dyDescent="0.25">
      <c r="A2129">
        <v>610</v>
      </c>
      <c r="B2129">
        <v>186</v>
      </c>
      <c r="C2129" s="3">
        <v>44714</v>
      </c>
      <c r="D2129" s="3">
        <v>44732</v>
      </c>
      <c r="E2129">
        <v>3</v>
      </c>
    </row>
    <row r="2130" spans="1:5" x14ac:dyDescent="0.25">
      <c r="A2130">
        <v>841</v>
      </c>
      <c r="B2130">
        <v>436</v>
      </c>
      <c r="C2130" s="3">
        <v>44714</v>
      </c>
      <c r="D2130" s="3">
        <v>44755</v>
      </c>
      <c r="E2130">
        <v>6</v>
      </c>
    </row>
    <row r="2131" spans="1:5" x14ac:dyDescent="0.25">
      <c r="A2131">
        <v>923</v>
      </c>
      <c r="B2131">
        <v>330</v>
      </c>
      <c r="C2131" s="3">
        <v>44714</v>
      </c>
      <c r="D2131" s="3">
        <v>44756</v>
      </c>
      <c r="E2131">
        <v>7</v>
      </c>
    </row>
    <row r="2132" spans="1:5" x14ac:dyDescent="0.25">
      <c r="A2132">
        <v>66</v>
      </c>
      <c r="B2132">
        <v>826</v>
      </c>
      <c r="C2132" s="3">
        <v>44715</v>
      </c>
      <c r="D2132" s="3">
        <v>44746</v>
      </c>
      <c r="E2132">
        <v>10</v>
      </c>
    </row>
    <row r="2133" spans="1:5" x14ac:dyDescent="0.25">
      <c r="A2133">
        <v>142</v>
      </c>
      <c r="B2133">
        <v>732</v>
      </c>
      <c r="C2133" s="3">
        <v>44715</v>
      </c>
      <c r="D2133" s="3">
        <v>44718</v>
      </c>
      <c r="E2133">
        <v>6</v>
      </c>
    </row>
    <row r="2134" spans="1:5" x14ac:dyDescent="0.25">
      <c r="A2134">
        <v>180</v>
      </c>
      <c r="B2134">
        <v>341</v>
      </c>
      <c r="C2134" s="3">
        <v>44715</v>
      </c>
      <c r="D2134" s="3">
        <v>44735</v>
      </c>
      <c r="E2134">
        <v>1</v>
      </c>
    </row>
    <row r="2135" spans="1:5" x14ac:dyDescent="0.25">
      <c r="A2135">
        <v>331</v>
      </c>
      <c r="B2135">
        <v>701</v>
      </c>
      <c r="C2135" s="3">
        <v>44715</v>
      </c>
      <c r="D2135" s="3">
        <v>44734</v>
      </c>
      <c r="E2135">
        <v>6</v>
      </c>
    </row>
    <row r="2136" spans="1:5" x14ac:dyDescent="0.25">
      <c r="A2136">
        <v>333</v>
      </c>
      <c r="B2136">
        <v>201</v>
      </c>
      <c r="C2136" s="3">
        <v>44715</v>
      </c>
      <c r="D2136" s="3">
        <v>44739</v>
      </c>
      <c r="E2136">
        <v>10</v>
      </c>
    </row>
    <row r="2137" spans="1:5" x14ac:dyDescent="0.25">
      <c r="A2137">
        <v>364</v>
      </c>
      <c r="B2137">
        <v>778</v>
      </c>
      <c r="C2137" s="3">
        <v>44715</v>
      </c>
      <c r="D2137" s="3">
        <v>44718</v>
      </c>
      <c r="E2137">
        <v>3</v>
      </c>
    </row>
    <row r="2138" spans="1:5" x14ac:dyDescent="0.25">
      <c r="A2138">
        <v>412</v>
      </c>
      <c r="B2138">
        <v>745</v>
      </c>
      <c r="C2138" s="3">
        <v>44715</v>
      </c>
      <c r="D2138" s="3">
        <v>44752</v>
      </c>
      <c r="E2138">
        <v>3</v>
      </c>
    </row>
    <row r="2139" spans="1:5" x14ac:dyDescent="0.25">
      <c r="A2139">
        <v>489</v>
      </c>
      <c r="B2139">
        <v>689</v>
      </c>
      <c r="C2139" s="3">
        <v>44715</v>
      </c>
      <c r="D2139" s="3">
        <v>44753</v>
      </c>
      <c r="E2139">
        <v>3</v>
      </c>
    </row>
    <row r="2140" spans="1:5" x14ac:dyDescent="0.25">
      <c r="A2140">
        <v>659</v>
      </c>
      <c r="B2140">
        <v>699</v>
      </c>
      <c r="C2140" s="3">
        <v>44715</v>
      </c>
      <c r="D2140" s="3">
        <v>44725</v>
      </c>
      <c r="E2140">
        <v>9</v>
      </c>
    </row>
    <row r="2141" spans="1:5" x14ac:dyDescent="0.25">
      <c r="A2141">
        <v>750</v>
      </c>
      <c r="B2141">
        <v>667</v>
      </c>
      <c r="C2141" s="3">
        <v>44715</v>
      </c>
      <c r="D2141" s="3">
        <v>44744</v>
      </c>
      <c r="E2141">
        <v>1</v>
      </c>
    </row>
    <row r="2142" spans="1:5" x14ac:dyDescent="0.25">
      <c r="A2142">
        <v>849</v>
      </c>
      <c r="B2142">
        <v>699</v>
      </c>
      <c r="C2142" s="3">
        <v>44715</v>
      </c>
      <c r="D2142" s="3">
        <v>44736</v>
      </c>
      <c r="E2142">
        <v>4</v>
      </c>
    </row>
    <row r="2143" spans="1:5" x14ac:dyDescent="0.25">
      <c r="A2143">
        <v>989</v>
      </c>
      <c r="B2143">
        <v>164</v>
      </c>
      <c r="C2143" s="3">
        <v>44715</v>
      </c>
      <c r="D2143" s="3">
        <v>44757</v>
      </c>
      <c r="E2143">
        <v>9</v>
      </c>
    </row>
    <row r="2144" spans="1:5" x14ac:dyDescent="0.25">
      <c r="A2144">
        <v>42</v>
      </c>
      <c r="B2144">
        <v>826</v>
      </c>
      <c r="C2144" s="3">
        <v>44716</v>
      </c>
      <c r="D2144" s="3">
        <v>44733</v>
      </c>
      <c r="E2144">
        <v>1</v>
      </c>
    </row>
    <row r="2145" spans="1:5" x14ac:dyDescent="0.25">
      <c r="A2145">
        <v>55</v>
      </c>
      <c r="B2145">
        <v>213</v>
      </c>
      <c r="C2145" s="3">
        <v>44716</v>
      </c>
      <c r="D2145" s="3">
        <v>44729</v>
      </c>
      <c r="E2145">
        <v>10</v>
      </c>
    </row>
    <row r="2146" spans="1:5" x14ac:dyDescent="0.25">
      <c r="A2146">
        <v>226</v>
      </c>
      <c r="B2146">
        <v>652</v>
      </c>
      <c r="C2146" s="3">
        <v>44716</v>
      </c>
      <c r="D2146" s="3">
        <v>44718</v>
      </c>
      <c r="E2146">
        <v>9</v>
      </c>
    </row>
    <row r="2147" spans="1:5" x14ac:dyDescent="0.25">
      <c r="A2147">
        <v>296</v>
      </c>
      <c r="B2147">
        <v>374</v>
      </c>
      <c r="C2147" s="3">
        <v>44716</v>
      </c>
      <c r="D2147" s="3">
        <v>44730</v>
      </c>
      <c r="E2147">
        <v>10</v>
      </c>
    </row>
    <row r="2148" spans="1:5" x14ac:dyDescent="0.25">
      <c r="A2148">
        <v>448</v>
      </c>
      <c r="B2148">
        <v>316</v>
      </c>
      <c r="C2148" s="3">
        <v>44716</v>
      </c>
      <c r="D2148" s="3">
        <v>44745</v>
      </c>
      <c r="E2148">
        <v>2</v>
      </c>
    </row>
    <row r="2149" spans="1:5" x14ac:dyDescent="0.25">
      <c r="A2149">
        <v>468</v>
      </c>
      <c r="B2149">
        <v>685</v>
      </c>
      <c r="C2149" s="3">
        <v>44716</v>
      </c>
      <c r="D2149" s="3">
        <v>44738</v>
      </c>
      <c r="E2149">
        <v>8</v>
      </c>
    </row>
    <row r="2150" spans="1:5" x14ac:dyDescent="0.25">
      <c r="A2150">
        <v>474</v>
      </c>
      <c r="B2150">
        <v>782</v>
      </c>
      <c r="C2150" s="3">
        <v>44716</v>
      </c>
      <c r="D2150" s="3">
        <v>44724</v>
      </c>
      <c r="E2150">
        <v>8</v>
      </c>
    </row>
    <row r="2151" spans="1:5" x14ac:dyDescent="0.25">
      <c r="A2151">
        <v>501</v>
      </c>
      <c r="B2151">
        <v>377</v>
      </c>
      <c r="C2151" s="3">
        <v>44716</v>
      </c>
      <c r="D2151" s="3">
        <v>44749</v>
      </c>
      <c r="E2151">
        <v>1</v>
      </c>
    </row>
    <row r="2152" spans="1:5" x14ac:dyDescent="0.25">
      <c r="A2152">
        <v>526</v>
      </c>
      <c r="B2152">
        <v>681</v>
      </c>
      <c r="C2152" s="3">
        <v>44716</v>
      </c>
      <c r="D2152" s="3">
        <v>44741</v>
      </c>
      <c r="E2152">
        <v>10</v>
      </c>
    </row>
    <row r="2153" spans="1:5" x14ac:dyDescent="0.25">
      <c r="A2153">
        <v>611</v>
      </c>
      <c r="B2153">
        <v>128</v>
      </c>
      <c r="C2153" s="3">
        <v>44716</v>
      </c>
      <c r="D2153" s="3">
        <v>44760</v>
      </c>
      <c r="E2153">
        <v>6</v>
      </c>
    </row>
    <row r="2154" spans="1:5" x14ac:dyDescent="0.25">
      <c r="A2154">
        <v>657</v>
      </c>
      <c r="B2154">
        <v>732</v>
      </c>
      <c r="C2154" s="3">
        <v>44716</v>
      </c>
      <c r="D2154" s="3">
        <v>44731</v>
      </c>
      <c r="E2154">
        <v>6</v>
      </c>
    </row>
    <row r="2155" spans="1:5" x14ac:dyDescent="0.25">
      <c r="A2155">
        <v>758</v>
      </c>
      <c r="B2155">
        <v>671</v>
      </c>
      <c r="C2155" s="3">
        <v>44716</v>
      </c>
      <c r="D2155" s="3">
        <v>44755</v>
      </c>
      <c r="E2155">
        <v>10</v>
      </c>
    </row>
    <row r="2156" spans="1:5" x14ac:dyDescent="0.25">
      <c r="A2156">
        <v>761</v>
      </c>
      <c r="B2156">
        <v>752</v>
      </c>
      <c r="C2156" s="3">
        <v>44716</v>
      </c>
      <c r="D2156" s="3">
        <v>44760</v>
      </c>
      <c r="E2156">
        <v>5</v>
      </c>
    </row>
    <row r="2157" spans="1:5" x14ac:dyDescent="0.25">
      <c r="A2157">
        <v>884</v>
      </c>
      <c r="B2157">
        <v>787</v>
      </c>
      <c r="C2157" s="3">
        <v>44716</v>
      </c>
      <c r="D2157" s="3">
        <v>44734</v>
      </c>
      <c r="E2157">
        <v>5</v>
      </c>
    </row>
    <row r="2158" spans="1:5" x14ac:dyDescent="0.25">
      <c r="A2158">
        <v>972</v>
      </c>
      <c r="B2158">
        <v>826</v>
      </c>
      <c r="C2158" s="3">
        <v>44716</v>
      </c>
      <c r="D2158" s="3">
        <v>44722</v>
      </c>
      <c r="E2158">
        <v>10</v>
      </c>
    </row>
    <row r="2159" spans="1:5" x14ac:dyDescent="0.25">
      <c r="A2159">
        <v>983</v>
      </c>
      <c r="B2159">
        <v>694</v>
      </c>
      <c r="C2159" s="3">
        <v>44716</v>
      </c>
      <c r="D2159" s="3">
        <v>44750</v>
      </c>
      <c r="E2159">
        <v>1</v>
      </c>
    </row>
    <row r="2160" spans="1:5" x14ac:dyDescent="0.25">
      <c r="A2160">
        <v>42</v>
      </c>
      <c r="B2160">
        <v>867</v>
      </c>
      <c r="C2160" s="3">
        <v>44717</v>
      </c>
      <c r="D2160" s="3">
        <v>44727</v>
      </c>
      <c r="E2160">
        <v>5</v>
      </c>
    </row>
    <row r="2161" spans="1:5" x14ac:dyDescent="0.25">
      <c r="A2161">
        <v>146</v>
      </c>
      <c r="B2161">
        <v>377</v>
      </c>
      <c r="C2161" s="3">
        <v>44717</v>
      </c>
      <c r="D2161" s="3">
        <v>44727</v>
      </c>
      <c r="E2161">
        <v>10</v>
      </c>
    </row>
    <row r="2162" spans="1:5" x14ac:dyDescent="0.25">
      <c r="A2162">
        <v>302</v>
      </c>
      <c r="B2162">
        <v>699</v>
      </c>
      <c r="C2162" s="3">
        <v>44717</v>
      </c>
      <c r="D2162" s="3">
        <v>44725</v>
      </c>
      <c r="E2162">
        <v>10</v>
      </c>
    </row>
    <row r="2163" spans="1:5" x14ac:dyDescent="0.25">
      <c r="A2163">
        <v>312</v>
      </c>
      <c r="B2163">
        <v>667</v>
      </c>
      <c r="C2163" s="3">
        <v>44717</v>
      </c>
      <c r="D2163" s="3">
        <v>44724</v>
      </c>
      <c r="E2163">
        <v>6</v>
      </c>
    </row>
    <row r="2164" spans="1:5" x14ac:dyDescent="0.25">
      <c r="A2164">
        <v>330</v>
      </c>
      <c r="B2164">
        <v>128</v>
      </c>
      <c r="C2164" s="3">
        <v>44717</v>
      </c>
      <c r="D2164" s="3">
        <v>44735</v>
      </c>
      <c r="E2164">
        <v>2</v>
      </c>
    </row>
    <row r="2165" spans="1:5" x14ac:dyDescent="0.25">
      <c r="A2165">
        <v>491</v>
      </c>
      <c r="B2165">
        <v>652</v>
      </c>
      <c r="C2165" s="3">
        <v>44717</v>
      </c>
      <c r="D2165" s="3">
        <v>44758</v>
      </c>
      <c r="E2165">
        <v>1</v>
      </c>
    </row>
    <row r="2166" spans="1:5" x14ac:dyDescent="0.25">
      <c r="A2166">
        <v>501</v>
      </c>
      <c r="B2166">
        <v>834</v>
      </c>
      <c r="C2166" s="3">
        <v>44717</v>
      </c>
      <c r="D2166" s="3">
        <v>44745</v>
      </c>
      <c r="E2166">
        <v>5</v>
      </c>
    </row>
    <row r="2167" spans="1:5" x14ac:dyDescent="0.25">
      <c r="A2167">
        <v>527</v>
      </c>
      <c r="B2167">
        <v>341</v>
      </c>
      <c r="C2167" s="3">
        <v>44717</v>
      </c>
      <c r="D2167" s="3">
        <v>44750</v>
      </c>
      <c r="E2167">
        <v>7</v>
      </c>
    </row>
    <row r="2168" spans="1:5" x14ac:dyDescent="0.25">
      <c r="A2168">
        <v>594</v>
      </c>
      <c r="B2168">
        <v>395</v>
      </c>
      <c r="C2168" s="3">
        <v>44717</v>
      </c>
      <c r="D2168" s="3">
        <v>44735</v>
      </c>
      <c r="E2168">
        <v>4</v>
      </c>
    </row>
    <row r="2169" spans="1:5" x14ac:dyDescent="0.25">
      <c r="A2169">
        <v>730</v>
      </c>
      <c r="B2169">
        <v>620</v>
      </c>
      <c r="C2169" s="3">
        <v>44717</v>
      </c>
      <c r="D2169" s="3">
        <v>44753</v>
      </c>
      <c r="E2169">
        <v>7</v>
      </c>
    </row>
    <row r="2170" spans="1:5" x14ac:dyDescent="0.25">
      <c r="A2170">
        <v>750</v>
      </c>
      <c r="B2170">
        <v>543</v>
      </c>
      <c r="C2170" s="3">
        <v>44717</v>
      </c>
      <c r="D2170" s="3">
        <v>44722</v>
      </c>
      <c r="E2170">
        <v>7</v>
      </c>
    </row>
    <row r="2171" spans="1:5" x14ac:dyDescent="0.25">
      <c r="A2171">
        <v>961</v>
      </c>
      <c r="B2171">
        <v>219</v>
      </c>
      <c r="C2171" s="3">
        <v>44717</v>
      </c>
      <c r="D2171" s="3">
        <v>44747</v>
      </c>
      <c r="E2171">
        <v>6</v>
      </c>
    </row>
    <row r="2172" spans="1:5" x14ac:dyDescent="0.25">
      <c r="A2172">
        <v>47</v>
      </c>
      <c r="B2172">
        <v>436</v>
      </c>
      <c r="C2172" s="3">
        <v>44718</v>
      </c>
      <c r="D2172" s="3">
        <v>44733</v>
      </c>
      <c r="E2172">
        <v>10</v>
      </c>
    </row>
    <row r="2173" spans="1:5" x14ac:dyDescent="0.25">
      <c r="A2173">
        <v>150</v>
      </c>
      <c r="B2173">
        <v>840</v>
      </c>
      <c r="C2173" s="3">
        <v>44718</v>
      </c>
      <c r="D2173" s="3">
        <v>44730</v>
      </c>
      <c r="E2173">
        <v>1</v>
      </c>
    </row>
    <row r="2174" spans="1:5" x14ac:dyDescent="0.25">
      <c r="A2174">
        <v>284</v>
      </c>
      <c r="B2174">
        <v>594</v>
      </c>
      <c r="C2174" s="3">
        <v>44718</v>
      </c>
      <c r="D2174" s="3">
        <v>44733</v>
      </c>
      <c r="E2174">
        <v>3</v>
      </c>
    </row>
    <row r="2175" spans="1:5" x14ac:dyDescent="0.25">
      <c r="A2175">
        <v>328</v>
      </c>
      <c r="B2175">
        <v>747</v>
      </c>
      <c r="C2175" s="3">
        <v>44718</v>
      </c>
      <c r="D2175" s="3">
        <v>44734</v>
      </c>
      <c r="E2175">
        <v>6</v>
      </c>
    </row>
    <row r="2176" spans="1:5" x14ac:dyDescent="0.25">
      <c r="A2176">
        <v>331</v>
      </c>
      <c r="B2176">
        <v>805</v>
      </c>
      <c r="C2176" s="3">
        <v>44718</v>
      </c>
      <c r="D2176" s="3">
        <v>44738</v>
      </c>
      <c r="E2176">
        <v>2</v>
      </c>
    </row>
    <row r="2177" spans="1:5" x14ac:dyDescent="0.25">
      <c r="A2177">
        <v>332</v>
      </c>
      <c r="B2177">
        <v>726</v>
      </c>
      <c r="C2177" s="3">
        <v>44718</v>
      </c>
      <c r="D2177" s="3">
        <v>44733</v>
      </c>
      <c r="E2177">
        <v>2</v>
      </c>
    </row>
    <row r="2178" spans="1:5" x14ac:dyDescent="0.25">
      <c r="A2178">
        <v>531</v>
      </c>
      <c r="B2178">
        <v>701</v>
      </c>
      <c r="C2178" s="3">
        <v>44718</v>
      </c>
      <c r="D2178" s="3">
        <v>44721</v>
      </c>
      <c r="E2178">
        <v>2</v>
      </c>
    </row>
    <row r="2179" spans="1:5" x14ac:dyDescent="0.25">
      <c r="A2179">
        <v>544</v>
      </c>
      <c r="B2179">
        <v>594</v>
      </c>
      <c r="C2179" s="3">
        <v>44718</v>
      </c>
      <c r="D2179" s="3">
        <v>44729</v>
      </c>
      <c r="E2179">
        <v>7</v>
      </c>
    </row>
    <row r="2180" spans="1:5" x14ac:dyDescent="0.25">
      <c r="A2180">
        <v>567</v>
      </c>
      <c r="B2180">
        <v>830</v>
      </c>
      <c r="C2180" s="3">
        <v>44718</v>
      </c>
      <c r="D2180" s="3">
        <v>44750</v>
      </c>
      <c r="E2180">
        <v>9</v>
      </c>
    </row>
    <row r="2181" spans="1:5" x14ac:dyDescent="0.25">
      <c r="A2181">
        <v>568</v>
      </c>
      <c r="B2181">
        <v>398</v>
      </c>
      <c r="C2181" s="3">
        <v>44718</v>
      </c>
      <c r="D2181" s="3">
        <v>44751</v>
      </c>
      <c r="E2181">
        <v>2</v>
      </c>
    </row>
    <row r="2182" spans="1:5" x14ac:dyDescent="0.25">
      <c r="A2182">
        <v>594</v>
      </c>
      <c r="B2182">
        <v>282</v>
      </c>
      <c r="C2182" s="3">
        <v>44718</v>
      </c>
      <c r="D2182" s="3">
        <v>44760</v>
      </c>
      <c r="E2182">
        <v>6</v>
      </c>
    </row>
    <row r="2183" spans="1:5" x14ac:dyDescent="0.25">
      <c r="A2183">
        <v>843</v>
      </c>
      <c r="B2183">
        <v>689</v>
      </c>
      <c r="C2183" s="3">
        <v>44718</v>
      </c>
      <c r="D2183" s="3">
        <v>44745</v>
      </c>
      <c r="E2183">
        <v>7</v>
      </c>
    </row>
    <row r="2184" spans="1:5" x14ac:dyDescent="0.25">
      <c r="A2184">
        <v>42</v>
      </c>
      <c r="B2184">
        <v>696</v>
      </c>
      <c r="C2184" s="3">
        <v>44719</v>
      </c>
      <c r="D2184" s="3">
        <v>44758</v>
      </c>
      <c r="E2184">
        <v>9</v>
      </c>
    </row>
    <row r="2185" spans="1:5" x14ac:dyDescent="0.25">
      <c r="A2185">
        <v>46</v>
      </c>
      <c r="B2185">
        <v>213</v>
      </c>
      <c r="C2185" s="3">
        <v>44719</v>
      </c>
      <c r="D2185" s="3">
        <v>44741</v>
      </c>
      <c r="E2185">
        <v>5</v>
      </c>
    </row>
    <row r="2186" spans="1:5" x14ac:dyDescent="0.25">
      <c r="A2186">
        <v>55</v>
      </c>
      <c r="B2186">
        <v>418</v>
      </c>
      <c r="C2186" s="3">
        <v>44719</v>
      </c>
      <c r="D2186" s="3">
        <v>44758</v>
      </c>
      <c r="E2186">
        <v>6</v>
      </c>
    </row>
    <row r="2187" spans="1:5" x14ac:dyDescent="0.25">
      <c r="A2187">
        <v>55</v>
      </c>
      <c r="B2187">
        <v>830</v>
      </c>
      <c r="C2187" s="3">
        <v>44719</v>
      </c>
      <c r="D2187" s="3">
        <v>44723</v>
      </c>
      <c r="E2187">
        <v>5</v>
      </c>
    </row>
    <row r="2188" spans="1:5" x14ac:dyDescent="0.25">
      <c r="A2188">
        <v>112</v>
      </c>
      <c r="B2188">
        <v>867</v>
      </c>
      <c r="C2188" s="3">
        <v>44719</v>
      </c>
      <c r="D2188" s="3">
        <v>44734</v>
      </c>
      <c r="E2188">
        <v>4</v>
      </c>
    </row>
    <row r="2189" spans="1:5" x14ac:dyDescent="0.25">
      <c r="A2189">
        <v>139</v>
      </c>
      <c r="B2189">
        <v>782</v>
      </c>
      <c r="C2189" s="3">
        <v>44719</v>
      </c>
      <c r="D2189" s="3">
        <v>44761</v>
      </c>
      <c r="E2189">
        <v>2</v>
      </c>
    </row>
    <row r="2190" spans="1:5" x14ac:dyDescent="0.25">
      <c r="A2190">
        <v>190</v>
      </c>
      <c r="B2190">
        <v>541</v>
      </c>
      <c r="C2190" s="3">
        <v>44719</v>
      </c>
      <c r="D2190" s="3">
        <v>44728</v>
      </c>
      <c r="E2190">
        <v>1</v>
      </c>
    </row>
    <row r="2191" spans="1:5" x14ac:dyDescent="0.25">
      <c r="A2191">
        <v>531</v>
      </c>
      <c r="B2191">
        <v>862</v>
      </c>
      <c r="C2191" s="3">
        <v>44719</v>
      </c>
      <c r="D2191" s="3">
        <v>44727</v>
      </c>
      <c r="E2191">
        <v>8</v>
      </c>
    </row>
    <row r="2192" spans="1:5" x14ac:dyDescent="0.25">
      <c r="A2192">
        <v>609</v>
      </c>
      <c r="B2192">
        <v>704</v>
      </c>
      <c r="C2192" s="3">
        <v>44719</v>
      </c>
      <c r="D2192" s="3">
        <v>44757</v>
      </c>
      <c r="E2192">
        <v>5</v>
      </c>
    </row>
    <row r="2193" spans="1:5" x14ac:dyDescent="0.25">
      <c r="A2193">
        <v>609</v>
      </c>
      <c r="B2193">
        <v>732</v>
      </c>
      <c r="C2193" s="3">
        <v>44719</v>
      </c>
      <c r="D2193" s="3">
        <v>44734</v>
      </c>
      <c r="E2193">
        <v>6</v>
      </c>
    </row>
    <row r="2194" spans="1:5" x14ac:dyDescent="0.25">
      <c r="A2194">
        <v>657</v>
      </c>
      <c r="B2194">
        <v>732</v>
      </c>
      <c r="C2194" s="3">
        <v>44719</v>
      </c>
      <c r="D2194" s="3">
        <v>44754</v>
      </c>
      <c r="E2194">
        <v>1</v>
      </c>
    </row>
    <row r="2195" spans="1:5" x14ac:dyDescent="0.25">
      <c r="A2195">
        <v>657</v>
      </c>
      <c r="B2195">
        <v>843</v>
      </c>
      <c r="C2195" s="3">
        <v>44719</v>
      </c>
      <c r="D2195" s="3">
        <v>44755</v>
      </c>
      <c r="E2195">
        <v>9</v>
      </c>
    </row>
    <row r="2196" spans="1:5" x14ac:dyDescent="0.25">
      <c r="A2196">
        <v>730</v>
      </c>
      <c r="B2196">
        <v>213</v>
      </c>
      <c r="C2196" s="3">
        <v>44719</v>
      </c>
      <c r="D2196" s="3">
        <v>44725</v>
      </c>
      <c r="E2196">
        <v>3</v>
      </c>
    </row>
    <row r="2197" spans="1:5" x14ac:dyDescent="0.25">
      <c r="A2197">
        <v>827</v>
      </c>
      <c r="B2197">
        <v>732</v>
      </c>
      <c r="C2197" s="3">
        <v>44719</v>
      </c>
      <c r="D2197" s="3">
        <v>44759</v>
      </c>
      <c r="E2197">
        <v>6</v>
      </c>
    </row>
    <row r="2198" spans="1:5" x14ac:dyDescent="0.25">
      <c r="A2198">
        <v>989</v>
      </c>
      <c r="B2198">
        <v>673</v>
      </c>
      <c r="C2198" s="3">
        <v>44719</v>
      </c>
      <c r="D2198" s="3">
        <v>44743</v>
      </c>
      <c r="E2198">
        <v>3</v>
      </c>
    </row>
    <row r="2199" spans="1:5" x14ac:dyDescent="0.25">
      <c r="A2199">
        <v>139</v>
      </c>
      <c r="B2199">
        <v>377</v>
      </c>
      <c r="C2199" s="3">
        <v>44720</v>
      </c>
      <c r="D2199" s="3">
        <v>44752</v>
      </c>
      <c r="E2199">
        <v>4</v>
      </c>
    </row>
    <row r="2200" spans="1:5" x14ac:dyDescent="0.25">
      <c r="A2200">
        <v>282</v>
      </c>
      <c r="B2200">
        <v>128</v>
      </c>
      <c r="C2200" s="3">
        <v>44720</v>
      </c>
      <c r="D2200" s="3">
        <v>44724</v>
      </c>
      <c r="E2200">
        <v>9</v>
      </c>
    </row>
    <row r="2201" spans="1:5" x14ac:dyDescent="0.25">
      <c r="A2201">
        <v>416</v>
      </c>
      <c r="B2201">
        <v>826</v>
      </c>
      <c r="C2201" s="3">
        <v>44720</v>
      </c>
      <c r="D2201" s="3">
        <v>44750</v>
      </c>
      <c r="E2201">
        <v>8</v>
      </c>
    </row>
    <row r="2202" spans="1:5" x14ac:dyDescent="0.25">
      <c r="A2202">
        <v>474</v>
      </c>
      <c r="B2202">
        <v>515</v>
      </c>
      <c r="C2202" s="3">
        <v>44720</v>
      </c>
      <c r="D2202" s="3">
        <v>44725</v>
      </c>
      <c r="E2202">
        <v>3</v>
      </c>
    </row>
    <row r="2203" spans="1:5" x14ac:dyDescent="0.25">
      <c r="A2203">
        <v>501</v>
      </c>
      <c r="B2203">
        <v>711</v>
      </c>
      <c r="C2203" s="3">
        <v>44720</v>
      </c>
      <c r="D2203" s="3">
        <v>44744</v>
      </c>
      <c r="E2203">
        <v>9</v>
      </c>
    </row>
    <row r="2204" spans="1:5" x14ac:dyDescent="0.25">
      <c r="A2204">
        <v>501</v>
      </c>
      <c r="B2204">
        <v>826</v>
      </c>
      <c r="C2204" s="3">
        <v>44720</v>
      </c>
      <c r="D2204" s="3">
        <v>44749</v>
      </c>
      <c r="E2204">
        <v>4</v>
      </c>
    </row>
    <row r="2205" spans="1:5" x14ac:dyDescent="0.25">
      <c r="A2205">
        <v>567</v>
      </c>
      <c r="B2205">
        <v>515</v>
      </c>
      <c r="C2205" s="3">
        <v>44720</v>
      </c>
      <c r="D2205" s="3">
        <v>44735</v>
      </c>
      <c r="E2205">
        <v>5</v>
      </c>
    </row>
    <row r="2206" spans="1:5" x14ac:dyDescent="0.25">
      <c r="A2206">
        <v>602</v>
      </c>
      <c r="B2206">
        <v>769</v>
      </c>
      <c r="C2206" s="3">
        <v>44720</v>
      </c>
      <c r="D2206" s="3">
        <v>44732</v>
      </c>
      <c r="E2206">
        <v>2</v>
      </c>
    </row>
    <row r="2207" spans="1:5" x14ac:dyDescent="0.25">
      <c r="A2207">
        <v>659</v>
      </c>
      <c r="B2207">
        <v>373</v>
      </c>
      <c r="C2207" s="3">
        <v>44720</v>
      </c>
      <c r="D2207" s="3">
        <v>44740</v>
      </c>
      <c r="E2207">
        <v>6</v>
      </c>
    </row>
    <row r="2208" spans="1:5" x14ac:dyDescent="0.25">
      <c r="A2208">
        <v>750</v>
      </c>
      <c r="B2208">
        <v>707</v>
      </c>
      <c r="C2208" s="3">
        <v>44720</v>
      </c>
      <c r="D2208" s="3">
        <v>44763</v>
      </c>
      <c r="E2208">
        <v>9</v>
      </c>
    </row>
    <row r="2209" spans="1:5" x14ac:dyDescent="0.25">
      <c r="A2209">
        <v>849</v>
      </c>
      <c r="B2209">
        <v>196</v>
      </c>
      <c r="C2209" s="3">
        <v>44720</v>
      </c>
      <c r="D2209" s="3">
        <v>44761</v>
      </c>
      <c r="E2209">
        <v>7</v>
      </c>
    </row>
    <row r="2210" spans="1:5" x14ac:dyDescent="0.25">
      <c r="A2210">
        <v>961</v>
      </c>
      <c r="B2210">
        <v>862</v>
      </c>
      <c r="C2210" s="3">
        <v>44720</v>
      </c>
      <c r="D2210" s="3">
        <v>44756</v>
      </c>
      <c r="E2210">
        <v>2</v>
      </c>
    </row>
    <row r="2211" spans="1:5" x14ac:dyDescent="0.25">
      <c r="A2211">
        <v>42</v>
      </c>
      <c r="B2211">
        <v>590</v>
      </c>
      <c r="C2211" s="3">
        <v>44721</v>
      </c>
      <c r="D2211" s="3">
        <v>44723</v>
      </c>
      <c r="E2211">
        <v>1</v>
      </c>
    </row>
    <row r="2212" spans="1:5" x14ac:dyDescent="0.25">
      <c r="A2212">
        <v>46</v>
      </c>
      <c r="B2212">
        <v>585</v>
      </c>
      <c r="C2212" s="3">
        <v>44721</v>
      </c>
      <c r="D2212" s="3">
        <v>44739</v>
      </c>
      <c r="E2212">
        <v>1</v>
      </c>
    </row>
    <row r="2213" spans="1:5" x14ac:dyDescent="0.25">
      <c r="A2213">
        <v>150</v>
      </c>
      <c r="B2213">
        <v>330</v>
      </c>
      <c r="C2213" s="3">
        <v>44721</v>
      </c>
      <c r="D2213" s="3">
        <v>44759</v>
      </c>
      <c r="E2213">
        <v>1</v>
      </c>
    </row>
    <row r="2214" spans="1:5" x14ac:dyDescent="0.25">
      <c r="A2214">
        <v>180</v>
      </c>
      <c r="B2214">
        <v>685</v>
      </c>
      <c r="C2214" s="3">
        <v>44721</v>
      </c>
      <c r="D2214" s="3">
        <v>44728</v>
      </c>
      <c r="E2214">
        <v>9</v>
      </c>
    </row>
    <row r="2215" spans="1:5" x14ac:dyDescent="0.25">
      <c r="A2215">
        <v>543</v>
      </c>
      <c r="B2215">
        <v>239</v>
      </c>
      <c r="C2215" s="3">
        <v>44721</v>
      </c>
      <c r="D2215" s="3">
        <v>44757</v>
      </c>
      <c r="E2215">
        <v>6</v>
      </c>
    </row>
    <row r="2216" spans="1:5" x14ac:dyDescent="0.25">
      <c r="A2216">
        <v>573</v>
      </c>
      <c r="B2216">
        <v>259</v>
      </c>
      <c r="C2216" s="3">
        <v>44721</v>
      </c>
      <c r="D2216" s="3">
        <v>44750</v>
      </c>
      <c r="E2216">
        <v>9</v>
      </c>
    </row>
    <row r="2217" spans="1:5" x14ac:dyDescent="0.25">
      <c r="A2217">
        <v>600</v>
      </c>
      <c r="B2217">
        <v>812</v>
      </c>
      <c r="C2217" s="3">
        <v>44721</v>
      </c>
      <c r="D2217" s="3">
        <v>44740</v>
      </c>
      <c r="E2217">
        <v>7</v>
      </c>
    </row>
    <row r="2218" spans="1:5" x14ac:dyDescent="0.25">
      <c r="A2218">
        <v>643</v>
      </c>
      <c r="B2218">
        <v>676</v>
      </c>
      <c r="C2218" s="3">
        <v>44721</v>
      </c>
      <c r="D2218" s="3">
        <v>44730</v>
      </c>
      <c r="E2218">
        <v>4</v>
      </c>
    </row>
    <row r="2219" spans="1:5" x14ac:dyDescent="0.25">
      <c r="A2219">
        <v>643</v>
      </c>
      <c r="B2219">
        <v>843</v>
      </c>
      <c r="C2219" s="3">
        <v>44721</v>
      </c>
      <c r="D2219" s="3">
        <v>44743</v>
      </c>
      <c r="E2219">
        <v>2</v>
      </c>
    </row>
    <row r="2220" spans="1:5" x14ac:dyDescent="0.25">
      <c r="A2220">
        <v>884</v>
      </c>
      <c r="B2220">
        <v>607</v>
      </c>
      <c r="C2220" s="3">
        <v>44721</v>
      </c>
      <c r="D2220" s="3">
        <v>44751</v>
      </c>
      <c r="E2220">
        <v>8</v>
      </c>
    </row>
    <row r="2221" spans="1:5" x14ac:dyDescent="0.25">
      <c r="A2221">
        <v>972</v>
      </c>
      <c r="B2221">
        <v>358</v>
      </c>
      <c r="C2221" s="3">
        <v>44721</v>
      </c>
      <c r="D2221" s="3">
        <v>44741</v>
      </c>
      <c r="E2221">
        <v>8</v>
      </c>
    </row>
    <row r="2222" spans="1:5" x14ac:dyDescent="0.25">
      <c r="A2222">
        <v>972</v>
      </c>
      <c r="B2222">
        <v>580</v>
      </c>
      <c r="C2222" s="3">
        <v>44721</v>
      </c>
      <c r="D2222" s="3">
        <v>44742</v>
      </c>
      <c r="E2222">
        <v>6</v>
      </c>
    </row>
    <row r="2223" spans="1:5" x14ac:dyDescent="0.25">
      <c r="A2223">
        <v>200</v>
      </c>
      <c r="B2223">
        <v>704</v>
      </c>
      <c r="C2223" s="3">
        <v>44722</v>
      </c>
      <c r="D2223" s="3">
        <v>44735</v>
      </c>
      <c r="E2223">
        <v>3</v>
      </c>
    </row>
    <row r="2224" spans="1:5" x14ac:dyDescent="0.25">
      <c r="A2224">
        <v>224</v>
      </c>
      <c r="B2224">
        <v>667</v>
      </c>
      <c r="C2224" s="3">
        <v>44722</v>
      </c>
      <c r="D2224" s="3">
        <v>44748</v>
      </c>
      <c r="E2224">
        <v>9</v>
      </c>
    </row>
    <row r="2225" spans="1:5" x14ac:dyDescent="0.25">
      <c r="A2225">
        <v>226</v>
      </c>
      <c r="B2225">
        <v>671</v>
      </c>
      <c r="C2225" s="3">
        <v>44722</v>
      </c>
      <c r="D2225" s="3">
        <v>44737</v>
      </c>
      <c r="E2225">
        <v>9</v>
      </c>
    </row>
    <row r="2226" spans="1:5" x14ac:dyDescent="0.25">
      <c r="A2226">
        <v>254</v>
      </c>
      <c r="B2226">
        <v>685</v>
      </c>
      <c r="C2226" s="3">
        <v>44722</v>
      </c>
      <c r="D2226" s="3">
        <v>44736</v>
      </c>
      <c r="E2226">
        <v>2</v>
      </c>
    </row>
    <row r="2227" spans="1:5" x14ac:dyDescent="0.25">
      <c r="A2227">
        <v>282</v>
      </c>
      <c r="B2227">
        <v>515</v>
      </c>
      <c r="C2227" s="3">
        <v>44722</v>
      </c>
      <c r="D2227" s="3">
        <v>44729</v>
      </c>
      <c r="E2227">
        <v>2</v>
      </c>
    </row>
    <row r="2228" spans="1:5" x14ac:dyDescent="0.25">
      <c r="A2228">
        <v>285</v>
      </c>
      <c r="B2228">
        <v>331</v>
      </c>
      <c r="C2228" s="3">
        <v>44722</v>
      </c>
      <c r="D2228" s="3">
        <v>44753</v>
      </c>
      <c r="E2228">
        <v>1</v>
      </c>
    </row>
    <row r="2229" spans="1:5" x14ac:dyDescent="0.25">
      <c r="A2229">
        <v>338</v>
      </c>
      <c r="B2229">
        <v>667</v>
      </c>
      <c r="C2229" s="3">
        <v>44722</v>
      </c>
      <c r="D2229" s="3">
        <v>44741</v>
      </c>
      <c r="E2229">
        <v>5</v>
      </c>
    </row>
    <row r="2230" spans="1:5" x14ac:dyDescent="0.25">
      <c r="A2230">
        <v>491</v>
      </c>
      <c r="B2230">
        <v>840</v>
      </c>
      <c r="C2230" s="3">
        <v>44722</v>
      </c>
      <c r="D2230" s="3">
        <v>44729</v>
      </c>
      <c r="E2230">
        <v>2</v>
      </c>
    </row>
    <row r="2231" spans="1:5" x14ac:dyDescent="0.25">
      <c r="A2231">
        <v>515</v>
      </c>
      <c r="B2231">
        <v>711</v>
      </c>
      <c r="C2231" s="3">
        <v>44722</v>
      </c>
      <c r="D2231" s="3">
        <v>44737</v>
      </c>
      <c r="E2231">
        <v>5</v>
      </c>
    </row>
    <row r="2232" spans="1:5" x14ac:dyDescent="0.25">
      <c r="A2232">
        <v>586</v>
      </c>
      <c r="B2232">
        <v>707</v>
      </c>
      <c r="C2232" s="3">
        <v>44722</v>
      </c>
      <c r="D2232" s="3">
        <v>44735</v>
      </c>
      <c r="E2232">
        <v>7</v>
      </c>
    </row>
    <row r="2233" spans="1:5" x14ac:dyDescent="0.25">
      <c r="A2233">
        <v>594</v>
      </c>
      <c r="B2233">
        <v>699</v>
      </c>
      <c r="C2233" s="3">
        <v>44722</v>
      </c>
      <c r="D2233" s="3">
        <v>44750</v>
      </c>
      <c r="E2233">
        <v>6</v>
      </c>
    </row>
    <row r="2234" spans="1:5" x14ac:dyDescent="0.25">
      <c r="A2234">
        <v>730</v>
      </c>
      <c r="B2234">
        <v>689</v>
      </c>
      <c r="C2234" s="3">
        <v>44722</v>
      </c>
      <c r="D2234" s="3">
        <v>44735</v>
      </c>
      <c r="E2234">
        <v>2</v>
      </c>
    </row>
    <row r="2235" spans="1:5" x14ac:dyDescent="0.25">
      <c r="A2235">
        <v>761</v>
      </c>
      <c r="B2235">
        <v>341</v>
      </c>
      <c r="C2235" s="3">
        <v>44722</v>
      </c>
      <c r="D2235" s="3">
        <v>44764</v>
      </c>
      <c r="E2235">
        <v>9</v>
      </c>
    </row>
    <row r="2236" spans="1:5" x14ac:dyDescent="0.25">
      <c r="A2236">
        <v>771</v>
      </c>
      <c r="B2236">
        <v>849</v>
      </c>
      <c r="C2236" s="3">
        <v>44722</v>
      </c>
      <c r="D2236" s="3">
        <v>44764</v>
      </c>
      <c r="E2236">
        <v>6</v>
      </c>
    </row>
    <row r="2237" spans="1:5" x14ac:dyDescent="0.25">
      <c r="A2237">
        <v>983</v>
      </c>
      <c r="B2237">
        <v>812</v>
      </c>
      <c r="C2237" s="3">
        <v>44722</v>
      </c>
      <c r="D2237" s="3">
        <v>44729</v>
      </c>
      <c r="E2237">
        <v>8</v>
      </c>
    </row>
    <row r="2238" spans="1:5" x14ac:dyDescent="0.25">
      <c r="A2238">
        <v>468</v>
      </c>
      <c r="B2238">
        <v>667</v>
      </c>
      <c r="C2238" s="3">
        <v>44723</v>
      </c>
      <c r="D2238" s="3">
        <v>44750</v>
      </c>
      <c r="E2238">
        <v>1</v>
      </c>
    </row>
    <row r="2239" spans="1:5" x14ac:dyDescent="0.25">
      <c r="A2239">
        <v>526</v>
      </c>
      <c r="B2239">
        <v>747</v>
      </c>
      <c r="C2239" s="3">
        <v>44723</v>
      </c>
      <c r="D2239" s="3">
        <v>44724</v>
      </c>
      <c r="E2239">
        <v>9</v>
      </c>
    </row>
    <row r="2240" spans="1:5" x14ac:dyDescent="0.25">
      <c r="A2240">
        <v>543</v>
      </c>
      <c r="B2240">
        <v>358</v>
      </c>
      <c r="C2240" s="3">
        <v>44723</v>
      </c>
      <c r="D2240" s="3">
        <v>44727</v>
      </c>
      <c r="E2240">
        <v>10</v>
      </c>
    </row>
    <row r="2241" spans="1:5" x14ac:dyDescent="0.25">
      <c r="A2241">
        <v>651</v>
      </c>
      <c r="B2241">
        <v>583</v>
      </c>
      <c r="C2241" s="3">
        <v>44723</v>
      </c>
      <c r="D2241" s="3">
        <v>44767</v>
      </c>
      <c r="E2241">
        <v>6</v>
      </c>
    </row>
    <row r="2242" spans="1:5" x14ac:dyDescent="0.25">
      <c r="A2242">
        <v>747</v>
      </c>
      <c r="B2242">
        <v>679</v>
      </c>
      <c r="C2242" s="3">
        <v>44723</v>
      </c>
      <c r="D2242" s="3">
        <v>44766</v>
      </c>
      <c r="E2242">
        <v>4</v>
      </c>
    </row>
    <row r="2243" spans="1:5" x14ac:dyDescent="0.25">
      <c r="A2243">
        <v>758</v>
      </c>
      <c r="B2243">
        <v>219</v>
      </c>
      <c r="C2243" s="3">
        <v>44723</v>
      </c>
      <c r="D2243" s="3">
        <v>44727</v>
      </c>
      <c r="E2243">
        <v>7</v>
      </c>
    </row>
    <row r="2244" spans="1:5" x14ac:dyDescent="0.25">
      <c r="A2244">
        <v>761</v>
      </c>
      <c r="B2244">
        <v>679</v>
      </c>
      <c r="C2244" s="3">
        <v>44723</v>
      </c>
      <c r="D2244" s="3">
        <v>44757</v>
      </c>
      <c r="E2244">
        <v>10</v>
      </c>
    </row>
    <row r="2245" spans="1:5" x14ac:dyDescent="0.25">
      <c r="A2245">
        <v>961</v>
      </c>
      <c r="B2245">
        <v>840</v>
      </c>
      <c r="C2245" s="3">
        <v>44723</v>
      </c>
      <c r="D2245" s="3">
        <v>44764</v>
      </c>
      <c r="E2245">
        <v>8</v>
      </c>
    </row>
    <row r="2246" spans="1:5" x14ac:dyDescent="0.25">
      <c r="A2246">
        <v>139</v>
      </c>
      <c r="B2246">
        <v>282</v>
      </c>
      <c r="C2246" s="3">
        <v>44724</v>
      </c>
      <c r="D2246" s="3">
        <v>44763</v>
      </c>
      <c r="E2246">
        <v>3</v>
      </c>
    </row>
    <row r="2247" spans="1:5" x14ac:dyDescent="0.25">
      <c r="A2247">
        <v>141</v>
      </c>
      <c r="B2247">
        <v>812</v>
      </c>
      <c r="C2247" s="3">
        <v>44724</v>
      </c>
      <c r="D2247" s="3">
        <v>44729</v>
      </c>
      <c r="E2247">
        <v>9</v>
      </c>
    </row>
    <row r="2248" spans="1:5" x14ac:dyDescent="0.25">
      <c r="A2248">
        <v>142</v>
      </c>
      <c r="B2248">
        <v>530</v>
      </c>
      <c r="C2248" s="3">
        <v>44724</v>
      </c>
      <c r="D2248" s="3">
        <v>44765</v>
      </c>
      <c r="E2248">
        <v>1</v>
      </c>
    </row>
    <row r="2249" spans="1:5" x14ac:dyDescent="0.25">
      <c r="A2249">
        <v>146</v>
      </c>
      <c r="B2249">
        <v>683</v>
      </c>
      <c r="C2249" s="3">
        <v>44724</v>
      </c>
      <c r="D2249" s="3">
        <v>44764</v>
      </c>
      <c r="E2249">
        <v>6</v>
      </c>
    </row>
    <row r="2250" spans="1:5" x14ac:dyDescent="0.25">
      <c r="A2250">
        <v>190</v>
      </c>
      <c r="B2250">
        <v>792</v>
      </c>
      <c r="C2250" s="3">
        <v>44724</v>
      </c>
      <c r="D2250" s="3">
        <v>44767</v>
      </c>
      <c r="E2250">
        <v>1</v>
      </c>
    </row>
    <row r="2251" spans="1:5" x14ac:dyDescent="0.25">
      <c r="A2251">
        <v>224</v>
      </c>
      <c r="B2251">
        <v>698</v>
      </c>
      <c r="C2251" s="3">
        <v>44724</v>
      </c>
      <c r="D2251" s="3">
        <v>44757</v>
      </c>
      <c r="E2251">
        <v>7</v>
      </c>
    </row>
    <row r="2252" spans="1:5" x14ac:dyDescent="0.25">
      <c r="A2252">
        <v>302</v>
      </c>
      <c r="B2252">
        <v>201</v>
      </c>
      <c r="C2252" s="3">
        <v>44724</v>
      </c>
      <c r="D2252" s="3">
        <v>44734</v>
      </c>
      <c r="E2252">
        <v>6</v>
      </c>
    </row>
    <row r="2253" spans="1:5" x14ac:dyDescent="0.25">
      <c r="A2253">
        <v>332</v>
      </c>
      <c r="B2253">
        <v>759</v>
      </c>
      <c r="C2253" s="3">
        <v>44724</v>
      </c>
      <c r="D2253" s="3">
        <v>44767</v>
      </c>
      <c r="E2253">
        <v>10</v>
      </c>
    </row>
    <row r="2254" spans="1:5" x14ac:dyDescent="0.25">
      <c r="A2254">
        <v>467</v>
      </c>
      <c r="B2254">
        <v>745</v>
      </c>
      <c r="C2254" s="3">
        <v>44724</v>
      </c>
      <c r="D2254" s="3">
        <v>44764</v>
      </c>
      <c r="E2254">
        <v>5</v>
      </c>
    </row>
    <row r="2255" spans="1:5" x14ac:dyDescent="0.25">
      <c r="A2255">
        <v>467</v>
      </c>
      <c r="B2255">
        <v>810</v>
      </c>
      <c r="C2255" s="3">
        <v>44724</v>
      </c>
      <c r="D2255" s="3">
        <v>44737</v>
      </c>
      <c r="E2255">
        <v>5</v>
      </c>
    </row>
    <row r="2256" spans="1:5" x14ac:dyDescent="0.25">
      <c r="A2256">
        <v>500</v>
      </c>
      <c r="B2256">
        <v>758</v>
      </c>
      <c r="C2256" s="3">
        <v>44724</v>
      </c>
      <c r="D2256" s="3">
        <v>44741</v>
      </c>
      <c r="E2256">
        <v>4</v>
      </c>
    </row>
    <row r="2257" spans="1:5" x14ac:dyDescent="0.25">
      <c r="A2257">
        <v>527</v>
      </c>
      <c r="B2257">
        <v>374</v>
      </c>
      <c r="C2257" s="3">
        <v>44724</v>
      </c>
      <c r="D2257" s="3">
        <v>44740</v>
      </c>
      <c r="E2257">
        <v>4</v>
      </c>
    </row>
    <row r="2258" spans="1:5" x14ac:dyDescent="0.25">
      <c r="A2258">
        <v>651</v>
      </c>
      <c r="B2258">
        <v>699</v>
      </c>
      <c r="C2258" s="3">
        <v>44724</v>
      </c>
      <c r="D2258" s="3">
        <v>44759</v>
      </c>
      <c r="E2258">
        <v>10</v>
      </c>
    </row>
    <row r="2259" spans="1:5" x14ac:dyDescent="0.25">
      <c r="A2259">
        <v>843</v>
      </c>
      <c r="B2259">
        <v>805</v>
      </c>
      <c r="C2259" s="3">
        <v>44724</v>
      </c>
      <c r="D2259" s="3">
        <v>44754</v>
      </c>
      <c r="E2259">
        <v>5</v>
      </c>
    </row>
    <row r="2260" spans="1:5" x14ac:dyDescent="0.25">
      <c r="A2260">
        <v>983</v>
      </c>
      <c r="B2260">
        <v>759</v>
      </c>
      <c r="C2260" s="3">
        <v>44724</v>
      </c>
      <c r="D2260" s="3">
        <v>44756</v>
      </c>
      <c r="E2260">
        <v>8</v>
      </c>
    </row>
    <row r="2261" spans="1:5" x14ac:dyDescent="0.25">
      <c r="A2261">
        <v>112</v>
      </c>
      <c r="B2261">
        <v>792</v>
      </c>
      <c r="C2261" s="3">
        <v>44725</v>
      </c>
      <c r="D2261" s="3">
        <v>44729</v>
      </c>
      <c r="E2261">
        <v>2</v>
      </c>
    </row>
    <row r="2262" spans="1:5" x14ac:dyDescent="0.25">
      <c r="A2262">
        <v>190</v>
      </c>
      <c r="B2262">
        <v>689</v>
      </c>
      <c r="C2262" s="3">
        <v>44725</v>
      </c>
      <c r="D2262" s="3">
        <v>44752</v>
      </c>
      <c r="E2262">
        <v>7</v>
      </c>
    </row>
    <row r="2263" spans="1:5" x14ac:dyDescent="0.25">
      <c r="A2263">
        <v>254</v>
      </c>
      <c r="B2263">
        <v>582</v>
      </c>
      <c r="C2263" s="3">
        <v>44725</v>
      </c>
      <c r="D2263" s="3">
        <v>44735</v>
      </c>
      <c r="E2263">
        <v>9</v>
      </c>
    </row>
    <row r="2264" spans="1:5" x14ac:dyDescent="0.25">
      <c r="A2264">
        <v>284</v>
      </c>
      <c r="B2264">
        <v>239</v>
      </c>
      <c r="C2264" s="3">
        <v>44725</v>
      </c>
      <c r="D2264" s="3">
        <v>44765</v>
      </c>
      <c r="E2264">
        <v>1</v>
      </c>
    </row>
    <row r="2265" spans="1:5" x14ac:dyDescent="0.25">
      <c r="A2265">
        <v>285</v>
      </c>
      <c r="B2265">
        <v>373</v>
      </c>
      <c r="C2265" s="3">
        <v>44725</v>
      </c>
      <c r="D2265" s="3">
        <v>44746</v>
      </c>
      <c r="E2265">
        <v>5</v>
      </c>
    </row>
    <row r="2266" spans="1:5" x14ac:dyDescent="0.25">
      <c r="A2266">
        <v>302</v>
      </c>
      <c r="B2266">
        <v>582</v>
      </c>
      <c r="C2266" s="3">
        <v>44725</v>
      </c>
      <c r="D2266" s="3">
        <v>44757</v>
      </c>
      <c r="E2266">
        <v>10</v>
      </c>
    </row>
    <row r="2267" spans="1:5" x14ac:dyDescent="0.25">
      <c r="A2267">
        <v>312</v>
      </c>
      <c r="B2267">
        <v>740</v>
      </c>
      <c r="C2267" s="3">
        <v>44725</v>
      </c>
      <c r="D2267" s="3">
        <v>44740</v>
      </c>
      <c r="E2267">
        <v>2</v>
      </c>
    </row>
    <row r="2268" spans="1:5" x14ac:dyDescent="0.25">
      <c r="A2268">
        <v>362</v>
      </c>
      <c r="B2268">
        <v>769</v>
      </c>
      <c r="C2268" s="3">
        <v>44725</v>
      </c>
      <c r="D2268" s="3">
        <v>44758</v>
      </c>
      <c r="E2268">
        <v>4</v>
      </c>
    </row>
    <row r="2269" spans="1:5" x14ac:dyDescent="0.25">
      <c r="A2269">
        <v>467</v>
      </c>
      <c r="B2269">
        <v>594</v>
      </c>
      <c r="C2269" s="3">
        <v>44725</v>
      </c>
      <c r="D2269" s="3">
        <v>44741</v>
      </c>
      <c r="E2269">
        <v>9</v>
      </c>
    </row>
    <row r="2270" spans="1:5" x14ac:dyDescent="0.25">
      <c r="A2270">
        <v>468</v>
      </c>
      <c r="B2270">
        <v>852</v>
      </c>
      <c r="C2270" s="3">
        <v>44725</v>
      </c>
      <c r="D2270" s="3">
        <v>44738</v>
      </c>
      <c r="E2270">
        <v>6</v>
      </c>
    </row>
    <row r="2271" spans="1:5" x14ac:dyDescent="0.25">
      <c r="A2271">
        <v>526</v>
      </c>
      <c r="B2271">
        <v>710</v>
      </c>
      <c r="C2271" s="3">
        <v>44725</v>
      </c>
      <c r="D2271" s="3">
        <v>44744</v>
      </c>
      <c r="E2271">
        <v>7</v>
      </c>
    </row>
    <row r="2272" spans="1:5" x14ac:dyDescent="0.25">
      <c r="A2272">
        <v>580</v>
      </c>
      <c r="B2272">
        <v>515</v>
      </c>
      <c r="C2272" s="3">
        <v>44725</v>
      </c>
      <c r="D2272" s="3">
        <v>44750</v>
      </c>
      <c r="E2272">
        <v>8</v>
      </c>
    </row>
    <row r="2273" spans="1:5" x14ac:dyDescent="0.25">
      <c r="A2273">
        <v>609</v>
      </c>
      <c r="B2273">
        <v>849</v>
      </c>
      <c r="C2273" s="3">
        <v>44725</v>
      </c>
      <c r="D2273" s="3">
        <v>44768</v>
      </c>
      <c r="E2273">
        <v>2</v>
      </c>
    </row>
    <row r="2274" spans="1:5" x14ac:dyDescent="0.25">
      <c r="A2274">
        <v>730</v>
      </c>
      <c r="B2274">
        <v>853</v>
      </c>
      <c r="C2274" s="3">
        <v>44725</v>
      </c>
      <c r="D2274" s="3">
        <v>44741</v>
      </c>
      <c r="E2274">
        <v>9</v>
      </c>
    </row>
    <row r="2275" spans="1:5" x14ac:dyDescent="0.25">
      <c r="A2275">
        <v>843</v>
      </c>
      <c r="B2275">
        <v>673</v>
      </c>
      <c r="C2275" s="3">
        <v>44725</v>
      </c>
      <c r="D2275" s="3">
        <v>44754</v>
      </c>
      <c r="E2275">
        <v>7</v>
      </c>
    </row>
    <row r="2276" spans="1:5" x14ac:dyDescent="0.25">
      <c r="A2276">
        <v>22</v>
      </c>
      <c r="B2276">
        <v>689</v>
      </c>
      <c r="C2276" s="3">
        <v>44726</v>
      </c>
      <c r="D2276" s="3">
        <v>44741</v>
      </c>
      <c r="E2276">
        <v>3</v>
      </c>
    </row>
    <row r="2277" spans="1:5" x14ac:dyDescent="0.25">
      <c r="A2277">
        <v>112</v>
      </c>
      <c r="B2277">
        <v>853</v>
      </c>
      <c r="C2277" s="3">
        <v>44726</v>
      </c>
      <c r="D2277" s="3">
        <v>44752</v>
      </c>
      <c r="E2277">
        <v>9</v>
      </c>
    </row>
    <row r="2278" spans="1:5" x14ac:dyDescent="0.25">
      <c r="A2278">
        <v>284</v>
      </c>
      <c r="B2278">
        <v>711</v>
      </c>
      <c r="C2278" s="3">
        <v>44726</v>
      </c>
      <c r="D2278" s="3">
        <v>44733</v>
      </c>
      <c r="E2278">
        <v>9</v>
      </c>
    </row>
    <row r="2279" spans="1:5" x14ac:dyDescent="0.25">
      <c r="A2279">
        <v>284</v>
      </c>
      <c r="B2279">
        <v>843</v>
      </c>
      <c r="C2279" s="3">
        <v>44726</v>
      </c>
      <c r="D2279" s="3">
        <v>44762</v>
      </c>
      <c r="E2279">
        <v>9</v>
      </c>
    </row>
    <row r="2280" spans="1:5" x14ac:dyDescent="0.25">
      <c r="A2280">
        <v>332</v>
      </c>
      <c r="B2280">
        <v>652</v>
      </c>
      <c r="C2280" s="3">
        <v>44726</v>
      </c>
      <c r="D2280" s="3">
        <v>44750</v>
      </c>
      <c r="E2280">
        <v>6</v>
      </c>
    </row>
    <row r="2281" spans="1:5" x14ac:dyDescent="0.25">
      <c r="A2281">
        <v>543</v>
      </c>
      <c r="B2281">
        <v>186</v>
      </c>
      <c r="C2281" s="3">
        <v>44726</v>
      </c>
      <c r="D2281" s="3">
        <v>44743</v>
      </c>
      <c r="E2281">
        <v>3</v>
      </c>
    </row>
    <row r="2282" spans="1:5" x14ac:dyDescent="0.25">
      <c r="A2282">
        <v>609</v>
      </c>
      <c r="B2282">
        <v>213</v>
      </c>
      <c r="C2282" s="3">
        <v>44726</v>
      </c>
      <c r="D2282" s="3">
        <v>44746</v>
      </c>
      <c r="E2282">
        <v>1</v>
      </c>
    </row>
    <row r="2283" spans="1:5" x14ac:dyDescent="0.25">
      <c r="A2283">
        <v>610</v>
      </c>
      <c r="B2283">
        <v>787</v>
      </c>
      <c r="C2283" s="3">
        <v>44726</v>
      </c>
      <c r="D2283" s="3">
        <v>44738</v>
      </c>
      <c r="E2283">
        <v>3</v>
      </c>
    </row>
    <row r="2284" spans="1:5" x14ac:dyDescent="0.25">
      <c r="A2284">
        <v>611</v>
      </c>
      <c r="B2284">
        <v>757</v>
      </c>
      <c r="C2284" s="3">
        <v>44726</v>
      </c>
      <c r="D2284" s="3">
        <v>44739</v>
      </c>
      <c r="E2284">
        <v>7</v>
      </c>
    </row>
    <row r="2285" spans="1:5" x14ac:dyDescent="0.25">
      <c r="A2285">
        <v>669</v>
      </c>
      <c r="B2285">
        <v>810</v>
      </c>
      <c r="C2285" s="3">
        <v>44726</v>
      </c>
      <c r="D2285" s="3">
        <v>44737</v>
      </c>
      <c r="E2285">
        <v>10</v>
      </c>
    </row>
    <row r="2286" spans="1:5" x14ac:dyDescent="0.25">
      <c r="A2286">
        <v>750</v>
      </c>
      <c r="B2286">
        <v>710</v>
      </c>
      <c r="C2286" s="3">
        <v>44726</v>
      </c>
      <c r="D2286" s="3">
        <v>44768</v>
      </c>
      <c r="E2286">
        <v>5</v>
      </c>
    </row>
    <row r="2287" spans="1:5" x14ac:dyDescent="0.25">
      <c r="A2287">
        <v>906</v>
      </c>
      <c r="B2287">
        <v>758</v>
      </c>
      <c r="C2287" s="3">
        <v>44726</v>
      </c>
      <c r="D2287" s="3">
        <v>44746</v>
      </c>
      <c r="E2287">
        <v>9</v>
      </c>
    </row>
    <row r="2288" spans="1:5" x14ac:dyDescent="0.25">
      <c r="A2288">
        <v>923</v>
      </c>
      <c r="B2288">
        <v>726</v>
      </c>
      <c r="C2288" s="3">
        <v>44726</v>
      </c>
      <c r="D2288" s="3">
        <v>44735</v>
      </c>
      <c r="E2288">
        <v>7</v>
      </c>
    </row>
    <row r="2289" spans="1:5" x14ac:dyDescent="0.25">
      <c r="A2289">
        <v>139</v>
      </c>
      <c r="B2289">
        <v>702</v>
      </c>
      <c r="C2289" s="3">
        <v>44727</v>
      </c>
      <c r="D2289" s="3">
        <v>44730</v>
      </c>
      <c r="E2289">
        <v>1</v>
      </c>
    </row>
    <row r="2290" spans="1:5" x14ac:dyDescent="0.25">
      <c r="A2290">
        <v>146</v>
      </c>
      <c r="B2290">
        <v>316</v>
      </c>
      <c r="C2290" s="3">
        <v>44727</v>
      </c>
      <c r="D2290" s="3">
        <v>44751</v>
      </c>
      <c r="E2290">
        <v>1</v>
      </c>
    </row>
    <row r="2291" spans="1:5" x14ac:dyDescent="0.25">
      <c r="A2291">
        <v>146</v>
      </c>
      <c r="B2291">
        <v>719</v>
      </c>
      <c r="C2291" s="3">
        <v>44727</v>
      </c>
      <c r="D2291" s="3">
        <v>44757</v>
      </c>
      <c r="E2291">
        <v>6</v>
      </c>
    </row>
    <row r="2292" spans="1:5" x14ac:dyDescent="0.25">
      <c r="A2292">
        <v>200</v>
      </c>
      <c r="B2292">
        <v>583</v>
      </c>
      <c r="C2292" s="3">
        <v>44727</v>
      </c>
      <c r="D2292" s="3">
        <v>44741</v>
      </c>
      <c r="E2292">
        <v>5</v>
      </c>
    </row>
    <row r="2293" spans="1:5" x14ac:dyDescent="0.25">
      <c r="A2293">
        <v>308</v>
      </c>
      <c r="B2293">
        <v>769</v>
      </c>
      <c r="C2293" s="3">
        <v>44727</v>
      </c>
      <c r="D2293" s="3">
        <v>44742</v>
      </c>
      <c r="E2293">
        <v>6</v>
      </c>
    </row>
    <row r="2294" spans="1:5" x14ac:dyDescent="0.25">
      <c r="A2294">
        <v>323</v>
      </c>
      <c r="B2294">
        <v>694</v>
      </c>
      <c r="C2294" s="3">
        <v>44727</v>
      </c>
      <c r="D2294" s="3">
        <v>44760</v>
      </c>
      <c r="E2294">
        <v>5</v>
      </c>
    </row>
    <row r="2295" spans="1:5" x14ac:dyDescent="0.25">
      <c r="A2295">
        <v>329</v>
      </c>
      <c r="B2295">
        <v>817</v>
      </c>
      <c r="C2295" s="3">
        <v>44727</v>
      </c>
      <c r="D2295" s="3">
        <v>44757</v>
      </c>
      <c r="E2295">
        <v>9</v>
      </c>
    </row>
    <row r="2296" spans="1:5" x14ac:dyDescent="0.25">
      <c r="A2296">
        <v>334</v>
      </c>
      <c r="B2296">
        <v>813</v>
      </c>
      <c r="C2296" s="3">
        <v>44727</v>
      </c>
      <c r="D2296" s="3">
        <v>44743</v>
      </c>
      <c r="E2296">
        <v>7</v>
      </c>
    </row>
    <row r="2297" spans="1:5" x14ac:dyDescent="0.25">
      <c r="A2297">
        <v>491</v>
      </c>
      <c r="B2297">
        <v>805</v>
      </c>
      <c r="C2297" s="3">
        <v>44727</v>
      </c>
      <c r="D2297" s="3">
        <v>44734</v>
      </c>
      <c r="E2297">
        <v>9</v>
      </c>
    </row>
    <row r="2298" spans="1:5" x14ac:dyDescent="0.25">
      <c r="A2298">
        <v>543</v>
      </c>
      <c r="B2298">
        <v>701</v>
      </c>
      <c r="C2298" s="3">
        <v>44727</v>
      </c>
      <c r="D2298" s="3">
        <v>44741</v>
      </c>
      <c r="E2298">
        <v>7</v>
      </c>
    </row>
    <row r="2299" spans="1:5" x14ac:dyDescent="0.25">
      <c r="A2299">
        <v>546</v>
      </c>
      <c r="B2299">
        <v>787</v>
      </c>
      <c r="C2299" s="3">
        <v>44727</v>
      </c>
      <c r="D2299" s="3">
        <v>44759</v>
      </c>
      <c r="E2299">
        <v>2</v>
      </c>
    </row>
    <row r="2300" spans="1:5" x14ac:dyDescent="0.25">
      <c r="A2300">
        <v>557</v>
      </c>
      <c r="B2300">
        <v>701</v>
      </c>
      <c r="C2300" s="3">
        <v>44727</v>
      </c>
      <c r="D2300" s="3">
        <v>44739</v>
      </c>
      <c r="E2300">
        <v>2</v>
      </c>
    </row>
    <row r="2301" spans="1:5" x14ac:dyDescent="0.25">
      <c r="A2301">
        <v>561</v>
      </c>
      <c r="B2301">
        <v>316</v>
      </c>
      <c r="C2301" s="3">
        <v>44727</v>
      </c>
      <c r="D2301" s="3">
        <v>44737</v>
      </c>
      <c r="E2301">
        <v>5</v>
      </c>
    </row>
    <row r="2302" spans="1:5" x14ac:dyDescent="0.25">
      <c r="A2302">
        <v>567</v>
      </c>
      <c r="B2302">
        <v>719</v>
      </c>
      <c r="C2302" s="3">
        <v>44727</v>
      </c>
      <c r="D2302" s="3">
        <v>44734</v>
      </c>
      <c r="E2302">
        <v>7</v>
      </c>
    </row>
    <row r="2303" spans="1:5" x14ac:dyDescent="0.25">
      <c r="A2303">
        <v>750</v>
      </c>
      <c r="B2303">
        <v>145</v>
      </c>
      <c r="C2303" s="3">
        <v>44727</v>
      </c>
      <c r="D2303" s="3">
        <v>44743</v>
      </c>
      <c r="E2303">
        <v>3</v>
      </c>
    </row>
    <row r="2304" spans="1:5" x14ac:dyDescent="0.25">
      <c r="A2304">
        <v>158</v>
      </c>
      <c r="B2304">
        <v>852</v>
      </c>
      <c r="C2304" s="3">
        <v>44728</v>
      </c>
      <c r="D2304" s="3">
        <v>44750</v>
      </c>
      <c r="E2304">
        <v>2</v>
      </c>
    </row>
    <row r="2305" spans="1:5" x14ac:dyDescent="0.25">
      <c r="A2305">
        <v>224</v>
      </c>
      <c r="B2305">
        <v>607</v>
      </c>
      <c r="C2305" s="3">
        <v>44728</v>
      </c>
      <c r="D2305" s="3">
        <v>44761</v>
      </c>
      <c r="E2305">
        <v>6</v>
      </c>
    </row>
    <row r="2306" spans="1:5" x14ac:dyDescent="0.25">
      <c r="A2306">
        <v>232</v>
      </c>
      <c r="B2306">
        <v>330</v>
      </c>
      <c r="C2306" s="3">
        <v>44728</v>
      </c>
      <c r="D2306" s="3">
        <v>44736</v>
      </c>
      <c r="E2306">
        <v>7</v>
      </c>
    </row>
    <row r="2307" spans="1:5" x14ac:dyDescent="0.25">
      <c r="A2307">
        <v>308</v>
      </c>
      <c r="B2307">
        <v>316</v>
      </c>
      <c r="C2307" s="3">
        <v>44728</v>
      </c>
      <c r="D2307" s="3">
        <v>44730</v>
      </c>
      <c r="E2307">
        <v>9</v>
      </c>
    </row>
    <row r="2308" spans="1:5" x14ac:dyDescent="0.25">
      <c r="A2308">
        <v>330</v>
      </c>
      <c r="B2308">
        <v>145</v>
      </c>
      <c r="C2308" s="3">
        <v>44728</v>
      </c>
      <c r="D2308" s="3">
        <v>44760</v>
      </c>
      <c r="E2308">
        <v>10</v>
      </c>
    </row>
    <row r="2309" spans="1:5" x14ac:dyDescent="0.25">
      <c r="A2309">
        <v>331</v>
      </c>
      <c r="B2309">
        <v>543</v>
      </c>
      <c r="C2309" s="3">
        <v>44728</v>
      </c>
      <c r="D2309" s="3">
        <v>44738</v>
      </c>
      <c r="E2309">
        <v>8</v>
      </c>
    </row>
    <row r="2310" spans="1:5" x14ac:dyDescent="0.25">
      <c r="A2310">
        <v>334</v>
      </c>
      <c r="B2310">
        <v>330</v>
      </c>
      <c r="C2310" s="3">
        <v>44728</v>
      </c>
      <c r="D2310" s="3">
        <v>44766</v>
      </c>
      <c r="E2310">
        <v>8</v>
      </c>
    </row>
    <row r="2311" spans="1:5" x14ac:dyDescent="0.25">
      <c r="A2311">
        <v>334</v>
      </c>
      <c r="B2311">
        <v>607</v>
      </c>
      <c r="C2311" s="3">
        <v>44728</v>
      </c>
      <c r="D2311" s="3">
        <v>44763</v>
      </c>
      <c r="E2311">
        <v>7</v>
      </c>
    </row>
    <row r="2312" spans="1:5" x14ac:dyDescent="0.25">
      <c r="A2312">
        <v>334</v>
      </c>
      <c r="B2312">
        <v>673</v>
      </c>
      <c r="C2312" s="3">
        <v>44728</v>
      </c>
      <c r="D2312" s="3">
        <v>44748</v>
      </c>
      <c r="E2312">
        <v>3</v>
      </c>
    </row>
    <row r="2313" spans="1:5" x14ac:dyDescent="0.25">
      <c r="A2313">
        <v>526</v>
      </c>
      <c r="B2313">
        <v>862</v>
      </c>
      <c r="C2313" s="3">
        <v>44728</v>
      </c>
      <c r="D2313" s="3">
        <v>44731</v>
      </c>
      <c r="E2313">
        <v>5</v>
      </c>
    </row>
    <row r="2314" spans="1:5" x14ac:dyDescent="0.25">
      <c r="A2314">
        <v>567</v>
      </c>
      <c r="B2314">
        <v>707</v>
      </c>
      <c r="C2314" s="3">
        <v>44728</v>
      </c>
      <c r="D2314" s="3">
        <v>44735</v>
      </c>
      <c r="E2314">
        <v>9</v>
      </c>
    </row>
    <row r="2315" spans="1:5" x14ac:dyDescent="0.25">
      <c r="A2315">
        <v>570</v>
      </c>
      <c r="B2315">
        <v>683</v>
      </c>
      <c r="C2315" s="3">
        <v>44728</v>
      </c>
      <c r="D2315" s="3">
        <v>44762</v>
      </c>
      <c r="E2315">
        <v>1</v>
      </c>
    </row>
    <row r="2316" spans="1:5" x14ac:dyDescent="0.25">
      <c r="A2316">
        <v>600</v>
      </c>
      <c r="B2316">
        <v>787</v>
      </c>
      <c r="C2316" s="3">
        <v>44728</v>
      </c>
      <c r="D2316" s="3">
        <v>44753</v>
      </c>
      <c r="E2316">
        <v>4</v>
      </c>
    </row>
    <row r="2317" spans="1:5" x14ac:dyDescent="0.25">
      <c r="A2317">
        <v>634</v>
      </c>
      <c r="B2317">
        <v>812</v>
      </c>
      <c r="C2317" s="3">
        <v>44728</v>
      </c>
      <c r="D2317" s="3">
        <v>44738</v>
      </c>
      <c r="E2317">
        <v>2</v>
      </c>
    </row>
    <row r="2318" spans="1:5" x14ac:dyDescent="0.25">
      <c r="A2318">
        <v>841</v>
      </c>
      <c r="B2318">
        <v>358</v>
      </c>
      <c r="C2318" s="3">
        <v>44728</v>
      </c>
      <c r="D2318" s="3">
        <v>44741</v>
      </c>
      <c r="E2318">
        <v>6</v>
      </c>
    </row>
    <row r="2319" spans="1:5" x14ac:dyDescent="0.25">
      <c r="A2319">
        <v>906</v>
      </c>
      <c r="B2319">
        <v>358</v>
      </c>
      <c r="C2319" s="3">
        <v>44728</v>
      </c>
      <c r="D2319" s="3">
        <v>44770</v>
      </c>
      <c r="E2319">
        <v>4</v>
      </c>
    </row>
    <row r="2320" spans="1:5" x14ac:dyDescent="0.25">
      <c r="A2320">
        <v>66</v>
      </c>
      <c r="B2320">
        <v>698</v>
      </c>
      <c r="C2320" s="3">
        <v>44729</v>
      </c>
      <c r="D2320" s="3">
        <v>44734</v>
      </c>
      <c r="E2320">
        <v>2</v>
      </c>
    </row>
    <row r="2321" spans="1:5" x14ac:dyDescent="0.25">
      <c r="A2321">
        <v>81</v>
      </c>
      <c r="B2321">
        <v>681</v>
      </c>
      <c r="C2321" s="3">
        <v>44729</v>
      </c>
      <c r="D2321" s="3">
        <v>44754</v>
      </c>
      <c r="E2321">
        <v>4</v>
      </c>
    </row>
    <row r="2322" spans="1:5" x14ac:dyDescent="0.25">
      <c r="A2322">
        <v>254</v>
      </c>
      <c r="B2322">
        <v>834</v>
      </c>
      <c r="C2322" s="3">
        <v>44729</v>
      </c>
      <c r="D2322" s="3">
        <v>44745</v>
      </c>
      <c r="E2322">
        <v>7</v>
      </c>
    </row>
    <row r="2323" spans="1:5" x14ac:dyDescent="0.25">
      <c r="A2323">
        <v>332</v>
      </c>
      <c r="B2323">
        <v>398</v>
      </c>
      <c r="C2323" s="3">
        <v>44729</v>
      </c>
      <c r="D2323" s="3">
        <v>44757</v>
      </c>
      <c r="E2323">
        <v>2</v>
      </c>
    </row>
    <row r="2324" spans="1:5" x14ac:dyDescent="0.25">
      <c r="A2324">
        <v>333</v>
      </c>
      <c r="B2324">
        <v>177</v>
      </c>
      <c r="C2324" s="3">
        <v>44729</v>
      </c>
      <c r="D2324" s="3">
        <v>44731</v>
      </c>
      <c r="E2324">
        <v>2</v>
      </c>
    </row>
    <row r="2325" spans="1:5" x14ac:dyDescent="0.25">
      <c r="A2325">
        <v>527</v>
      </c>
      <c r="B2325">
        <v>590</v>
      </c>
      <c r="C2325" s="3">
        <v>44729</v>
      </c>
      <c r="D2325" s="3">
        <v>44734</v>
      </c>
      <c r="E2325">
        <v>6</v>
      </c>
    </row>
    <row r="2326" spans="1:5" x14ac:dyDescent="0.25">
      <c r="A2326">
        <v>580</v>
      </c>
      <c r="B2326">
        <v>580</v>
      </c>
      <c r="C2326" s="3">
        <v>44729</v>
      </c>
      <c r="D2326" s="3">
        <v>44743</v>
      </c>
      <c r="E2326">
        <v>9</v>
      </c>
    </row>
    <row r="2327" spans="1:5" x14ac:dyDescent="0.25">
      <c r="A2327">
        <v>586</v>
      </c>
      <c r="B2327">
        <v>692</v>
      </c>
      <c r="C2327" s="3">
        <v>44729</v>
      </c>
      <c r="D2327" s="3">
        <v>44744</v>
      </c>
      <c r="E2327">
        <v>8</v>
      </c>
    </row>
    <row r="2328" spans="1:5" x14ac:dyDescent="0.25">
      <c r="A2328">
        <v>594</v>
      </c>
      <c r="B2328">
        <v>643</v>
      </c>
      <c r="C2328" s="3">
        <v>44729</v>
      </c>
      <c r="D2328" s="3">
        <v>44753</v>
      </c>
      <c r="E2328">
        <v>9</v>
      </c>
    </row>
    <row r="2329" spans="1:5" x14ac:dyDescent="0.25">
      <c r="A2329">
        <v>602</v>
      </c>
      <c r="B2329">
        <v>762</v>
      </c>
      <c r="C2329" s="3">
        <v>44729</v>
      </c>
      <c r="D2329" s="3">
        <v>44741</v>
      </c>
      <c r="E2329">
        <v>5</v>
      </c>
    </row>
    <row r="2330" spans="1:5" x14ac:dyDescent="0.25">
      <c r="A2330">
        <v>634</v>
      </c>
      <c r="B2330">
        <v>849</v>
      </c>
      <c r="C2330" s="3">
        <v>44729</v>
      </c>
      <c r="D2330" s="3">
        <v>44744</v>
      </c>
      <c r="E2330">
        <v>6</v>
      </c>
    </row>
    <row r="2331" spans="1:5" x14ac:dyDescent="0.25">
      <c r="A2331">
        <v>657</v>
      </c>
      <c r="B2331">
        <v>862</v>
      </c>
      <c r="C2331" s="3">
        <v>44729</v>
      </c>
      <c r="D2331" s="3">
        <v>44731</v>
      </c>
      <c r="E2331">
        <v>7</v>
      </c>
    </row>
    <row r="2332" spans="1:5" x14ac:dyDescent="0.25">
      <c r="A2332">
        <v>843</v>
      </c>
      <c r="B2332">
        <v>530</v>
      </c>
      <c r="C2332" s="3">
        <v>44729</v>
      </c>
      <c r="D2332" s="3">
        <v>44750</v>
      </c>
      <c r="E2332">
        <v>5</v>
      </c>
    </row>
    <row r="2333" spans="1:5" x14ac:dyDescent="0.25">
      <c r="A2333">
        <v>249</v>
      </c>
      <c r="B2333">
        <v>196</v>
      </c>
      <c r="C2333" s="3">
        <v>44730</v>
      </c>
      <c r="D2333" s="3">
        <v>44774</v>
      </c>
      <c r="E2333">
        <v>7</v>
      </c>
    </row>
    <row r="2334" spans="1:5" x14ac:dyDescent="0.25">
      <c r="A2334">
        <v>334</v>
      </c>
      <c r="B2334">
        <v>701</v>
      </c>
      <c r="C2334" s="3">
        <v>44730</v>
      </c>
      <c r="D2334" s="3">
        <v>44735</v>
      </c>
      <c r="E2334">
        <v>1</v>
      </c>
    </row>
    <row r="2335" spans="1:5" x14ac:dyDescent="0.25">
      <c r="A2335">
        <v>364</v>
      </c>
      <c r="B2335">
        <v>479</v>
      </c>
      <c r="C2335" s="3">
        <v>44730</v>
      </c>
      <c r="D2335" s="3">
        <v>44754</v>
      </c>
      <c r="E2335">
        <v>1</v>
      </c>
    </row>
    <row r="2336" spans="1:5" x14ac:dyDescent="0.25">
      <c r="A2336">
        <v>412</v>
      </c>
      <c r="B2336">
        <v>702</v>
      </c>
      <c r="C2336" s="3">
        <v>44730</v>
      </c>
      <c r="D2336" s="3">
        <v>44740</v>
      </c>
      <c r="E2336">
        <v>5</v>
      </c>
    </row>
    <row r="2337" spans="1:5" x14ac:dyDescent="0.25">
      <c r="A2337">
        <v>468</v>
      </c>
      <c r="B2337">
        <v>817</v>
      </c>
      <c r="C2337" s="3">
        <v>44730</v>
      </c>
      <c r="D2337" s="3">
        <v>44745</v>
      </c>
      <c r="E2337">
        <v>6</v>
      </c>
    </row>
    <row r="2338" spans="1:5" x14ac:dyDescent="0.25">
      <c r="A2338">
        <v>474</v>
      </c>
      <c r="B2338">
        <v>607</v>
      </c>
      <c r="C2338" s="3">
        <v>44730</v>
      </c>
      <c r="D2338" s="3">
        <v>44749</v>
      </c>
      <c r="E2338">
        <v>8</v>
      </c>
    </row>
    <row r="2339" spans="1:5" x14ac:dyDescent="0.25">
      <c r="A2339">
        <v>491</v>
      </c>
      <c r="B2339">
        <v>719</v>
      </c>
      <c r="C2339" s="3">
        <v>44730</v>
      </c>
      <c r="D2339" s="3">
        <v>44744</v>
      </c>
      <c r="E2339">
        <v>9</v>
      </c>
    </row>
    <row r="2340" spans="1:5" x14ac:dyDescent="0.25">
      <c r="A2340">
        <v>500</v>
      </c>
      <c r="B2340">
        <v>331</v>
      </c>
      <c r="C2340" s="3">
        <v>44730</v>
      </c>
      <c r="D2340" s="3">
        <v>44767</v>
      </c>
      <c r="E2340">
        <v>7</v>
      </c>
    </row>
    <row r="2341" spans="1:5" x14ac:dyDescent="0.25">
      <c r="A2341">
        <v>531</v>
      </c>
      <c r="B2341">
        <v>867</v>
      </c>
      <c r="C2341" s="3">
        <v>44730</v>
      </c>
      <c r="D2341" s="3">
        <v>44739</v>
      </c>
      <c r="E2341">
        <v>3</v>
      </c>
    </row>
    <row r="2342" spans="1:5" x14ac:dyDescent="0.25">
      <c r="A2342">
        <v>540</v>
      </c>
      <c r="B2342">
        <v>219</v>
      </c>
      <c r="C2342" s="3">
        <v>44730</v>
      </c>
      <c r="D2342" s="3">
        <v>44742</v>
      </c>
      <c r="E2342">
        <v>6</v>
      </c>
    </row>
    <row r="2343" spans="1:5" x14ac:dyDescent="0.25">
      <c r="A2343">
        <v>544</v>
      </c>
      <c r="B2343">
        <v>747</v>
      </c>
      <c r="C2343" s="3">
        <v>44730</v>
      </c>
      <c r="D2343" s="3">
        <v>44760</v>
      </c>
      <c r="E2343">
        <v>7</v>
      </c>
    </row>
    <row r="2344" spans="1:5" x14ac:dyDescent="0.25">
      <c r="A2344">
        <v>561</v>
      </c>
      <c r="B2344">
        <v>145</v>
      </c>
      <c r="C2344" s="3">
        <v>44730</v>
      </c>
      <c r="D2344" s="3">
        <v>44761</v>
      </c>
      <c r="E2344">
        <v>9</v>
      </c>
    </row>
    <row r="2345" spans="1:5" x14ac:dyDescent="0.25">
      <c r="A2345">
        <v>568</v>
      </c>
      <c r="B2345">
        <v>707</v>
      </c>
      <c r="C2345" s="3">
        <v>44730</v>
      </c>
      <c r="D2345" s="3">
        <v>44734</v>
      </c>
      <c r="E2345">
        <v>3</v>
      </c>
    </row>
    <row r="2346" spans="1:5" x14ac:dyDescent="0.25">
      <c r="A2346">
        <v>634</v>
      </c>
      <c r="B2346">
        <v>740</v>
      </c>
      <c r="C2346" s="3">
        <v>44730</v>
      </c>
      <c r="D2346" s="3">
        <v>44771</v>
      </c>
      <c r="E2346">
        <v>7</v>
      </c>
    </row>
    <row r="2347" spans="1:5" x14ac:dyDescent="0.25">
      <c r="A2347">
        <v>972</v>
      </c>
      <c r="B2347">
        <v>747</v>
      </c>
      <c r="C2347" s="3">
        <v>44730</v>
      </c>
      <c r="D2347" s="3">
        <v>44761</v>
      </c>
      <c r="E2347">
        <v>5</v>
      </c>
    </row>
    <row r="2348" spans="1:5" x14ac:dyDescent="0.25">
      <c r="A2348">
        <v>46</v>
      </c>
      <c r="B2348">
        <v>676</v>
      </c>
      <c r="C2348" s="3">
        <v>44731</v>
      </c>
      <c r="D2348" s="3">
        <v>44734</v>
      </c>
      <c r="E2348">
        <v>6</v>
      </c>
    </row>
    <row r="2349" spans="1:5" x14ac:dyDescent="0.25">
      <c r="A2349">
        <v>142</v>
      </c>
      <c r="B2349">
        <v>732</v>
      </c>
      <c r="C2349" s="3">
        <v>44731</v>
      </c>
      <c r="D2349" s="3">
        <v>44764</v>
      </c>
      <c r="E2349">
        <v>7</v>
      </c>
    </row>
    <row r="2350" spans="1:5" x14ac:dyDescent="0.25">
      <c r="A2350">
        <v>158</v>
      </c>
      <c r="B2350">
        <v>436</v>
      </c>
      <c r="C2350" s="3">
        <v>44731</v>
      </c>
      <c r="D2350" s="3">
        <v>44754</v>
      </c>
      <c r="E2350">
        <v>3</v>
      </c>
    </row>
    <row r="2351" spans="1:5" x14ac:dyDescent="0.25">
      <c r="A2351">
        <v>190</v>
      </c>
      <c r="B2351">
        <v>787</v>
      </c>
      <c r="C2351" s="3">
        <v>44731</v>
      </c>
      <c r="D2351" s="3">
        <v>44740</v>
      </c>
      <c r="E2351">
        <v>8</v>
      </c>
    </row>
    <row r="2352" spans="1:5" x14ac:dyDescent="0.25">
      <c r="A2352">
        <v>573</v>
      </c>
      <c r="B2352">
        <v>778</v>
      </c>
      <c r="C2352" s="3">
        <v>44731</v>
      </c>
      <c r="D2352" s="3">
        <v>44762</v>
      </c>
      <c r="E2352">
        <v>4</v>
      </c>
    </row>
    <row r="2353" spans="1:5" x14ac:dyDescent="0.25">
      <c r="A2353">
        <v>580</v>
      </c>
      <c r="B2353">
        <v>464</v>
      </c>
      <c r="C2353" s="3">
        <v>44731</v>
      </c>
      <c r="D2353" s="3">
        <v>44764</v>
      </c>
      <c r="E2353">
        <v>4</v>
      </c>
    </row>
    <row r="2354" spans="1:5" x14ac:dyDescent="0.25">
      <c r="A2354">
        <v>651</v>
      </c>
      <c r="B2354">
        <v>810</v>
      </c>
      <c r="C2354" s="3">
        <v>44731</v>
      </c>
      <c r="D2354" s="3">
        <v>44767</v>
      </c>
      <c r="E2354">
        <v>8</v>
      </c>
    </row>
    <row r="2355" spans="1:5" x14ac:dyDescent="0.25">
      <c r="A2355">
        <v>758</v>
      </c>
      <c r="B2355">
        <v>667</v>
      </c>
      <c r="C2355" s="3">
        <v>44731</v>
      </c>
      <c r="D2355" s="3">
        <v>44746</v>
      </c>
      <c r="E2355">
        <v>1</v>
      </c>
    </row>
    <row r="2356" spans="1:5" x14ac:dyDescent="0.25">
      <c r="A2356">
        <v>841</v>
      </c>
      <c r="B2356">
        <v>607</v>
      </c>
      <c r="C2356" s="3">
        <v>44731</v>
      </c>
      <c r="D2356" s="3">
        <v>44775</v>
      </c>
      <c r="E2356">
        <v>3</v>
      </c>
    </row>
    <row r="2357" spans="1:5" x14ac:dyDescent="0.25">
      <c r="A2357">
        <v>906</v>
      </c>
      <c r="B2357">
        <v>745</v>
      </c>
      <c r="C2357" s="3">
        <v>44731</v>
      </c>
      <c r="D2357" s="3">
        <v>44753</v>
      </c>
      <c r="E2357">
        <v>10</v>
      </c>
    </row>
    <row r="2358" spans="1:5" x14ac:dyDescent="0.25">
      <c r="A2358">
        <v>972</v>
      </c>
      <c r="B2358">
        <v>810</v>
      </c>
      <c r="C2358" s="3">
        <v>44731</v>
      </c>
      <c r="D2358" s="3">
        <v>44757</v>
      </c>
      <c r="E2358">
        <v>5</v>
      </c>
    </row>
    <row r="2359" spans="1:5" x14ac:dyDescent="0.25">
      <c r="A2359">
        <v>249</v>
      </c>
      <c r="B2359">
        <v>757</v>
      </c>
      <c r="C2359" s="3">
        <v>44732</v>
      </c>
      <c r="D2359" s="3">
        <v>44762</v>
      </c>
      <c r="E2359">
        <v>5</v>
      </c>
    </row>
    <row r="2360" spans="1:5" x14ac:dyDescent="0.25">
      <c r="A2360">
        <v>302</v>
      </c>
      <c r="B2360">
        <v>696</v>
      </c>
      <c r="C2360" s="3">
        <v>44732</v>
      </c>
      <c r="D2360" s="3">
        <v>44769</v>
      </c>
      <c r="E2360">
        <v>1</v>
      </c>
    </row>
    <row r="2361" spans="1:5" x14ac:dyDescent="0.25">
      <c r="A2361">
        <v>334</v>
      </c>
      <c r="B2361">
        <v>757</v>
      </c>
      <c r="C2361" s="3">
        <v>44732</v>
      </c>
      <c r="D2361" s="3">
        <v>44734</v>
      </c>
      <c r="E2361">
        <v>6</v>
      </c>
    </row>
    <row r="2362" spans="1:5" x14ac:dyDescent="0.25">
      <c r="A2362">
        <v>364</v>
      </c>
      <c r="B2362">
        <v>673</v>
      </c>
      <c r="C2362" s="3">
        <v>44732</v>
      </c>
      <c r="D2362" s="3">
        <v>44737</v>
      </c>
      <c r="E2362">
        <v>6</v>
      </c>
    </row>
    <row r="2363" spans="1:5" x14ac:dyDescent="0.25">
      <c r="A2363">
        <v>390</v>
      </c>
      <c r="B2363">
        <v>201</v>
      </c>
      <c r="C2363" s="3">
        <v>44732</v>
      </c>
      <c r="D2363" s="3">
        <v>44770</v>
      </c>
      <c r="E2363">
        <v>10</v>
      </c>
    </row>
    <row r="2364" spans="1:5" x14ac:dyDescent="0.25">
      <c r="A2364">
        <v>390</v>
      </c>
      <c r="B2364">
        <v>668</v>
      </c>
      <c r="C2364" s="3">
        <v>44732</v>
      </c>
      <c r="D2364" s="3">
        <v>44748</v>
      </c>
      <c r="E2364">
        <v>1</v>
      </c>
    </row>
    <row r="2365" spans="1:5" x14ac:dyDescent="0.25">
      <c r="A2365">
        <v>448</v>
      </c>
      <c r="B2365">
        <v>685</v>
      </c>
      <c r="C2365" s="3">
        <v>44732</v>
      </c>
      <c r="D2365" s="3">
        <v>44760</v>
      </c>
      <c r="E2365">
        <v>4</v>
      </c>
    </row>
    <row r="2366" spans="1:5" x14ac:dyDescent="0.25">
      <c r="A2366">
        <v>467</v>
      </c>
      <c r="B2366">
        <v>710</v>
      </c>
      <c r="C2366" s="3">
        <v>44732</v>
      </c>
      <c r="D2366" s="3">
        <v>44761</v>
      </c>
      <c r="E2366">
        <v>5</v>
      </c>
    </row>
    <row r="2367" spans="1:5" x14ac:dyDescent="0.25">
      <c r="A2367">
        <v>474</v>
      </c>
      <c r="B2367">
        <v>673</v>
      </c>
      <c r="C2367" s="3">
        <v>44732</v>
      </c>
      <c r="D2367" s="3">
        <v>44754</v>
      </c>
      <c r="E2367">
        <v>9</v>
      </c>
    </row>
    <row r="2368" spans="1:5" x14ac:dyDescent="0.25">
      <c r="A2368">
        <v>515</v>
      </c>
      <c r="B2368">
        <v>702</v>
      </c>
      <c r="C2368" s="3">
        <v>44732</v>
      </c>
      <c r="D2368" s="3">
        <v>44775</v>
      </c>
      <c r="E2368">
        <v>6</v>
      </c>
    </row>
    <row r="2369" spans="1:5" x14ac:dyDescent="0.25">
      <c r="A2369">
        <v>531</v>
      </c>
      <c r="B2369">
        <v>563</v>
      </c>
      <c r="C2369" s="3">
        <v>44732</v>
      </c>
      <c r="D2369" s="3">
        <v>44759</v>
      </c>
      <c r="E2369">
        <v>3</v>
      </c>
    </row>
    <row r="2370" spans="1:5" x14ac:dyDescent="0.25">
      <c r="A2370">
        <v>586</v>
      </c>
      <c r="B2370">
        <v>515</v>
      </c>
      <c r="C2370" s="3">
        <v>44732</v>
      </c>
      <c r="D2370" s="3">
        <v>44752</v>
      </c>
      <c r="E2370">
        <v>4</v>
      </c>
    </row>
    <row r="2371" spans="1:5" x14ac:dyDescent="0.25">
      <c r="A2371">
        <v>611</v>
      </c>
      <c r="B2371">
        <v>752</v>
      </c>
      <c r="C2371" s="3">
        <v>44732</v>
      </c>
      <c r="D2371" s="3">
        <v>44740</v>
      </c>
      <c r="E2371">
        <v>4</v>
      </c>
    </row>
    <row r="2372" spans="1:5" x14ac:dyDescent="0.25">
      <c r="A2372">
        <v>750</v>
      </c>
      <c r="B2372">
        <v>580</v>
      </c>
      <c r="C2372" s="3">
        <v>44732</v>
      </c>
      <c r="D2372" s="3">
        <v>44751</v>
      </c>
      <c r="E2372">
        <v>3</v>
      </c>
    </row>
    <row r="2373" spans="1:5" x14ac:dyDescent="0.25">
      <c r="A2373">
        <v>784</v>
      </c>
      <c r="B2373">
        <v>840</v>
      </c>
      <c r="C2373" s="3">
        <v>44732</v>
      </c>
      <c r="D2373" s="3">
        <v>44776</v>
      </c>
      <c r="E2373">
        <v>10</v>
      </c>
    </row>
    <row r="2374" spans="1:5" x14ac:dyDescent="0.25">
      <c r="A2374">
        <v>827</v>
      </c>
      <c r="B2374">
        <v>801</v>
      </c>
      <c r="C2374" s="3">
        <v>44732</v>
      </c>
      <c r="D2374" s="3">
        <v>44759</v>
      </c>
      <c r="E2374">
        <v>7</v>
      </c>
    </row>
    <row r="2375" spans="1:5" x14ac:dyDescent="0.25">
      <c r="A2375">
        <v>827</v>
      </c>
      <c r="B2375">
        <v>849</v>
      </c>
      <c r="C2375" s="3">
        <v>44732</v>
      </c>
      <c r="D2375" s="3">
        <v>44749</v>
      </c>
      <c r="E2375">
        <v>1</v>
      </c>
    </row>
    <row r="2376" spans="1:5" x14ac:dyDescent="0.25">
      <c r="A2376">
        <v>141</v>
      </c>
      <c r="B2376">
        <v>145</v>
      </c>
      <c r="C2376" s="3">
        <v>44733</v>
      </c>
      <c r="D2376" s="3">
        <v>44771</v>
      </c>
      <c r="E2376">
        <v>6</v>
      </c>
    </row>
    <row r="2377" spans="1:5" x14ac:dyDescent="0.25">
      <c r="A2377">
        <v>141</v>
      </c>
      <c r="B2377">
        <v>316</v>
      </c>
      <c r="C2377" s="3">
        <v>44733</v>
      </c>
      <c r="D2377" s="3">
        <v>44768</v>
      </c>
      <c r="E2377">
        <v>5</v>
      </c>
    </row>
    <row r="2378" spans="1:5" x14ac:dyDescent="0.25">
      <c r="A2378">
        <v>323</v>
      </c>
      <c r="B2378">
        <v>374</v>
      </c>
      <c r="C2378" s="3">
        <v>44733</v>
      </c>
      <c r="D2378" s="3">
        <v>44773</v>
      </c>
      <c r="E2378">
        <v>5</v>
      </c>
    </row>
    <row r="2379" spans="1:5" x14ac:dyDescent="0.25">
      <c r="A2379">
        <v>360</v>
      </c>
      <c r="B2379">
        <v>643</v>
      </c>
      <c r="C2379" s="3">
        <v>44733</v>
      </c>
      <c r="D2379" s="3">
        <v>44772</v>
      </c>
      <c r="E2379">
        <v>4</v>
      </c>
    </row>
    <row r="2380" spans="1:5" x14ac:dyDescent="0.25">
      <c r="A2380">
        <v>370</v>
      </c>
      <c r="B2380">
        <v>620</v>
      </c>
      <c r="C2380" s="3">
        <v>44733</v>
      </c>
      <c r="D2380" s="3">
        <v>44742</v>
      </c>
      <c r="E2380">
        <v>3</v>
      </c>
    </row>
    <row r="2381" spans="1:5" x14ac:dyDescent="0.25">
      <c r="A2381">
        <v>491</v>
      </c>
      <c r="B2381">
        <v>128</v>
      </c>
      <c r="C2381" s="3">
        <v>44733</v>
      </c>
      <c r="D2381" s="3">
        <v>44775</v>
      </c>
      <c r="E2381">
        <v>4</v>
      </c>
    </row>
    <row r="2382" spans="1:5" x14ac:dyDescent="0.25">
      <c r="A2382">
        <v>501</v>
      </c>
      <c r="B2382">
        <v>826</v>
      </c>
      <c r="C2382" s="3">
        <v>44733</v>
      </c>
      <c r="D2382" s="3">
        <v>44749</v>
      </c>
      <c r="E2382">
        <v>1</v>
      </c>
    </row>
    <row r="2383" spans="1:5" x14ac:dyDescent="0.25">
      <c r="A2383">
        <v>531</v>
      </c>
      <c r="B2383">
        <v>259</v>
      </c>
      <c r="C2383" s="3">
        <v>44733</v>
      </c>
      <c r="D2383" s="3">
        <v>44736</v>
      </c>
      <c r="E2383">
        <v>7</v>
      </c>
    </row>
    <row r="2384" spans="1:5" x14ac:dyDescent="0.25">
      <c r="A2384">
        <v>531</v>
      </c>
      <c r="B2384">
        <v>282</v>
      </c>
      <c r="C2384" s="3">
        <v>44733</v>
      </c>
      <c r="D2384" s="3">
        <v>44734</v>
      </c>
      <c r="E2384">
        <v>9</v>
      </c>
    </row>
    <row r="2385" spans="1:5" x14ac:dyDescent="0.25">
      <c r="A2385">
        <v>561</v>
      </c>
      <c r="B2385">
        <v>594</v>
      </c>
      <c r="C2385" s="3">
        <v>44733</v>
      </c>
      <c r="D2385" s="3">
        <v>44760</v>
      </c>
      <c r="E2385">
        <v>6</v>
      </c>
    </row>
    <row r="2386" spans="1:5" x14ac:dyDescent="0.25">
      <c r="A2386">
        <v>573</v>
      </c>
      <c r="B2386">
        <v>594</v>
      </c>
      <c r="C2386" s="3">
        <v>44733</v>
      </c>
      <c r="D2386" s="3">
        <v>44753</v>
      </c>
      <c r="E2386">
        <v>7</v>
      </c>
    </row>
    <row r="2387" spans="1:5" x14ac:dyDescent="0.25">
      <c r="A2387">
        <v>602</v>
      </c>
      <c r="B2387">
        <v>703</v>
      </c>
      <c r="C2387" s="3">
        <v>44733</v>
      </c>
      <c r="D2387" s="3">
        <v>44753</v>
      </c>
      <c r="E2387">
        <v>3</v>
      </c>
    </row>
    <row r="2388" spans="1:5" x14ac:dyDescent="0.25">
      <c r="A2388">
        <v>730</v>
      </c>
      <c r="B2388">
        <v>867</v>
      </c>
      <c r="C2388" s="3">
        <v>44733</v>
      </c>
      <c r="D2388" s="3">
        <v>44767</v>
      </c>
      <c r="E2388">
        <v>9</v>
      </c>
    </row>
    <row r="2389" spans="1:5" x14ac:dyDescent="0.25">
      <c r="A2389">
        <v>747</v>
      </c>
      <c r="B2389">
        <v>787</v>
      </c>
      <c r="C2389" s="3">
        <v>44733</v>
      </c>
      <c r="D2389" s="3">
        <v>44754</v>
      </c>
      <c r="E2389">
        <v>7</v>
      </c>
    </row>
    <row r="2390" spans="1:5" x14ac:dyDescent="0.25">
      <c r="A2390">
        <v>750</v>
      </c>
      <c r="B2390">
        <v>177</v>
      </c>
      <c r="C2390" s="3">
        <v>44733</v>
      </c>
      <c r="D2390" s="3">
        <v>44759</v>
      </c>
      <c r="E2390">
        <v>2</v>
      </c>
    </row>
    <row r="2391" spans="1:5" x14ac:dyDescent="0.25">
      <c r="A2391">
        <v>771</v>
      </c>
      <c r="B2391">
        <v>673</v>
      </c>
      <c r="C2391" s="3">
        <v>44733</v>
      </c>
      <c r="D2391" s="3">
        <v>44775</v>
      </c>
      <c r="E2391">
        <v>1</v>
      </c>
    </row>
    <row r="2392" spans="1:5" x14ac:dyDescent="0.25">
      <c r="A2392">
        <v>827</v>
      </c>
      <c r="B2392">
        <v>709</v>
      </c>
      <c r="C2392" s="3">
        <v>44733</v>
      </c>
      <c r="D2392" s="3">
        <v>44764</v>
      </c>
      <c r="E2392">
        <v>9</v>
      </c>
    </row>
    <row r="2393" spans="1:5" x14ac:dyDescent="0.25">
      <c r="A2393">
        <v>884</v>
      </c>
      <c r="B2393">
        <v>704</v>
      </c>
      <c r="C2393" s="3">
        <v>44733</v>
      </c>
      <c r="D2393" s="3">
        <v>44759</v>
      </c>
      <c r="E2393">
        <v>10</v>
      </c>
    </row>
    <row r="2394" spans="1:5" x14ac:dyDescent="0.25">
      <c r="A2394">
        <v>972</v>
      </c>
      <c r="B2394">
        <v>667</v>
      </c>
      <c r="C2394" s="3">
        <v>44733</v>
      </c>
      <c r="D2394" s="3">
        <v>44774</v>
      </c>
      <c r="E2394">
        <v>4</v>
      </c>
    </row>
    <row r="2395" spans="1:5" x14ac:dyDescent="0.25">
      <c r="A2395">
        <v>42</v>
      </c>
      <c r="B2395">
        <v>582</v>
      </c>
      <c r="C2395" s="3">
        <v>44734</v>
      </c>
      <c r="D2395" s="3">
        <v>44760</v>
      </c>
      <c r="E2395">
        <v>7</v>
      </c>
    </row>
    <row r="2396" spans="1:5" x14ac:dyDescent="0.25">
      <c r="A2396">
        <v>66</v>
      </c>
      <c r="B2396">
        <v>652</v>
      </c>
      <c r="C2396" s="3">
        <v>44734</v>
      </c>
      <c r="D2396" s="3">
        <v>44769</v>
      </c>
      <c r="E2396">
        <v>8</v>
      </c>
    </row>
    <row r="2397" spans="1:5" x14ac:dyDescent="0.25">
      <c r="A2397">
        <v>112</v>
      </c>
      <c r="B2397">
        <v>810</v>
      </c>
      <c r="C2397" s="3">
        <v>44734</v>
      </c>
      <c r="D2397" s="3">
        <v>44773</v>
      </c>
      <c r="E2397">
        <v>9</v>
      </c>
    </row>
    <row r="2398" spans="1:5" x14ac:dyDescent="0.25">
      <c r="A2398">
        <v>180</v>
      </c>
      <c r="B2398">
        <v>758</v>
      </c>
      <c r="C2398" s="3">
        <v>44734</v>
      </c>
      <c r="D2398" s="3">
        <v>44736</v>
      </c>
      <c r="E2398">
        <v>9</v>
      </c>
    </row>
    <row r="2399" spans="1:5" x14ac:dyDescent="0.25">
      <c r="A2399">
        <v>254</v>
      </c>
      <c r="B2399">
        <v>689</v>
      </c>
      <c r="C2399" s="3">
        <v>44734</v>
      </c>
      <c r="D2399" s="3">
        <v>44775</v>
      </c>
      <c r="E2399">
        <v>6</v>
      </c>
    </row>
    <row r="2400" spans="1:5" x14ac:dyDescent="0.25">
      <c r="A2400">
        <v>412</v>
      </c>
      <c r="B2400">
        <v>453</v>
      </c>
      <c r="C2400" s="3">
        <v>44734</v>
      </c>
      <c r="D2400" s="3">
        <v>44777</v>
      </c>
      <c r="E2400">
        <v>5</v>
      </c>
    </row>
    <row r="2401" spans="1:5" x14ac:dyDescent="0.25">
      <c r="A2401">
        <v>448</v>
      </c>
      <c r="B2401">
        <v>316</v>
      </c>
      <c r="C2401" s="3">
        <v>44734</v>
      </c>
      <c r="D2401" s="3">
        <v>44746</v>
      </c>
      <c r="E2401">
        <v>3</v>
      </c>
    </row>
    <row r="2402" spans="1:5" x14ac:dyDescent="0.25">
      <c r="A2402">
        <v>467</v>
      </c>
      <c r="B2402">
        <v>219</v>
      </c>
      <c r="C2402" s="3">
        <v>44734</v>
      </c>
      <c r="D2402" s="3">
        <v>44748</v>
      </c>
      <c r="E2402">
        <v>2</v>
      </c>
    </row>
    <row r="2403" spans="1:5" x14ac:dyDescent="0.25">
      <c r="A2403">
        <v>474</v>
      </c>
      <c r="B2403">
        <v>585</v>
      </c>
      <c r="C2403" s="3">
        <v>44734</v>
      </c>
      <c r="D2403" s="3">
        <v>44766</v>
      </c>
      <c r="E2403">
        <v>9</v>
      </c>
    </row>
    <row r="2404" spans="1:5" x14ac:dyDescent="0.25">
      <c r="A2404">
        <v>561</v>
      </c>
      <c r="B2404">
        <v>826</v>
      </c>
      <c r="C2404" s="3">
        <v>44734</v>
      </c>
      <c r="D2404" s="3">
        <v>44759</v>
      </c>
      <c r="E2404">
        <v>4</v>
      </c>
    </row>
    <row r="2405" spans="1:5" x14ac:dyDescent="0.25">
      <c r="A2405">
        <v>586</v>
      </c>
      <c r="B2405">
        <v>853</v>
      </c>
      <c r="C2405" s="3">
        <v>44734</v>
      </c>
      <c r="D2405" s="3">
        <v>44767</v>
      </c>
      <c r="E2405">
        <v>8</v>
      </c>
    </row>
    <row r="2406" spans="1:5" x14ac:dyDescent="0.25">
      <c r="A2406">
        <v>989</v>
      </c>
      <c r="B2406">
        <v>358</v>
      </c>
      <c r="C2406" s="3">
        <v>44734</v>
      </c>
      <c r="D2406" s="3">
        <v>44772</v>
      </c>
      <c r="E2406">
        <v>1</v>
      </c>
    </row>
    <row r="2407" spans="1:5" x14ac:dyDescent="0.25">
      <c r="A2407">
        <v>42</v>
      </c>
      <c r="B2407">
        <v>543</v>
      </c>
      <c r="C2407" s="3">
        <v>44735</v>
      </c>
      <c r="D2407" s="3">
        <v>44777</v>
      </c>
      <c r="E2407">
        <v>10</v>
      </c>
    </row>
    <row r="2408" spans="1:5" x14ac:dyDescent="0.25">
      <c r="A2408">
        <v>46</v>
      </c>
      <c r="B2408">
        <v>643</v>
      </c>
      <c r="C2408" s="3">
        <v>44735</v>
      </c>
      <c r="D2408" s="3">
        <v>44750</v>
      </c>
      <c r="E2408">
        <v>10</v>
      </c>
    </row>
    <row r="2409" spans="1:5" x14ac:dyDescent="0.25">
      <c r="A2409">
        <v>81</v>
      </c>
      <c r="B2409">
        <v>541</v>
      </c>
      <c r="C2409" s="3">
        <v>44735</v>
      </c>
      <c r="D2409" s="3">
        <v>44777</v>
      </c>
      <c r="E2409">
        <v>2</v>
      </c>
    </row>
    <row r="2410" spans="1:5" x14ac:dyDescent="0.25">
      <c r="A2410">
        <v>112</v>
      </c>
      <c r="B2410">
        <v>643</v>
      </c>
      <c r="C2410" s="3">
        <v>44735</v>
      </c>
      <c r="D2410" s="3">
        <v>44746</v>
      </c>
      <c r="E2410">
        <v>8</v>
      </c>
    </row>
    <row r="2411" spans="1:5" x14ac:dyDescent="0.25">
      <c r="A2411">
        <v>112</v>
      </c>
      <c r="B2411">
        <v>681</v>
      </c>
      <c r="C2411" s="3">
        <v>44735</v>
      </c>
      <c r="D2411" s="3">
        <v>44743</v>
      </c>
      <c r="E2411">
        <v>1</v>
      </c>
    </row>
    <row r="2412" spans="1:5" x14ac:dyDescent="0.25">
      <c r="A2412">
        <v>180</v>
      </c>
      <c r="B2412">
        <v>780</v>
      </c>
      <c r="C2412" s="3">
        <v>44735</v>
      </c>
      <c r="D2412" s="3">
        <v>44772</v>
      </c>
      <c r="E2412">
        <v>1</v>
      </c>
    </row>
    <row r="2413" spans="1:5" x14ac:dyDescent="0.25">
      <c r="A2413">
        <v>226</v>
      </c>
      <c r="B2413">
        <v>707</v>
      </c>
      <c r="C2413" s="3">
        <v>44735</v>
      </c>
      <c r="D2413" s="3">
        <v>44738</v>
      </c>
      <c r="E2413">
        <v>3</v>
      </c>
    </row>
    <row r="2414" spans="1:5" x14ac:dyDescent="0.25">
      <c r="A2414">
        <v>323</v>
      </c>
      <c r="B2414">
        <v>830</v>
      </c>
      <c r="C2414" s="3">
        <v>44735</v>
      </c>
      <c r="D2414" s="3">
        <v>44738</v>
      </c>
      <c r="E2414">
        <v>4</v>
      </c>
    </row>
    <row r="2415" spans="1:5" x14ac:dyDescent="0.25">
      <c r="A2415">
        <v>500</v>
      </c>
      <c r="B2415">
        <v>358</v>
      </c>
      <c r="C2415" s="3">
        <v>44735</v>
      </c>
      <c r="D2415" s="3">
        <v>44767</v>
      </c>
      <c r="E2415">
        <v>8</v>
      </c>
    </row>
    <row r="2416" spans="1:5" x14ac:dyDescent="0.25">
      <c r="A2416">
        <v>501</v>
      </c>
      <c r="B2416">
        <v>849</v>
      </c>
      <c r="C2416" s="3">
        <v>44735</v>
      </c>
      <c r="D2416" s="3">
        <v>44758</v>
      </c>
      <c r="E2416">
        <v>5</v>
      </c>
    </row>
    <row r="2417" spans="1:5" x14ac:dyDescent="0.25">
      <c r="A2417">
        <v>594</v>
      </c>
      <c r="B2417">
        <v>398</v>
      </c>
      <c r="C2417" s="3">
        <v>44735</v>
      </c>
      <c r="D2417" s="3">
        <v>44739</v>
      </c>
      <c r="E2417">
        <v>10</v>
      </c>
    </row>
    <row r="2418" spans="1:5" x14ac:dyDescent="0.25">
      <c r="A2418">
        <v>651</v>
      </c>
      <c r="B2418">
        <v>331</v>
      </c>
      <c r="C2418" s="3">
        <v>44735</v>
      </c>
      <c r="D2418" s="3">
        <v>44751</v>
      </c>
      <c r="E2418">
        <v>2</v>
      </c>
    </row>
    <row r="2419" spans="1:5" x14ac:dyDescent="0.25">
      <c r="A2419">
        <v>651</v>
      </c>
      <c r="B2419">
        <v>373</v>
      </c>
      <c r="C2419" s="3">
        <v>44735</v>
      </c>
      <c r="D2419" s="3">
        <v>44760</v>
      </c>
      <c r="E2419">
        <v>6</v>
      </c>
    </row>
    <row r="2420" spans="1:5" x14ac:dyDescent="0.25">
      <c r="A2420">
        <v>669</v>
      </c>
      <c r="B2420">
        <v>732</v>
      </c>
      <c r="C2420" s="3">
        <v>44735</v>
      </c>
      <c r="D2420" s="3">
        <v>44750</v>
      </c>
      <c r="E2420">
        <v>3</v>
      </c>
    </row>
    <row r="2421" spans="1:5" x14ac:dyDescent="0.25">
      <c r="A2421">
        <v>841</v>
      </c>
      <c r="B2421">
        <v>726</v>
      </c>
      <c r="C2421" s="3">
        <v>44735</v>
      </c>
      <c r="D2421" s="3">
        <v>44742</v>
      </c>
      <c r="E2421">
        <v>6</v>
      </c>
    </row>
    <row r="2422" spans="1:5" x14ac:dyDescent="0.25">
      <c r="A2422">
        <v>47</v>
      </c>
      <c r="B2422">
        <v>515</v>
      </c>
      <c r="C2422" s="3">
        <v>44736</v>
      </c>
      <c r="D2422" s="3">
        <v>44774</v>
      </c>
      <c r="E2422">
        <v>3</v>
      </c>
    </row>
    <row r="2423" spans="1:5" x14ac:dyDescent="0.25">
      <c r="A2423">
        <v>142</v>
      </c>
      <c r="B2423">
        <v>709</v>
      </c>
      <c r="C2423" s="3">
        <v>44736</v>
      </c>
      <c r="D2423" s="3">
        <v>44758</v>
      </c>
      <c r="E2423">
        <v>1</v>
      </c>
    </row>
    <row r="2424" spans="1:5" x14ac:dyDescent="0.25">
      <c r="A2424">
        <v>150</v>
      </c>
      <c r="B2424">
        <v>177</v>
      </c>
      <c r="C2424" s="3">
        <v>44736</v>
      </c>
      <c r="D2424" s="3">
        <v>44737</v>
      </c>
      <c r="E2424">
        <v>6</v>
      </c>
    </row>
    <row r="2425" spans="1:5" x14ac:dyDescent="0.25">
      <c r="A2425">
        <v>190</v>
      </c>
      <c r="B2425">
        <v>752</v>
      </c>
      <c r="C2425" s="3">
        <v>44736</v>
      </c>
      <c r="D2425" s="3">
        <v>44771</v>
      </c>
      <c r="E2425">
        <v>7</v>
      </c>
    </row>
    <row r="2426" spans="1:5" x14ac:dyDescent="0.25">
      <c r="A2426">
        <v>282</v>
      </c>
      <c r="B2426">
        <v>607</v>
      </c>
      <c r="C2426" s="3">
        <v>44736</v>
      </c>
      <c r="D2426" s="3">
        <v>44751</v>
      </c>
      <c r="E2426">
        <v>8</v>
      </c>
    </row>
    <row r="2427" spans="1:5" x14ac:dyDescent="0.25">
      <c r="A2427">
        <v>282</v>
      </c>
      <c r="B2427">
        <v>862</v>
      </c>
      <c r="C2427" s="3">
        <v>44736</v>
      </c>
      <c r="D2427" s="3">
        <v>44776</v>
      </c>
      <c r="E2427">
        <v>10</v>
      </c>
    </row>
    <row r="2428" spans="1:5" x14ac:dyDescent="0.25">
      <c r="A2428">
        <v>332</v>
      </c>
      <c r="B2428">
        <v>834</v>
      </c>
      <c r="C2428" s="3">
        <v>44736</v>
      </c>
      <c r="D2428" s="3">
        <v>44753</v>
      </c>
      <c r="E2428">
        <v>6</v>
      </c>
    </row>
    <row r="2429" spans="1:5" x14ac:dyDescent="0.25">
      <c r="A2429">
        <v>416</v>
      </c>
      <c r="B2429">
        <v>479</v>
      </c>
      <c r="C2429" s="3">
        <v>44736</v>
      </c>
      <c r="D2429" s="3">
        <v>44759</v>
      </c>
      <c r="E2429">
        <v>7</v>
      </c>
    </row>
    <row r="2430" spans="1:5" x14ac:dyDescent="0.25">
      <c r="A2430">
        <v>526</v>
      </c>
      <c r="B2430">
        <v>377</v>
      </c>
      <c r="C2430" s="3">
        <v>44736</v>
      </c>
      <c r="D2430" s="3">
        <v>44748</v>
      </c>
      <c r="E2430">
        <v>2</v>
      </c>
    </row>
    <row r="2431" spans="1:5" x14ac:dyDescent="0.25">
      <c r="A2431">
        <v>561</v>
      </c>
      <c r="B2431">
        <v>689</v>
      </c>
      <c r="C2431" s="3">
        <v>44736</v>
      </c>
      <c r="D2431" s="3">
        <v>44743</v>
      </c>
      <c r="E2431">
        <v>1</v>
      </c>
    </row>
    <row r="2432" spans="1:5" x14ac:dyDescent="0.25">
      <c r="A2432">
        <v>602</v>
      </c>
      <c r="B2432">
        <v>607</v>
      </c>
      <c r="C2432" s="3">
        <v>44736</v>
      </c>
      <c r="D2432" s="3">
        <v>44744</v>
      </c>
      <c r="E2432">
        <v>9</v>
      </c>
    </row>
    <row r="2433" spans="1:5" x14ac:dyDescent="0.25">
      <c r="A2433">
        <v>609</v>
      </c>
      <c r="B2433">
        <v>762</v>
      </c>
      <c r="C2433" s="3">
        <v>44736</v>
      </c>
      <c r="D2433" s="3">
        <v>44762</v>
      </c>
      <c r="E2433">
        <v>6</v>
      </c>
    </row>
    <row r="2434" spans="1:5" x14ac:dyDescent="0.25">
      <c r="A2434">
        <v>610</v>
      </c>
      <c r="B2434">
        <v>464</v>
      </c>
      <c r="C2434" s="3">
        <v>44736</v>
      </c>
      <c r="D2434" s="3">
        <v>44773</v>
      </c>
      <c r="E2434">
        <v>3</v>
      </c>
    </row>
    <row r="2435" spans="1:5" x14ac:dyDescent="0.25">
      <c r="A2435">
        <v>610</v>
      </c>
      <c r="B2435">
        <v>683</v>
      </c>
      <c r="C2435" s="3">
        <v>44736</v>
      </c>
      <c r="D2435" s="3">
        <v>44775</v>
      </c>
      <c r="E2435">
        <v>5</v>
      </c>
    </row>
    <row r="2436" spans="1:5" x14ac:dyDescent="0.25">
      <c r="A2436">
        <v>634</v>
      </c>
      <c r="B2436">
        <v>374</v>
      </c>
      <c r="C2436" s="3">
        <v>44736</v>
      </c>
      <c r="D2436" s="3">
        <v>44745</v>
      </c>
      <c r="E2436">
        <v>6</v>
      </c>
    </row>
    <row r="2437" spans="1:5" x14ac:dyDescent="0.25">
      <c r="A2437">
        <v>634</v>
      </c>
      <c r="B2437">
        <v>377</v>
      </c>
      <c r="C2437" s="3">
        <v>44736</v>
      </c>
      <c r="D2437" s="3">
        <v>44777</v>
      </c>
      <c r="E2437">
        <v>10</v>
      </c>
    </row>
    <row r="2438" spans="1:5" x14ac:dyDescent="0.25">
      <c r="A2438">
        <v>730</v>
      </c>
      <c r="B2438">
        <v>358</v>
      </c>
      <c r="C2438" s="3">
        <v>44736</v>
      </c>
      <c r="D2438" s="3">
        <v>44776</v>
      </c>
      <c r="E2438">
        <v>10</v>
      </c>
    </row>
    <row r="2439" spans="1:5" x14ac:dyDescent="0.25">
      <c r="A2439">
        <v>758</v>
      </c>
      <c r="B2439">
        <v>643</v>
      </c>
      <c r="C2439" s="3">
        <v>44736</v>
      </c>
      <c r="D2439" s="3">
        <v>44766</v>
      </c>
      <c r="E2439">
        <v>1</v>
      </c>
    </row>
    <row r="2440" spans="1:5" x14ac:dyDescent="0.25">
      <c r="A2440">
        <v>923</v>
      </c>
      <c r="B2440">
        <v>702</v>
      </c>
      <c r="C2440" s="3">
        <v>44736</v>
      </c>
      <c r="D2440" s="3">
        <v>44778</v>
      </c>
      <c r="E2440">
        <v>8</v>
      </c>
    </row>
    <row r="2441" spans="1:5" x14ac:dyDescent="0.25">
      <c r="A2441">
        <v>146</v>
      </c>
      <c r="B2441">
        <v>769</v>
      </c>
      <c r="C2441" s="3">
        <v>44737</v>
      </c>
      <c r="D2441" s="3">
        <v>44751</v>
      </c>
      <c r="E2441">
        <v>8</v>
      </c>
    </row>
    <row r="2442" spans="1:5" x14ac:dyDescent="0.25">
      <c r="A2442">
        <v>284</v>
      </c>
      <c r="B2442">
        <v>769</v>
      </c>
      <c r="C2442" s="3">
        <v>44737</v>
      </c>
      <c r="D2442" s="3">
        <v>44747</v>
      </c>
      <c r="E2442">
        <v>5</v>
      </c>
    </row>
    <row r="2443" spans="1:5" x14ac:dyDescent="0.25">
      <c r="A2443">
        <v>331</v>
      </c>
      <c r="B2443">
        <v>676</v>
      </c>
      <c r="C2443" s="3">
        <v>44737</v>
      </c>
      <c r="D2443" s="3">
        <v>44749</v>
      </c>
      <c r="E2443">
        <v>7</v>
      </c>
    </row>
    <row r="2444" spans="1:5" x14ac:dyDescent="0.25">
      <c r="A2444">
        <v>390</v>
      </c>
      <c r="B2444">
        <v>479</v>
      </c>
      <c r="C2444" s="3">
        <v>44737</v>
      </c>
      <c r="D2444" s="3">
        <v>44744</v>
      </c>
      <c r="E2444">
        <v>6</v>
      </c>
    </row>
    <row r="2445" spans="1:5" x14ac:dyDescent="0.25">
      <c r="A2445">
        <v>416</v>
      </c>
      <c r="B2445">
        <v>530</v>
      </c>
      <c r="C2445" s="3">
        <v>44737</v>
      </c>
      <c r="D2445" s="3">
        <v>44755</v>
      </c>
      <c r="E2445">
        <v>6</v>
      </c>
    </row>
    <row r="2446" spans="1:5" x14ac:dyDescent="0.25">
      <c r="A2446">
        <v>467</v>
      </c>
      <c r="B2446">
        <v>830</v>
      </c>
      <c r="C2446" s="3">
        <v>44737</v>
      </c>
      <c r="D2446" s="3">
        <v>44771</v>
      </c>
      <c r="E2446">
        <v>3</v>
      </c>
    </row>
    <row r="2447" spans="1:5" x14ac:dyDescent="0.25">
      <c r="A2447">
        <v>468</v>
      </c>
      <c r="B2447">
        <v>740</v>
      </c>
      <c r="C2447" s="3">
        <v>44737</v>
      </c>
      <c r="D2447" s="3">
        <v>44767</v>
      </c>
      <c r="E2447">
        <v>8</v>
      </c>
    </row>
    <row r="2448" spans="1:5" x14ac:dyDescent="0.25">
      <c r="A2448">
        <v>489</v>
      </c>
      <c r="B2448">
        <v>745</v>
      </c>
      <c r="C2448" s="3">
        <v>44737</v>
      </c>
      <c r="D2448" s="3">
        <v>44760</v>
      </c>
      <c r="E2448">
        <v>1</v>
      </c>
    </row>
    <row r="2449" spans="1:5" x14ac:dyDescent="0.25">
      <c r="A2449">
        <v>761</v>
      </c>
      <c r="B2449">
        <v>607</v>
      </c>
      <c r="C2449" s="3">
        <v>44737</v>
      </c>
      <c r="D2449" s="3">
        <v>44748</v>
      </c>
      <c r="E2449">
        <v>9</v>
      </c>
    </row>
    <row r="2450" spans="1:5" x14ac:dyDescent="0.25">
      <c r="A2450">
        <v>827</v>
      </c>
      <c r="B2450">
        <v>679</v>
      </c>
      <c r="C2450" s="3">
        <v>44737</v>
      </c>
      <c r="D2450" s="3">
        <v>44750</v>
      </c>
      <c r="E2450">
        <v>6</v>
      </c>
    </row>
    <row r="2451" spans="1:5" x14ac:dyDescent="0.25">
      <c r="A2451">
        <v>983</v>
      </c>
      <c r="B2451">
        <v>696</v>
      </c>
      <c r="C2451" s="3">
        <v>44737</v>
      </c>
      <c r="D2451" s="3">
        <v>44750</v>
      </c>
      <c r="E2451">
        <v>9</v>
      </c>
    </row>
    <row r="2452" spans="1:5" x14ac:dyDescent="0.25">
      <c r="A2452">
        <v>989</v>
      </c>
      <c r="B2452">
        <v>812</v>
      </c>
      <c r="C2452" s="3">
        <v>44737</v>
      </c>
      <c r="D2452" s="3">
        <v>44777</v>
      </c>
      <c r="E2452">
        <v>1</v>
      </c>
    </row>
    <row r="2453" spans="1:5" x14ac:dyDescent="0.25">
      <c r="A2453">
        <v>22</v>
      </c>
      <c r="B2453">
        <v>316</v>
      </c>
      <c r="C2453" s="3">
        <v>44738</v>
      </c>
      <c r="D2453" s="3">
        <v>44744</v>
      </c>
      <c r="E2453">
        <v>7</v>
      </c>
    </row>
    <row r="2454" spans="1:5" x14ac:dyDescent="0.25">
      <c r="A2454">
        <v>489</v>
      </c>
      <c r="B2454">
        <v>757</v>
      </c>
      <c r="C2454" s="3">
        <v>44738</v>
      </c>
      <c r="D2454" s="3">
        <v>44750</v>
      </c>
      <c r="E2454">
        <v>4</v>
      </c>
    </row>
    <row r="2455" spans="1:5" x14ac:dyDescent="0.25">
      <c r="A2455">
        <v>491</v>
      </c>
      <c r="B2455">
        <v>769</v>
      </c>
      <c r="C2455" s="3">
        <v>44738</v>
      </c>
      <c r="D2455" s="3">
        <v>44741</v>
      </c>
      <c r="E2455">
        <v>1</v>
      </c>
    </row>
    <row r="2456" spans="1:5" x14ac:dyDescent="0.25">
      <c r="A2456">
        <v>543</v>
      </c>
      <c r="B2456">
        <v>709</v>
      </c>
      <c r="C2456" s="3">
        <v>44738</v>
      </c>
      <c r="D2456" s="3">
        <v>44744</v>
      </c>
      <c r="E2456">
        <v>9</v>
      </c>
    </row>
    <row r="2457" spans="1:5" x14ac:dyDescent="0.25">
      <c r="A2457">
        <v>543</v>
      </c>
      <c r="B2457">
        <v>780</v>
      </c>
      <c r="C2457" s="3">
        <v>44738</v>
      </c>
      <c r="D2457" s="3">
        <v>44771</v>
      </c>
      <c r="E2457">
        <v>9</v>
      </c>
    </row>
    <row r="2458" spans="1:5" x14ac:dyDescent="0.25">
      <c r="A2458">
        <v>557</v>
      </c>
      <c r="B2458">
        <v>667</v>
      </c>
      <c r="C2458" s="3">
        <v>44738</v>
      </c>
      <c r="D2458" s="3">
        <v>44747</v>
      </c>
      <c r="E2458">
        <v>2</v>
      </c>
    </row>
    <row r="2459" spans="1:5" x14ac:dyDescent="0.25">
      <c r="A2459">
        <v>609</v>
      </c>
      <c r="B2459">
        <v>196</v>
      </c>
      <c r="C2459" s="3">
        <v>44738</v>
      </c>
      <c r="D2459" s="3">
        <v>44774</v>
      </c>
      <c r="E2459">
        <v>1</v>
      </c>
    </row>
    <row r="2460" spans="1:5" x14ac:dyDescent="0.25">
      <c r="A2460">
        <v>610</v>
      </c>
      <c r="B2460">
        <v>585</v>
      </c>
      <c r="C2460" s="3">
        <v>44738</v>
      </c>
      <c r="D2460" s="3">
        <v>44768</v>
      </c>
      <c r="E2460">
        <v>6</v>
      </c>
    </row>
    <row r="2461" spans="1:5" x14ac:dyDescent="0.25">
      <c r="A2461">
        <v>823</v>
      </c>
      <c r="B2461">
        <v>724</v>
      </c>
      <c r="C2461" s="3">
        <v>44738</v>
      </c>
      <c r="D2461" s="3">
        <v>44759</v>
      </c>
      <c r="E2461">
        <v>9</v>
      </c>
    </row>
    <row r="2462" spans="1:5" x14ac:dyDescent="0.25">
      <c r="A2462">
        <v>841</v>
      </c>
      <c r="B2462">
        <v>681</v>
      </c>
      <c r="C2462" s="3">
        <v>44738</v>
      </c>
      <c r="D2462" s="3">
        <v>44740</v>
      </c>
      <c r="E2462">
        <v>5</v>
      </c>
    </row>
    <row r="2463" spans="1:5" x14ac:dyDescent="0.25">
      <c r="A2463">
        <v>972</v>
      </c>
      <c r="B2463">
        <v>689</v>
      </c>
      <c r="C2463" s="3">
        <v>44738</v>
      </c>
      <c r="D2463" s="3">
        <v>44744</v>
      </c>
      <c r="E2463">
        <v>10</v>
      </c>
    </row>
    <row r="2464" spans="1:5" x14ac:dyDescent="0.25">
      <c r="A2464">
        <v>983</v>
      </c>
      <c r="B2464">
        <v>316</v>
      </c>
      <c r="C2464" s="3">
        <v>44738</v>
      </c>
      <c r="D2464" s="3">
        <v>44755</v>
      </c>
      <c r="E2464">
        <v>2</v>
      </c>
    </row>
    <row r="2465" spans="1:5" x14ac:dyDescent="0.25">
      <c r="A2465">
        <v>81</v>
      </c>
      <c r="B2465">
        <v>780</v>
      </c>
      <c r="C2465" s="3">
        <v>44739</v>
      </c>
      <c r="D2465" s="3">
        <v>44776</v>
      </c>
      <c r="E2465">
        <v>6</v>
      </c>
    </row>
    <row r="2466" spans="1:5" x14ac:dyDescent="0.25">
      <c r="A2466">
        <v>224</v>
      </c>
      <c r="B2466">
        <v>259</v>
      </c>
      <c r="C2466" s="3">
        <v>44739</v>
      </c>
      <c r="D2466" s="3">
        <v>44761</v>
      </c>
      <c r="E2466">
        <v>9</v>
      </c>
    </row>
    <row r="2467" spans="1:5" x14ac:dyDescent="0.25">
      <c r="A2467">
        <v>226</v>
      </c>
      <c r="B2467">
        <v>694</v>
      </c>
      <c r="C2467" s="3">
        <v>44739</v>
      </c>
      <c r="D2467" s="3">
        <v>44748</v>
      </c>
      <c r="E2467">
        <v>10</v>
      </c>
    </row>
    <row r="2468" spans="1:5" x14ac:dyDescent="0.25">
      <c r="A2468">
        <v>232</v>
      </c>
      <c r="B2468">
        <v>239</v>
      </c>
      <c r="C2468" s="3">
        <v>44739</v>
      </c>
      <c r="D2468" s="3">
        <v>44745</v>
      </c>
      <c r="E2468">
        <v>7</v>
      </c>
    </row>
    <row r="2469" spans="1:5" x14ac:dyDescent="0.25">
      <c r="A2469">
        <v>249</v>
      </c>
      <c r="B2469">
        <v>709</v>
      </c>
      <c r="C2469" s="3">
        <v>44739</v>
      </c>
      <c r="D2469" s="3">
        <v>44763</v>
      </c>
      <c r="E2469">
        <v>3</v>
      </c>
    </row>
    <row r="2470" spans="1:5" x14ac:dyDescent="0.25">
      <c r="A2470">
        <v>284</v>
      </c>
      <c r="B2470">
        <v>676</v>
      </c>
      <c r="C2470" s="3">
        <v>44739</v>
      </c>
      <c r="D2470" s="3">
        <v>44778</v>
      </c>
      <c r="E2470">
        <v>1</v>
      </c>
    </row>
    <row r="2471" spans="1:5" x14ac:dyDescent="0.25">
      <c r="A2471">
        <v>302</v>
      </c>
      <c r="B2471">
        <v>703</v>
      </c>
      <c r="C2471" s="3">
        <v>44739</v>
      </c>
      <c r="D2471" s="3">
        <v>44751</v>
      </c>
      <c r="E2471">
        <v>6</v>
      </c>
    </row>
    <row r="2472" spans="1:5" x14ac:dyDescent="0.25">
      <c r="A2472">
        <v>328</v>
      </c>
      <c r="B2472">
        <v>563</v>
      </c>
      <c r="C2472" s="3">
        <v>44739</v>
      </c>
      <c r="D2472" s="3">
        <v>44783</v>
      </c>
      <c r="E2472">
        <v>4</v>
      </c>
    </row>
    <row r="2473" spans="1:5" x14ac:dyDescent="0.25">
      <c r="A2473">
        <v>332</v>
      </c>
      <c r="B2473">
        <v>580</v>
      </c>
      <c r="C2473" s="3">
        <v>44739</v>
      </c>
      <c r="D2473" s="3">
        <v>44743</v>
      </c>
      <c r="E2473">
        <v>10</v>
      </c>
    </row>
    <row r="2474" spans="1:5" x14ac:dyDescent="0.25">
      <c r="A2474">
        <v>360</v>
      </c>
      <c r="B2474">
        <v>683</v>
      </c>
      <c r="C2474" s="3">
        <v>44739</v>
      </c>
      <c r="D2474" s="3">
        <v>44741</v>
      </c>
      <c r="E2474">
        <v>6</v>
      </c>
    </row>
    <row r="2475" spans="1:5" x14ac:dyDescent="0.25">
      <c r="A2475">
        <v>362</v>
      </c>
      <c r="B2475">
        <v>196</v>
      </c>
      <c r="C2475" s="3">
        <v>44739</v>
      </c>
      <c r="D2475" s="3">
        <v>44776</v>
      </c>
      <c r="E2475">
        <v>1</v>
      </c>
    </row>
    <row r="2476" spans="1:5" x14ac:dyDescent="0.25">
      <c r="A2476">
        <v>416</v>
      </c>
      <c r="B2476">
        <v>813</v>
      </c>
      <c r="C2476" s="3">
        <v>44739</v>
      </c>
      <c r="D2476" s="3">
        <v>44766</v>
      </c>
      <c r="E2476">
        <v>8</v>
      </c>
    </row>
    <row r="2477" spans="1:5" x14ac:dyDescent="0.25">
      <c r="A2477">
        <v>467</v>
      </c>
      <c r="B2477">
        <v>830</v>
      </c>
      <c r="C2477" s="3">
        <v>44739</v>
      </c>
      <c r="D2477" s="3">
        <v>44771</v>
      </c>
      <c r="E2477">
        <v>7</v>
      </c>
    </row>
    <row r="2478" spans="1:5" x14ac:dyDescent="0.25">
      <c r="A2478">
        <v>468</v>
      </c>
      <c r="B2478">
        <v>671</v>
      </c>
      <c r="C2478" s="3">
        <v>44739</v>
      </c>
      <c r="D2478" s="3">
        <v>44777</v>
      </c>
      <c r="E2478">
        <v>7</v>
      </c>
    </row>
    <row r="2479" spans="1:5" x14ac:dyDescent="0.25">
      <c r="A2479">
        <v>496</v>
      </c>
      <c r="B2479">
        <v>862</v>
      </c>
      <c r="C2479" s="3">
        <v>44739</v>
      </c>
      <c r="D2479" s="3">
        <v>44756</v>
      </c>
      <c r="E2479">
        <v>7</v>
      </c>
    </row>
    <row r="2480" spans="1:5" x14ac:dyDescent="0.25">
      <c r="A2480">
        <v>771</v>
      </c>
      <c r="B2480">
        <v>778</v>
      </c>
      <c r="C2480" s="3">
        <v>44739</v>
      </c>
      <c r="D2480" s="3">
        <v>44749</v>
      </c>
      <c r="E2480">
        <v>3</v>
      </c>
    </row>
    <row r="2481" spans="1:5" x14ac:dyDescent="0.25">
      <c r="A2481">
        <v>983</v>
      </c>
      <c r="B2481">
        <v>696</v>
      </c>
      <c r="C2481" s="3">
        <v>44739</v>
      </c>
      <c r="D2481" s="3">
        <v>44753</v>
      </c>
      <c r="E2481">
        <v>4</v>
      </c>
    </row>
    <row r="2482" spans="1:5" x14ac:dyDescent="0.25">
      <c r="A2482">
        <v>46</v>
      </c>
      <c r="B2482">
        <v>164</v>
      </c>
      <c r="C2482" s="3">
        <v>44740</v>
      </c>
      <c r="D2482" s="3">
        <v>44766</v>
      </c>
      <c r="E2482">
        <v>8</v>
      </c>
    </row>
    <row r="2483" spans="1:5" x14ac:dyDescent="0.25">
      <c r="A2483">
        <v>323</v>
      </c>
      <c r="B2483">
        <v>692</v>
      </c>
      <c r="C2483" s="3">
        <v>44740</v>
      </c>
      <c r="D2483" s="3">
        <v>44774</v>
      </c>
      <c r="E2483">
        <v>3</v>
      </c>
    </row>
    <row r="2484" spans="1:5" x14ac:dyDescent="0.25">
      <c r="A2484">
        <v>448</v>
      </c>
      <c r="B2484">
        <v>703</v>
      </c>
      <c r="C2484" s="3">
        <v>44740</v>
      </c>
      <c r="D2484" s="3">
        <v>44769</v>
      </c>
      <c r="E2484">
        <v>8</v>
      </c>
    </row>
    <row r="2485" spans="1:5" x14ac:dyDescent="0.25">
      <c r="A2485">
        <v>448</v>
      </c>
      <c r="B2485">
        <v>805</v>
      </c>
      <c r="C2485" s="3">
        <v>44740</v>
      </c>
      <c r="D2485" s="3">
        <v>44751</v>
      </c>
      <c r="E2485">
        <v>8</v>
      </c>
    </row>
    <row r="2486" spans="1:5" x14ac:dyDescent="0.25">
      <c r="A2486">
        <v>496</v>
      </c>
      <c r="B2486">
        <v>834</v>
      </c>
      <c r="C2486" s="3">
        <v>44740</v>
      </c>
      <c r="D2486" s="3">
        <v>44753</v>
      </c>
      <c r="E2486">
        <v>7</v>
      </c>
    </row>
    <row r="2487" spans="1:5" x14ac:dyDescent="0.25">
      <c r="A2487">
        <v>500</v>
      </c>
      <c r="B2487">
        <v>780</v>
      </c>
      <c r="C2487" s="3">
        <v>44740</v>
      </c>
      <c r="D2487" s="3">
        <v>44749</v>
      </c>
      <c r="E2487">
        <v>7</v>
      </c>
    </row>
    <row r="2488" spans="1:5" x14ac:dyDescent="0.25">
      <c r="A2488">
        <v>501</v>
      </c>
      <c r="B2488">
        <v>780</v>
      </c>
      <c r="C2488" s="3">
        <v>44740</v>
      </c>
      <c r="D2488" s="3">
        <v>44758</v>
      </c>
      <c r="E2488">
        <v>8</v>
      </c>
    </row>
    <row r="2489" spans="1:5" x14ac:dyDescent="0.25">
      <c r="A2489">
        <v>573</v>
      </c>
      <c r="B2489">
        <v>689</v>
      </c>
      <c r="C2489" s="3">
        <v>44740</v>
      </c>
      <c r="D2489" s="3">
        <v>44768</v>
      </c>
      <c r="E2489">
        <v>8</v>
      </c>
    </row>
    <row r="2490" spans="1:5" x14ac:dyDescent="0.25">
      <c r="A2490">
        <v>586</v>
      </c>
      <c r="B2490">
        <v>316</v>
      </c>
      <c r="C2490" s="3">
        <v>44740</v>
      </c>
      <c r="D2490" s="3">
        <v>44760</v>
      </c>
      <c r="E2490">
        <v>5</v>
      </c>
    </row>
    <row r="2491" spans="1:5" x14ac:dyDescent="0.25">
      <c r="A2491">
        <v>609</v>
      </c>
      <c r="B2491">
        <v>782</v>
      </c>
      <c r="C2491" s="3">
        <v>44740</v>
      </c>
      <c r="D2491" s="3">
        <v>44752</v>
      </c>
      <c r="E2491">
        <v>8</v>
      </c>
    </row>
    <row r="2492" spans="1:5" x14ac:dyDescent="0.25">
      <c r="A2492">
        <v>659</v>
      </c>
      <c r="B2492">
        <v>259</v>
      </c>
      <c r="C2492" s="3">
        <v>44740</v>
      </c>
      <c r="D2492" s="3">
        <v>44762</v>
      </c>
      <c r="E2492">
        <v>5</v>
      </c>
    </row>
    <row r="2493" spans="1:5" x14ac:dyDescent="0.25">
      <c r="A2493">
        <v>659</v>
      </c>
      <c r="B2493">
        <v>778</v>
      </c>
      <c r="C2493" s="3">
        <v>44740</v>
      </c>
      <c r="D2493" s="3">
        <v>44767</v>
      </c>
      <c r="E2493">
        <v>1</v>
      </c>
    </row>
    <row r="2494" spans="1:5" x14ac:dyDescent="0.25">
      <c r="A2494">
        <v>467</v>
      </c>
      <c r="B2494">
        <v>594</v>
      </c>
      <c r="C2494" s="3">
        <v>44741</v>
      </c>
      <c r="D2494" s="3">
        <v>44774</v>
      </c>
      <c r="E2494">
        <v>10</v>
      </c>
    </row>
    <row r="2495" spans="1:5" x14ac:dyDescent="0.25">
      <c r="A2495">
        <v>501</v>
      </c>
      <c r="B2495">
        <v>145</v>
      </c>
      <c r="C2495" s="3">
        <v>44741</v>
      </c>
      <c r="D2495" s="3">
        <v>44747</v>
      </c>
      <c r="E2495">
        <v>7</v>
      </c>
    </row>
    <row r="2496" spans="1:5" x14ac:dyDescent="0.25">
      <c r="A2496">
        <v>527</v>
      </c>
      <c r="B2496">
        <v>752</v>
      </c>
      <c r="C2496" s="3">
        <v>44741</v>
      </c>
      <c r="D2496" s="3">
        <v>44759</v>
      </c>
      <c r="E2496">
        <v>1</v>
      </c>
    </row>
    <row r="2497" spans="1:5" x14ac:dyDescent="0.25">
      <c r="A2497">
        <v>561</v>
      </c>
      <c r="B2497">
        <v>479</v>
      </c>
      <c r="C2497" s="3">
        <v>44741</v>
      </c>
      <c r="D2497" s="3">
        <v>44743</v>
      </c>
      <c r="E2497">
        <v>6</v>
      </c>
    </row>
    <row r="2498" spans="1:5" x14ac:dyDescent="0.25">
      <c r="A2498">
        <v>573</v>
      </c>
      <c r="B2498">
        <v>373</v>
      </c>
      <c r="C2498" s="3">
        <v>44741</v>
      </c>
      <c r="D2498" s="3">
        <v>44767</v>
      </c>
      <c r="E2498">
        <v>9</v>
      </c>
    </row>
    <row r="2499" spans="1:5" x14ac:dyDescent="0.25">
      <c r="A2499">
        <v>580</v>
      </c>
      <c r="B2499">
        <v>464</v>
      </c>
      <c r="C2499" s="3">
        <v>44741</v>
      </c>
      <c r="D2499" s="3">
        <v>44777</v>
      </c>
      <c r="E2499">
        <v>10</v>
      </c>
    </row>
    <row r="2500" spans="1:5" x14ac:dyDescent="0.25">
      <c r="A2500">
        <v>611</v>
      </c>
      <c r="B2500">
        <v>812</v>
      </c>
      <c r="C2500" s="3">
        <v>44741</v>
      </c>
      <c r="D2500" s="3">
        <v>44777</v>
      </c>
      <c r="E2500">
        <v>5</v>
      </c>
    </row>
    <row r="2501" spans="1:5" x14ac:dyDescent="0.25">
      <c r="A2501">
        <v>747</v>
      </c>
      <c r="B2501">
        <v>840</v>
      </c>
      <c r="C2501" s="3">
        <v>44741</v>
      </c>
      <c r="D2501" s="3">
        <v>44771</v>
      </c>
      <c r="E2501">
        <v>5</v>
      </c>
    </row>
    <row r="2502" spans="1:5" x14ac:dyDescent="0.25">
      <c r="A2502">
        <v>830</v>
      </c>
      <c r="B2502">
        <v>762</v>
      </c>
      <c r="C2502" s="3">
        <v>44741</v>
      </c>
      <c r="D2502" s="3">
        <v>44746</v>
      </c>
      <c r="E2502">
        <v>1</v>
      </c>
    </row>
    <row r="2503" spans="1:5" x14ac:dyDescent="0.25">
      <c r="A2503">
        <v>989</v>
      </c>
      <c r="B2503">
        <v>145</v>
      </c>
      <c r="C2503" s="3">
        <v>44741</v>
      </c>
      <c r="D2503" s="3">
        <v>44744</v>
      </c>
      <c r="E2503">
        <v>8</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
  <sheetViews>
    <sheetView zoomScale="85" zoomScaleNormal="85" workbookViewId="0">
      <selection activeCell="H27" sqref="H27"/>
    </sheetView>
  </sheetViews>
  <sheetFormatPr defaultRowHeight="15" x14ac:dyDescent="0.25"/>
  <cols>
    <col min="1" max="1" width="12.42578125" customWidth="1"/>
    <col min="2" max="2" width="21.7109375" bestFit="1" customWidth="1"/>
    <col min="3" max="3" width="23.85546875" bestFit="1" customWidth="1"/>
    <col min="4" max="4" width="10.85546875" bestFit="1" customWidth="1"/>
    <col min="5" max="5" width="7.7109375" customWidth="1"/>
    <col min="6" max="6" width="11.28515625" customWidth="1"/>
    <col min="7" max="7" width="13.42578125" bestFit="1" customWidth="1"/>
    <col min="8" max="8" width="25" customWidth="1"/>
  </cols>
  <sheetData>
    <row r="1" spans="1:8" x14ac:dyDescent="0.25">
      <c r="A1" s="1" t="s">
        <v>1</v>
      </c>
    </row>
    <row r="3" spans="1:8" x14ac:dyDescent="0.25">
      <c r="A3" s="7" t="s">
        <v>575</v>
      </c>
      <c r="B3" s="8" t="s">
        <v>689</v>
      </c>
      <c r="C3" s="8" t="s">
        <v>8</v>
      </c>
      <c r="D3" s="8" t="s">
        <v>9</v>
      </c>
      <c r="E3" s="8" t="s">
        <v>10</v>
      </c>
      <c r="F3" s="8" t="s">
        <v>690</v>
      </c>
      <c r="G3" s="8" t="s">
        <v>691</v>
      </c>
      <c r="H3" s="9" t="s">
        <v>692</v>
      </c>
    </row>
    <row r="4" spans="1:8" x14ac:dyDescent="0.25">
      <c r="A4" s="5" t="s">
        <v>598</v>
      </c>
      <c r="B4" s="4" t="s">
        <v>693</v>
      </c>
      <c r="C4" s="4" t="s">
        <v>694</v>
      </c>
      <c r="D4" s="4" t="s">
        <v>695</v>
      </c>
      <c r="E4" s="4" t="s">
        <v>58</v>
      </c>
      <c r="F4" s="4">
        <v>3001</v>
      </c>
      <c r="G4" s="4" t="s">
        <v>696</v>
      </c>
      <c r="H4" s="6">
        <v>0.5</v>
      </c>
    </row>
    <row r="5" spans="1:8" x14ac:dyDescent="0.25">
      <c r="A5" s="5" t="s">
        <v>590</v>
      </c>
      <c r="B5" s="4" t="s">
        <v>697</v>
      </c>
      <c r="C5" s="4" t="s">
        <v>698</v>
      </c>
      <c r="D5" s="4" t="s">
        <v>699</v>
      </c>
      <c r="E5" s="4" t="s">
        <v>21</v>
      </c>
      <c r="F5" s="4">
        <v>2001</v>
      </c>
      <c r="G5" s="4" t="s">
        <v>700</v>
      </c>
      <c r="H5" s="6">
        <v>0.55000000000000004</v>
      </c>
    </row>
    <row r="6" spans="1:8" x14ac:dyDescent="0.25">
      <c r="A6" s="5" t="s">
        <v>585</v>
      </c>
      <c r="B6" s="4" t="s">
        <v>701</v>
      </c>
      <c r="C6" s="4" t="s">
        <v>702</v>
      </c>
      <c r="D6" s="4" t="s">
        <v>699</v>
      </c>
      <c r="E6" s="4" t="s">
        <v>21</v>
      </c>
      <c r="F6" s="4">
        <v>2001</v>
      </c>
      <c r="G6" s="4" t="s">
        <v>703</v>
      </c>
      <c r="H6" s="6">
        <v>0.43</v>
      </c>
    </row>
    <row r="7" spans="1:8" x14ac:dyDescent="0.25">
      <c r="A7" s="5" t="s">
        <v>587</v>
      </c>
      <c r="B7" s="4" t="s">
        <v>704</v>
      </c>
      <c r="C7" s="4" t="s">
        <v>705</v>
      </c>
      <c r="D7" s="4" t="s">
        <v>706</v>
      </c>
      <c r="E7" s="4" t="s">
        <v>93</v>
      </c>
      <c r="F7" s="4">
        <v>4001</v>
      </c>
      <c r="G7" s="4" t="s">
        <v>707</v>
      </c>
      <c r="H7" s="6">
        <v>0.69</v>
      </c>
    </row>
    <row r="8" spans="1:8" x14ac:dyDescent="0.25">
      <c r="A8" s="10" t="s">
        <v>583</v>
      </c>
      <c r="B8" s="11" t="s">
        <v>708</v>
      </c>
      <c r="C8" s="11" t="s">
        <v>709</v>
      </c>
      <c r="D8" s="11" t="s">
        <v>695</v>
      </c>
      <c r="E8" s="11" t="s">
        <v>58</v>
      </c>
      <c r="F8" s="11">
        <v>3001</v>
      </c>
      <c r="G8" s="11" t="s">
        <v>710</v>
      </c>
      <c r="H8" s="12">
        <v>0.42</v>
      </c>
    </row>
  </sheetData>
  <pageMargins left="0.7" right="0.7" top="0.75" bottom="0.75" header="0.3" footer="0.3"/>
  <pageSetup orientation="portrait"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1"/>
  <sheetViews>
    <sheetView tabSelected="1" topLeftCell="A13" zoomScale="70" zoomScaleNormal="70" workbookViewId="0">
      <selection activeCell="C49" sqref="C49"/>
    </sheetView>
  </sheetViews>
  <sheetFormatPr defaultRowHeight="15" x14ac:dyDescent="0.25"/>
  <cols>
    <col min="1" max="1" width="35.140625" style="14" bestFit="1" customWidth="1"/>
    <col min="2" max="2" width="45.7109375" style="14" bestFit="1" customWidth="1"/>
    <col min="3" max="3" width="81" style="14" customWidth="1"/>
    <col min="4" max="16384" width="9.140625" style="14"/>
  </cols>
  <sheetData>
    <row r="1" spans="1:2" x14ac:dyDescent="0.25">
      <c r="A1" s="1" t="s">
        <v>899</v>
      </c>
    </row>
    <row r="2" spans="1:2" x14ac:dyDescent="0.25">
      <c r="A2" s="88"/>
    </row>
    <row r="3" spans="1:2" ht="15.75" x14ac:dyDescent="0.25">
      <c r="A3" s="102" t="s">
        <v>937</v>
      </c>
    </row>
    <row r="4" spans="1:2" x14ac:dyDescent="0.25">
      <c r="A4" s="2"/>
    </row>
    <row r="5" spans="1:2" ht="15.75" x14ac:dyDescent="0.25">
      <c r="A5" s="103" t="s">
        <v>948</v>
      </c>
      <c r="B5" s="89" t="s">
        <v>915</v>
      </c>
    </row>
    <row r="6" spans="1:2" ht="15.75" x14ac:dyDescent="0.25">
      <c r="A6" s="104" t="s">
        <v>949</v>
      </c>
      <c r="B6" s="90">
        <v>45037</v>
      </c>
    </row>
    <row r="7" spans="1:2" ht="15.75" x14ac:dyDescent="0.25">
      <c r="A7" s="104" t="s">
        <v>963</v>
      </c>
      <c r="B7" s="89" t="s">
        <v>950</v>
      </c>
    </row>
    <row r="8" spans="1:2" ht="177" customHeight="1" x14ac:dyDescent="0.25">
      <c r="A8" s="105" t="s">
        <v>964</v>
      </c>
      <c r="B8" s="106" t="s">
        <v>957</v>
      </c>
    </row>
    <row r="9" spans="1:2" ht="64.5" customHeight="1" x14ac:dyDescent="0.25">
      <c r="A9" s="105" t="s">
        <v>940</v>
      </c>
      <c r="B9" s="106" t="s">
        <v>961</v>
      </c>
    </row>
    <row r="13" spans="1:2" x14ac:dyDescent="0.25">
      <c r="A13" s="23" t="s">
        <v>939</v>
      </c>
    </row>
    <row r="15" spans="1:2" ht="15.75" x14ac:dyDescent="0.25">
      <c r="A15" s="107" t="s">
        <v>941</v>
      </c>
    </row>
    <row r="17" spans="1:3" x14ac:dyDescent="0.25">
      <c r="A17" s="22" t="s">
        <v>918</v>
      </c>
      <c r="B17" s="22" t="s">
        <v>726</v>
      </c>
      <c r="C17" s="22" t="s">
        <v>934</v>
      </c>
    </row>
    <row r="18" spans="1:3" x14ac:dyDescent="0.25">
      <c r="A18" s="89">
        <v>1</v>
      </c>
      <c r="B18" s="89" t="s">
        <v>919</v>
      </c>
      <c r="C18" s="91" t="s">
        <v>921</v>
      </c>
    </row>
    <row r="19" spans="1:3" x14ac:dyDescent="0.25">
      <c r="A19" s="89">
        <v>2</v>
      </c>
      <c r="B19" s="89" t="s">
        <v>727</v>
      </c>
      <c r="C19" s="91" t="s">
        <v>922</v>
      </c>
    </row>
    <row r="20" spans="1:3" x14ac:dyDescent="0.25">
      <c r="A20" s="89">
        <v>3</v>
      </c>
      <c r="B20" s="89" t="s">
        <v>728</v>
      </c>
      <c r="C20" s="91" t="s">
        <v>923</v>
      </c>
    </row>
    <row r="21" spans="1:3" x14ac:dyDescent="0.25">
      <c r="A21" s="89">
        <v>4</v>
      </c>
      <c r="B21" s="89" t="s">
        <v>729</v>
      </c>
      <c r="C21" s="91" t="s">
        <v>924</v>
      </c>
    </row>
    <row r="22" spans="1:3" x14ac:dyDescent="0.25">
      <c r="A22" s="89">
        <v>5</v>
      </c>
      <c r="B22" s="89" t="s">
        <v>881</v>
      </c>
      <c r="C22" s="92" t="s">
        <v>925</v>
      </c>
    </row>
    <row r="23" spans="1:3" x14ac:dyDescent="0.25">
      <c r="A23" s="89">
        <v>6</v>
      </c>
      <c r="B23" s="93" t="s">
        <v>917</v>
      </c>
      <c r="C23" s="92" t="s">
        <v>926</v>
      </c>
    </row>
    <row r="24" spans="1:3" x14ac:dyDescent="0.25">
      <c r="A24" s="89">
        <v>7</v>
      </c>
      <c r="B24" s="93" t="s">
        <v>907</v>
      </c>
      <c r="C24" s="94" t="s">
        <v>927</v>
      </c>
    </row>
    <row r="25" spans="1:3" x14ac:dyDescent="0.25">
      <c r="A25" s="89">
        <v>8</v>
      </c>
      <c r="B25" s="93" t="s">
        <v>916</v>
      </c>
      <c r="C25" s="92" t="s">
        <v>928</v>
      </c>
    </row>
    <row r="26" spans="1:3" x14ac:dyDescent="0.25">
      <c r="A26" s="89">
        <v>9</v>
      </c>
      <c r="B26" s="93" t="s">
        <v>920</v>
      </c>
      <c r="C26" s="91" t="s">
        <v>929</v>
      </c>
    </row>
    <row r="27" spans="1:3" x14ac:dyDescent="0.25">
      <c r="A27" s="89">
        <v>10</v>
      </c>
      <c r="B27" s="93" t="s">
        <v>0</v>
      </c>
      <c r="C27" s="91" t="s">
        <v>930</v>
      </c>
    </row>
    <row r="28" spans="1:3" x14ac:dyDescent="0.25">
      <c r="A28" s="89">
        <v>11</v>
      </c>
      <c r="B28" s="93" t="s">
        <v>2</v>
      </c>
      <c r="C28" s="91" t="s">
        <v>931</v>
      </c>
    </row>
    <row r="29" spans="1:3" x14ac:dyDescent="0.25">
      <c r="A29" s="89">
        <v>12</v>
      </c>
      <c r="B29" s="93" t="s">
        <v>1</v>
      </c>
      <c r="C29" s="91" t="s">
        <v>932</v>
      </c>
    </row>
    <row r="30" spans="1:3" x14ac:dyDescent="0.25">
      <c r="A30" s="89">
        <v>13</v>
      </c>
      <c r="B30" s="93" t="s">
        <v>730</v>
      </c>
      <c r="C30" s="92" t="s">
        <v>933</v>
      </c>
    </row>
    <row r="31" spans="1:3" x14ac:dyDescent="0.25">
      <c r="A31" s="95"/>
      <c r="B31" s="96"/>
      <c r="C31" s="97"/>
    </row>
    <row r="32" spans="1:3" ht="15.75" x14ac:dyDescent="0.25">
      <c r="A32" s="102" t="s">
        <v>962</v>
      </c>
    </row>
    <row r="33" spans="1:3" x14ac:dyDescent="0.25">
      <c r="A33" s="89" t="s">
        <v>953</v>
      </c>
      <c r="B33" s="98" t="s">
        <v>952</v>
      </c>
      <c r="C33" s="98"/>
    </row>
    <row r="34" spans="1:3" ht="206.25" customHeight="1" x14ac:dyDescent="0.25">
      <c r="A34" s="105" t="s">
        <v>942</v>
      </c>
      <c r="B34" s="99" t="s">
        <v>958</v>
      </c>
      <c r="C34" s="99" t="s">
        <v>951</v>
      </c>
    </row>
    <row r="35" spans="1:3" ht="135" x14ac:dyDescent="0.25">
      <c r="A35" s="108" t="s">
        <v>943</v>
      </c>
      <c r="B35" s="99" t="s">
        <v>955</v>
      </c>
      <c r="C35" s="100" t="s">
        <v>956</v>
      </c>
    </row>
    <row r="36" spans="1:3" ht="150" x14ac:dyDescent="0.25">
      <c r="A36" s="105" t="s">
        <v>944</v>
      </c>
      <c r="B36" s="101" t="s">
        <v>960</v>
      </c>
      <c r="C36" s="100" t="s">
        <v>959</v>
      </c>
    </row>
    <row r="37" spans="1:3" x14ac:dyDescent="0.25">
      <c r="A37" s="23" t="s">
        <v>938</v>
      </c>
    </row>
    <row r="39" spans="1:3" ht="15.75" x14ac:dyDescent="0.25">
      <c r="A39" s="107"/>
    </row>
    <row r="40" spans="1:3" ht="15.75" x14ac:dyDescent="0.25">
      <c r="A40" s="109"/>
    </row>
    <row r="41" spans="1:3" x14ac:dyDescent="0.25">
      <c r="A41" s="89" t="s">
        <v>954</v>
      </c>
      <c r="B41" s="89" t="s">
        <v>952</v>
      </c>
    </row>
    <row r="42" spans="1:3" ht="47.25" x14ac:dyDescent="0.25">
      <c r="A42" s="105" t="s">
        <v>965</v>
      </c>
      <c r="B42" s="110" t="s">
        <v>945</v>
      </c>
    </row>
    <row r="43" spans="1:3" ht="117" x14ac:dyDescent="0.25">
      <c r="A43" s="89"/>
      <c r="B43" s="111" t="s">
        <v>966</v>
      </c>
    </row>
    <row r="44" spans="1:3" ht="79.5" x14ac:dyDescent="0.25">
      <c r="A44" s="89"/>
      <c r="B44" s="112" t="s">
        <v>967</v>
      </c>
    </row>
    <row r="45" spans="1:3" x14ac:dyDescent="0.25">
      <c r="A45" s="89"/>
      <c r="B45" s="112" t="s">
        <v>946</v>
      </c>
    </row>
    <row r="46" spans="1:3" ht="78" x14ac:dyDescent="0.25">
      <c r="A46" s="89"/>
      <c r="B46" s="111" t="s">
        <v>968</v>
      </c>
    </row>
    <row r="47" spans="1:3" x14ac:dyDescent="0.25">
      <c r="A47" s="89"/>
      <c r="B47" s="112" t="s">
        <v>947</v>
      </c>
    </row>
    <row r="48" spans="1:3" ht="58.5" x14ac:dyDescent="0.25">
      <c r="A48" s="89"/>
      <c r="B48" s="111" t="s">
        <v>969</v>
      </c>
    </row>
    <row r="49" spans="1:2" ht="97.5" x14ac:dyDescent="0.25">
      <c r="A49" s="89"/>
      <c r="B49" s="112" t="s">
        <v>970</v>
      </c>
    </row>
    <row r="50" spans="1:2" ht="45" x14ac:dyDescent="0.25">
      <c r="A50" s="89"/>
      <c r="B50" s="106" t="s">
        <v>971</v>
      </c>
    </row>
    <row r="51" spans="1:2" x14ac:dyDescent="0.25">
      <c r="A51" s="88"/>
    </row>
  </sheetData>
  <mergeCells count="1">
    <mergeCell ref="B33:C33"/>
  </mergeCells>
  <hyperlinks>
    <hyperlink ref="C18" location="Index!A1" display="Index!A1"/>
    <hyperlink ref="C19" location="DataInput!A1" display="DataInput!A1"/>
    <hyperlink ref="C20" location="Calculations!A1" display="Calculations!A1"/>
    <hyperlink ref="C21" location="Report!A1" display="Report!A1"/>
    <hyperlink ref="C22" location="'Scenario Summary '!A1" display="'Scenario Summary '!A1"/>
    <hyperlink ref="C23" location="'Chart 1'!A1" display="'Chart 1'!A1"/>
    <hyperlink ref="C24" location="'Chart 2'!A1" display="'Chart 2'!A1"/>
    <hyperlink ref="C25" location="'Chart 3'!A1" display="'Chart 3'!A1"/>
    <hyperlink ref="C26" location="CustomersTable!A1" display="CustomersTable!A1"/>
    <hyperlink ref="C27" location="ItemsTable!A1" display="ItemsTable!A1"/>
    <hyperlink ref="C28" location="OrdersTable!A1" display="OrdersTable!A1"/>
    <hyperlink ref="C29" location="SuppliersTable!A1" display="SuppliersTable!A1"/>
    <hyperlink ref="C30" location="'Documentation '!A1" display="'Documentation '!A1"/>
  </hyperlink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26</vt:i4>
      </vt:variant>
    </vt:vector>
  </HeadingPairs>
  <TitlesOfParts>
    <vt:vector size="39" baseType="lpstr">
      <vt:lpstr>Index</vt:lpstr>
      <vt:lpstr>DataInput</vt:lpstr>
      <vt:lpstr>Calculations</vt:lpstr>
      <vt:lpstr>Report</vt:lpstr>
      <vt:lpstr>Scenario Summary </vt:lpstr>
      <vt:lpstr>Chart 1</vt:lpstr>
      <vt:lpstr>Chart 2</vt:lpstr>
      <vt:lpstr>Chart 3</vt:lpstr>
      <vt:lpstr>CustomersTable</vt:lpstr>
      <vt:lpstr>ItemsTable</vt:lpstr>
      <vt:lpstr>OrdersTable</vt:lpstr>
      <vt:lpstr>SuppliersTable</vt:lpstr>
      <vt:lpstr>Documentation </vt:lpstr>
      <vt:lpstr>BankCharges</vt:lpstr>
      <vt:lpstr>Cust</vt:lpstr>
      <vt:lpstr>CustID</vt:lpstr>
      <vt:lpstr>ElectrictyExpenses</vt:lpstr>
      <vt:lpstr>ExchRateCA</vt:lpstr>
      <vt:lpstr>ExchRateIR</vt:lpstr>
      <vt:lpstr>ExchRateType</vt:lpstr>
      <vt:lpstr>Fixed_and_Varaible_expenses</vt:lpstr>
      <vt:lpstr>FreightInwardExpenses</vt:lpstr>
      <vt:lpstr>FreightOutwardExpenses</vt:lpstr>
      <vt:lpstr>FreightType</vt:lpstr>
      <vt:lpstr>HalfYearExpenses</vt:lpstr>
      <vt:lpstr>InternetExpenses</vt:lpstr>
      <vt:lpstr>Itms</vt:lpstr>
      <vt:lpstr>MarkupType</vt:lpstr>
      <vt:lpstr>order</vt:lpstr>
      <vt:lpstr>PercentageFreightOutward_Sales</vt:lpstr>
      <vt:lpstr>StoreMarkup</vt:lpstr>
      <vt:lpstr>Supp</vt:lpstr>
      <vt:lpstr>Total_discount_for_Orders</vt:lpstr>
      <vt:lpstr>Total_Number_of_Order_discount</vt:lpstr>
      <vt:lpstr>Total_Profit</vt:lpstr>
      <vt:lpstr>TOtal_sales_discount_Percentage</vt:lpstr>
      <vt:lpstr>TotalPurchaseExpenses</vt:lpstr>
      <vt:lpstr>TotalSales</vt:lpstr>
      <vt:lpstr>WagesExpenses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2023-04-21T09:48:35Z</dcterms:modified>
</cp:coreProperties>
</file>